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17\Q4 &amp; FY 2017\Metrics\Metrics -Q4 &amp; FY 2016- without formulas\"/>
    </mc:Choice>
  </mc:AlternateContent>
  <bookViews>
    <workbookView xWindow="0" yWindow="0" windowWidth="12240" windowHeight="9240" tabRatio="595"/>
  </bookViews>
  <sheets>
    <sheet name="Index" sheetId="1" r:id="rId1"/>
    <sheet name="I - Financials" sheetId="2" r:id="rId2"/>
    <sheet name="II- Other income-exp" sheetId="7" r:id="rId3"/>
    <sheet name="III - KPIs" sheetId="3" r:id="rId4"/>
    <sheet name="IV - Dividends" sheetId="6" r:id="rId5"/>
    <sheet name="V - Glossary " sheetId="4" r:id="rId6"/>
  </sheets>
  <definedNames>
    <definedName name="_ftn1" localSheetId="3">'III - KPIs'!$AP$87</definedName>
    <definedName name="_ftn2" localSheetId="3">'III - KPIs'!$AP$88</definedName>
    <definedName name="_ftnref1" localSheetId="3">'III - KPIs'!$AP$81</definedName>
    <definedName name="_ftnref2" localSheetId="3">'III - KPIs'!$AP$82</definedName>
    <definedName name="ProjectName">{"Client Name or Project Name"}</definedName>
    <definedName name="_xlnm.Print_Area" localSheetId="1">'I - Financials'!$A$1:$AZ$475</definedName>
    <definedName name="_xlnm.Print_Area" localSheetId="2">'II- Other income-exp'!$A$4:$W$34</definedName>
    <definedName name="_xlnm.Print_Area" localSheetId="3">'III - KPIs'!$A$1:$AZ$126</definedName>
    <definedName name="_xlnm.Print_Area" localSheetId="0">Index!$A$1:$K$32</definedName>
    <definedName name="_xlnm.Print_Area" localSheetId="4">'IV - Dividends'!$A$1:$D$41</definedName>
    <definedName name="_xlnm.Print_Area" localSheetId="5">'V - Glossary '!$A$1:$M$19</definedName>
    <definedName name="_xlnm.Print_Titles" localSheetId="1">'I - Financials'!$1:$5</definedName>
    <definedName name="_xlnm.Print_Titles" localSheetId="3">'III - KPIs'!$1:$4</definedName>
    <definedName name="_xlnm.Print_Titles" localSheetId="4">'IV - Dividends'!$1:$9</definedName>
    <definedName name="Z_44BC518B_F505_4956_BE42_792973965029_.wvu.PrintArea" localSheetId="1" hidden="1">'I - Financials'!$A$1:$R$476</definedName>
    <definedName name="Z_44BC518B_F505_4956_BE42_792973965029_.wvu.PrintArea" localSheetId="3" hidden="1">'III - KPIs'!$A$1:$R$124</definedName>
    <definedName name="Z_44BC518B_F505_4956_BE42_792973965029_.wvu.PrintArea" localSheetId="0" hidden="1">Index!$A$1:$K$32</definedName>
    <definedName name="Z_44BC518B_F505_4956_BE42_792973965029_.wvu.PrintArea" localSheetId="5" hidden="1">'V - Glossary '!$A$1:$M$19</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Financials'!$A$1:$AD$476</definedName>
    <definedName name="Z_67DDFA58_7FF7_4BDB_BFFF_31DB4021D095_.wvu.PrintArea" localSheetId="3" hidden="1">'III - KPIs'!$A$1:$AD$124</definedName>
    <definedName name="Z_67DDFA58_7FF7_4BDB_BFFF_31DB4021D095_.wvu.PrintArea" localSheetId="0" hidden="1">Index!$A$1:$K$32</definedName>
    <definedName name="Z_67DDFA58_7FF7_4BDB_BFFF_31DB4021D095_.wvu.PrintArea" localSheetId="5" hidden="1">'V - Glossary '!$A$1:$M$19</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4" hidden="1">'IV - Dividends'!$1:$9</definedName>
    <definedName name="Z_6A44E415_E6EC_4CA2_8B4C_A374F00F0261_.wvu.PrintArea" localSheetId="1" hidden="1">'I - Financials'!$A$1:$J$476</definedName>
    <definedName name="Z_6A44E415_E6EC_4CA2_8B4C_A374F00F0261_.wvu.PrintArea" localSheetId="3" hidden="1">'III - KPIs'!$A$1:$I$124</definedName>
    <definedName name="Z_6A44E415_E6EC_4CA2_8B4C_A374F00F0261_.wvu.PrintArea" localSheetId="0" hidden="1">Index!$A$1:$K$32</definedName>
    <definedName name="Z_6A44E415_E6EC_4CA2_8B4C_A374F00F0261_.wvu.PrintArea" localSheetId="5" hidden="1">'V - Glossary '!$A$1:$M$18</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Financials'!$A$1:$AD$476</definedName>
    <definedName name="Z_7DC6D345_C4C0_4162_8636_D495A245EBF8_.wvu.PrintArea" localSheetId="3" hidden="1">'III - KPIs'!$A$1:$AD$124</definedName>
    <definedName name="Z_7DC6D345_C4C0_4162_8636_D495A245EBF8_.wvu.PrintArea" localSheetId="0" hidden="1">Index!$A$1:$K$32</definedName>
    <definedName name="Z_7DC6D345_C4C0_4162_8636_D495A245EBF8_.wvu.PrintArea" localSheetId="5" hidden="1">'V - Glossary '!$A$1:$M$19</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Financials'!$A$1:$R$476</definedName>
    <definedName name="Z_C32ED439_2914_4073_BFBF_7718D6CFE811_.wvu.PrintArea" localSheetId="3" hidden="1">'III - KPIs'!$A$1:$R$124</definedName>
    <definedName name="Z_C32ED439_2914_4073_BFBF_7718D6CFE811_.wvu.PrintArea" localSheetId="0" hidden="1">Index!$A$1:$K$32</definedName>
    <definedName name="Z_C32ED439_2914_4073_BFBF_7718D6CFE811_.wvu.PrintArea" localSheetId="5" hidden="1">'V - Glossary '!$A$1:$M$19</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Financials'!$A$1:$O$476</definedName>
    <definedName name="Z_C6BBAF30_1E81_42FB_BA93_01B6813E2C8C_.wvu.PrintArea" localSheetId="3" hidden="1">'III - KPIs'!$A$1:$O$124</definedName>
    <definedName name="Z_C6BBAF30_1E81_42FB_BA93_01B6813E2C8C_.wvu.PrintArea" localSheetId="0" hidden="1">Index!$A$1:$K$32</definedName>
    <definedName name="Z_C6BBAF30_1E81_42FB_BA93_01B6813E2C8C_.wvu.PrintArea" localSheetId="5" hidden="1">'V - Glossary '!$A$1:$M$18</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Financials'!$A$1:$M$476</definedName>
    <definedName name="Z_F07085DA_2B2D_4BE1_891D_F25D604A092E_.wvu.PrintArea" localSheetId="3" hidden="1">'III - KPIs'!$A$1:$M$124</definedName>
    <definedName name="Z_F07085DA_2B2D_4BE1_891D_F25D604A092E_.wvu.PrintArea" localSheetId="0" hidden="1">Index!$A$1:$K$32</definedName>
    <definedName name="Z_F07085DA_2B2D_4BE1_891D_F25D604A092E_.wvu.PrintArea" localSheetId="5" hidden="1">'V - Glossary '!$A$1:$M$18</definedName>
    <definedName name="Z_F07085DA_2B2D_4BE1_891D_F25D604A092E_.wvu.PrintTitles" localSheetId="1" hidden="1">'I - Financials'!$1:$5</definedName>
    <definedName name="Z_F07085DA_2B2D_4BE1_891D_F25D604A092E_.wvu.PrintTitles" localSheetId="3" hidden="1">'III - KPIs'!$1:$4</definedName>
  </definedNames>
  <calcPr calcId="162913"/>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W32" i="7" l="1"/>
  <c r="V24" i="7" l="1"/>
  <c r="B158" i="2" l="1"/>
  <c r="C158" i="2"/>
  <c r="D158" i="2"/>
  <c r="E158" i="2"/>
  <c r="F158" i="2"/>
  <c r="G158" i="2"/>
  <c r="H158" i="2"/>
  <c r="I158" i="2"/>
  <c r="J158" i="2"/>
  <c r="L158" i="2"/>
  <c r="M158" i="2"/>
  <c r="N158" i="2"/>
  <c r="O158" i="2"/>
  <c r="Q158" i="2"/>
  <c r="R158" i="2"/>
  <c r="S158" i="2"/>
  <c r="T158" i="2"/>
  <c r="V158" i="2"/>
  <c r="W158" i="2"/>
  <c r="X158" i="2"/>
  <c r="Y158" i="2"/>
  <c r="AA158" i="2"/>
  <c r="AB158" i="2"/>
  <c r="AC158" i="2"/>
  <c r="AD158" i="2"/>
  <c r="AF158" i="2"/>
  <c r="AG158" i="2"/>
  <c r="AH158" i="2"/>
  <c r="AI158" i="2"/>
  <c r="B159" i="2"/>
  <c r="C159" i="2"/>
  <c r="D159" i="2"/>
  <c r="E159" i="2"/>
  <c r="F159" i="2"/>
  <c r="G159" i="2"/>
  <c r="H159" i="2"/>
  <c r="I159" i="2"/>
  <c r="J159" i="2"/>
  <c r="L159" i="2"/>
  <c r="M159" i="2"/>
  <c r="N159" i="2"/>
  <c r="O159" i="2"/>
  <c r="Q159" i="2"/>
  <c r="R159" i="2"/>
  <c r="S159" i="2"/>
  <c r="T159" i="2"/>
  <c r="V159" i="2"/>
  <c r="W159" i="2"/>
  <c r="X159" i="2"/>
  <c r="Y159" i="2"/>
  <c r="AA159" i="2"/>
  <c r="AB159" i="2"/>
  <c r="AC159" i="2"/>
  <c r="AD159" i="2"/>
  <c r="AF159" i="2"/>
  <c r="AG159" i="2"/>
  <c r="AH159" i="2"/>
  <c r="AI159" i="2"/>
  <c r="AI91" i="2"/>
  <c r="AH91" i="2"/>
  <c r="AG91" i="2"/>
  <c r="AF91" i="2"/>
  <c r="AD91" i="2"/>
  <c r="AC91" i="2"/>
  <c r="AB91" i="2"/>
  <c r="AA91" i="2"/>
  <c r="Y91" i="2"/>
  <c r="X91" i="2"/>
  <c r="W91" i="2"/>
  <c r="V91" i="2"/>
  <c r="T91" i="2"/>
  <c r="S91" i="2"/>
  <c r="R91" i="2"/>
  <c r="Q91" i="2"/>
  <c r="O91" i="2"/>
  <c r="N91" i="2"/>
  <c r="M91" i="2"/>
  <c r="L91" i="2"/>
  <c r="J91" i="2"/>
  <c r="I91" i="2"/>
  <c r="H91" i="2"/>
  <c r="G91" i="2"/>
  <c r="AI90" i="2"/>
  <c r="AH90" i="2"/>
  <c r="AD90" i="2"/>
  <c r="AC90" i="2"/>
  <c r="Y90" i="2"/>
  <c r="X90" i="2"/>
  <c r="T90" i="2"/>
  <c r="S90" i="2"/>
  <c r="O90" i="2"/>
  <c r="N90" i="2"/>
  <c r="J90" i="2"/>
  <c r="I90" i="2"/>
  <c r="E90" i="2"/>
  <c r="D90" i="2"/>
  <c r="AJ89" i="2"/>
  <c r="AE89" i="2"/>
  <c r="AE90" i="2" s="1"/>
  <c r="Z89" i="2"/>
  <c r="AB90" i="2" s="1"/>
  <c r="U89" i="2"/>
  <c r="W90" i="2" s="1"/>
  <c r="P89" i="2"/>
  <c r="K89" i="2"/>
  <c r="K90" i="2" s="1"/>
  <c r="F89" i="2"/>
  <c r="H90" i="2" s="1"/>
  <c r="AJ47" i="2"/>
  <c r="AF47" i="2"/>
  <c r="AE47" i="2" s="1"/>
  <c r="AA47" i="2"/>
  <c r="Z47" i="2" s="1"/>
  <c r="V47" i="2"/>
  <c r="U47" i="2" s="1"/>
  <c r="Q47" i="2"/>
  <c r="L47" i="2"/>
  <c r="AF73" i="2"/>
  <c r="AD73" i="2"/>
  <c r="AC73" i="2"/>
  <c r="AB73" i="2"/>
  <c r="AA73" i="2"/>
  <c r="Y73" i="2"/>
  <c r="X73" i="2"/>
  <c r="W73" i="2"/>
  <c r="V73" i="2"/>
  <c r="Q73" i="2"/>
  <c r="AD72" i="2"/>
  <c r="AC72" i="2"/>
  <c r="Y72" i="2"/>
  <c r="X72" i="2"/>
  <c r="T72" i="2"/>
  <c r="S72" i="2"/>
  <c r="AE71" i="2"/>
  <c r="Z71" i="2"/>
  <c r="U71" i="2"/>
  <c r="W72" i="2" s="1"/>
  <c r="AE73" i="2" l="1"/>
  <c r="P91" i="2"/>
  <c r="AJ91" i="2"/>
  <c r="Z90" i="2"/>
  <c r="Z73" i="2"/>
  <c r="U90" i="2"/>
  <c r="U91" i="2"/>
  <c r="F90" i="2"/>
  <c r="Z91" i="2"/>
  <c r="AE72" i="2"/>
  <c r="M90" i="2"/>
  <c r="R90" i="2"/>
  <c r="AG90" i="2"/>
  <c r="K91" i="2"/>
  <c r="AE91" i="2"/>
  <c r="P90" i="2"/>
  <c r="AJ90" i="2"/>
  <c r="U72" i="2"/>
  <c r="Z72" i="2"/>
  <c r="AB72" i="2"/>
  <c r="V30" i="7" l="1"/>
  <c r="V18" i="7"/>
  <c r="V32" i="7" s="1"/>
  <c r="AF441" i="2" l="1"/>
  <c r="G441" i="2"/>
  <c r="AJ441" i="2"/>
  <c r="AI441" i="2"/>
  <c r="AH441" i="2"/>
  <c r="AG441" i="2"/>
  <c r="AD441" i="2"/>
  <c r="AC441" i="2"/>
  <c r="AB441" i="2"/>
  <c r="AA441" i="2"/>
  <c r="Z441" i="2"/>
  <c r="Y441" i="2"/>
  <c r="X441" i="2"/>
  <c r="W441" i="2"/>
  <c r="V441" i="2"/>
  <c r="U441" i="2"/>
  <c r="T441" i="2"/>
  <c r="S441" i="2"/>
  <c r="R441" i="2"/>
  <c r="Q441" i="2"/>
  <c r="P441" i="2"/>
  <c r="O441" i="2"/>
  <c r="N441" i="2"/>
  <c r="M441" i="2"/>
  <c r="L441" i="2"/>
  <c r="AJ440" i="2"/>
  <c r="AI440" i="2"/>
  <c r="AH440" i="2"/>
  <c r="AG440" i="2"/>
  <c r="AD440" i="2"/>
  <c r="AC440" i="2"/>
  <c r="AB440" i="2"/>
  <c r="Z440" i="2"/>
  <c r="Y440" i="2"/>
  <c r="X440" i="2"/>
  <c r="W440" i="2"/>
  <c r="U440" i="2"/>
  <c r="T440" i="2"/>
  <c r="S440" i="2"/>
  <c r="R440" i="2"/>
  <c r="P440" i="2"/>
  <c r="O440" i="2"/>
  <c r="N440" i="2"/>
  <c r="M440" i="2"/>
  <c r="AF213" i="2"/>
  <c r="AA213" i="2"/>
  <c r="V213" i="2"/>
  <c r="Q213" i="2"/>
  <c r="L213" i="2"/>
  <c r="G213" i="2"/>
  <c r="U32" i="7" l="1"/>
  <c r="T32" i="7" l="1"/>
  <c r="S32" i="7" l="1"/>
  <c r="Q24" i="7"/>
  <c r="Q18" i="7"/>
  <c r="Q32" i="7" s="1"/>
  <c r="AJ459" i="2"/>
  <c r="AJ460" i="2" s="1"/>
  <c r="AJ415" i="2"/>
  <c r="AI474" i="2"/>
  <c r="AH474" i="2"/>
  <c r="AG474" i="2"/>
  <c r="AF459" i="2"/>
  <c r="AD459" i="2"/>
  <c r="AD462" i="2" s="1"/>
  <c r="AC459" i="2"/>
  <c r="AC474" i="2" s="1"/>
  <c r="AB459" i="2"/>
  <c r="AB474" i="2" s="1"/>
  <c r="AE415" i="2"/>
  <c r="AG416" i="2" s="1"/>
  <c r="AA459" i="2"/>
  <c r="Y459" i="2"/>
  <c r="Y462" i="2" s="1"/>
  <c r="Y465" i="2" s="1"/>
  <c r="X459" i="2"/>
  <c r="W459" i="2"/>
  <c r="W474" i="2" s="1"/>
  <c r="Z415" i="2"/>
  <c r="AB416" i="2" s="1"/>
  <c r="Y474" i="2"/>
  <c r="V459" i="2"/>
  <c r="U415" i="2"/>
  <c r="U474" i="2" s="1"/>
  <c r="T459" i="2"/>
  <c r="T474" i="2" s="1"/>
  <c r="S459" i="2"/>
  <c r="S474" i="2" s="1"/>
  <c r="R459" i="2"/>
  <c r="Q459" i="2"/>
  <c r="Q474" i="2" s="1"/>
  <c r="O459" i="2"/>
  <c r="O462" i="2" s="1"/>
  <c r="O465" i="2" s="1"/>
  <c r="N459" i="2"/>
  <c r="N461" i="2" s="1"/>
  <c r="M459" i="2"/>
  <c r="M474" i="2" s="1"/>
  <c r="P415" i="2"/>
  <c r="R416" i="2" s="1"/>
  <c r="L459" i="2"/>
  <c r="L474" i="2" s="1"/>
  <c r="J459" i="2"/>
  <c r="J474" i="2" s="1"/>
  <c r="H459" i="2"/>
  <c r="H86" i="2" s="1"/>
  <c r="H161" i="2" s="1"/>
  <c r="K415" i="2"/>
  <c r="I474" i="2"/>
  <c r="G459" i="2"/>
  <c r="G462" i="2" s="1"/>
  <c r="G465" i="2" s="1"/>
  <c r="E459" i="2"/>
  <c r="E474" i="2" s="1"/>
  <c r="D459" i="2"/>
  <c r="I461" i="2" s="1"/>
  <c r="F415" i="2"/>
  <c r="H416" i="2" s="1"/>
  <c r="C474" i="2"/>
  <c r="B459" i="2"/>
  <c r="B474" i="2" s="1"/>
  <c r="AI396" i="2"/>
  <c r="AH396" i="2"/>
  <c r="AH410" i="2" s="1"/>
  <c r="AG396" i="2"/>
  <c r="AG410" i="2" s="1"/>
  <c r="AJ346" i="2"/>
  <c r="AF396" i="2"/>
  <c r="AD396" i="2"/>
  <c r="AD399" i="2" s="1"/>
  <c r="AI401" i="2" s="1"/>
  <c r="AC396" i="2"/>
  <c r="AC399" i="2" s="1"/>
  <c r="AB396" i="2"/>
  <c r="AB410" i="2" s="1"/>
  <c r="AE346" i="2"/>
  <c r="AA396" i="2"/>
  <c r="AA410" i="2" s="1"/>
  <c r="Y396" i="2"/>
  <c r="Y399" i="2" s="1"/>
  <c r="X396" i="2"/>
  <c r="W396" i="2"/>
  <c r="W410" i="2" s="1"/>
  <c r="Z346" i="2"/>
  <c r="AB347" i="2" s="1"/>
  <c r="V396" i="2"/>
  <c r="T396" i="2"/>
  <c r="T410" i="2" s="1"/>
  <c r="S396" i="2"/>
  <c r="S410" i="2" s="1"/>
  <c r="R396" i="2"/>
  <c r="R410" i="2" s="1"/>
  <c r="U346" i="2"/>
  <c r="Q396" i="2"/>
  <c r="Q410" i="2" s="1"/>
  <c r="O396" i="2"/>
  <c r="O410" i="2" s="1"/>
  <c r="N396" i="2"/>
  <c r="N410" i="2" s="1"/>
  <c r="M396" i="2"/>
  <c r="M399" i="2" s="1"/>
  <c r="P346" i="2"/>
  <c r="R347" i="2" s="1"/>
  <c r="L396" i="2"/>
  <c r="L410" i="2" s="1"/>
  <c r="J396" i="2"/>
  <c r="J410" i="2" s="1"/>
  <c r="I396" i="2"/>
  <c r="H396" i="2"/>
  <c r="H410" i="2" s="1"/>
  <c r="K346" i="2"/>
  <c r="K347" i="2" s="1"/>
  <c r="G396" i="2"/>
  <c r="E396" i="2"/>
  <c r="D396" i="2"/>
  <c r="D410" i="2" s="1"/>
  <c r="C396" i="2"/>
  <c r="C410" i="2" s="1"/>
  <c r="F346" i="2"/>
  <c r="E410" i="2"/>
  <c r="B396" i="2"/>
  <c r="B410" i="2" s="1"/>
  <c r="AI328" i="2"/>
  <c r="AI330" i="2" s="1"/>
  <c r="AG328" i="2"/>
  <c r="AG330" i="2" s="1"/>
  <c r="AI277" i="2"/>
  <c r="AI339" i="2" s="1"/>
  <c r="AH277" i="2"/>
  <c r="AG277" i="2"/>
  <c r="AG339" i="2" s="1"/>
  <c r="AF277" i="2"/>
  <c r="AC328" i="2"/>
  <c r="AD277" i="2"/>
  <c r="AD342" i="2" s="1"/>
  <c r="AC277" i="2"/>
  <c r="AC340" i="2" s="1"/>
  <c r="AB277" i="2"/>
  <c r="AB342" i="2" s="1"/>
  <c r="AA277" i="2"/>
  <c r="AA279" i="2" s="1"/>
  <c r="X328" i="2"/>
  <c r="Z328" i="2" s="1"/>
  <c r="AB329" i="2" s="1"/>
  <c r="Y277" i="2"/>
  <c r="Y342" i="2" s="1"/>
  <c r="W277" i="2"/>
  <c r="W342" i="2" s="1"/>
  <c r="V328" i="2"/>
  <c r="T328" i="2"/>
  <c r="T329" i="2" s="1"/>
  <c r="T277" i="2"/>
  <c r="T338" i="2" s="1"/>
  <c r="R277" i="2"/>
  <c r="R342" i="2" s="1"/>
  <c r="S342" i="2"/>
  <c r="Q328" i="2"/>
  <c r="Q277" i="2"/>
  <c r="Q338" i="2" s="1"/>
  <c r="O328" i="2"/>
  <c r="O331" i="2" s="1"/>
  <c r="O333" i="2" s="1"/>
  <c r="N328" i="2"/>
  <c r="M328" i="2"/>
  <c r="M330" i="2" s="1"/>
  <c r="O277" i="2"/>
  <c r="N277" i="2"/>
  <c r="N340" i="2" s="1"/>
  <c r="M277" i="2"/>
  <c r="L328" i="2"/>
  <c r="L331" i="2" s="1"/>
  <c r="L277" i="2"/>
  <c r="L338" i="2" s="1"/>
  <c r="I328" i="2"/>
  <c r="I329" i="2" s="1"/>
  <c r="J277" i="2"/>
  <c r="I277" i="2"/>
  <c r="H277" i="2"/>
  <c r="H342" i="2" s="1"/>
  <c r="G328" i="2"/>
  <c r="G331" i="2" s="1"/>
  <c r="G334" i="2" s="1"/>
  <c r="G277" i="2"/>
  <c r="G339" i="2" s="1"/>
  <c r="D328" i="2"/>
  <c r="D331" i="2" s="1"/>
  <c r="E342" i="2"/>
  <c r="C342" i="2"/>
  <c r="B328" i="2"/>
  <c r="B331" i="2" s="1"/>
  <c r="B277" i="2"/>
  <c r="B338" i="2" s="1"/>
  <c r="AI230" i="2"/>
  <c r="AI172" i="2"/>
  <c r="AI271" i="2" s="1"/>
  <c r="AH230" i="2"/>
  <c r="AH231" i="2" s="1"/>
  <c r="AH172" i="2"/>
  <c r="AG172" i="2"/>
  <c r="AG273" i="2" s="1"/>
  <c r="AF230" i="2"/>
  <c r="AF233" i="2" s="1"/>
  <c r="AF236" i="2" s="1"/>
  <c r="AF172" i="2"/>
  <c r="AF194" i="2" s="1"/>
  <c r="AD230" i="2"/>
  <c r="AD172" i="2"/>
  <c r="AC230" i="2"/>
  <c r="AC233" i="2" s="1"/>
  <c r="AC172" i="2"/>
  <c r="AC270" i="2" s="1"/>
  <c r="AB230" i="2"/>
  <c r="AB233" i="2" s="1"/>
  <c r="AB236" i="2" s="1"/>
  <c r="AB172" i="2"/>
  <c r="AB270" i="2" s="1"/>
  <c r="AA230" i="2"/>
  <c r="AA172" i="2"/>
  <c r="Y230" i="2"/>
  <c r="Y233" i="2" s="1"/>
  <c r="Y236" i="2" s="1"/>
  <c r="Y172" i="2"/>
  <c r="X230" i="2"/>
  <c r="X232" i="2" s="1"/>
  <c r="X172" i="2"/>
  <c r="W230" i="2"/>
  <c r="W233" i="2" s="1"/>
  <c r="W172" i="2"/>
  <c r="V230" i="2"/>
  <c r="V233" i="2" s="1"/>
  <c r="V236" i="2" s="1"/>
  <c r="V172" i="2"/>
  <c r="T230" i="2"/>
  <c r="T233" i="2" s="1"/>
  <c r="T172" i="2"/>
  <c r="T270" i="2" s="1"/>
  <c r="S273" i="2"/>
  <c r="R230" i="2"/>
  <c r="R172" i="2"/>
  <c r="S173" i="2" s="1"/>
  <c r="Q230" i="2"/>
  <c r="Q273" i="2" s="1"/>
  <c r="O230" i="2"/>
  <c r="O232" i="2" s="1"/>
  <c r="O172" i="2"/>
  <c r="O270" i="2" s="1"/>
  <c r="N230" i="2"/>
  <c r="N172" i="2"/>
  <c r="M230" i="2"/>
  <c r="M233" i="2" s="1"/>
  <c r="M236" i="2" s="1"/>
  <c r="M172" i="2"/>
  <c r="L230" i="2"/>
  <c r="L233" i="2" s="1"/>
  <c r="L236" i="2" s="1"/>
  <c r="L172" i="2"/>
  <c r="Q174" i="2" s="1"/>
  <c r="J172" i="2"/>
  <c r="J273" i="2" s="1"/>
  <c r="I230" i="2"/>
  <c r="I172" i="2"/>
  <c r="I270" i="2" s="1"/>
  <c r="H230" i="2"/>
  <c r="H233" i="2" s="1"/>
  <c r="H235" i="2" s="1"/>
  <c r="H172" i="2"/>
  <c r="H270" i="2" s="1"/>
  <c r="G230" i="2"/>
  <c r="G177" i="2"/>
  <c r="G180" i="2"/>
  <c r="G183" i="2"/>
  <c r="E273" i="2"/>
  <c r="D273" i="2"/>
  <c r="C273" i="2"/>
  <c r="B230" i="2"/>
  <c r="B233" i="2" s="1"/>
  <c r="B236" i="2" s="1"/>
  <c r="B172" i="2"/>
  <c r="B270" i="2" s="1"/>
  <c r="AI86" i="2"/>
  <c r="AI161" i="2" s="1"/>
  <c r="AH86" i="2"/>
  <c r="AH161" i="2" s="1"/>
  <c r="AG86" i="2"/>
  <c r="AF86" i="2"/>
  <c r="AF161" i="2" s="1"/>
  <c r="AD86" i="2"/>
  <c r="AD161" i="2" s="1"/>
  <c r="AC86" i="2"/>
  <c r="AC161" i="2" s="1"/>
  <c r="AB86" i="2"/>
  <c r="AA86" i="2"/>
  <c r="AA161" i="2" s="1"/>
  <c r="Y86" i="2"/>
  <c r="Y161" i="2" s="1"/>
  <c r="X86" i="2"/>
  <c r="X161" i="2" s="1"/>
  <c r="W86" i="2"/>
  <c r="W161" i="2" s="1"/>
  <c r="V86" i="2"/>
  <c r="V161" i="2" s="1"/>
  <c r="T86" i="2"/>
  <c r="T161" i="2" s="1"/>
  <c r="S86" i="2"/>
  <c r="S161" i="2" s="1"/>
  <c r="R86" i="2"/>
  <c r="R161" i="2" s="1"/>
  <c r="Q86" i="2"/>
  <c r="Q161" i="2" s="1"/>
  <c r="O86" i="2"/>
  <c r="O161" i="2" s="1"/>
  <c r="N86" i="2"/>
  <c r="M86" i="2"/>
  <c r="M161" i="2" s="1"/>
  <c r="L86" i="2"/>
  <c r="L161" i="2" s="1"/>
  <c r="J86" i="2"/>
  <c r="J161" i="2" s="1"/>
  <c r="I86" i="2"/>
  <c r="C86" i="2"/>
  <c r="C161" i="2" s="1"/>
  <c r="B39" i="2"/>
  <c r="B160" i="2" s="1"/>
  <c r="R32" i="7"/>
  <c r="G39" i="2"/>
  <c r="G160" i="2" s="1"/>
  <c r="L39" i="2"/>
  <c r="L160" i="2" s="1"/>
  <c r="Q39" i="2"/>
  <c r="V39" i="2"/>
  <c r="V160" i="2" s="1"/>
  <c r="AA39" i="2"/>
  <c r="AA160" i="2" s="1"/>
  <c r="AF39" i="2"/>
  <c r="AF160" i="2" s="1"/>
  <c r="O39" i="2"/>
  <c r="O160" i="2" s="1"/>
  <c r="N39" i="2"/>
  <c r="N160" i="2" s="1"/>
  <c r="M39" i="2"/>
  <c r="M160" i="2" s="1"/>
  <c r="T39" i="2"/>
  <c r="T160" i="2" s="1"/>
  <c r="S39" i="2"/>
  <c r="S160" i="2" s="1"/>
  <c r="R39" i="2"/>
  <c r="R160" i="2" s="1"/>
  <c r="Y39" i="2"/>
  <c r="Y160" i="2" s="1"/>
  <c r="X39" i="2"/>
  <c r="X160" i="2" s="1"/>
  <c r="W39" i="2"/>
  <c r="W160" i="2" s="1"/>
  <c r="AD39" i="2"/>
  <c r="AD160" i="2" s="1"/>
  <c r="AC39" i="2"/>
  <c r="AC160" i="2" s="1"/>
  <c r="AB39" i="2"/>
  <c r="AB160" i="2" s="1"/>
  <c r="AI39" i="2"/>
  <c r="AI160" i="2" s="1"/>
  <c r="AH39" i="2"/>
  <c r="AH160" i="2" s="1"/>
  <c r="AG39" i="2"/>
  <c r="AG160" i="2" s="1"/>
  <c r="AI431" i="2"/>
  <c r="AH431" i="2"/>
  <c r="AJ430" i="2"/>
  <c r="AJ431" i="2" s="1"/>
  <c r="AJ373" i="2"/>
  <c r="AJ374" i="2" s="1"/>
  <c r="AE373" i="2"/>
  <c r="AG374" i="2" s="1"/>
  <c r="AI375" i="2"/>
  <c r="AH375" i="2"/>
  <c r="AG375" i="2"/>
  <c r="AF375" i="2"/>
  <c r="AA375" i="2"/>
  <c r="V375" i="2"/>
  <c r="Q375" i="2"/>
  <c r="L375" i="2"/>
  <c r="G375" i="2"/>
  <c r="AI374" i="2"/>
  <c r="AH374" i="2"/>
  <c r="AD374" i="2"/>
  <c r="AC374" i="2"/>
  <c r="AJ306" i="2"/>
  <c r="AE306" i="2"/>
  <c r="AG307" i="2" s="1"/>
  <c r="AI308" i="2"/>
  <c r="AH308" i="2"/>
  <c r="AG308" i="2"/>
  <c r="AI307" i="2"/>
  <c r="AH307" i="2"/>
  <c r="AF308" i="2"/>
  <c r="AD307" i="2"/>
  <c r="AC307" i="2"/>
  <c r="AA308" i="2"/>
  <c r="V308" i="2"/>
  <c r="Q308" i="2"/>
  <c r="L308" i="2"/>
  <c r="G308" i="2"/>
  <c r="AI32" i="2"/>
  <c r="AH32" i="2"/>
  <c r="AG32" i="2"/>
  <c r="AF32" i="2"/>
  <c r="AD32" i="2"/>
  <c r="AC32" i="2"/>
  <c r="AB32" i="2"/>
  <c r="AA32" i="2"/>
  <c r="Y32" i="2"/>
  <c r="X32" i="2"/>
  <c r="W32" i="2"/>
  <c r="V32" i="2"/>
  <c r="T32" i="2"/>
  <c r="S32" i="2"/>
  <c r="R32" i="2"/>
  <c r="Q32" i="2"/>
  <c r="O32" i="2"/>
  <c r="N32" i="2"/>
  <c r="M32" i="2"/>
  <c r="L32" i="2"/>
  <c r="J32" i="2"/>
  <c r="I32" i="2"/>
  <c r="H32" i="2"/>
  <c r="AI31" i="2"/>
  <c r="AH31" i="2"/>
  <c r="AD31" i="2"/>
  <c r="AC31" i="2"/>
  <c r="Y31" i="2"/>
  <c r="X31" i="2"/>
  <c r="T31" i="2"/>
  <c r="S31" i="2"/>
  <c r="O31" i="2"/>
  <c r="N31" i="2"/>
  <c r="J31" i="2"/>
  <c r="I31" i="2"/>
  <c r="G32" i="2"/>
  <c r="E31" i="2"/>
  <c r="D31" i="2"/>
  <c r="F30" i="2"/>
  <c r="H31" i="2" s="1"/>
  <c r="K30" i="2"/>
  <c r="M31" i="2" s="1"/>
  <c r="P30" i="2"/>
  <c r="U30" i="2"/>
  <c r="U31" i="2" s="1"/>
  <c r="Z30" i="2"/>
  <c r="AB31" i="2" s="1"/>
  <c r="AE30" i="2"/>
  <c r="AJ30" i="2"/>
  <c r="P32" i="7"/>
  <c r="O32" i="7"/>
  <c r="N32" i="7"/>
  <c r="M32" i="7"/>
  <c r="K32" i="7"/>
  <c r="J32" i="7"/>
  <c r="I32" i="7"/>
  <c r="H32" i="7"/>
  <c r="F32" i="7"/>
  <c r="E32" i="7"/>
  <c r="D32" i="7"/>
  <c r="C32" i="7"/>
  <c r="B32" i="7"/>
  <c r="L24" i="7"/>
  <c r="L32" i="7" s="1"/>
  <c r="L22" i="7"/>
  <c r="G22" i="7"/>
  <c r="G32" i="7" s="1"/>
  <c r="L18" i="7"/>
  <c r="Q110" i="2"/>
  <c r="V110" i="2"/>
  <c r="AA110" i="2"/>
  <c r="AF110" i="2"/>
  <c r="B442" i="2"/>
  <c r="G442" i="2"/>
  <c r="L442" i="2"/>
  <c r="Q442" i="2"/>
  <c r="V442" i="2"/>
  <c r="AA442" i="2"/>
  <c r="AF442" i="2"/>
  <c r="AH442" i="2"/>
  <c r="AH443" i="2" s="1"/>
  <c r="AI442" i="2"/>
  <c r="AJ443" i="2" s="1"/>
  <c r="AF376" i="2"/>
  <c r="AF385" i="2" s="1"/>
  <c r="AJ376" i="2"/>
  <c r="AJ377" i="2" s="1"/>
  <c r="AD421" i="2"/>
  <c r="AD470" i="2" s="1"/>
  <c r="AC421" i="2"/>
  <c r="AH423" i="2" s="1"/>
  <c r="AB421" i="2"/>
  <c r="AB423" i="2" s="1"/>
  <c r="AD427" i="2"/>
  <c r="AC427" i="2"/>
  <c r="AB427" i="2"/>
  <c r="AG429" i="2" s="1"/>
  <c r="AD418" i="2"/>
  <c r="AC418" i="2"/>
  <c r="AB418" i="2"/>
  <c r="AG420" i="2" s="1"/>
  <c r="AJ390" i="2"/>
  <c r="AK173" i="3"/>
  <c r="AJ393" i="2"/>
  <c r="AJ395" i="2" s="1"/>
  <c r="AJ325" i="2"/>
  <c r="AJ327" i="2" s="1"/>
  <c r="AJ227" i="2"/>
  <c r="AJ229" i="2" s="1"/>
  <c r="AJ83" i="2"/>
  <c r="AJ84" i="2" s="1"/>
  <c r="AJ43" i="2"/>
  <c r="AJ456" i="2"/>
  <c r="AJ453" i="2"/>
  <c r="AJ433" i="2"/>
  <c r="AJ427" i="2"/>
  <c r="AJ424" i="2"/>
  <c r="AJ425" i="2" s="1"/>
  <c r="AJ418" i="2"/>
  <c r="AJ445" i="2"/>
  <c r="AJ366" i="2"/>
  <c r="AJ382" i="2"/>
  <c r="AJ383" i="2" s="1"/>
  <c r="AJ322" i="2"/>
  <c r="AJ323" i="2" s="1"/>
  <c r="AJ301" i="2"/>
  <c r="AJ302" i="2" s="1"/>
  <c r="AJ298" i="2"/>
  <c r="AJ292" i="2"/>
  <c r="AJ293" i="2" s="1"/>
  <c r="AJ315" i="2"/>
  <c r="AJ283" i="2"/>
  <c r="AJ284" i="2" s="1"/>
  <c r="AJ280" i="2"/>
  <c r="AJ263" i="2"/>
  <c r="AJ260" i="2"/>
  <c r="AJ257" i="2"/>
  <c r="AJ254" i="2"/>
  <c r="AJ251" i="2"/>
  <c r="AJ248" i="2"/>
  <c r="AJ224" i="2"/>
  <c r="AJ208" i="2"/>
  <c r="AJ209" i="2" s="1"/>
  <c r="AJ202" i="2"/>
  <c r="AJ199" i="2"/>
  <c r="AJ196" i="2"/>
  <c r="AJ197" i="2" s="1"/>
  <c r="AJ205" i="2"/>
  <c r="AJ206" i="2" s="1"/>
  <c r="AJ187" i="2"/>
  <c r="AJ181" i="2"/>
  <c r="AJ182" i="2" s="1"/>
  <c r="AJ178" i="2"/>
  <c r="AJ175" i="2"/>
  <c r="AJ68" i="2"/>
  <c r="AJ65" i="2"/>
  <c r="AJ62" i="2"/>
  <c r="AJ59" i="2"/>
  <c r="AJ56" i="2"/>
  <c r="AJ53" i="2"/>
  <c r="AJ50" i="2"/>
  <c r="AJ80" i="2"/>
  <c r="AJ27" i="2"/>
  <c r="AJ28" i="2" s="1"/>
  <c r="AJ24" i="2"/>
  <c r="AJ18" i="2"/>
  <c r="AJ15" i="2"/>
  <c r="AJ12" i="2"/>
  <c r="AJ33" i="2"/>
  <c r="AJ21" i="2"/>
  <c r="AJ9" i="2"/>
  <c r="AI204" i="2"/>
  <c r="AI326" i="2"/>
  <c r="AI472" i="2"/>
  <c r="AI471" i="2"/>
  <c r="AI470" i="2"/>
  <c r="AI458" i="2"/>
  <c r="AI457" i="2"/>
  <c r="AI455" i="2"/>
  <c r="AI454" i="2"/>
  <c r="AI448" i="2"/>
  <c r="AI473" i="2" s="1"/>
  <c r="AI435" i="2"/>
  <c r="AI434" i="2"/>
  <c r="AI428" i="2"/>
  <c r="AI426" i="2"/>
  <c r="AI425" i="2"/>
  <c r="AI419" i="2"/>
  <c r="AI447" i="2"/>
  <c r="AI446" i="2"/>
  <c r="AI438" i="2"/>
  <c r="AI437" i="2"/>
  <c r="AI422" i="2"/>
  <c r="AI417" i="2"/>
  <c r="AI416" i="2"/>
  <c r="AI408" i="2"/>
  <c r="AI407" i="2"/>
  <c r="AI406" i="2"/>
  <c r="AI395" i="2"/>
  <c r="AI394" i="2"/>
  <c r="AI368" i="2"/>
  <c r="AI367" i="2"/>
  <c r="AI362" i="2"/>
  <c r="AI361" i="2"/>
  <c r="AI384" i="2"/>
  <c r="AI383" i="2"/>
  <c r="AI381" i="2"/>
  <c r="AI380" i="2"/>
  <c r="AI365" i="2"/>
  <c r="AI364" i="2"/>
  <c r="AI348" i="2"/>
  <c r="AI347" i="2"/>
  <c r="AI327" i="2"/>
  <c r="AI324" i="2"/>
  <c r="AI323" i="2"/>
  <c r="AI311" i="2"/>
  <c r="AI310" i="2"/>
  <c r="AI303" i="2"/>
  <c r="AI302" i="2"/>
  <c r="AI300" i="2"/>
  <c r="AI299" i="2"/>
  <c r="AI294" i="2"/>
  <c r="AI293" i="2"/>
  <c r="AI317" i="2"/>
  <c r="AI316" i="2"/>
  <c r="AI313" i="2"/>
  <c r="AI296" i="2"/>
  <c r="AI285" i="2"/>
  <c r="AI284" i="2"/>
  <c r="AI282" i="2"/>
  <c r="AI281" i="2"/>
  <c r="AI265" i="2"/>
  <c r="AI264" i="2"/>
  <c r="AI262" i="2"/>
  <c r="AI261" i="2"/>
  <c r="AI250" i="2"/>
  <c r="AI249" i="2"/>
  <c r="AI259" i="2"/>
  <c r="AI258" i="2"/>
  <c r="AI256" i="2"/>
  <c r="AI255" i="2"/>
  <c r="AI253" i="2"/>
  <c r="AI252" i="2"/>
  <c r="AI245" i="2"/>
  <c r="AI229" i="2"/>
  <c r="AI228" i="2"/>
  <c r="AI226" i="2"/>
  <c r="AI225" i="2"/>
  <c r="AI220" i="2"/>
  <c r="AI217" i="2" s="1"/>
  <c r="AI210" i="2"/>
  <c r="AI209" i="2"/>
  <c r="AI201" i="2"/>
  <c r="AI200" i="2"/>
  <c r="AI198" i="2"/>
  <c r="AI197" i="2"/>
  <c r="AI207" i="2"/>
  <c r="AI206" i="2"/>
  <c r="AI189" i="2"/>
  <c r="AI188" i="2"/>
  <c r="AI183" i="2"/>
  <c r="AI182" i="2"/>
  <c r="AI180" i="2"/>
  <c r="AI179" i="2"/>
  <c r="AI177" i="2"/>
  <c r="AI176" i="2"/>
  <c r="AI70" i="2"/>
  <c r="AI69" i="2"/>
  <c r="AI67" i="2"/>
  <c r="AI66" i="2"/>
  <c r="AI64" i="2"/>
  <c r="AI63" i="2"/>
  <c r="AI61" i="2"/>
  <c r="AI60" i="2"/>
  <c r="AI58" i="2"/>
  <c r="AI57" i="2"/>
  <c r="AI55" i="2"/>
  <c r="AI54" i="2"/>
  <c r="AI52" i="2"/>
  <c r="AI51" i="2"/>
  <c r="AI85" i="2"/>
  <c r="AI84" i="2"/>
  <c r="AI82" i="2"/>
  <c r="AI81" i="2"/>
  <c r="AI29" i="2"/>
  <c r="AI28" i="2"/>
  <c r="AI26" i="2"/>
  <c r="AI25" i="2"/>
  <c r="AI17" i="2"/>
  <c r="AI16" i="2"/>
  <c r="AI14" i="2"/>
  <c r="AI13" i="2"/>
  <c r="AI35" i="2"/>
  <c r="AI34" i="2"/>
  <c r="AI23" i="2"/>
  <c r="AI22" i="2"/>
  <c r="AI11" i="2"/>
  <c r="AI10" i="2"/>
  <c r="AH448" i="2"/>
  <c r="AH473" i="2" s="1"/>
  <c r="AC448" i="2"/>
  <c r="AI215" i="2"/>
  <c r="AC369" i="2"/>
  <c r="AC370" i="2" s="1"/>
  <c r="AH331" i="2"/>
  <c r="AH334" i="2" s="1"/>
  <c r="AH318" i="2"/>
  <c r="AH204" i="2"/>
  <c r="AH203" i="2"/>
  <c r="AH206" i="2"/>
  <c r="AH472" i="2"/>
  <c r="AH471" i="2"/>
  <c r="AH458" i="2"/>
  <c r="AH457" i="2"/>
  <c r="AH455" i="2"/>
  <c r="AH454" i="2"/>
  <c r="AH435" i="2"/>
  <c r="AH434" i="2"/>
  <c r="AH428" i="2"/>
  <c r="AH426" i="2"/>
  <c r="AH425" i="2"/>
  <c r="AH419" i="2"/>
  <c r="AH447" i="2"/>
  <c r="AH446" i="2"/>
  <c r="AH438" i="2"/>
  <c r="AH437" i="2"/>
  <c r="AH417" i="2"/>
  <c r="AH416" i="2"/>
  <c r="AH408" i="2"/>
  <c r="AH395" i="2"/>
  <c r="AH394" i="2"/>
  <c r="AH368" i="2"/>
  <c r="AH367" i="2"/>
  <c r="AH362" i="2"/>
  <c r="AH361" i="2"/>
  <c r="AH384" i="2"/>
  <c r="AH383" i="2"/>
  <c r="AH406" i="2"/>
  <c r="AH348" i="2"/>
  <c r="AH347" i="2"/>
  <c r="AH327" i="2"/>
  <c r="AH326" i="2"/>
  <c r="AH324" i="2"/>
  <c r="AH323" i="2"/>
  <c r="AH303" i="2"/>
  <c r="AH302" i="2"/>
  <c r="AH300" i="2"/>
  <c r="AH299" i="2"/>
  <c r="AH294" i="2"/>
  <c r="AH293" i="2"/>
  <c r="AH317" i="2"/>
  <c r="AH316" i="2"/>
  <c r="AH285" i="2"/>
  <c r="AH284" i="2"/>
  <c r="AH282" i="2"/>
  <c r="AH281" i="2"/>
  <c r="AH265" i="2"/>
  <c r="AH264" i="2"/>
  <c r="AH262" i="2"/>
  <c r="AH261" i="2"/>
  <c r="AH250" i="2"/>
  <c r="AH249" i="2"/>
  <c r="AH259" i="2"/>
  <c r="AH258" i="2"/>
  <c r="AH256" i="2"/>
  <c r="AH255" i="2"/>
  <c r="AH253" i="2"/>
  <c r="AH252" i="2"/>
  <c r="AH245" i="2"/>
  <c r="AH229" i="2"/>
  <c r="AH228" i="2"/>
  <c r="AH226" i="2"/>
  <c r="AH225" i="2"/>
  <c r="AH220" i="2"/>
  <c r="AH210" i="2"/>
  <c r="AH209" i="2"/>
  <c r="AH201" i="2"/>
  <c r="AH200" i="2"/>
  <c r="AH198" i="2"/>
  <c r="AH197" i="2"/>
  <c r="AH207" i="2"/>
  <c r="AH189" i="2"/>
  <c r="AH188" i="2"/>
  <c r="AH183" i="2"/>
  <c r="AH182" i="2"/>
  <c r="AH180" i="2"/>
  <c r="AH179" i="2"/>
  <c r="AH177" i="2"/>
  <c r="AH176" i="2"/>
  <c r="AH70" i="2"/>
  <c r="AH69" i="2"/>
  <c r="AH67" i="2"/>
  <c r="AH66" i="2"/>
  <c r="AH64" i="2"/>
  <c r="AH63" i="2"/>
  <c r="AH61" i="2"/>
  <c r="AH60" i="2"/>
  <c r="AH58" i="2"/>
  <c r="AH57" i="2"/>
  <c r="AH55" i="2"/>
  <c r="AH54" i="2"/>
  <c r="AH52" i="2"/>
  <c r="AH51" i="2"/>
  <c r="AH85" i="2"/>
  <c r="AH84" i="2"/>
  <c r="AH82" i="2"/>
  <c r="AH81" i="2"/>
  <c r="AH29" i="2"/>
  <c r="AH28" i="2"/>
  <c r="AH26" i="2"/>
  <c r="AH25" i="2"/>
  <c r="AH17" i="2"/>
  <c r="AH16" i="2"/>
  <c r="AH14" i="2"/>
  <c r="AH13" i="2"/>
  <c r="AH35" i="2"/>
  <c r="AH34" i="2"/>
  <c r="AH23" i="2"/>
  <c r="AH22" i="2"/>
  <c r="AH11" i="2"/>
  <c r="AH10" i="2"/>
  <c r="AB448" i="2"/>
  <c r="AG309" i="2"/>
  <c r="AH310" i="2" s="1"/>
  <c r="AG233" i="2"/>
  <c r="AG236" i="2" s="1"/>
  <c r="AG52" i="2"/>
  <c r="AG198" i="3"/>
  <c r="AG201" i="3" s="1"/>
  <c r="AG300" i="2"/>
  <c r="AG14" i="2"/>
  <c r="AG472" i="2"/>
  <c r="AG471" i="2"/>
  <c r="AG470" i="2"/>
  <c r="AG458" i="2"/>
  <c r="AG455" i="2"/>
  <c r="AG448" i="2"/>
  <c r="AG473" i="2" s="1"/>
  <c r="AG435" i="2"/>
  <c r="AG426" i="2"/>
  <c r="AG447" i="2"/>
  <c r="AG438" i="2"/>
  <c r="AG417" i="2"/>
  <c r="AG408" i="2"/>
  <c r="AG407" i="2"/>
  <c r="AG406" i="2"/>
  <c r="AG395" i="2"/>
  <c r="AG394" i="2"/>
  <c r="AG371" i="2"/>
  <c r="AG368" i="2"/>
  <c r="AG362" i="2"/>
  <c r="AG384" i="2"/>
  <c r="AG381" i="2"/>
  <c r="AG365" i="2"/>
  <c r="AG348" i="2"/>
  <c r="AG327" i="2"/>
  <c r="AG326" i="2"/>
  <c r="AG324" i="2"/>
  <c r="AG303" i="2"/>
  <c r="AG294" i="2"/>
  <c r="AG317" i="2"/>
  <c r="AG285" i="2"/>
  <c r="AG282" i="2"/>
  <c r="AG265" i="2"/>
  <c r="AG262" i="2"/>
  <c r="AG250" i="2"/>
  <c r="AG259" i="2"/>
  <c r="AG256" i="2"/>
  <c r="AG253" i="2"/>
  <c r="AG245" i="2"/>
  <c r="AG229" i="2"/>
  <c r="AG228" i="2"/>
  <c r="AG226" i="2"/>
  <c r="AG220" i="2"/>
  <c r="AG210" i="2"/>
  <c r="AG204" i="2"/>
  <c r="AG201" i="2"/>
  <c r="AG198" i="2"/>
  <c r="AG207" i="2"/>
  <c r="AG189" i="2"/>
  <c r="AG183" i="2"/>
  <c r="AG180" i="2"/>
  <c r="AG177" i="2"/>
  <c r="AG70" i="2"/>
  <c r="AG67" i="2"/>
  <c r="AG64" i="2"/>
  <c r="AG61" i="2"/>
  <c r="AG58" i="2"/>
  <c r="AG55" i="2"/>
  <c r="AG85" i="2"/>
  <c r="AG84" i="2"/>
  <c r="AG82" i="2"/>
  <c r="AG29" i="2"/>
  <c r="AG26" i="2"/>
  <c r="AG17" i="2"/>
  <c r="AG35" i="2"/>
  <c r="AG23" i="2"/>
  <c r="AG11" i="2"/>
  <c r="AA369" i="2"/>
  <c r="AF369" i="2"/>
  <c r="AA448" i="2"/>
  <c r="AA473" i="2" s="1"/>
  <c r="AF393" i="2"/>
  <c r="AF395" i="2" s="1"/>
  <c r="AF325" i="2"/>
  <c r="AF227" i="2"/>
  <c r="AF83" i="2"/>
  <c r="AF458" i="2"/>
  <c r="AF455" i="2"/>
  <c r="AF435" i="2"/>
  <c r="AF429" i="2"/>
  <c r="AF426" i="2"/>
  <c r="AF420" i="2"/>
  <c r="AF447" i="2"/>
  <c r="AF417" i="2"/>
  <c r="AF423" i="2"/>
  <c r="AF382" i="2"/>
  <c r="AE382" i="2" s="1"/>
  <c r="AG383" i="2" s="1"/>
  <c r="AF390" i="2"/>
  <c r="V369" i="2"/>
  <c r="U369" i="2" s="1"/>
  <c r="AD369" i="2"/>
  <c r="AF360" i="2"/>
  <c r="AE360" i="2" s="1"/>
  <c r="AG361" i="2" s="1"/>
  <c r="AF204" i="2"/>
  <c r="AE229" i="2"/>
  <c r="G358" i="2"/>
  <c r="G356" i="2"/>
  <c r="L358" i="2"/>
  <c r="L356" i="2"/>
  <c r="Q358" i="2"/>
  <c r="Q356" i="2"/>
  <c r="V358" i="2"/>
  <c r="V356" i="2"/>
  <c r="AF358" i="2"/>
  <c r="AF356" i="2"/>
  <c r="G353" i="2"/>
  <c r="G351" i="2"/>
  <c r="V353" i="2"/>
  <c r="AF353" i="2"/>
  <c r="AF351" i="2"/>
  <c r="L353" i="2"/>
  <c r="L351" i="2"/>
  <c r="Q353" i="2"/>
  <c r="Q351" i="2"/>
  <c r="V351" i="2"/>
  <c r="AA353" i="2"/>
  <c r="AA351" i="2"/>
  <c r="AA358" i="2"/>
  <c r="AA356" i="2"/>
  <c r="V290" i="2"/>
  <c r="V288" i="2"/>
  <c r="Q194" i="2"/>
  <c r="Q192" i="2"/>
  <c r="AF472" i="2"/>
  <c r="AF470" i="2"/>
  <c r="AF467" i="2"/>
  <c r="AF245" i="2"/>
  <c r="AF247" i="2" s="1"/>
  <c r="AE456" i="2"/>
  <c r="AG454" i="2"/>
  <c r="AE433" i="2"/>
  <c r="AG434" i="2" s="1"/>
  <c r="AE424" i="2"/>
  <c r="AG425" i="2" s="1"/>
  <c r="AE445" i="2"/>
  <c r="AG446" i="2" s="1"/>
  <c r="AF368" i="2"/>
  <c r="AE366" i="2"/>
  <c r="AE367" i="2" s="1"/>
  <c r="AF348" i="2"/>
  <c r="AF334" i="2"/>
  <c r="AF330" i="2"/>
  <c r="AF324" i="2"/>
  <c r="AE322" i="2"/>
  <c r="AG323" i="2" s="1"/>
  <c r="AF311" i="2"/>
  <c r="AF303" i="2"/>
  <c r="AE301" i="2"/>
  <c r="AG302" i="2" s="1"/>
  <c r="AF300" i="2"/>
  <c r="AE298" i="2"/>
  <c r="AF294" i="2"/>
  <c r="AE292" i="2"/>
  <c r="AF317" i="2"/>
  <c r="AE315" i="2"/>
  <c r="AG316" i="2" s="1"/>
  <c r="AF285" i="2"/>
  <c r="AE283" i="2"/>
  <c r="AG284" i="2" s="1"/>
  <c r="AF282" i="2"/>
  <c r="AE280" i="2"/>
  <c r="AE281" i="2" s="1"/>
  <c r="AF268" i="2"/>
  <c r="AE266" i="2"/>
  <c r="AE267" i="2" s="1"/>
  <c r="AF265" i="2"/>
  <c r="AE263" i="2"/>
  <c r="AE264" i="2" s="1"/>
  <c r="AF262" i="2"/>
  <c r="AE260" i="2"/>
  <c r="AF250" i="2"/>
  <c r="AE248" i="2"/>
  <c r="AG249" i="2" s="1"/>
  <c r="AF259" i="2"/>
  <c r="AE257" i="2"/>
  <c r="AF256" i="2"/>
  <c r="AE254" i="2"/>
  <c r="AF253" i="2"/>
  <c r="AE251" i="2"/>
  <c r="AE252" i="2" s="1"/>
  <c r="AE228" i="2"/>
  <c r="AF226" i="2"/>
  <c r="AE224" i="2"/>
  <c r="AE225" i="2" s="1"/>
  <c r="AF220" i="2"/>
  <c r="AF210" i="2"/>
  <c r="AE208" i="2"/>
  <c r="AE202" i="2"/>
  <c r="AF201" i="2"/>
  <c r="AE199" i="2"/>
  <c r="AE200" i="2" s="1"/>
  <c r="AF198" i="2"/>
  <c r="AE196" i="2"/>
  <c r="AE197" i="2" s="1"/>
  <c r="AF207" i="2"/>
  <c r="AE205" i="2"/>
  <c r="AF189" i="2"/>
  <c r="AE187" i="2"/>
  <c r="AF183" i="2"/>
  <c r="AE181" i="2"/>
  <c r="AG182" i="2" s="1"/>
  <c r="AF180" i="2"/>
  <c r="AE178" i="2"/>
  <c r="AE179" i="2" s="1"/>
  <c r="AF177" i="2"/>
  <c r="AE175" i="2"/>
  <c r="AG176" i="2" s="1"/>
  <c r="AF70" i="2"/>
  <c r="AE68" i="2"/>
  <c r="AF67" i="2"/>
  <c r="AE65" i="2"/>
  <c r="AF64" i="2"/>
  <c r="AE62" i="2"/>
  <c r="AF61" i="2"/>
  <c r="AE59" i="2"/>
  <c r="AE60" i="2" s="1"/>
  <c r="AF58" i="2"/>
  <c r="AE56" i="2"/>
  <c r="AE57" i="2" s="1"/>
  <c r="AF55" i="2"/>
  <c r="AE53" i="2"/>
  <c r="AF52" i="2"/>
  <c r="AE50" i="2"/>
  <c r="AE85" i="2"/>
  <c r="AE84" i="2"/>
  <c r="AF82" i="2"/>
  <c r="AE80" i="2"/>
  <c r="AF29" i="2"/>
  <c r="AE27" i="2"/>
  <c r="AF26" i="2"/>
  <c r="AE24" i="2"/>
  <c r="AE18" i="2"/>
  <c r="AF17" i="2"/>
  <c r="AE15" i="2"/>
  <c r="AG16" i="2" s="1"/>
  <c r="AF14" i="2"/>
  <c r="AE12" i="2"/>
  <c r="AF35" i="2"/>
  <c r="AE33" i="2"/>
  <c r="AF23" i="2"/>
  <c r="AE21" i="2"/>
  <c r="AF11" i="2"/>
  <c r="AE9" i="2"/>
  <c r="AG10" i="2" s="1"/>
  <c r="O226" i="3"/>
  <c r="T226" i="3"/>
  <c r="T229" i="3" s="1"/>
  <c r="K9" i="2"/>
  <c r="K10" i="2" s="1"/>
  <c r="P9" i="2"/>
  <c r="R10" i="2" s="1"/>
  <c r="U9" i="2"/>
  <c r="U10" i="2" s="1"/>
  <c r="Z9" i="2"/>
  <c r="Z10" i="2" s="1"/>
  <c r="D10" i="2"/>
  <c r="E10" i="2"/>
  <c r="F10" i="2"/>
  <c r="H10" i="2"/>
  <c r="I10" i="2"/>
  <c r="J10" i="2"/>
  <c r="N10" i="2"/>
  <c r="O10" i="2"/>
  <c r="S10" i="2"/>
  <c r="T10" i="2"/>
  <c r="X10" i="2"/>
  <c r="Y10" i="2"/>
  <c r="AC10" i="2"/>
  <c r="AD10" i="2"/>
  <c r="G11" i="2"/>
  <c r="H11" i="2"/>
  <c r="I11" i="2"/>
  <c r="J11" i="2"/>
  <c r="L11" i="2"/>
  <c r="M11" i="2"/>
  <c r="N11" i="2"/>
  <c r="O11" i="2"/>
  <c r="Q11" i="2"/>
  <c r="R11" i="2"/>
  <c r="S11" i="2"/>
  <c r="T11" i="2"/>
  <c r="V11" i="2"/>
  <c r="W11" i="2"/>
  <c r="X11" i="2"/>
  <c r="Y11" i="2"/>
  <c r="AA11" i="2"/>
  <c r="AB11" i="2"/>
  <c r="AC11" i="2"/>
  <c r="AD11" i="2"/>
  <c r="K21" i="2"/>
  <c r="P21" i="2"/>
  <c r="U21" i="2"/>
  <c r="Z21" i="2"/>
  <c r="D22" i="2"/>
  <c r="E22" i="2"/>
  <c r="F22" i="2"/>
  <c r="H22" i="2"/>
  <c r="I22" i="2"/>
  <c r="J22" i="2"/>
  <c r="N22" i="2"/>
  <c r="O22" i="2"/>
  <c r="S22" i="2"/>
  <c r="T22" i="2"/>
  <c r="X22" i="2"/>
  <c r="Y22" i="2"/>
  <c r="AC22" i="2"/>
  <c r="AD22" i="2"/>
  <c r="G23" i="2"/>
  <c r="H23" i="2"/>
  <c r="I23" i="2"/>
  <c r="J23" i="2"/>
  <c r="L23" i="2"/>
  <c r="M23" i="2"/>
  <c r="N23" i="2"/>
  <c r="O23" i="2"/>
  <c r="Q23" i="2"/>
  <c r="R23" i="2"/>
  <c r="S23" i="2"/>
  <c r="T23" i="2"/>
  <c r="V23" i="2"/>
  <c r="W23" i="2"/>
  <c r="X23" i="2"/>
  <c r="Y23" i="2"/>
  <c r="AA23" i="2"/>
  <c r="AB23" i="2"/>
  <c r="AC23" i="2"/>
  <c r="AD23" i="2"/>
  <c r="K33" i="2"/>
  <c r="K159" i="2" s="1"/>
  <c r="P33" i="2"/>
  <c r="U33" i="2"/>
  <c r="U159" i="2" s="1"/>
  <c r="Z33" i="2"/>
  <c r="Z159" i="2" s="1"/>
  <c r="D34" i="2"/>
  <c r="E34" i="2"/>
  <c r="F34" i="2"/>
  <c r="H34" i="2"/>
  <c r="I34" i="2"/>
  <c r="J34" i="2"/>
  <c r="N34" i="2"/>
  <c r="O34" i="2"/>
  <c r="S34" i="2"/>
  <c r="T34" i="2"/>
  <c r="X34" i="2"/>
  <c r="Y34" i="2"/>
  <c r="AC34" i="2"/>
  <c r="AD34" i="2"/>
  <c r="G35" i="2"/>
  <c r="H35" i="2"/>
  <c r="I35" i="2"/>
  <c r="J35" i="2"/>
  <c r="L35" i="2"/>
  <c r="M35" i="2"/>
  <c r="N35" i="2"/>
  <c r="O35" i="2"/>
  <c r="Q35" i="2"/>
  <c r="R35" i="2"/>
  <c r="S35" i="2"/>
  <c r="T35" i="2"/>
  <c r="V35" i="2"/>
  <c r="W35" i="2"/>
  <c r="X35" i="2"/>
  <c r="Y35" i="2"/>
  <c r="AA35" i="2"/>
  <c r="AB35" i="2"/>
  <c r="AC35" i="2"/>
  <c r="AD35" i="2"/>
  <c r="F42" i="2"/>
  <c r="L42" i="2"/>
  <c r="K42" i="2" s="1"/>
  <c r="M42" i="2"/>
  <c r="U42" i="2"/>
  <c r="Z42" i="2"/>
  <c r="F43" i="2"/>
  <c r="L43" i="2"/>
  <c r="K43" i="2" s="1"/>
  <c r="M43" i="2"/>
  <c r="Z43" i="2"/>
  <c r="K12" i="2"/>
  <c r="K14" i="2" s="1"/>
  <c r="P12" i="2"/>
  <c r="U12" i="2"/>
  <c r="U13" i="2" s="1"/>
  <c r="Z12" i="2"/>
  <c r="D13" i="2"/>
  <c r="E13" i="2"/>
  <c r="F13" i="2"/>
  <c r="H13" i="2"/>
  <c r="I13" i="2"/>
  <c r="J13" i="2"/>
  <c r="N13" i="2"/>
  <c r="O13" i="2"/>
  <c r="S13" i="2"/>
  <c r="T13" i="2"/>
  <c r="X13" i="2"/>
  <c r="Y13" i="2"/>
  <c r="AC13" i="2"/>
  <c r="AD13" i="2"/>
  <c r="G14" i="2"/>
  <c r="H14" i="2"/>
  <c r="I14" i="2"/>
  <c r="J14" i="2"/>
  <c r="L14" i="2"/>
  <c r="M14" i="2"/>
  <c r="N14" i="2"/>
  <c r="O14" i="2"/>
  <c r="Q14" i="2"/>
  <c r="R14" i="2"/>
  <c r="S14" i="2"/>
  <c r="T14" i="2"/>
  <c r="V14" i="2"/>
  <c r="W14" i="2"/>
  <c r="X14" i="2"/>
  <c r="Y14" i="2"/>
  <c r="AA14" i="2"/>
  <c r="AB14" i="2"/>
  <c r="AC14" i="2"/>
  <c r="AD14" i="2"/>
  <c r="P15" i="2"/>
  <c r="U15" i="2"/>
  <c r="Z15" i="2"/>
  <c r="AB16" i="2" s="1"/>
  <c r="N16" i="2"/>
  <c r="O16" i="2"/>
  <c r="S16" i="2"/>
  <c r="T16" i="2"/>
  <c r="X16" i="2"/>
  <c r="Y16" i="2"/>
  <c r="AC16" i="2"/>
  <c r="AD16" i="2"/>
  <c r="G17" i="2"/>
  <c r="L17" i="2"/>
  <c r="Q17" i="2"/>
  <c r="R17" i="2"/>
  <c r="S17" i="2"/>
  <c r="T17" i="2"/>
  <c r="V17" i="2"/>
  <c r="W17" i="2"/>
  <c r="X17" i="2"/>
  <c r="Y17" i="2"/>
  <c r="AA17" i="2"/>
  <c r="AB17" i="2"/>
  <c r="AC17" i="2"/>
  <c r="AD17" i="2"/>
  <c r="P18" i="2"/>
  <c r="P19" i="2" s="1"/>
  <c r="U18" i="2"/>
  <c r="Z18" i="2"/>
  <c r="N19" i="2"/>
  <c r="O19" i="2"/>
  <c r="T19" i="2"/>
  <c r="S20" i="2"/>
  <c r="T20" i="2"/>
  <c r="Y20" i="2"/>
  <c r="P24" i="2"/>
  <c r="U24" i="2"/>
  <c r="U25" i="2" s="1"/>
  <c r="Z24" i="2"/>
  <c r="O25" i="2"/>
  <c r="S25" i="2"/>
  <c r="T25" i="2"/>
  <c r="Y25" i="2"/>
  <c r="AC25" i="2"/>
  <c r="AD25" i="2"/>
  <c r="G26" i="2"/>
  <c r="S26" i="2"/>
  <c r="T26" i="2"/>
  <c r="V26" i="2"/>
  <c r="X26" i="2"/>
  <c r="Y26" i="2"/>
  <c r="AA26" i="2"/>
  <c r="AB26" i="2"/>
  <c r="AC26" i="2"/>
  <c r="AD26" i="2"/>
  <c r="P27" i="2"/>
  <c r="U27" i="2"/>
  <c r="W28" i="2" s="1"/>
  <c r="Z27" i="2"/>
  <c r="N28" i="2"/>
  <c r="O28" i="2"/>
  <c r="S28" i="2"/>
  <c r="T28" i="2"/>
  <c r="X28" i="2"/>
  <c r="Y28" i="2"/>
  <c r="AC28" i="2"/>
  <c r="AD28" i="2"/>
  <c r="S29" i="2"/>
  <c r="T29" i="2"/>
  <c r="V29" i="2"/>
  <c r="W29" i="2"/>
  <c r="X29" i="2"/>
  <c r="Y29" i="2"/>
  <c r="AA29" i="2"/>
  <c r="AB29" i="2"/>
  <c r="AC29" i="2"/>
  <c r="AD29" i="2"/>
  <c r="C39" i="2"/>
  <c r="C160" i="2" s="1"/>
  <c r="D39" i="2"/>
  <c r="D160" i="2" s="1"/>
  <c r="E39" i="2"/>
  <c r="E160" i="2" s="1"/>
  <c r="H39" i="2"/>
  <c r="H160" i="2" s="1"/>
  <c r="I39" i="2"/>
  <c r="I160" i="2" s="1"/>
  <c r="J39" i="2"/>
  <c r="J160" i="2" s="1"/>
  <c r="B80" i="2"/>
  <c r="C80" i="2"/>
  <c r="D80" i="2"/>
  <c r="E80" i="2"/>
  <c r="J82" i="2" s="1"/>
  <c r="G80" i="2"/>
  <c r="G82" i="2" s="1"/>
  <c r="H80" i="2"/>
  <c r="M82" i="2" s="1"/>
  <c r="I80" i="2"/>
  <c r="L80" i="2"/>
  <c r="Q82" i="2" s="1"/>
  <c r="P80" i="2"/>
  <c r="U80" i="2"/>
  <c r="U81" i="2" s="1"/>
  <c r="Z80" i="2"/>
  <c r="N81" i="2"/>
  <c r="O81" i="2"/>
  <c r="S81" i="2"/>
  <c r="T81" i="2"/>
  <c r="X81" i="2"/>
  <c r="Y81" i="2"/>
  <c r="AC81" i="2"/>
  <c r="AD81" i="2"/>
  <c r="O82" i="2"/>
  <c r="R82" i="2"/>
  <c r="S82" i="2"/>
  <c r="T82" i="2"/>
  <c r="V82" i="2"/>
  <c r="W82" i="2"/>
  <c r="X82" i="2"/>
  <c r="Y82" i="2"/>
  <c r="AA82" i="2"/>
  <c r="AB82" i="2"/>
  <c r="AC82" i="2"/>
  <c r="AD82" i="2"/>
  <c r="B83" i="2"/>
  <c r="C83" i="2"/>
  <c r="D83" i="2"/>
  <c r="E83" i="2"/>
  <c r="G83" i="2"/>
  <c r="G85" i="2" s="1"/>
  <c r="H83" i="2"/>
  <c r="H85" i="2" s="1"/>
  <c r="I83" i="2"/>
  <c r="I85" i="2" s="1"/>
  <c r="J83" i="2"/>
  <c r="L83" i="2"/>
  <c r="Q85" i="2" s="1"/>
  <c r="U83" i="2"/>
  <c r="U85" i="2" s="1"/>
  <c r="AA83" i="2"/>
  <c r="AA85" i="2" s="1"/>
  <c r="N84" i="2"/>
  <c r="O84" i="2"/>
  <c r="P84" i="2"/>
  <c r="R84" i="2"/>
  <c r="S84" i="2"/>
  <c r="T84" i="2"/>
  <c r="X84" i="2"/>
  <c r="Y84" i="2"/>
  <c r="Z84" i="2"/>
  <c r="AB84" i="2"/>
  <c r="AC84" i="2"/>
  <c r="AD84" i="2"/>
  <c r="R85" i="2"/>
  <c r="S85" i="2"/>
  <c r="T85" i="2"/>
  <c r="V85" i="2"/>
  <c r="W85" i="2"/>
  <c r="X85" i="2"/>
  <c r="Y85" i="2"/>
  <c r="AB85" i="2"/>
  <c r="AC85" i="2"/>
  <c r="AD85" i="2"/>
  <c r="L49" i="2"/>
  <c r="P47" i="2"/>
  <c r="P48" i="2" s="1"/>
  <c r="R49" i="2"/>
  <c r="S49" i="2"/>
  <c r="T49" i="2"/>
  <c r="V49" i="2"/>
  <c r="AA49" i="2"/>
  <c r="AB49" i="2"/>
  <c r="N48" i="2"/>
  <c r="O48" i="2"/>
  <c r="G49" i="2"/>
  <c r="U50" i="2"/>
  <c r="U51" i="2" s="1"/>
  <c r="Z50" i="2"/>
  <c r="AB51" i="2" s="1"/>
  <c r="S51" i="2"/>
  <c r="T51" i="2"/>
  <c r="X51" i="2"/>
  <c r="Y51" i="2"/>
  <c r="AC51" i="2"/>
  <c r="AD51" i="2"/>
  <c r="Q52" i="2"/>
  <c r="V52" i="2"/>
  <c r="W52" i="2"/>
  <c r="X52" i="2"/>
  <c r="Y52" i="2"/>
  <c r="AA52" i="2"/>
  <c r="AB52" i="2"/>
  <c r="AC52" i="2"/>
  <c r="AD52" i="2"/>
  <c r="U53" i="2"/>
  <c r="U54" i="2" s="1"/>
  <c r="Z53" i="2"/>
  <c r="Z54" i="2" s="1"/>
  <c r="S54" i="2"/>
  <c r="T54" i="2"/>
  <c r="X54" i="2"/>
  <c r="Y54" i="2"/>
  <c r="AC54" i="2"/>
  <c r="AD54" i="2"/>
  <c r="Q55" i="2"/>
  <c r="V55" i="2"/>
  <c r="W55" i="2"/>
  <c r="X55" i="2"/>
  <c r="Y55" i="2"/>
  <c r="AA55" i="2"/>
  <c r="AB55" i="2"/>
  <c r="AC55" i="2"/>
  <c r="AD55" i="2"/>
  <c r="U56" i="2"/>
  <c r="Z56" i="2"/>
  <c r="AB57" i="2" s="1"/>
  <c r="S57" i="2"/>
  <c r="T57" i="2"/>
  <c r="X57" i="2"/>
  <c r="Y57" i="2"/>
  <c r="AC57" i="2"/>
  <c r="AD57" i="2"/>
  <c r="Q58" i="2"/>
  <c r="V58" i="2"/>
  <c r="W58" i="2"/>
  <c r="X58" i="2"/>
  <c r="Y58" i="2"/>
  <c r="AA58" i="2"/>
  <c r="AB58" i="2"/>
  <c r="AC58" i="2"/>
  <c r="AD58" i="2"/>
  <c r="U59" i="2"/>
  <c r="U60" i="2" s="1"/>
  <c r="Z59" i="2"/>
  <c r="S60" i="2"/>
  <c r="T60" i="2"/>
  <c r="X60" i="2"/>
  <c r="Y60" i="2"/>
  <c r="AC60" i="2"/>
  <c r="AD60" i="2"/>
  <c r="Q61" i="2"/>
  <c r="V61" i="2"/>
  <c r="W61" i="2"/>
  <c r="X61" i="2"/>
  <c r="Y61" i="2"/>
  <c r="AA61" i="2"/>
  <c r="AB61" i="2"/>
  <c r="AC61" i="2"/>
  <c r="AD61" i="2"/>
  <c r="U62" i="2"/>
  <c r="Z62" i="2"/>
  <c r="Z63" i="2" s="1"/>
  <c r="S63" i="2"/>
  <c r="T63" i="2"/>
  <c r="X63" i="2"/>
  <c r="Y63" i="2"/>
  <c r="AC63" i="2"/>
  <c r="AD63" i="2"/>
  <c r="Q64" i="2"/>
  <c r="V64" i="2"/>
  <c r="W64" i="2"/>
  <c r="X64" i="2"/>
  <c r="Y64" i="2"/>
  <c r="AA64" i="2"/>
  <c r="AB64" i="2"/>
  <c r="AC64" i="2"/>
  <c r="AD64" i="2"/>
  <c r="U65" i="2"/>
  <c r="Z65" i="2"/>
  <c r="Z66" i="2" s="1"/>
  <c r="S66" i="2"/>
  <c r="T66" i="2"/>
  <c r="X66" i="2"/>
  <c r="Y66" i="2"/>
  <c r="AC66" i="2"/>
  <c r="AD66" i="2"/>
  <c r="Q67" i="2"/>
  <c r="V67" i="2"/>
  <c r="W67" i="2"/>
  <c r="X67" i="2"/>
  <c r="Y67" i="2"/>
  <c r="AA67" i="2"/>
  <c r="AB67" i="2"/>
  <c r="AC67" i="2"/>
  <c r="AD67" i="2"/>
  <c r="U68" i="2"/>
  <c r="W69" i="2" s="1"/>
  <c r="Z68" i="2"/>
  <c r="AB69" i="2" s="1"/>
  <c r="S69" i="2"/>
  <c r="T69" i="2"/>
  <c r="X69" i="2"/>
  <c r="Y69" i="2"/>
  <c r="AC69" i="2"/>
  <c r="AD69" i="2"/>
  <c r="Q70" i="2"/>
  <c r="V70" i="2"/>
  <c r="W70" i="2"/>
  <c r="X70" i="2"/>
  <c r="Y70" i="2"/>
  <c r="AA70" i="2"/>
  <c r="AB70" i="2"/>
  <c r="AC70" i="2"/>
  <c r="AD70" i="2"/>
  <c r="D173" i="2"/>
  <c r="E173" i="2"/>
  <c r="K175" i="2"/>
  <c r="P175" i="2"/>
  <c r="R176" i="2" s="1"/>
  <c r="U175" i="2"/>
  <c r="W176" i="2" s="1"/>
  <c r="Z175" i="2"/>
  <c r="Z176" i="2" s="1"/>
  <c r="I176" i="2"/>
  <c r="J176" i="2"/>
  <c r="N176" i="2"/>
  <c r="O176" i="2"/>
  <c r="S176" i="2"/>
  <c r="T176" i="2"/>
  <c r="X176" i="2"/>
  <c r="Y176" i="2"/>
  <c r="AC176" i="2"/>
  <c r="AD176" i="2"/>
  <c r="L177" i="2"/>
  <c r="M177" i="2"/>
  <c r="N177" i="2"/>
  <c r="O177" i="2"/>
  <c r="Q177" i="2"/>
  <c r="R177" i="2"/>
  <c r="S177" i="2"/>
  <c r="T177" i="2"/>
  <c r="V177" i="2"/>
  <c r="W177" i="2"/>
  <c r="X177" i="2"/>
  <c r="Y177" i="2"/>
  <c r="AA177" i="2"/>
  <c r="AB177" i="2"/>
  <c r="AC177" i="2"/>
  <c r="AD177" i="2"/>
  <c r="K178" i="2"/>
  <c r="K179" i="2" s="1"/>
  <c r="P178" i="2"/>
  <c r="U178" i="2"/>
  <c r="W179" i="2" s="1"/>
  <c r="Z178" i="2"/>
  <c r="AB179" i="2" s="1"/>
  <c r="I179" i="2"/>
  <c r="J179" i="2"/>
  <c r="N179" i="2"/>
  <c r="O179" i="2"/>
  <c r="S179" i="2"/>
  <c r="T179" i="2"/>
  <c r="X179" i="2"/>
  <c r="Y179" i="2"/>
  <c r="AC179" i="2"/>
  <c r="AD179" i="2"/>
  <c r="L180" i="2"/>
  <c r="M180" i="2"/>
  <c r="N180" i="2"/>
  <c r="O180" i="2"/>
  <c r="Q180" i="2"/>
  <c r="R180" i="2"/>
  <c r="S180" i="2"/>
  <c r="T180" i="2"/>
  <c r="V180" i="2"/>
  <c r="W180" i="2"/>
  <c r="X180" i="2"/>
  <c r="Y180" i="2"/>
  <c r="AA180" i="2"/>
  <c r="AB180" i="2"/>
  <c r="AC180" i="2"/>
  <c r="AD180" i="2"/>
  <c r="K181" i="2"/>
  <c r="P181" i="2"/>
  <c r="R182" i="2" s="1"/>
  <c r="U181" i="2"/>
  <c r="U182" i="2" s="1"/>
  <c r="Z181" i="2"/>
  <c r="Z182" i="2" s="1"/>
  <c r="I182" i="2"/>
  <c r="J182" i="2"/>
  <c r="N182" i="2"/>
  <c r="O182" i="2"/>
  <c r="S182" i="2"/>
  <c r="T182" i="2"/>
  <c r="X182" i="2"/>
  <c r="Y182" i="2"/>
  <c r="AC182" i="2"/>
  <c r="AD182" i="2"/>
  <c r="L183" i="2"/>
  <c r="M183" i="2"/>
  <c r="N183" i="2"/>
  <c r="O183" i="2"/>
  <c r="Q183" i="2"/>
  <c r="R183" i="2"/>
  <c r="S183" i="2"/>
  <c r="T183" i="2"/>
  <c r="V183" i="2"/>
  <c r="W183" i="2"/>
  <c r="X183" i="2"/>
  <c r="Y183" i="2"/>
  <c r="AA183" i="2"/>
  <c r="AB183" i="2"/>
  <c r="AC183" i="2"/>
  <c r="AD183" i="2"/>
  <c r="K187" i="2"/>
  <c r="K188" i="2" s="1"/>
  <c r="P187" i="2"/>
  <c r="U187" i="2"/>
  <c r="Z187" i="2"/>
  <c r="I188" i="2"/>
  <c r="J188" i="2"/>
  <c r="N188" i="2"/>
  <c r="O188" i="2"/>
  <c r="S188" i="2"/>
  <c r="T188" i="2"/>
  <c r="X188" i="2"/>
  <c r="Y188" i="2"/>
  <c r="AC188" i="2"/>
  <c r="AD188" i="2"/>
  <c r="G189" i="2"/>
  <c r="L189" i="2"/>
  <c r="M189" i="2"/>
  <c r="N189" i="2"/>
  <c r="O189" i="2"/>
  <c r="Q189" i="2"/>
  <c r="R189" i="2"/>
  <c r="S189" i="2"/>
  <c r="T189" i="2"/>
  <c r="V189" i="2"/>
  <c r="W189" i="2"/>
  <c r="X189" i="2"/>
  <c r="Y189" i="2"/>
  <c r="AA189" i="2"/>
  <c r="AB189" i="2"/>
  <c r="AC189" i="2"/>
  <c r="AD189" i="2"/>
  <c r="F205" i="2"/>
  <c r="F206" i="2" s="1"/>
  <c r="K205" i="2"/>
  <c r="P205" i="2"/>
  <c r="U205" i="2"/>
  <c r="W206" i="2" s="1"/>
  <c r="Z205" i="2"/>
  <c r="AB206" i="2" s="1"/>
  <c r="D206" i="2"/>
  <c r="E206" i="2"/>
  <c r="I206" i="2"/>
  <c r="J206" i="2"/>
  <c r="N206" i="2"/>
  <c r="O206" i="2"/>
  <c r="S206" i="2"/>
  <c r="T206" i="2"/>
  <c r="X206" i="2"/>
  <c r="Y206" i="2"/>
  <c r="AC206" i="2"/>
  <c r="AD206" i="2"/>
  <c r="G207" i="2"/>
  <c r="H207" i="2"/>
  <c r="I207" i="2"/>
  <c r="J207" i="2"/>
  <c r="L207" i="2"/>
  <c r="M207" i="2"/>
  <c r="N207" i="2"/>
  <c r="O207" i="2"/>
  <c r="Q207" i="2"/>
  <c r="R207" i="2"/>
  <c r="S207" i="2"/>
  <c r="T207" i="2"/>
  <c r="V207" i="2"/>
  <c r="W207" i="2"/>
  <c r="X207" i="2"/>
  <c r="Y207" i="2"/>
  <c r="AA207" i="2"/>
  <c r="AB207" i="2"/>
  <c r="AC207" i="2"/>
  <c r="AD207" i="2"/>
  <c r="B214" i="2"/>
  <c r="C214" i="2"/>
  <c r="C271" i="2" s="1"/>
  <c r="D214" i="2"/>
  <c r="E214" i="2"/>
  <c r="J216" i="2" s="1"/>
  <c r="G214" i="2"/>
  <c r="H214" i="2"/>
  <c r="H216" i="2" s="1"/>
  <c r="I214" i="2"/>
  <c r="L214" i="2"/>
  <c r="M214" i="2"/>
  <c r="N214" i="2"/>
  <c r="O214" i="2"/>
  <c r="Q214" i="2"/>
  <c r="Q271" i="2" s="1"/>
  <c r="R214" i="2"/>
  <c r="T214" i="2"/>
  <c r="W214" i="2"/>
  <c r="X214" i="2"/>
  <c r="X216" i="2" s="1"/>
  <c r="Y214" i="2"/>
  <c r="AD216" i="2" s="1"/>
  <c r="AA214" i="2"/>
  <c r="AF216" i="2" s="1"/>
  <c r="F196" i="2"/>
  <c r="K196" i="2"/>
  <c r="P196" i="2"/>
  <c r="U196" i="2"/>
  <c r="U197" i="2" s="1"/>
  <c r="Z196" i="2"/>
  <c r="D197" i="2"/>
  <c r="E197" i="2"/>
  <c r="I197" i="2"/>
  <c r="J197" i="2"/>
  <c r="N197" i="2"/>
  <c r="O197" i="2"/>
  <c r="S197" i="2"/>
  <c r="T197" i="2"/>
  <c r="X197" i="2"/>
  <c r="Y197" i="2"/>
  <c r="AC197" i="2"/>
  <c r="AD197" i="2"/>
  <c r="G198" i="2"/>
  <c r="H198" i="2"/>
  <c r="I198" i="2"/>
  <c r="J198" i="2"/>
  <c r="L198" i="2"/>
  <c r="M198" i="2"/>
  <c r="N198" i="2"/>
  <c r="O198" i="2"/>
  <c r="Q198" i="2"/>
  <c r="R198" i="2"/>
  <c r="S198" i="2"/>
  <c r="T198" i="2"/>
  <c r="V198" i="2"/>
  <c r="W198" i="2"/>
  <c r="X198" i="2"/>
  <c r="Y198" i="2"/>
  <c r="AA198" i="2"/>
  <c r="AB198" i="2"/>
  <c r="AC198" i="2"/>
  <c r="AD198" i="2"/>
  <c r="K199" i="2"/>
  <c r="K200" i="2" s="1"/>
  <c r="P199" i="2"/>
  <c r="U199" i="2"/>
  <c r="U200" i="2" s="1"/>
  <c r="Z199" i="2"/>
  <c r="I200" i="2"/>
  <c r="J200" i="2"/>
  <c r="N200" i="2"/>
  <c r="O200" i="2"/>
  <c r="S200" i="2"/>
  <c r="T200" i="2"/>
  <c r="X200" i="2"/>
  <c r="Y200" i="2"/>
  <c r="AC200" i="2"/>
  <c r="AD200" i="2"/>
  <c r="G201" i="2"/>
  <c r="L201" i="2"/>
  <c r="M201" i="2"/>
  <c r="N201" i="2"/>
  <c r="O201" i="2"/>
  <c r="Q201" i="2"/>
  <c r="R201" i="2"/>
  <c r="S201" i="2"/>
  <c r="T201" i="2"/>
  <c r="V201" i="2"/>
  <c r="W201" i="2"/>
  <c r="X201" i="2"/>
  <c r="Y201" i="2"/>
  <c r="AA201" i="2"/>
  <c r="AB201" i="2"/>
  <c r="AC201" i="2"/>
  <c r="AD201" i="2"/>
  <c r="K202" i="2"/>
  <c r="P202" i="2"/>
  <c r="P203" i="2" s="1"/>
  <c r="U202" i="2"/>
  <c r="Z202" i="2"/>
  <c r="AB203" i="2" s="1"/>
  <c r="N203" i="2"/>
  <c r="O203" i="2"/>
  <c r="T203" i="2"/>
  <c r="AC203" i="2"/>
  <c r="AD203" i="2"/>
  <c r="G204" i="2"/>
  <c r="M204" i="2"/>
  <c r="O204" i="2"/>
  <c r="S204" i="2"/>
  <c r="T204" i="2"/>
  <c r="Y204" i="2"/>
  <c r="AB204" i="2"/>
  <c r="AD204" i="2"/>
  <c r="K208" i="2"/>
  <c r="P208" i="2"/>
  <c r="U208" i="2"/>
  <c r="U209" i="2" s="1"/>
  <c r="Z208" i="2"/>
  <c r="I209" i="2"/>
  <c r="O209" i="2"/>
  <c r="S209" i="2"/>
  <c r="T209" i="2"/>
  <c r="X209" i="2"/>
  <c r="Y209" i="2"/>
  <c r="AC209" i="2"/>
  <c r="AD209" i="2"/>
  <c r="G210" i="2"/>
  <c r="M210" i="2"/>
  <c r="N210" i="2"/>
  <c r="O210" i="2"/>
  <c r="S210" i="2"/>
  <c r="T210" i="2"/>
  <c r="V210" i="2"/>
  <c r="W210" i="2"/>
  <c r="X210" i="2"/>
  <c r="Y210" i="2"/>
  <c r="AA210" i="2"/>
  <c r="AB210" i="2"/>
  <c r="AC210" i="2"/>
  <c r="AD210" i="2"/>
  <c r="B220" i="2"/>
  <c r="C220" i="2"/>
  <c r="C272" i="2" s="1"/>
  <c r="D220" i="2"/>
  <c r="E220" i="2"/>
  <c r="G220" i="2"/>
  <c r="H220" i="2"/>
  <c r="I220" i="2"/>
  <c r="J220" i="2"/>
  <c r="L220" i="2"/>
  <c r="L217" i="2" s="1"/>
  <c r="M220" i="2"/>
  <c r="N220" i="2"/>
  <c r="O220" i="2"/>
  <c r="Q220" i="2"/>
  <c r="Q217" i="2" s="1"/>
  <c r="R220" i="2"/>
  <c r="S220" i="2"/>
  <c r="T220" i="2"/>
  <c r="V220" i="2"/>
  <c r="V222" i="2" s="1"/>
  <c r="W220" i="2"/>
  <c r="X220" i="2"/>
  <c r="Y220" i="2"/>
  <c r="AA220" i="2"/>
  <c r="AA217" i="2" s="1"/>
  <c r="AB220" i="2"/>
  <c r="AB217" i="2" s="1"/>
  <c r="AC220" i="2"/>
  <c r="AD220" i="2"/>
  <c r="K224" i="2"/>
  <c r="M225" i="2" s="1"/>
  <c r="P224" i="2"/>
  <c r="R224" i="2"/>
  <c r="Z224" i="2"/>
  <c r="I225" i="2"/>
  <c r="J225" i="2"/>
  <c r="N225" i="2"/>
  <c r="O225" i="2"/>
  <c r="T225" i="2"/>
  <c r="X225" i="2"/>
  <c r="Y225" i="2"/>
  <c r="AC225" i="2"/>
  <c r="AD225" i="2"/>
  <c r="G226" i="2"/>
  <c r="L226" i="2"/>
  <c r="M226" i="2"/>
  <c r="N226" i="2"/>
  <c r="O226" i="2"/>
  <c r="Q226" i="2"/>
  <c r="S226" i="2"/>
  <c r="T226" i="2"/>
  <c r="V226" i="2"/>
  <c r="X226" i="2"/>
  <c r="Y226" i="2"/>
  <c r="AA226" i="2"/>
  <c r="AB226" i="2"/>
  <c r="AC226" i="2"/>
  <c r="AD226" i="2"/>
  <c r="G227" i="2"/>
  <c r="G229" i="2" s="1"/>
  <c r="K227" i="2"/>
  <c r="M228" i="2" s="1"/>
  <c r="Q227" i="2"/>
  <c r="U227" i="2"/>
  <c r="AA227" i="2"/>
  <c r="AA229" i="2" s="1"/>
  <c r="D228" i="2"/>
  <c r="E228" i="2"/>
  <c r="I228" i="2"/>
  <c r="J228" i="2"/>
  <c r="N228" i="2"/>
  <c r="O228" i="2"/>
  <c r="P228" i="2"/>
  <c r="R228" i="2"/>
  <c r="S228" i="2"/>
  <c r="T228" i="2"/>
  <c r="X228" i="2"/>
  <c r="Y228" i="2"/>
  <c r="Z228" i="2"/>
  <c r="AB228" i="2"/>
  <c r="AC228" i="2"/>
  <c r="AD228" i="2"/>
  <c r="H229" i="2"/>
  <c r="I229" i="2"/>
  <c r="J229" i="2"/>
  <c r="M229" i="2"/>
  <c r="N229" i="2"/>
  <c r="O229" i="2"/>
  <c r="R229" i="2"/>
  <c r="S229" i="2"/>
  <c r="T229" i="2"/>
  <c r="W229" i="2"/>
  <c r="X229" i="2"/>
  <c r="Y229" i="2"/>
  <c r="AB229" i="2"/>
  <c r="AC229" i="2"/>
  <c r="AD229" i="2"/>
  <c r="D231" i="2"/>
  <c r="E231" i="2"/>
  <c r="J232" i="2"/>
  <c r="E233" i="2"/>
  <c r="E234" i="2" s="1"/>
  <c r="J233" i="2"/>
  <c r="S233" i="2"/>
  <c r="D234" i="2"/>
  <c r="C270" i="2"/>
  <c r="D270" i="2"/>
  <c r="E270" i="2"/>
  <c r="Q270" i="2"/>
  <c r="S270" i="2"/>
  <c r="S271" i="2"/>
  <c r="U245" i="2"/>
  <c r="U246" i="2" s="1"/>
  <c r="Z245" i="2"/>
  <c r="Z246" i="2" s="1"/>
  <c r="AB245" i="2"/>
  <c r="AB247" i="2" s="1"/>
  <c r="AC245" i="2"/>
  <c r="AD245" i="2"/>
  <c r="S246" i="2"/>
  <c r="T246" i="2"/>
  <c r="X246" i="2"/>
  <c r="Y246" i="2"/>
  <c r="G247" i="2"/>
  <c r="L247" i="2"/>
  <c r="Q247" i="2"/>
  <c r="V247" i="2"/>
  <c r="W247" i="2"/>
  <c r="X247" i="2"/>
  <c r="Y247" i="2"/>
  <c r="AA247" i="2"/>
  <c r="U251" i="2"/>
  <c r="U252" i="2" s="1"/>
  <c r="Z251" i="2"/>
  <c r="S252" i="2"/>
  <c r="T252" i="2"/>
  <c r="X252" i="2"/>
  <c r="Y252" i="2"/>
  <c r="AC252" i="2"/>
  <c r="AD252" i="2"/>
  <c r="Q253" i="2"/>
  <c r="V253" i="2"/>
  <c r="W253" i="2"/>
  <c r="X253" i="2"/>
  <c r="Y253" i="2"/>
  <c r="AA253" i="2"/>
  <c r="AB253" i="2"/>
  <c r="AC253" i="2"/>
  <c r="AD253" i="2"/>
  <c r="U254" i="2"/>
  <c r="W255" i="2" s="1"/>
  <c r="Z254" i="2"/>
  <c r="S255" i="2"/>
  <c r="T255" i="2"/>
  <c r="X255" i="2"/>
  <c r="Y255" i="2"/>
  <c r="AC255" i="2"/>
  <c r="AD255" i="2"/>
  <c r="Q256" i="2"/>
  <c r="V256" i="2"/>
  <c r="W256" i="2"/>
  <c r="X256" i="2"/>
  <c r="Y256" i="2"/>
  <c r="AA256" i="2"/>
  <c r="AB256" i="2"/>
  <c r="AC256" i="2"/>
  <c r="AD256" i="2"/>
  <c r="U257" i="2"/>
  <c r="W258" i="2" s="1"/>
  <c r="Z257" i="2"/>
  <c r="Z258" i="2" s="1"/>
  <c r="S258" i="2"/>
  <c r="T258" i="2"/>
  <c r="X258" i="2"/>
  <c r="Y258" i="2"/>
  <c r="AC258" i="2"/>
  <c r="AD258" i="2"/>
  <c r="Q259" i="2"/>
  <c r="V259" i="2"/>
  <c r="W259" i="2"/>
  <c r="X259" i="2"/>
  <c r="Y259" i="2"/>
  <c r="AA259" i="2"/>
  <c r="AB259" i="2"/>
  <c r="AC259" i="2"/>
  <c r="AD259" i="2"/>
  <c r="U248" i="2"/>
  <c r="Z248" i="2"/>
  <c r="S249" i="2"/>
  <c r="T249" i="2"/>
  <c r="X249" i="2"/>
  <c r="Y249" i="2"/>
  <c r="AC249" i="2"/>
  <c r="AD249" i="2"/>
  <c r="Q250" i="2"/>
  <c r="V250" i="2"/>
  <c r="W250" i="2"/>
  <c r="X250" i="2"/>
  <c r="Y250" i="2"/>
  <c r="AA250" i="2"/>
  <c r="AB250" i="2"/>
  <c r="AC250" i="2"/>
  <c r="AD250" i="2"/>
  <c r="U260" i="2"/>
  <c r="Z260" i="2"/>
  <c r="S261" i="2"/>
  <c r="T261" i="2"/>
  <c r="X261" i="2"/>
  <c r="Y261" i="2"/>
  <c r="AC261" i="2"/>
  <c r="AD261" i="2"/>
  <c r="Q262" i="2"/>
  <c r="V262" i="2"/>
  <c r="W262" i="2"/>
  <c r="X262" i="2"/>
  <c r="Y262" i="2"/>
  <c r="AA262" i="2"/>
  <c r="AB262" i="2"/>
  <c r="AC262" i="2"/>
  <c r="AD262" i="2"/>
  <c r="U263" i="2"/>
  <c r="U264" i="2" s="1"/>
  <c r="Z263" i="2"/>
  <c r="S264" i="2"/>
  <c r="T264" i="2"/>
  <c r="X264" i="2"/>
  <c r="Y264" i="2"/>
  <c r="AC264" i="2"/>
  <c r="AD264" i="2"/>
  <c r="Q265" i="2"/>
  <c r="V265" i="2"/>
  <c r="W265" i="2"/>
  <c r="X265" i="2"/>
  <c r="Y265" i="2"/>
  <c r="AA265" i="2"/>
  <c r="AB265" i="2"/>
  <c r="AC265" i="2"/>
  <c r="AD265" i="2"/>
  <c r="U266" i="2"/>
  <c r="W267" i="2" s="1"/>
  <c r="Z266" i="2"/>
  <c r="AB267" i="2" s="1"/>
  <c r="S267" i="2"/>
  <c r="T267" i="2"/>
  <c r="X267" i="2"/>
  <c r="Y267" i="2"/>
  <c r="AC267" i="2"/>
  <c r="AD267" i="2"/>
  <c r="Q268" i="2"/>
  <c r="V268" i="2"/>
  <c r="W268" i="2"/>
  <c r="X268" i="2"/>
  <c r="Y268" i="2"/>
  <c r="AA268" i="2"/>
  <c r="AB268" i="2"/>
  <c r="AC268" i="2"/>
  <c r="AD268" i="2"/>
  <c r="D278" i="2"/>
  <c r="E278" i="2"/>
  <c r="X279" i="2"/>
  <c r="K280" i="2"/>
  <c r="P280" i="2"/>
  <c r="U280" i="2"/>
  <c r="U281" i="2" s="1"/>
  <c r="Z280" i="2"/>
  <c r="I281" i="2"/>
  <c r="J281" i="2"/>
  <c r="N281" i="2"/>
  <c r="O281" i="2"/>
  <c r="S281" i="2"/>
  <c r="T281" i="2"/>
  <c r="X281" i="2"/>
  <c r="Y281" i="2"/>
  <c r="AC281" i="2"/>
  <c r="AD281" i="2"/>
  <c r="G282" i="2"/>
  <c r="L282" i="2"/>
  <c r="M282" i="2"/>
  <c r="N282" i="2"/>
  <c r="O282" i="2"/>
  <c r="Q282" i="2"/>
  <c r="R282" i="2"/>
  <c r="S282" i="2"/>
  <c r="T282" i="2"/>
  <c r="V282" i="2"/>
  <c r="W282" i="2"/>
  <c r="X282" i="2"/>
  <c r="Y282" i="2"/>
  <c r="AA282" i="2"/>
  <c r="AB282" i="2"/>
  <c r="AC282" i="2"/>
  <c r="AD282" i="2"/>
  <c r="K283" i="2"/>
  <c r="P283" i="2"/>
  <c r="R284" i="2" s="1"/>
  <c r="U283" i="2"/>
  <c r="Z283" i="2"/>
  <c r="I284" i="2"/>
  <c r="J284" i="2"/>
  <c r="N284" i="2"/>
  <c r="O284" i="2"/>
  <c r="S284" i="2"/>
  <c r="T284" i="2"/>
  <c r="X284" i="2"/>
  <c r="Y284" i="2"/>
  <c r="AC284" i="2"/>
  <c r="AD284" i="2"/>
  <c r="G285" i="2"/>
  <c r="L285" i="2"/>
  <c r="M285" i="2"/>
  <c r="N285" i="2"/>
  <c r="O285" i="2"/>
  <c r="Q285" i="2"/>
  <c r="R285" i="2"/>
  <c r="S285" i="2"/>
  <c r="T285" i="2"/>
  <c r="V285" i="2"/>
  <c r="W285" i="2"/>
  <c r="X285" i="2"/>
  <c r="Y285" i="2"/>
  <c r="AA285" i="2"/>
  <c r="AB285" i="2"/>
  <c r="AC285" i="2"/>
  <c r="AD285" i="2"/>
  <c r="K295" i="2"/>
  <c r="P295" i="2"/>
  <c r="P296" i="2" s="1"/>
  <c r="U295" i="2"/>
  <c r="U296" i="2" s="1"/>
  <c r="Z295" i="2"/>
  <c r="I296" i="2"/>
  <c r="J296" i="2"/>
  <c r="N296" i="2"/>
  <c r="O296" i="2"/>
  <c r="S296" i="2"/>
  <c r="T296" i="2"/>
  <c r="X296" i="2"/>
  <c r="Y296" i="2"/>
  <c r="G297" i="2"/>
  <c r="L297" i="2"/>
  <c r="M297" i="2"/>
  <c r="N297" i="2"/>
  <c r="O297" i="2"/>
  <c r="Q297" i="2"/>
  <c r="R297" i="2"/>
  <c r="S297" i="2"/>
  <c r="T297" i="2"/>
  <c r="V297" i="2"/>
  <c r="W297" i="2"/>
  <c r="X297" i="2"/>
  <c r="Y297" i="2"/>
  <c r="AA297" i="2"/>
  <c r="F312" i="2"/>
  <c r="H313" i="2" s="1"/>
  <c r="K312" i="2"/>
  <c r="P312" i="2"/>
  <c r="R313" i="2" s="1"/>
  <c r="U312" i="2"/>
  <c r="W313" i="2" s="1"/>
  <c r="Z312" i="2"/>
  <c r="Z313" i="2" s="1"/>
  <c r="D313" i="2"/>
  <c r="E313" i="2"/>
  <c r="I313" i="2"/>
  <c r="J313" i="2"/>
  <c r="N313" i="2"/>
  <c r="O313" i="2"/>
  <c r="S313" i="2"/>
  <c r="T313" i="2"/>
  <c r="X313" i="2"/>
  <c r="Y313" i="2"/>
  <c r="G314" i="2"/>
  <c r="H314" i="2"/>
  <c r="I314" i="2"/>
  <c r="J314" i="2"/>
  <c r="L314" i="2"/>
  <c r="M314" i="2"/>
  <c r="N314" i="2"/>
  <c r="O314" i="2"/>
  <c r="Q314" i="2"/>
  <c r="R314" i="2"/>
  <c r="S314" i="2"/>
  <c r="T314" i="2"/>
  <c r="V314" i="2"/>
  <c r="W314" i="2"/>
  <c r="X314" i="2"/>
  <c r="Y314" i="2"/>
  <c r="AA314" i="2"/>
  <c r="F315" i="2"/>
  <c r="H316" i="2" s="1"/>
  <c r="K315" i="2"/>
  <c r="P315" i="2"/>
  <c r="P316" i="2" s="1"/>
  <c r="U315" i="2"/>
  <c r="Z315" i="2"/>
  <c r="Z316" i="2" s="1"/>
  <c r="D316" i="2"/>
  <c r="E316" i="2"/>
  <c r="I316" i="2"/>
  <c r="J316" i="2"/>
  <c r="N316" i="2"/>
  <c r="O316" i="2"/>
  <c r="S316" i="2"/>
  <c r="T316" i="2"/>
  <c r="X316" i="2"/>
  <c r="Y316" i="2"/>
  <c r="AC316" i="2"/>
  <c r="AD316" i="2"/>
  <c r="G317" i="2"/>
  <c r="H317" i="2"/>
  <c r="I317" i="2"/>
  <c r="J317" i="2"/>
  <c r="L317" i="2"/>
  <c r="M317" i="2"/>
  <c r="N317" i="2"/>
  <c r="O317" i="2"/>
  <c r="Q317" i="2"/>
  <c r="R317" i="2"/>
  <c r="S317" i="2"/>
  <c r="T317" i="2"/>
  <c r="V317" i="2"/>
  <c r="W317" i="2"/>
  <c r="X317" i="2"/>
  <c r="Y317" i="2"/>
  <c r="AA317" i="2"/>
  <c r="AB317" i="2"/>
  <c r="AC317" i="2"/>
  <c r="AD317" i="2"/>
  <c r="K292" i="2"/>
  <c r="M293" i="2" s="1"/>
  <c r="P292" i="2"/>
  <c r="U292" i="2"/>
  <c r="W293" i="2" s="1"/>
  <c r="Z292" i="2"/>
  <c r="Z293" i="2" s="1"/>
  <c r="I293" i="2"/>
  <c r="J293" i="2"/>
  <c r="N293" i="2"/>
  <c r="O293" i="2"/>
  <c r="S293" i="2"/>
  <c r="T293" i="2"/>
  <c r="X293" i="2"/>
  <c r="Y293" i="2"/>
  <c r="AC293" i="2"/>
  <c r="AD293" i="2"/>
  <c r="G294" i="2"/>
  <c r="L294" i="2"/>
  <c r="M294" i="2"/>
  <c r="N294" i="2"/>
  <c r="O294" i="2"/>
  <c r="Q294" i="2"/>
  <c r="R294" i="2"/>
  <c r="S294" i="2"/>
  <c r="T294" i="2"/>
  <c r="V294" i="2"/>
  <c r="W294" i="2"/>
  <c r="X294" i="2"/>
  <c r="Y294" i="2"/>
  <c r="AA294" i="2"/>
  <c r="AB294" i="2"/>
  <c r="AC294" i="2"/>
  <c r="AD294" i="2"/>
  <c r="K298" i="2"/>
  <c r="K299" i="2" s="1"/>
  <c r="P298" i="2"/>
  <c r="U298" i="2"/>
  <c r="U299" i="2" s="1"/>
  <c r="Z298" i="2"/>
  <c r="AB299" i="2" s="1"/>
  <c r="I299" i="2"/>
  <c r="J299" i="2"/>
  <c r="N299" i="2"/>
  <c r="O299" i="2"/>
  <c r="S299" i="2"/>
  <c r="T299" i="2"/>
  <c r="X299" i="2"/>
  <c r="Y299" i="2"/>
  <c r="AC299" i="2"/>
  <c r="AD299" i="2"/>
  <c r="G300" i="2"/>
  <c r="L300" i="2"/>
  <c r="M300" i="2"/>
  <c r="N300" i="2"/>
  <c r="O300" i="2"/>
  <c r="Q300" i="2"/>
  <c r="R300" i="2"/>
  <c r="S300" i="2"/>
  <c r="T300" i="2"/>
  <c r="V300" i="2"/>
  <c r="W300" i="2"/>
  <c r="X300" i="2"/>
  <c r="Y300" i="2"/>
  <c r="AA300" i="2"/>
  <c r="AB300" i="2"/>
  <c r="AC300" i="2"/>
  <c r="AD300" i="2"/>
  <c r="K301" i="2"/>
  <c r="M302" i="2" s="1"/>
  <c r="P301" i="2"/>
  <c r="U301" i="2"/>
  <c r="Z301" i="2"/>
  <c r="Z302" i="2" s="1"/>
  <c r="I302" i="2"/>
  <c r="J302" i="2"/>
  <c r="N302" i="2"/>
  <c r="O302" i="2"/>
  <c r="S302" i="2"/>
  <c r="T302" i="2"/>
  <c r="X302" i="2"/>
  <c r="Y302" i="2"/>
  <c r="AC302" i="2"/>
  <c r="AD302" i="2"/>
  <c r="G303" i="2"/>
  <c r="L303" i="2"/>
  <c r="M303" i="2"/>
  <c r="N303" i="2"/>
  <c r="O303" i="2"/>
  <c r="Q303" i="2"/>
  <c r="R303" i="2"/>
  <c r="S303" i="2"/>
  <c r="T303" i="2"/>
  <c r="V303" i="2"/>
  <c r="W303" i="2"/>
  <c r="X303" i="2"/>
  <c r="Y303" i="2"/>
  <c r="AA303" i="2"/>
  <c r="AB303" i="2"/>
  <c r="AC303" i="2"/>
  <c r="AD303" i="2"/>
  <c r="B309" i="2"/>
  <c r="B318" i="2" s="1"/>
  <c r="G309" i="2"/>
  <c r="G318" i="2" s="1"/>
  <c r="I309" i="2"/>
  <c r="J310" i="2" s="1"/>
  <c r="L309" i="2"/>
  <c r="M309" i="2"/>
  <c r="R311" i="2" s="1"/>
  <c r="N309" i="2"/>
  <c r="O309" i="2"/>
  <c r="T311" i="2" s="1"/>
  <c r="Q309" i="2"/>
  <c r="V309" i="2"/>
  <c r="X309" i="2"/>
  <c r="X318" i="2" s="1"/>
  <c r="AB309" i="2"/>
  <c r="AC309" i="2"/>
  <c r="AH311" i="2" s="1"/>
  <c r="D310" i="2"/>
  <c r="E310" i="2"/>
  <c r="S310" i="2"/>
  <c r="T310" i="2"/>
  <c r="H311" i="2"/>
  <c r="J311" i="2"/>
  <c r="W311" i="2"/>
  <c r="Y311" i="2"/>
  <c r="AD311" i="2"/>
  <c r="C318" i="2"/>
  <c r="C341" i="2" s="1"/>
  <c r="D318" i="2"/>
  <c r="E318" i="2"/>
  <c r="H318" i="2"/>
  <c r="J318" i="2"/>
  <c r="S318" i="2"/>
  <c r="T318" i="2"/>
  <c r="W318" i="2"/>
  <c r="W320" i="2" s="1"/>
  <c r="Y318" i="2"/>
  <c r="AA318" i="2"/>
  <c r="F322" i="2"/>
  <c r="K322" i="2"/>
  <c r="P322" i="2"/>
  <c r="U322" i="2"/>
  <c r="Z322" i="2"/>
  <c r="D323" i="2"/>
  <c r="E323" i="2"/>
  <c r="I323" i="2"/>
  <c r="J323" i="2"/>
  <c r="N323" i="2"/>
  <c r="O323" i="2"/>
  <c r="S323" i="2"/>
  <c r="T323" i="2"/>
  <c r="X323" i="2"/>
  <c r="Y323" i="2"/>
  <c r="AC323" i="2"/>
  <c r="AD323" i="2"/>
  <c r="G324" i="2"/>
  <c r="H324" i="2"/>
  <c r="I324" i="2"/>
  <c r="J324" i="2"/>
  <c r="L324" i="2"/>
  <c r="M324" i="2"/>
  <c r="N324" i="2"/>
  <c r="O324" i="2"/>
  <c r="Q324" i="2"/>
  <c r="R324" i="2"/>
  <c r="S324" i="2"/>
  <c r="T324" i="2"/>
  <c r="V324" i="2"/>
  <c r="W324" i="2"/>
  <c r="X324" i="2"/>
  <c r="Y324" i="2"/>
  <c r="AA324" i="2"/>
  <c r="AB324" i="2"/>
  <c r="AC324" i="2"/>
  <c r="AD324" i="2"/>
  <c r="B325" i="2"/>
  <c r="G325" i="2"/>
  <c r="F325" i="2" s="1"/>
  <c r="F326" i="2" s="1"/>
  <c r="K325" i="2"/>
  <c r="M326" i="2" s="1"/>
  <c r="Q325" i="2"/>
  <c r="V327" i="2" s="1"/>
  <c r="U325" i="2"/>
  <c r="AA325" i="2"/>
  <c r="AA327" i="2" s="1"/>
  <c r="D326" i="2"/>
  <c r="E326" i="2"/>
  <c r="I326" i="2"/>
  <c r="J326" i="2"/>
  <c r="N326" i="2"/>
  <c r="O326" i="2"/>
  <c r="P326" i="2"/>
  <c r="R326" i="2"/>
  <c r="S326" i="2"/>
  <c r="T326" i="2"/>
  <c r="X326" i="2"/>
  <c r="Y326" i="2"/>
  <c r="AC326" i="2"/>
  <c r="AD326" i="2"/>
  <c r="H327" i="2"/>
  <c r="I327" i="2"/>
  <c r="J327" i="2"/>
  <c r="M327" i="2"/>
  <c r="N327" i="2"/>
  <c r="O327" i="2"/>
  <c r="R327" i="2"/>
  <c r="S327" i="2"/>
  <c r="T327" i="2"/>
  <c r="W327" i="2"/>
  <c r="X327" i="2"/>
  <c r="Y327" i="2"/>
  <c r="AB327" i="2"/>
  <c r="AC327" i="2"/>
  <c r="AD327" i="2"/>
  <c r="S329" i="2"/>
  <c r="H330" i="2"/>
  <c r="J330" i="2"/>
  <c r="W330" i="2"/>
  <c r="AB330" i="2"/>
  <c r="AD330" i="2"/>
  <c r="C331" i="2"/>
  <c r="R331" i="2"/>
  <c r="W331" i="2"/>
  <c r="W334" i="2" s="1"/>
  <c r="Y331" i="2"/>
  <c r="AD333" i="2" s="1"/>
  <c r="AA331" i="2"/>
  <c r="AB331" i="2"/>
  <c r="J333" i="2"/>
  <c r="E334" i="2"/>
  <c r="H334" i="2"/>
  <c r="J334" i="2"/>
  <c r="S334" i="2"/>
  <c r="S338" i="2"/>
  <c r="V338" i="2"/>
  <c r="X338" i="2"/>
  <c r="C339" i="2"/>
  <c r="D339" i="2"/>
  <c r="E339" i="2"/>
  <c r="S339" i="2"/>
  <c r="V339" i="2"/>
  <c r="X339" i="2"/>
  <c r="C340" i="2"/>
  <c r="D340" i="2"/>
  <c r="E340" i="2"/>
  <c r="S340" i="2"/>
  <c r="V340" i="2"/>
  <c r="X340" i="2"/>
  <c r="D347" i="2"/>
  <c r="E347" i="2"/>
  <c r="I347" i="2"/>
  <c r="J347" i="2"/>
  <c r="N347" i="2"/>
  <c r="O347" i="2"/>
  <c r="S347" i="2"/>
  <c r="T347" i="2"/>
  <c r="X347" i="2"/>
  <c r="Y347" i="2"/>
  <c r="AC347" i="2"/>
  <c r="AD347" i="2"/>
  <c r="G348" i="2"/>
  <c r="H348" i="2"/>
  <c r="I348" i="2"/>
  <c r="J348" i="2"/>
  <c r="L348" i="2"/>
  <c r="M348" i="2"/>
  <c r="N348" i="2"/>
  <c r="O348" i="2"/>
  <c r="Q348" i="2"/>
  <c r="R348" i="2"/>
  <c r="S348" i="2"/>
  <c r="T348" i="2"/>
  <c r="V348" i="2"/>
  <c r="W348" i="2"/>
  <c r="X348" i="2"/>
  <c r="Y348" i="2"/>
  <c r="AA348" i="2"/>
  <c r="AB348" i="2"/>
  <c r="AC348" i="2"/>
  <c r="AD348" i="2"/>
  <c r="K363" i="2"/>
  <c r="P363" i="2"/>
  <c r="U363" i="2"/>
  <c r="U364" i="2" s="1"/>
  <c r="Z363" i="2"/>
  <c r="AB364" i="2" s="1"/>
  <c r="AE363" i="2"/>
  <c r="I364" i="2"/>
  <c r="J364" i="2"/>
  <c r="N364" i="2"/>
  <c r="O364" i="2"/>
  <c r="S364" i="2"/>
  <c r="T364" i="2"/>
  <c r="X364" i="2"/>
  <c r="Y364" i="2"/>
  <c r="AC364" i="2"/>
  <c r="G365" i="2"/>
  <c r="L365" i="2"/>
  <c r="M365" i="2"/>
  <c r="N365" i="2"/>
  <c r="O365" i="2"/>
  <c r="Q365" i="2"/>
  <c r="R365" i="2"/>
  <c r="S365" i="2"/>
  <c r="T365" i="2"/>
  <c r="V365" i="2"/>
  <c r="W365" i="2"/>
  <c r="X365" i="2"/>
  <c r="Y365" i="2"/>
  <c r="AA365" i="2"/>
  <c r="AB365" i="2"/>
  <c r="AD365" i="2"/>
  <c r="F379" i="2"/>
  <c r="H380" i="2" s="1"/>
  <c r="K379" i="2"/>
  <c r="P379" i="2"/>
  <c r="U379" i="2"/>
  <c r="W380" i="2" s="1"/>
  <c r="Z379" i="2"/>
  <c r="D380" i="2"/>
  <c r="E380" i="2"/>
  <c r="I380" i="2"/>
  <c r="J380" i="2"/>
  <c r="N380" i="2"/>
  <c r="O380" i="2"/>
  <c r="S380" i="2"/>
  <c r="T380" i="2"/>
  <c r="X380" i="2"/>
  <c r="Y380" i="2"/>
  <c r="G381" i="2"/>
  <c r="H381" i="2"/>
  <c r="I381" i="2"/>
  <c r="J381" i="2"/>
  <c r="L381" i="2"/>
  <c r="M381" i="2"/>
  <c r="N381" i="2"/>
  <c r="O381" i="2"/>
  <c r="Q381" i="2"/>
  <c r="R381" i="2"/>
  <c r="S381" i="2"/>
  <c r="T381" i="2"/>
  <c r="V381" i="2"/>
  <c r="W381" i="2"/>
  <c r="X381" i="2"/>
  <c r="Y381" i="2"/>
  <c r="AA381" i="2"/>
  <c r="AB381" i="2"/>
  <c r="AD381" i="2"/>
  <c r="F382" i="2"/>
  <c r="H383" i="2" s="1"/>
  <c r="K382" i="2"/>
  <c r="P382" i="2"/>
  <c r="R383" i="2" s="1"/>
  <c r="U382" i="2"/>
  <c r="Z382" i="2"/>
  <c r="D383" i="2"/>
  <c r="E383" i="2"/>
  <c r="I383" i="2"/>
  <c r="J383" i="2"/>
  <c r="N383" i="2"/>
  <c r="O383" i="2"/>
  <c r="S383" i="2"/>
  <c r="T383" i="2"/>
  <c r="X383" i="2"/>
  <c r="Y383" i="2"/>
  <c r="AC383" i="2"/>
  <c r="AD383" i="2"/>
  <c r="G384" i="2"/>
  <c r="H384" i="2"/>
  <c r="I384" i="2"/>
  <c r="J384" i="2"/>
  <c r="L384" i="2"/>
  <c r="M384" i="2"/>
  <c r="N384" i="2"/>
  <c r="O384" i="2"/>
  <c r="Q384" i="2"/>
  <c r="R384" i="2"/>
  <c r="S384" i="2"/>
  <c r="T384" i="2"/>
  <c r="V384" i="2"/>
  <c r="W384" i="2"/>
  <c r="X384" i="2"/>
  <c r="Y384" i="2"/>
  <c r="AA384" i="2"/>
  <c r="AB384" i="2"/>
  <c r="AC384" i="2"/>
  <c r="AD384" i="2"/>
  <c r="K360" i="2"/>
  <c r="P360" i="2"/>
  <c r="P361" i="2" s="1"/>
  <c r="U360" i="2"/>
  <c r="W361" i="2" s="1"/>
  <c r="Z360" i="2"/>
  <c r="AB361" i="2" s="1"/>
  <c r="I361" i="2"/>
  <c r="J361" i="2"/>
  <c r="N361" i="2"/>
  <c r="O361" i="2"/>
  <c r="S361" i="2"/>
  <c r="T361" i="2"/>
  <c r="X361" i="2"/>
  <c r="Y361" i="2"/>
  <c r="AC361" i="2"/>
  <c r="AD361" i="2"/>
  <c r="G362" i="2"/>
  <c r="L362" i="2"/>
  <c r="M362" i="2"/>
  <c r="N362" i="2"/>
  <c r="O362" i="2"/>
  <c r="Q362" i="2"/>
  <c r="R362" i="2"/>
  <c r="S362" i="2"/>
  <c r="T362" i="2"/>
  <c r="V362" i="2"/>
  <c r="W362" i="2"/>
  <c r="X362" i="2"/>
  <c r="Y362" i="2"/>
  <c r="AA362" i="2"/>
  <c r="AB362" i="2"/>
  <c r="AC362" i="2"/>
  <c r="AD362" i="2"/>
  <c r="K366" i="2"/>
  <c r="M367" i="2" s="1"/>
  <c r="P366" i="2"/>
  <c r="U366" i="2"/>
  <c r="W367" i="2" s="1"/>
  <c r="Z366" i="2"/>
  <c r="I367" i="2"/>
  <c r="J367" i="2"/>
  <c r="N367" i="2"/>
  <c r="O367" i="2"/>
  <c r="S367" i="2"/>
  <c r="T367" i="2"/>
  <c r="X367" i="2"/>
  <c r="Y367" i="2"/>
  <c r="AC367" i="2"/>
  <c r="AD367" i="2"/>
  <c r="G368" i="2"/>
  <c r="L368" i="2"/>
  <c r="M368" i="2"/>
  <c r="N368" i="2"/>
  <c r="O368" i="2"/>
  <c r="Q368" i="2"/>
  <c r="R368" i="2"/>
  <c r="S368" i="2"/>
  <c r="T368" i="2"/>
  <c r="V368" i="2"/>
  <c r="W368" i="2"/>
  <c r="X368" i="2"/>
  <c r="Y368" i="2"/>
  <c r="AA368" i="2"/>
  <c r="AB368" i="2"/>
  <c r="AC368" i="2"/>
  <c r="AD368" i="2"/>
  <c r="K369" i="2"/>
  <c r="P369" i="2"/>
  <c r="I370" i="2"/>
  <c r="J370" i="2"/>
  <c r="N370" i="2"/>
  <c r="O370" i="2"/>
  <c r="S370" i="2"/>
  <c r="T370" i="2"/>
  <c r="X370" i="2"/>
  <c r="Y370" i="2"/>
  <c r="G371" i="2"/>
  <c r="L371" i="2"/>
  <c r="M371" i="2"/>
  <c r="N371" i="2"/>
  <c r="O371" i="2"/>
  <c r="Q371" i="2"/>
  <c r="R371" i="2"/>
  <c r="S371" i="2"/>
  <c r="T371" i="2"/>
  <c r="W371" i="2"/>
  <c r="X371" i="2"/>
  <c r="Y371" i="2"/>
  <c r="AB371" i="2"/>
  <c r="B376" i="2"/>
  <c r="B385" i="2" s="1"/>
  <c r="B409" i="2" s="1"/>
  <c r="D376" i="2"/>
  <c r="E376" i="2"/>
  <c r="E385" i="2" s="1"/>
  <c r="G376" i="2"/>
  <c r="H376" i="2"/>
  <c r="H378" i="2" s="1"/>
  <c r="I376" i="2"/>
  <c r="I385" i="2" s="1"/>
  <c r="J376" i="2"/>
  <c r="L376" i="2"/>
  <c r="M376" i="2"/>
  <c r="N377" i="2" s="1"/>
  <c r="Q376" i="2"/>
  <c r="R376" i="2"/>
  <c r="S376" i="2"/>
  <c r="T376" i="2"/>
  <c r="T378" i="2" s="1"/>
  <c r="V376" i="2"/>
  <c r="W376" i="2"/>
  <c r="X376" i="2"/>
  <c r="Y376" i="2"/>
  <c r="Y378" i="2" s="1"/>
  <c r="AA376" i="2"/>
  <c r="AA385" i="2" s="1"/>
  <c r="AB376" i="2"/>
  <c r="AC376" i="2"/>
  <c r="AC385" i="2" s="1"/>
  <c r="AC409" i="2" s="1"/>
  <c r="AD376" i="2"/>
  <c r="O377" i="2"/>
  <c r="C385" i="2"/>
  <c r="C409" i="2" s="1"/>
  <c r="N385" i="2"/>
  <c r="O385" i="2"/>
  <c r="O409" i="2" s="1"/>
  <c r="F390" i="2"/>
  <c r="H390" i="2"/>
  <c r="I391" i="2" s="1"/>
  <c r="L390" i="2"/>
  <c r="L392" i="2" s="1"/>
  <c r="M390" i="2"/>
  <c r="N390" i="2"/>
  <c r="O391" i="2" s="1"/>
  <c r="Q390" i="2"/>
  <c r="R390" i="2"/>
  <c r="S390" i="2"/>
  <c r="T390" i="2"/>
  <c r="V390" i="2"/>
  <c r="V392" i="2" s="1"/>
  <c r="W390" i="2"/>
  <c r="X390" i="2"/>
  <c r="X392" i="2" s="1"/>
  <c r="Y390" i="2"/>
  <c r="AA390" i="2"/>
  <c r="AA392" i="2" s="1"/>
  <c r="AB390" i="2"/>
  <c r="AC390" i="2"/>
  <c r="AC392" i="2" s="1"/>
  <c r="AD390" i="2"/>
  <c r="AD392" i="2" s="1"/>
  <c r="D391" i="2"/>
  <c r="E391" i="2"/>
  <c r="J391" i="2"/>
  <c r="G392" i="2"/>
  <c r="I392" i="2"/>
  <c r="J392" i="2"/>
  <c r="O392" i="2"/>
  <c r="B393" i="2"/>
  <c r="G395" i="2" s="1"/>
  <c r="F393" i="2"/>
  <c r="K393" i="2"/>
  <c r="K394" i="2" s="1"/>
  <c r="U393" i="2"/>
  <c r="U395" i="2" s="1"/>
  <c r="Z393" i="2"/>
  <c r="D394" i="2"/>
  <c r="E394" i="2"/>
  <c r="I394" i="2"/>
  <c r="J394" i="2"/>
  <c r="N394" i="2"/>
  <c r="O394" i="2"/>
  <c r="P394" i="2"/>
  <c r="R394" i="2"/>
  <c r="S394" i="2"/>
  <c r="T394" i="2"/>
  <c r="X394" i="2"/>
  <c r="Y394" i="2"/>
  <c r="AC394" i="2"/>
  <c r="AD394" i="2"/>
  <c r="H395" i="2"/>
  <c r="I395" i="2"/>
  <c r="J395" i="2"/>
  <c r="L395" i="2"/>
  <c r="M395" i="2"/>
  <c r="N395" i="2"/>
  <c r="O395" i="2"/>
  <c r="Q395" i="2"/>
  <c r="R395" i="2"/>
  <c r="S395" i="2"/>
  <c r="T395" i="2"/>
  <c r="V395" i="2"/>
  <c r="W395" i="2"/>
  <c r="X395" i="2"/>
  <c r="Y395" i="2"/>
  <c r="AA395" i="2"/>
  <c r="AB395" i="2"/>
  <c r="AC395" i="2"/>
  <c r="AD395" i="2"/>
  <c r="C399" i="2"/>
  <c r="D399" i="2"/>
  <c r="D402" i="2" s="1"/>
  <c r="B406" i="2"/>
  <c r="G406" i="2"/>
  <c r="H406" i="2"/>
  <c r="I406" i="2"/>
  <c r="J406" i="2"/>
  <c r="L406" i="2"/>
  <c r="M406" i="2"/>
  <c r="N406" i="2"/>
  <c r="O406" i="2"/>
  <c r="Q406" i="2"/>
  <c r="R406" i="2"/>
  <c r="S406" i="2"/>
  <c r="T406" i="2"/>
  <c r="V406" i="2"/>
  <c r="W406" i="2"/>
  <c r="X406" i="2"/>
  <c r="Y406" i="2"/>
  <c r="AA406" i="2"/>
  <c r="AB406" i="2"/>
  <c r="AD406" i="2"/>
  <c r="B407" i="2"/>
  <c r="C407" i="2"/>
  <c r="D407" i="2"/>
  <c r="E407" i="2"/>
  <c r="G407" i="2"/>
  <c r="H407" i="2"/>
  <c r="I407" i="2"/>
  <c r="J407" i="2"/>
  <c r="L407" i="2"/>
  <c r="M407" i="2"/>
  <c r="N407" i="2"/>
  <c r="O407" i="2"/>
  <c r="Q407" i="2"/>
  <c r="R407" i="2"/>
  <c r="S407" i="2"/>
  <c r="T407" i="2"/>
  <c r="V407" i="2"/>
  <c r="W407" i="2"/>
  <c r="X407" i="2"/>
  <c r="Y407" i="2"/>
  <c r="AA407" i="2"/>
  <c r="AB407" i="2"/>
  <c r="AC407" i="2"/>
  <c r="AD407" i="2"/>
  <c r="B408" i="2"/>
  <c r="C408" i="2"/>
  <c r="D408" i="2"/>
  <c r="E408" i="2"/>
  <c r="G408" i="2"/>
  <c r="H408" i="2"/>
  <c r="I408" i="2"/>
  <c r="J408" i="2"/>
  <c r="L408" i="2"/>
  <c r="M408" i="2"/>
  <c r="N408" i="2"/>
  <c r="O408" i="2"/>
  <c r="Q408" i="2"/>
  <c r="R408" i="2"/>
  <c r="S408" i="2"/>
  <c r="T408" i="2"/>
  <c r="V408" i="2"/>
  <c r="W408" i="2"/>
  <c r="X408" i="2"/>
  <c r="Y408" i="2"/>
  <c r="AA408" i="2"/>
  <c r="AB408" i="2"/>
  <c r="AC408" i="2"/>
  <c r="AD408" i="2"/>
  <c r="D416" i="2"/>
  <c r="E416" i="2"/>
  <c r="I416" i="2"/>
  <c r="J416" i="2"/>
  <c r="N416" i="2"/>
  <c r="O416" i="2"/>
  <c r="S416" i="2"/>
  <c r="T416" i="2"/>
  <c r="X416" i="2"/>
  <c r="Y416" i="2"/>
  <c r="AC416" i="2"/>
  <c r="AD416" i="2"/>
  <c r="G417" i="2"/>
  <c r="H417" i="2"/>
  <c r="I417" i="2"/>
  <c r="J417" i="2"/>
  <c r="L417" i="2"/>
  <c r="M417" i="2"/>
  <c r="N417" i="2"/>
  <c r="O417" i="2"/>
  <c r="Q417" i="2"/>
  <c r="R417" i="2"/>
  <c r="S417" i="2"/>
  <c r="T417" i="2"/>
  <c r="V417" i="2"/>
  <c r="W417" i="2"/>
  <c r="X417" i="2"/>
  <c r="Y417" i="2"/>
  <c r="AB417" i="2"/>
  <c r="AC417" i="2"/>
  <c r="AD417" i="2"/>
  <c r="K421" i="2"/>
  <c r="P421" i="2"/>
  <c r="U421" i="2"/>
  <c r="Z421" i="2"/>
  <c r="I422" i="2"/>
  <c r="J422" i="2"/>
  <c r="N422" i="2"/>
  <c r="O422" i="2"/>
  <c r="S422" i="2"/>
  <c r="T422" i="2"/>
  <c r="X422" i="2"/>
  <c r="Y422" i="2"/>
  <c r="G423" i="2"/>
  <c r="L423" i="2"/>
  <c r="M423" i="2"/>
  <c r="N423" i="2"/>
  <c r="O423" i="2"/>
  <c r="Q423" i="2"/>
  <c r="R423" i="2"/>
  <c r="S423" i="2"/>
  <c r="T423" i="2"/>
  <c r="V423" i="2"/>
  <c r="W423" i="2"/>
  <c r="X423" i="2"/>
  <c r="Y423" i="2"/>
  <c r="AA423" i="2"/>
  <c r="F436" i="2"/>
  <c r="K436" i="2"/>
  <c r="K437" i="2" s="1"/>
  <c r="P436" i="2"/>
  <c r="Z436" i="2"/>
  <c r="D437" i="2"/>
  <c r="E437" i="2"/>
  <c r="I437" i="2"/>
  <c r="J437" i="2"/>
  <c r="N437" i="2"/>
  <c r="O437" i="2"/>
  <c r="S437" i="2"/>
  <c r="T437" i="2"/>
  <c r="U437" i="2"/>
  <c r="W437" i="2"/>
  <c r="X437" i="2"/>
  <c r="Y437" i="2"/>
  <c r="G438" i="2"/>
  <c r="H438" i="2"/>
  <c r="I438" i="2"/>
  <c r="J438" i="2"/>
  <c r="L438" i="2"/>
  <c r="M438" i="2"/>
  <c r="N438" i="2"/>
  <c r="O438" i="2"/>
  <c r="Q438" i="2"/>
  <c r="R438" i="2"/>
  <c r="S438" i="2"/>
  <c r="T438" i="2"/>
  <c r="V438" i="2"/>
  <c r="W438" i="2"/>
  <c r="X438" i="2"/>
  <c r="Y438" i="2"/>
  <c r="AB438" i="2"/>
  <c r="F445" i="2"/>
  <c r="H446" i="2" s="1"/>
  <c r="K445" i="2"/>
  <c r="P445" i="2"/>
  <c r="P446" i="2" s="1"/>
  <c r="U445" i="2"/>
  <c r="Z445" i="2"/>
  <c r="D446" i="2"/>
  <c r="E446" i="2"/>
  <c r="I446" i="2"/>
  <c r="J446" i="2"/>
  <c r="N446" i="2"/>
  <c r="O446" i="2"/>
  <c r="S446" i="2"/>
  <c r="T446" i="2"/>
  <c r="X446" i="2"/>
  <c r="Y446" i="2"/>
  <c r="AC446" i="2"/>
  <c r="AD446" i="2"/>
  <c r="G447" i="2"/>
  <c r="H447" i="2"/>
  <c r="I447" i="2"/>
  <c r="J447" i="2"/>
  <c r="L447" i="2"/>
  <c r="M447" i="2"/>
  <c r="N447" i="2"/>
  <c r="O447" i="2"/>
  <c r="Q447" i="2"/>
  <c r="R447" i="2"/>
  <c r="S447" i="2"/>
  <c r="T447" i="2"/>
  <c r="V447" i="2"/>
  <c r="W447" i="2"/>
  <c r="X447" i="2"/>
  <c r="Y447" i="2"/>
  <c r="AB447" i="2"/>
  <c r="AC447" i="2"/>
  <c r="AD447" i="2"/>
  <c r="K418" i="2"/>
  <c r="P418" i="2"/>
  <c r="U418" i="2"/>
  <c r="Z418" i="2"/>
  <c r="I419" i="2"/>
  <c r="J419" i="2"/>
  <c r="N419" i="2"/>
  <c r="O419" i="2"/>
  <c r="S419" i="2"/>
  <c r="T419" i="2"/>
  <c r="X419" i="2"/>
  <c r="Y419" i="2"/>
  <c r="G420" i="2"/>
  <c r="L420" i="2"/>
  <c r="M420" i="2"/>
  <c r="N420" i="2"/>
  <c r="O420" i="2"/>
  <c r="Q420" i="2"/>
  <c r="R420" i="2"/>
  <c r="S420" i="2"/>
  <c r="T420" i="2"/>
  <c r="V420" i="2"/>
  <c r="W420" i="2"/>
  <c r="X420" i="2"/>
  <c r="Y420" i="2"/>
  <c r="AA420" i="2"/>
  <c r="K424" i="2"/>
  <c r="P424" i="2"/>
  <c r="U424" i="2"/>
  <c r="Z424" i="2"/>
  <c r="I425" i="2"/>
  <c r="J425" i="2"/>
  <c r="N425" i="2"/>
  <c r="O425" i="2"/>
  <c r="S425" i="2"/>
  <c r="T425" i="2"/>
  <c r="X425" i="2"/>
  <c r="Y425" i="2"/>
  <c r="AC425" i="2"/>
  <c r="AD425" i="2"/>
  <c r="G426" i="2"/>
  <c r="L426" i="2"/>
  <c r="M426" i="2"/>
  <c r="N426" i="2"/>
  <c r="O426" i="2"/>
  <c r="Q426" i="2"/>
  <c r="R426" i="2"/>
  <c r="S426" i="2"/>
  <c r="T426" i="2"/>
  <c r="V426" i="2"/>
  <c r="W426" i="2"/>
  <c r="X426" i="2"/>
  <c r="Y426" i="2"/>
  <c r="AA426" i="2"/>
  <c r="AB426" i="2"/>
  <c r="AC426" i="2"/>
  <c r="AD426" i="2"/>
  <c r="K427" i="2"/>
  <c r="P427" i="2"/>
  <c r="U427" i="2"/>
  <c r="Z427" i="2"/>
  <c r="I428" i="2"/>
  <c r="J428" i="2"/>
  <c r="N428" i="2"/>
  <c r="O428" i="2"/>
  <c r="S428" i="2"/>
  <c r="T428" i="2"/>
  <c r="X428" i="2"/>
  <c r="Y428" i="2"/>
  <c r="G429" i="2"/>
  <c r="L429" i="2"/>
  <c r="M429" i="2"/>
  <c r="N429" i="2"/>
  <c r="O429" i="2"/>
  <c r="Q429" i="2"/>
  <c r="R429" i="2"/>
  <c r="S429" i="2"/>
  <c r="T429" i="2"/>
  <c r="V429" i="2"/>
  <c r="W429" i="2"/>
  <c r="X429" i="2"/>
  <c r="Y429" i="2"/>
  <c r="AA429" i="2"/>
  <c r="F433" i="2"/>
  <c r="K433" i="2"/>
  <c r="P433" i="2"/>
  <c r="P434" i="2" s="1"/>
  <c r="U433" i="2"/>
  <c r="Z433" i="2"/>
  <c r="AB434" i="2" s="1"/>
  <c r="D434" i="2"/>
  <c r="E434" i="2"/>
  <c r="I434" i="2"/>
  <c r="J434" i="2"/>
  <c r="N434" i="2"/>
  <c r="O434" i="2"/>
  <c r="S434" i="2"/>
  <c r="T434" i="2"/>
  <c r="X434" i="2"/>
  <c r="Y434" i="2"/>
  <c r="AC434" i="2"/>
  <c r="AD434" i="2"/>
  <c r="G435" i="2"/>
  <c r="H435" i="2"/>
  <c r="I435" i="2"/>
  <c r="J435" i="2"/>
  <c r="L435" i="2"/>
  <c r="M435" i="2"/>
  <c r="N435" i="2"/>
  <c r="O435" i="2"/>
  <c r="Q435" i="2"/>
  <c r="R435" i="2"/>
  <c r="S435" i="2"/>
  <c r="T435" i="2"/>
  <c r="V435" i="2"/>
  <c r="W435" i="2"/>
  <c r="X435" i="2"/>
  <c r="Y435" i="2"/>
  <c r="AB435" i="2"/>
  <c r="AC435" i="2"/>
  <c r="AD435" i="2"/>
  <c r="B448" i="2"/>
  <c r="B473" i="2" s="1"/>
  <c r="C448" i="2"/>
  <c r="D448" i="2"/>
  <c r="D473" i="2" s="1"/>
  <c r="E448" i="2"/>
  <c r="G448" i="2"/>
  <c r="G473" i="2" s="1"/>
  <c r="H448" i="2"/>
  <c r="I448" i="2"/>
  <c r="I473" i="2" s="1"/>
  <c r="J448" i="2"/>
  <c r="J473" i="2" s="1"/>
  <c r="L448" i="2"/>
  <c r="L473" i="2" s="1"/>
  <c r="M448" i="2"/>
  <c r="M473" i="2" s="1"/>
  <c r="N448" i="2"/>
  <c r="O448" i="2"/>
  <c r="O450" i="2" s="1"/>
  <c r="Q448" i="2"/>
  <c r="Q473" i="2" s="1"/>
  <c r="R448" i="2"/>
  <c r="S448" i="2"/>
  <c r="T448" i="2"/>
  <c r="T450" i="2" s="1"/>
  <c r="V448" i="2"/>
  <c r="V473" i="2" s="1"/>
  <c r="X448" i="2"/>
  <c r="Y448" i="2"/>
  <c r="Y473" i="2" s="1"/>
  <c r="W449" i="2"/>
  <c r="F453" i="2"/>
  <c r="H454" i="2" s="1"/>
  <c r="K453" i="2"/>
  <c r="P453" i="2"/>
  <c r="U453" i="2"/>
  <c r="W454" i="2" s="1"/>
  <c r="Z453" i="2"/>
  <c r="D454" i="2"/>
  <c r="E454" i="2"/>
  <c r="I454" i="2"/>
  <c r="J454" i="2"/>
  <c r="N454" i="2"/>
  <c r="O454" i="2"/>
  <c r="S454" i="2"/>
  <c r="T454" i="2"/>
  <c r="X454" i="2"/>
  <c r="Y454" i="2"/>
  <c r="AC454" i="2"/>
  <c r="AD454" i="2"/>
  <c r="G455" i="2"/>
  <c r="H455" i="2"/>
  <c r="I455" i="2"/>
  <c r="J455" i="2"/>
  <c r="L455" i="2"/>
  <c r="M455" i="2"/>
  <c r="N455" i="2"/>
  <c r="O455" i="2"/>
  <c r="Q455" i="2"/>
  <c r="R455" i="2"/>
  <c r="S455" i="2"/>
  <c r="T455" i="2"/>
  <c r="V455" i="2"/>
  <c r="W455" i="2"/>
  <c r="X455" i="2"/>
  <c r="Y455" i="2"/>
  <c r="AB455" i="2"/>
  <c r="AC455" i="2"/>
  <c r="AD455" i="2"/>
  <c r="F456" i="2"/>
  <c r="K456" i="2"/>
  <c r="K457" i="2" s="1"/>
  <c r="Q456" i="2"/>
  <c r="V456" i="2"/>
  <c r="U456" i="2" s="1"/>
  <c r="U457" i="2" s="1"/>
  <c r="Z456" i="2"/>
  <c r="AB457" i="2" s="1"/>
  <c r="D457" i="2"/>
  <c r="E457" i="2"/>
  <c r="I457" i="2"/>
  <c r="J457" i="2"/>
  <c r="N457" i="2"/>
  <c r="O457" i="2"/>
  <c r="S457" i="2"/>
  <c r="T457" i="2"/>
  <c r="X457" i="2"/>
  <c r="Y457" i="2"/>
  <c r="AC457" i="2"/>
  <c r="AD457" i="2"/>
  <c r="G458" i="2"/>
  <c r="H458" i="2"/>
  <c r="I458" i="2"/>
  <c r="J458" i="2"/>
  <c r="L458" i="2"/>
  <c r="M458" i="2"/>
  <c r="N458" i="2"/>
  <c r="O458" i="2"/>
  <c r="R458" i="2"/>
  <c r="S458" i="2"/>
  <c r="T458" i="2"/>
  <c r="W458" i="2"/>
  <c r="X458" i="2"/>
  <c r="Y458" i="2"/>
  <c r="AB458" i="2"/>
  <c r="AC458" i="2"/>
  <c r="AD458" i="2"/>
  <c r="S461" i="2"/>
  <c r="D462" i="2"/>
  <c r="C465" i="2"/>
  <c r="I465" i="2"/>
  <c r="B470" i="2"/>
  <c r="G470" i="2"/>
  <c r="H470" i="2"/>
  <c r="I470" i="2"/>
  <c r="J470" i="2"/>
  <c r="L470" i="2"/>
  <c r="M470" i="2"/>
  <c r="N470" i="2"/>
  <c r="O470" i="2"/>
  <c r="Q470" i="2"/>
  <c r="R470" i="2"/>
  <c r="S470" i="2"/>
  <c r="T470" i="2"/>
  <c r="V470" i="2"/>
  <c r="W470" i="2"/>
  <c r="X470" i="2"/>
  <c r="Y470" i="2"/>
  <c r="AA470" i="2"/>
  <c r="B471" i="2"/>
  <c r="C471" i="2"/>
  <c r="D471" i="2"/>
  <c r="E471" i="2"/>
  <c r="G471" i="2"/>
  <c r="H471" i="2"/>
  <c r="I471" i="2"/>
  <c r="J471" i="2"/>
  <c r="L471" i="2"/>
  <c r="M471" i="2"/>
  <c r="N471" i="2"/>
  <c r="O471" i="2"/>
  <c r="Q471" i="2"/>
  <c r="R471" i="2"/>
  <c r="S471" i="2"/>
  <c r="T471" i="2"/>
  <c r="V471" i="2"/>
  <c r="W471" i="2"/>
  <c r="X471" i="2"/>
  <c r="Y471" i="2"/>
  <c r="AA471" i="2"/>
  <c r="AB471" i="2"/>
  <c r="B472" i="2"/>
  <c r="C472" i="2"/>
  <c r="D472" i="2"/>
  <c r="E472" i="2"/>
  <c r="G472" i="2"/>
  <c r="H472" i="2"/>
  <c r="I472" i="2"/>
  <c r="J472" i="2"/>
  <c r="L472" i="2"/>
  <c r="M472" i="2"/>
  <c r="N472" i="2"/>
  <c r="O472" i="2"/>
  <c r="Q472" i="2"/>
  <c r="R472" i="2"/>
  <c r="S472" i="2"/>
  <c r="T472" i="2"/>
  <c r="V472" i="2"/>
  <c r="W472" i="2"/>
  <c r="X472" i="2"/>
  <c r="Y472" i="2"/>
  <c r="AB472" i="2"/>
  <c r="AC472" i="2"/>
  <c r="AD472" i="2"/>
  <c r="W473" i="2"/>
  <c r="AE326" i="2"/>
  <c r="AC406" i="2"/>
  <c r="AC471" i="2"/>
  <c r="AC381" i="2"/>
  <c r="AD380" i="2"/>
  <c r="AC365" i="2"/>
  <c r="AD364" i="2"/>
  <c r="AD215" i="2"/>
  <c r="AC380" i="2"/>
  <c r="AC437" i="2"/>
  <c r="AC438" i="2"/>
  <c r="AD334" i="2"/>
  <c r="AE394" i="2"/>
  <c r="AD448" i="2"/>
  <c r="AD471" i="2"/>
  <c r="AD438" i="2"/>
  <c r="AD437" i="2"/>
  <c r="AE332" i="2"/>
  <c r="AE436" i="2"/>
  <c r="AF448" i="2"/>
  <c r="AF473" i="2" s="1"/>
  <c r="AF438" i="2"/>
  <c r="AF471" i="2"/>
  <c r="AG402" i="2"/>
  <c r="AH422" i="2"/>
  <c r="AH470" i="2"/>
  <c r="AH215" i="2"/>
  <c r="AH296" i="2"/>
  <c r="AH364" i="2"/>
  <c r="AH385" i="2"/>
  <c r="AH391" i="2"/>
  <c r="AH365" i="2"/>
  <c r="AH380" i="2"/>
  <c r="AH407" i="2"/>
  <c r="AH381" i="2"/>
  <c r="AH313" i="2"/>
  <c r="AI216" i="2"/>
  <c r="AI377" i="2"/>
  <c r="AI391" i="2"/>
  <c r="AF365" i="2"/>
  <c r="AF406" i="2"/>
  <c r="AE454" i="2"/>
  <c r="AE379" i="2"/>
  <c r="AF381" i="2"/>
  <c r="AF407" i="2"/>
  <c r="AJ421" i="2"/>
  <c r="AJ363" i="2"/>
  <c r="AJ379" i="2"/>
  <c r="AJ360" i="2"/>
  <c r="AJ361" i="2" s="1"/>
  <c r="AJ436" i="2"/>
  <c r="AJ295" i="2"/>
  <c r="AJ296" i="2" s="1"/>
  <c r="AJ312" i="2"/>
  <c r="AG216" i="2"/>
  <c r="AJ369" i="2"/>
  <c r="AH370" i="2"/>
  <c r="AI370" i="2"/>
  <c r="AH216" i="2"/>
  <c r="AC215" i="2"/>
  <c r="AH233" i="2"/>
  <c r="AH400" i="2"/>
  <c r="AH402" i="2"/>
  <c r="AI385" i="2"/>
  <c r="AI402" i="2"/>
  <c r="AI400" i="2"/>
  <c r="AE214" i="2"/>
  <c r="AG215" i="2" s="1"/>
  <c r="AG385" i="2"/>
  <c r="AH377" i="2"/>
  <c r="AG465" i="2"/>
  <c r="AH460" i="2"/>
  <c r="AI460" i="2"/>
  <c r="AH465" i="2"/>
  <c r="AH463" i="2"/>
  <c r="U473" i="2"/>
  <c r="AI463" i="2"/>
  <c r="AI465" i="2"/>
  <c r="AH461" i="2"/>
  <c r="AC462" i="2"/>
  <c r="W392" i="2" l="1"/>
  <c r="AD460" i="2"/>
  <c r="AB399" i="2"/>
  <c r="AG401" i="2" s="1"/>
  <c r="O233" i="2"/>
  <c r="O236" i="2" s="1"/>
  <c r="R341" i="2"/>
  <c r="R340" i="2"/>
  <c r="N339" i="2"/>
  <c r="Y461" i="2"/>
  <c r="T399" i="2"/>
  <c r="T402" i="2" s="1"/>
  <c r="AI461" i="2"/>
  <c r="U460" i="2"/>
  <c r="O474" i="2"/>
  <c r="Q340" i="2"/>
  <c r="T462" i="2"/>
  <c r="T465" i="2" s="1"/>
  <c r="U466" i="2" s="1"/>
  <c r="Q279" i="2"/>
  <c r="T461" i="2"/>
  <c r="T279" i="2"/>
  <c r="P416" i="2"/>
  <c r="AD474" i="2"/>
  <c r="K158" i="2"/>
  <c r="W462" i="2"/>
  <c r="W465" i="2" s="1"/>
  <c r="W466" i="2" s="1"/>
  <c r="U472" i="2"/>
  <c r="U470" i="2"/>
  <c r="I460" i="2"/>
  <c r="AA399" i="2"/>
  <c r="AA402" i="2" s="1"/>
  <c r="P470" i="2"/>
  <c r="W460" i="2"/>
  <c r="Q462" i="2"/>
  <c r="U417" i="2"/>
  <c r="W416" i="2"/>
  <c r="U471" i="2"/>
  <c r="P471" i="2"/>
  <c r="U416" i="2"/>
  <c r="O330" i="2"/>
  <c r="W399" i="2"/>
  <c r="AF88" i="2"/>
  <c r="AF270" i="2"/>
  <c r="M347" i="2"/>
  <c r="R34" i="2"/>
  <c r="P159" i="2"/>
  <c r="AB22" i="2"/>
  <c r="Z158" i="2"/>
  <c r="AE158" i="2"/>
  <c r="U22" i="2"/>
  <c r="U158" i="2"/>
  <c r="AJ158" i="2"/>
  <c r="Q154" i="2"/>
  <c r="Q160" i="2"/>
  <c r="AB92" i="2"/>
  <c r="AB161" i="2"/>
  <c r="AG92" i="2"/>
  <c r="AG161" i="2"/>
  <c r="R22" i="2"/>
  <c r="P158" i="2"/>
  <c r="AE159" i="2"/>
  <c r="I92" i="2"/>
  <c r="I161" i="2"/>
  <c r="N92" i="2"/>
  <c r="N95" i="2" s="1"/>
  <c r="N161" i="2"/>
  <c r="AJ159" i="2"/>
  <c r="AC36" i="2"/>
  <c r="M36" i="2"/>
  <c r="AF36" i="2"/>
  <c r="AF154" i="2"/>
  <c r="Q92" i="2"/>
  <c r="Q95" i="2" s="1"/>
  <c r="AH329" i="2"/>
  <c r="AA92" i="2"/>
  <c r="AF192" i="2"/>
  <c r="AC271" i="2"/>
  <c r="S278" i="2"/>
  <c r="L399" i="2"/>
  <c r="AH36" i="2"/>
  <c r="AI37" i="2" s="1"/>
  <c r="AD36" i="2"/>
  <c r="R36" i="2"/>
  <c r="N36" i="2"/>
  <c r="AA36" i="2"/>
  <c r="AA38" i="2" s="1"/>
  <c r="AA154" i="2"/>
  <c r="G36" i="2"/>
  <c r="G154" i="2"/>
  <c r="C92" i="2"/>
  <c r="C95" i="2" s="1"/>
  <c r="M92" i="2"/>
  <c r="M95" i="2" s="1"/>
  <c r="R92" i="2"/>
  <c r="R95" i="2" s="1"/>
  <c r="W92" i="2"/>
  <c r="W95" i="2" s="1"/>
  <c r="B154" i="2"/>
  <c r="AF92" i="2"/>
  <c r="AF95" i="2" s="1"/>
  <c r="Q88" i="2"/>
  <c r="W340" i="2"/>
  <c r="AI36" i="2"/>
  <c r="W36" i="2"/>
  <c r="S36" i="2"/>
  <c r="S37" i="2" s="1"/>
  <c r="O36" i="2"/>
  <c r="V36" i="2"/>
  <c r="V154" i="2"/>
  <c r="S92" i="2"/>
  <c r="S95" i="2" s="1"/>
  <c r="X92" i="2"/>
  <c r="X95" i="2" s="1"/>
  <c r="AC92" i="2"/>
  <c r="AH92" i="2"/>
  <c r="AG36" i="2"/>
  <c r="Y36" i="2"/>
  <c r="L36" i="2"/>
  <c r="L154" i="2"/>
  <c r="L92" i="2"/>
  <c r="L95" i="2" s="1"/>
  <c r="AG331" i="2"/>
  <c r="AG334" i="2" s="1"/>
  <c r="AH335" i="2" s="1"/>
  <c r="J460" i="2"/>
  <c r="V88" i="2"/>
  <c r="X278" i="2"/>
  <c r="O399" i="2"/>
  <c r="AC278" i="2"/>
  <c r="W279" i="2"/>
  <c r="AB36" i="2"/>
  <c r="J92" i="2"/>
  <c r="J95" i="2" s="1"/>
  <c r="O92" i="2"/>
  <c r="T92" i="2"/>
  <c r="T95" i="2" s="1"/>
  <c r="Y92" i="2"/>
  <c r="Y95" i="2" s="1"/>
  <c r="AD92" i="2"/>
  <c r="AI92" i="2"/>
  <c r="H92" i="2"/>
  <c r="G461" i="2"/>
  <c r="AJ214" i="2"/>
  <c r="W49" i="2"/>
  <c r="S279" i="2"/>
  <c r="N279" i="2"/>
  <c r="Y338" i="2"/>
  <c r="J462" i="2"/>
  <c r="J463" i="2" s="1"/>
  <c r="L341" i="2"/>
  <c r="AC232" i="2"/>
  <c r="L288" i="2"/>
  <c r="Y341" i="2"/>
  <c r="O461" i="2"/>
  <c r="H340" i="2"/>
  <c r="L339" i="2"/>
  <c r="T173" i="2"/>
  <c r="B340" i="2"/>
  <c r="X330" i="2"/>
  <c r="O460" i="2"/>
  <c r="AC88" i="2"/>
  <c r="N474" i="2"/>
  <c r="AC460" i="2"/>
  <c r="W272" i="2"/>
  <c r="Y410" i="2"/>
  <c r="AJ261" i="2"/>
  <c r="O398" i="2"/>
  <c r="Y40" i="2"/>
  <c r="Z22" i="2"/>
  <c r="AE176" i="2"/>
  <c r="AE323" i="2"/>
  <c r="V371" i="2"/>
  <c r="AG232" i="2"/>
  <c r="AJ82" i="2"/>
  <c r="AJ449" i="2"/>
  <c r="L85" i="2"/>
  <c r="AJ25" i="2"/>
  <c r="AB54" i="2"/>
  <c r="V378" i="2"/>
  <c r="AD397" i="2"/>
  <c r="Z57" i="2"/>
  <c r="R399" i="2"/>
  <c r="R402" i="2" s="1"/>
  <c r="AJ462" i="2"/>
  <c r="AJ463" i="2" s="1"/>
  <c r="W60" i="2"/>
  <c r="AI338" i="2"/>
  <c r="AG398" i="2"/>
  <c r="AC371" i="2"/>
  <c r="AC449" i="2"/>
  <c r="AH48" i="2"/>
  <c r="AI340" i="2"/>
  <c r="AB279" i="2"/>
  <c r="AG225" i="2"/>
  <c r="X231" i="2"/>
  <c r="AD41" i="2"/>
  <c r="V92" i="2"/>
  <c r="V95" i="2" s="1"/>
  <c r="AA88" i="2"/>
  <c r="T460" i="2"/>
  <c r="AD461" i="2"/>
  <c r="S397" i="2"/>
  <c r="N462" i="2"/>
  <c r="N465" i="2" s="1"/>
  <c r="N467" i="2" s="1"/>
  <c r="AJ249" i="2"/>
  <c r="W339" i="2"/>
  <c r="S399" i="2"/>
  <c r="T400" i="2" s="1"/>
  <c r="R339" i="2"/>
  <c r="AB340" i="2"/>
  <c r="N338" i="2"/>
  <c r="B399" i="2"/>
  <c r="B402" i="2" s="1"/>
  <c r="K408" i="2"/>
  <c r="AB295" i="2"/>
  <c r="AB297" i="2" s="1"/>
  <c r="AJ256" i="2"/>
  <c r="AA232" i="2"/>
  <c r="O278" i="2"/>
  <c r="AE348" i="2"/>
  <c r="AF398" i="2"/>
  <c r="J173" i="2"/>
  <c r="F416" i="2"/>
  <c r="U28" i="2"/>
  <c r="J399" i="2"/>
  <c r="R338" i="2"/>
  <c r="Y232" i="2"/>
  <c r="W200" i="2"/>
  <c r="AI231" i="2"/>
  <c r="AF271" i="2"/>
  <c r="AJ63" i="2"/>
  <c r="W338" i="2"/>
  <c r="J329" i="2"/>
  <c r="I331" i="2"/>
  <c r="I332" i="2" s="1"/>
  <c r="AJ316" i="2"/>
  <c r="AJ281" i="2"/>
  <c r="AJ188" i="2"/>
  <c r="I271" i="2"/>
  <c r="N173" i="2"/>
  <c r="W174" i="2"/>
  <c r="AJ230" i="2"/>
  <c r="AJ231" i="2" s="1"/>
  <c r="AA398" i="2"/>
  <c r="H174" i="2"/>
  <c r="AC231" i="2"/>
  <c r="AH232" i="2"/>
  <c r="O339" i="2"/>
  <c r="L41" i="2"/>
  <c r="H338" i="2"/>
  <c r="O340" i="2"/>
  <c r="AJ179" i="2"/>
  <c r="AG340" i="2"/>
  <c r="AH397" i="2"/>
  <c r="AD410" i="2"/>
  <c r="AJ51" i="2"/>
  <c r="L461" i="2"/>
  <c r="J174" i="2"/>
  <c r="Q290" i="2"/>
  <c r="AI270" i="2"/>
  <c r="Y339" i="2"/>
  <c r="AH398" i="2"/>
  <c r="AC279" i="2"/>
  <c r="T340" i="2"/>
  <c r="AI331" i="2"/>
  <c r="AI333" i="2" s="1"/>
  <c r="L290" i="2"/>
  <c r="T339" i="2"/>
  <c r="M88" i="2"/>
  <c r="AD40" i="2"/>
  <c r="J271" i="2"/>
  <c r="Q288" i="2"/>
  <c r="T278" i="2"/>
  <c r="Q398" i="2"/>
  <c r="AJ255" i="2"/>
  <c r="AJ69" i="2"/>
  <c r="P348" i="2"/>
  <c r="Y340" i="2"/>
  <c r="T397" i="2"/>
  <c r="AF41" i="2"/>
  <c r="H279" i="2"/>
  <c r="O338" i="2"/>
  <c r="AA233" i="2"/>
  <c r="AA236" i="2" s="1"/>
  <c r="AF238" i="2" s="1"/>
  <c r="AJ70" i="2"/>
  <c r="AJ299" i="2"/>
  <c r="AJ57" i="2"/>
  <c r="L340" i="2"/>
  <c r="L462" i="2"/>
  <c r="L464" i="2" s="1"/>
  <c r="AB429" i="2"/>
  <c r="P406" i="2"/>
  <c r="Q339" i="2"/>
  <c r="X233" i="2"/>
  <c r="AC235" i="2" s="1"/>
  <c r="Z230" i="2"/>
  <c r="AB231" i="2" s="1"/>
  <c r="Y398" i="2"/>
  <c r="V279" i="2"/>
  <c r="W398" i="2"/>
  <c r="P409" i="2"/>
  <c r="H399" i="2"/>
  <c r="M401" i="2" s="1"/>
  <c r="AI329" i="2"/>
  <c r="AF232" i="2"/>
  <c r="P347" i="2"/>
  <c r="H341" i="2"/>
  <c r="H88" i="2"/>
  <c r="AH41" i="2"/>
  <c r="AH40" i="2"/>
  <c r="J270" i="2"/>
  <c r="N231" i="2"/>
  <c r="R41" i="2"/>
  <c r="W13" i="2"/>
  <c r="AE39" i="2"/>
  <c r="AE160" i="2" s="1"/>
  <c r="N40" i="2"/>
  <c r="L450" i="2"/>
  <c r="AG279" i="2"/>
  <c r="T398" i="2"/>
  <c r="Q461" i="2"/>
  <c r="Q399" i="2"/>
  <c r="AG338" i="2"/>
  <c r="Y278" i="2"/>
  <c r="H339" i="2"/>
  <c r="AJ324" i="2"/>
  <c r="AJ64" i="2"/>
  <c r="R88" i="2"/>
  <c r="Y279" i="2"/>
  <c r="H272" i="2"/>
  <c r="AJ189" i="2"/>
  <c r="I278" i="2"/>
  <c r="O231" i="2"/>
  <c r="T232" i="2"/>
  <c r="Y174" i="2"/>
  <c r="Q330" i="2"/>
  <c r="R330" i="2"/>
  <c r="B339" i="2"/>
  <c r="Q331" i="2"/>
  <c r="Q334" i="2" s="1"/>
  <c r="N271" i="2"/>
  <c r="K172" i="2"/>
  <c r="K173" i="2" s="1"/>
  <c r="Y270" i="2"/>
  <c r="B341" i="2"/>
  <c r="I340" i="2"/>
  <c r="T331" i="2"/>
  <c r="T334" i="2" s="1"/>
  <c r="T335" i="2" s="1"/>
  <c r="I330" i="2"/>
  <c r="I174" i="2"/>
  <c r="I279" i="2"/>
  <c r="Y88" i="2"/>
  <c r="AJ347" i="2"/>
  <c r="AB462" i="2"/>
  <c r="AG464" i="2" s="1"/>
  <c r="AB420" i="2"/>
  <c r="AE172" i="2"/>
  <c r="AE270" i="2" s="1"/>
  <c r="H232" i="2"/>
  <c r="AC173" i="2"/>
  <c r="N85" i="2"/>
  <c r="AI174" i="2"/>
  <c r="AG174" i="2"/>
  <c r="AD271" i="2"/>
  <c r="Z34" i="2"/>
  <c r="I173" i="2"/>
  <c r="AB176" i="2"/>
  <c r="Y231" i="2"/>
  <c r="AI341" i="2"/>
  <c r="Z329" i="2"/>
  <c r="D397" i="2"/>
  <c r="Z16" i="2"/>
  <c r="X331" i="2"/>
  <c r="X334" i="2" s="1"/>
  <c r="X336" i="2" s="1"/>
  <c r="AD398" i="2"/>
  <c r="AJ81" i="2"/>
  <c r="AJ326" i="2"/>
  <c r="L194" i="2"/>
  <c r="T88" i="2"/>
  <c r="I272" i="2"/>
  <c r="AI233" i="2"/>
  <c r="AI236" i="2" s="1"/>
  <c r="Q233" i="2"/>
  <c r="Q236" i="2" s="1"/>
  <c r="L330" i="2"/>
  <c r="AC95" i="2"/>
  <c r="AH88" i="2"/>
  <c r="AB271" i="2"/>
  <c r="AD272" i="2"/>
  <c r="L272" i="2"/>
  <c r="M232" i="2"/>
  <c r="AD279" i="2"/>
  <c r="M331" i="2"/>
  <c r="R333" i="2" s="1"/>
  <c r="AJ434" i="2"/>
  <c r="E329" i="2"/>
  <c r="Y329" i="2"/>
  <c r="AJ228" i="2"/>
  <c r="S174" i="2"/>
  <c r="L270" i="2"/>
  <c r="Y272" i="2"/>
  <c r="T272" i="2"/>
  <c r="Q232" i="2"/>
  <c r="AB232" i="2"/>
  <c r="AG270" i="2"/>
  <c r="Z86" i="2"/>
  <c r="AD87" i="2"/>
  <c r="W270" i="2"/>
  <c r="AB174" i="2"/>
  <c r="AD174" i="2"/>
  <c r="S216" i="2"/>
  <c r="K225" i="2"/>
  <c r="P230" i="2"/>
  <c r="R231" i="2" s="1"/>
  <c r="I339" i="2"/>
  <c r="AD340" i="2"/>
  <c r="D329" i="2"/>
  <c r="N270" i="2"/>
  <c r="AD278" i="2"/>
  <c r="T330" i="2"/>
  <c r="AJ446" i="2"/>
  <c r="AI279" i="2"/>
  <c r="L192" i="2"/>
  <c r="L271" i="2"/>
  <c r="AB302" i="2"/>
  <c r="AG271" i="2"/>
  <c r="AE302" i="2"/>
  <c r="AE284" i="2"/>
  <c r="AB182" i="2"/>
  <c r="X87" i="2"/>
  <c r="AD173" i="2"/>
  <c r="AD270" i="2"/>
  <c r="AA216" i="2"/>
  <c r="V232" i="2"/>
  <c r="I338" i="2"/>
  <c r="AD295" i="2"/>
  <c r="Y330" i="2"/>
  <c r="X329" i="2"/>
  <c r="AJ367" i="2"/>
  <c r="AJ183" i="2"/>
  <c r="I87" i="2"/>
  <c r="J397" i="2"/>
  <c r="M461" i="2"/>
  <c r="Y460" i="2"/>
  <c r="T385" i="2"/>
  <c r="T387" i="2" s="1"/>
  <c r="AI49" i="2"/>
  <c r="AG449" i="2"/>
  <c r="T231" i="2"/>
  <c r="Y87" i="2"/>
  <c r="U179" i="2"/>
  <c r="S232" i="2"/>
  <c r="J461" i="2"/>
  <c r="AB461" i="2"/>
  <c r="AI88" i="2"/>
  <c r="E462" i="2"/>
  <c r="E463" i="2" s="1"/>
  <c r="AG461" i="2"/>
  <c r="AB398" i="2"/>
  <c r="H462" i="2"/>
  <c r="H464" i="2" s="1"/>
  <c r="O88" i="2"/>
  <c r="AC397" i="2"/>
  <c r="B462" i="2"/>
  <c r="B465" i="2" s="1"/>
  <c r="R270" i="2"/>
  <c r="N233" i="2"/>
  <c r="S235" i="2" s="1"/>
  <c r="AD88" i="2"/>
  <c r="E271" i="2"/>
  <c r="AB272" i="2"/>
  <c r="AG41" i="2"/>
  <c r="AG200" i="2"/>
  <c r="AC40" i="2"/>
  <c r="U206" i="2"/>
  <c r="W394" i="2"/>
  <c r="AI87" i="2"/>
  <c r="N174" i="2"/>
  <c r="O397" i="2"/>
  <c r="AH371" i="2"/>
  <c r="H461" i="2"/>
  <c r="S462" i="2"/>
  <c r="S465" i="2" s="1"/>
  <c r="N399" i="2"/>
  <c r="U348" i="2"/>
  <c r="P417" i="2"/>
  <c r="AB273" i="2"/>
  <c r="AC273" i="2"/>
  <c r="AG222" i="2"/>
  <c r="AH49" i="2"/>
  <c r="AJ10" i="2"/>
  <c r="Q444" i="2"/>
  <c r="AC87" i="2"/>
  <c r="M174" i="2"/>
  <c r="T48" i="2"/>
  <c r="AI449" i="2"/>
  <c r="H236" i="2"/>
  <c r="M238" i="2" s="1"/>
  <c r="Z207" i="2"/>
  <c r="I222" i="2"/>
  <c r="X215" i="2"/>
  <c r="M235" i="2"/>
  <c r="AJ11" i="2"/>
  <c r="Q216" i="2"/>
  <c r="F454" i="2"/>
  <c r="AH449" i="2"/>
  <c r="U454" i="2"/>
  <c r="AI272" i="2"/>
  <c r="D332" i="2"/>
  <c r="Z423" i="2"/>
  <c r="AJ198" i="2"/>
  <c r="AG342" i="2"/>
  <c r="AC400" i="2"/>
  <c r="AJ362" i="2"/>
  <c r="AE316" i="2"/>
  <c r="AG247" i="2"/>
  <c r="AE207" i="2"/>
  <c r="P177" i="2"/>
  <c r="M299" i="2"/>
  <c r="W364" i="2"/>
  <c r="AJ16" i="2"/>
  <c r="Z206" i="2"/>
  <c r="L232" i="2"/>
  <c r="W232" i="2"/>
  <c r="U172" i="2"/>
  <c r="U270" i="2" s="1"/>
  <c r="AC330" i="2"/>
  <c r="Q49" i="2"/>
  <c r="X391" i="2"/>
  <c r="P176" i="2"/>
  <c r="P182" i="2"/>
  <c r="V216" i="2"/>
  <c r="F313" i="2"/>
  <c r="W422" i="2"/>
  <c r="U394" i="2"/>
  <c r="Z179" i="2"/>
  <c r="AJ34" i="2"/>
  <c r="AD464" i="2"/>
  <c r="U429" i="2"/>
  <c r="I215" i="2"/>
  <c r="U207" i="2"/>
  <c r="U180" i="2"/>
  <c r="E81" i="2"/>
  <c r="AF222" i="2"/>
  <c r="AI221" i="2"/>
  <c r="Z180" i="2"/>
  <c r="U422" i="2"/>
  <c r="AB293" i="2"/>
  <c r="H206" i="2"/>
  <c r="AI222" i="2"/>
  <c r="P198" i="2"/>
  <c r="K207" i="2"/>
  <c r="AJ35" i="2"/>
  <c r="N88" i="2"/>
  <c r="E84" i="2"/>
  <c r="I40" i="2"/>
  <c r="AE17" i="2"/>
  <c r="AE189" i="2"/>
  <c r="AI342" i="2"/>
  <c r="AE177" i="2"/>
  <c r="AG81" i="2"/>
  <c r="T40" i="2"/>
  <c r="Z203" i="2"/>
  <c r="AA222" i="2"/>
  <c r="L229" i="2"/>
  <c r="P408" i="2"/>
  <c r="Y385" i="2"/>
  <c r="T473" i="2"/>
  <c r="P386" i="2"/>
  <c r="Y334" i="2"/>
  <c r="AD336" i="2" s="1"/>
  <c r="M385" i="2"/>
  <c r="M409" i="2" s="1"/>
  <c r="AE82" i="2"/>
  <c r="S48" i="2"/>
  <c r="AF229" i="2"/>
  <c r="AC234" i="2"/>
  <c r="AB402" i="2"/>
  <c r="AG404" i="2" s="1"/>
  <c r="G311" i="2"/>
  <c r="O334" i="2"/>
  <c r="O336" i="2" s="1"/>
  <c r="AI40" i="2"/>
  <c r="N216" i="2"/>
  <c r="H271" i="2"/>
  <c r="Q222" i="2"/>
  <c r="AE81" i="2"/>
  <c r="AI41" i="2"/>
  <c r="Z201" i="2"/>
  <c r="F227" i="2"/>
  <c r="H228" i="2" s="1"/>
  <c r="Q272" i="2"/>
  <c r="AB66" i="2"/>
  <c r="AG252" i="2"/>
  <c r="U69" i="2"/>
  <c r="Z58" i="2"/>
  <c r="AC48" i="2"/>
  <c r="U14" i="2"/>
  <c r="AJ391" i="2"/>
  <c r="I311" i="2"/>
  <c r="AB41" i="2"/>
  <c r="G232" i="2"/>
  <c r="AG179" i="2"/>
  <c r="W41" i="2"/>
  <c r="W81" i="2"/>
  <c r="Z51" i="2"/>
  <c r="Y271" i="2"/>
  <c r="AJ48" i="2"/>
  <c r="I310" i="2"/>
  <c r="AF384" i="2"/>
  <c r="S41" i="2"/>
  <c r="V458" i="2"/>
  <c r="U455" i="2"/>
  <c r="J341" i="2"/>
  <c r="AE29" i="2"/>
  <c r="AG48" i="2"/>
  <c r="AE369" i="2"/>
  <c r="AG370" i="2" s="1"/>
  <c r="AJ23" i="2"/>
  <c r="AJ177" i="2"/>
  <c r="Z39" i="2"/>
  <c r="U39" i="2"/>
  <c r="U160" i="2" s="1"/>
  <c r="AE361" i="2"/>
  <c r="N397" i="2"/>
  <c r="O318" i="2"/>
  <c r="O320" i="2" s="1"/>
  <c r="AI48" i="2"/>
  <c r="AJ39" i="2"/>
  <c r="AJ40" i="2" s="1"/>
  <c r="AE34" i="2"/>
  <c r="O40" i="2"/>
  <c r="X40" i="2"/>
  <c r="AJ225" i="2"/>
  <c r="AF408" i="2"/>
  <c r="O473" i="2"/>
  <c r="AE383" i="2"/>
  <c r="AA41" i="2"/>
  <c r="AF362" i="2"/>
  <c r="P284" i="2"/>
  <c r="AG318" i="2"/>
  <c r="AH319" i="2" s="1"/>
  <c r="AC423" i="2"/>
  <c r="S221" i="2"/>
  <c r="U267" i="2"/>
  <c r="R461" i="2"/>
  <c r="I318" i="2"/>
  <c r="K318" i="2" s="1"/>
  <c r="K319" i="2" s="1"/>
  <c r="O311" i="2"/>
  <c r="AJ226" i="2"/>
  <c r="AF399" i="2"/>
  <c r="AF402" i="2" s="1"/>
  <c r="AE226" i="2"/>
  <c r="P207" i="2"/>
  <c r="T41" i="2"/>
  <c r="S40" i="2"/>
  <c r="W296" i="2"/>
  <c r="U449" i="2"/>
  <c r="AB316" i="2"/>
  <c r="F316" i="2"/>
  <c r="AC470" i="2"/>
  <c r="T319" i="2"/>
  <c r="Z183" i="2"/>
  <c r="J84" i="2"/>
  <c r="Z29" i="2"/>
  <c r="U82" i="2"/>
  <c r="AG450" i="2"/>
  <c r="AB473" i="2"/>
  <c r="D385" i="2"/>
  <c r="D409" i="2" s="1"/>
  <c r="D377" i="2"/>
  <c r="R323" i="2"/>
  <c r="P323" i="2"/>
  <c r="AB261" i="2"/>
  <c r="Z261" i="2"/>
  <c r="Z252" i="2"/>
  <c r="AB252" i="2"/>
  <c r="P28" i="2"/>
  <c r="R28" i="2"/>
  <c r="AB13" i="2"/>
  <c r="Z14" i="2"/>
  <c r="Z369" i="2"/>
  <c r="Z370" i="2" s="1"/>
  <c r="AF371" i="2"/>
  <c r="AG217" i="2"/>
  <c r="AJ220" i="2"/>
  <c r="AI246" i="2"/>
  <c r="AH246" i="2"/>
  <c r="O87" i="2"/>
  <c r="U86" i="2"/>
  <c r="T87" i="2"/>
  <c r="S88" i="2"/>
  <c r="I233" i="2"/>
  <c r="K233" i="2" s="1"/>
  <c r="K234" i="2" s="1"/>
  <c r="I231" i="2"/>
  <c r="AD232" i="2"/>
  <c r="AD233" i="2"/>
  <c r="AD236" i="2" s="1"/>
  <c r="AD238" i="2" s="1"/>
  <c r="AI232" i="2"/>
  <c r="AJ172" i="2"/>
  <c r="AJ270" i="2" s="1"/>
  <c r="S330" i="2"/>
  <c r="N331" i="2"/>
  <c r="S333" i="2" s="1"/>
  <c r="AH339" i="2"/>
  <c r="AI278" i="2"/>
  <c r="P297" i="2"/>
  <c r="AG272" i="2"/>
  <c r="AJ207" i="2"/>
  <c r="AE230" i="2"/>
  <c r="AE249" i="2"/>
  <c r="U327" i="2"/>
  <c r="U326" i="2"/>
  <c r="P229" i="2"/>
  <c r="K228" i="2"/>
  <c r="P225" i="2"/>
  <c r="P226" i="2"/>
  <c r="M272" i="2"/>
  <c r="Z200" i="2"/>
  <c r="AB200" i="2"/>
  <c r="AB197" i="2"/>
  <c r="Z197" i="2"/>
  <c r="AB216" i="2"/>
  <c r="W271" i="2"/>
  <c r="O216" i="2"/>
  <c r="O271" i="2"/>
  <c r="O215" i="2"/>
  <c r="I216" i="2"/>
  <c r="J215" i="2"/>
  <c r="D271" i="2"/>
  <c r="D215" i="2"/>
  <c r="W188" i="2"/>
  <c r="U189" i="2"/>
  <c r="Z189" i="2"/>
  <c r="U188" i="2"/>
  <c r="M182" i="2"/>
  <c r="K182" i="2"/>
  <c r="P183" i="2"/>
  <c r="M176" i="2"/>
  <c r="K176" i="2"/>
  <c r="Z69" i="2"/>
  <c r="Z70" i="2"/>
  <c r="AB25" i="2"/>
  <c r="Z25" i="2"/>
  <c r="Z26" i="2"/>
  <c r="R16" i="2"/>
  <c r="P16" i="2"/>
  <c r="P34" i="2"/>
  <c r="P10" i="2"/>
  <c r="AE14" i="2"/>
  <c r="AJ52" i="2"/>
  <c r="AG51" i="2"/>
  <c r="AG57" i="2"/>
  <c r="AJ58" i="2"/>
  <c r="AE58" i="2"/>
  <c r="AG63" i="2"/>
  <c r="AE63" i="2"/>
  <c r="AG69" i="2"/>
  <c r="AE69" i="2"/>
  <c r="AE70" i="2"/>
  <c r="AE182" i="2"/>
  <c r="AE183" i="2"/>
  <c r="AG206" i="2"/>
  <c r="AE206" i="2"/>
  <c r="AE201" i="2"/>
  <c r="W370" i="2"/>
  <c r="U370" i="2"/>
  <c r="U371" i="2"/>
  <c r="AH420" i="2"/>
  <c r="AC419" i="2"/>
  <c r="AD419" i="2"/>
  <c r="AC420" i="2"/>
  <c r="AI429" i="2"/>
  <c r="AD429" i="2"/>
  <c r="AJ385" i="2"/>
  <c r="D463" i="2"/>
  <c r="I464" i="2"/>
  <c r="D465" i="2"/>
  <c r="Z309" i="2"/>
  <c r="Z310" i="2" s="1"/>
  <c r="X311" i="2"/>
  <c r="X310" i="2"/>
  <c r="W34" i="2"/>
  <c r="U34" i="2"/>
  <c r="W10" i="2"/>
  <c r="U11" i="2"/>
  <c r="AG299" i="2"/>
  <c r="AE299" i="2"/>
  <c r="O173" i="2"/>
  <c r="O272" i="2"/>
  <c r="M338" i="2"/>
  <c r="N278" i="2"/>
  <c r="AC461" i="2"/>
  <c r="I397" i="2"/>
  <c r="G330" i="2"/>
  <c r="AJ245" i="2"/>
  <c r="AE472" i="2"/>
  <c r="R174" i="2"/>
  <c r="U255" i="2"/>
  <c r="Y310" i="2"/>
  <c r="Z13" i="2"/>
  <c r="F309" i="2"/>
  <c r="P324" i="2"/>
  <c r="Z299" i="2"/>
  <c r="X460" i="2"/>
  <c r="M270" i="2"/>
  <c r="E460" i="2"/>
  <c r="W326" i="2"/>
  <c r="V271" i="2"/>
  <c r="W264" i="2"/>
  <c r="S473" i="2"/>
  <c r="T449" i="2"/>
  <c r="N378" i="2"/>
  <c r="I378" i="2"/>
  <c r="S311" i="2"/>
  <c r="N311" i="2"/>
  <c r="R296" i="2"/>
  <c r="U297" i="2"/>
  <c r="W16" i="2"/>
  <c r="U17" i="2"/>
  <c r="Z17" i="2"/>
  <c r="K22" i="2"/>
  <c r="M22" i="2"/>
  <c r="K23" i="2"/>
  <c r="AG28" i="2"/>
  <c r="AE28" i="2"/>
  <c r="AJ29" i="2"/>
  <c r="AJ447" i="2"/>
  <c r="AE446" i="2"/>
  <c r="AJ458" i="2"/>
  <c r="J87" i="2"/>
  <c r="Y173" i="2"/>
  <c r="X173" i="2"/>
  <c r="AA270" i="2"/>
  <c r="AA174" i="2"/>
  <c r="AA272" i="2"/>
  <c r="Z172" i="2"/>
  <c r="AB173" i="2" s="1"/>
  <c r="AH270" i="2"/>
  <c r="AH173" i="2"/>
  <c r="K348" i="2"/>
  <c r="F347" i="2"/>
  <c r="F407" i="2"/>
  <c r="H347" i="2"/>
  <c r="U29" i="2"/>
  <c r="AJ317" i="2"/>
  <c r="AH247" i="2"/>
  <c r="AJ300" i="2"/>
  <c r="K230" i="2"/>
  <c r="U35" i="2"/>
  <c r="P86" i="2"/>
  <c r="T174" i="2"/>
  <c r="K86" i="2"/>
  <c r="K161" i="2" s="1"/>
  <c r="AE416" i="2"/>
  <c r="Y450" i="2"/>
  <c r="Z300" i="2"/>
  <c r="AE317" i="2"/>
  <c r="AH221" i="2"/>
  <c r="AJ303" i="2"/>
  <c r="AJ282" i="2"/>
  <c r="AD231" i="2"/>
  <c r="AJ14" i="2"/>
  <c r="I84" i="2"/>
  <c r="S87" i="2"/>
  <c r="O174" i="2"/>
  <c r="AA271" i="2"/>
  <c r="I377" i="2"/>
  <c r="W347" i="2"/>
  <c r="K417" i="2"/>
  <c r="Q41" i="2"/>
  <c r="L333" i="2"/>
  <c r="P39" i="2"/>
  <c r="P160" i="2" s="1"/>
  <c r="R419" i="2"/>
  <c r="P419" i="2"/>
  <c r="R437" i="2"/>
  <c r="P437" i="2"/>
  <c r="V217" i="2"/>
  <c r="AA219" i="2" s="1"/>
  <c r="V272" i="2"/>
  <c r="AI420" i="2"/>
  <c r="AD420" i="2"/>
  <c r="AG423" i="2"/>
  <c r="AB470" i="2"/>
  <c r="AC422" i="2"/>
  <c r="K471" i="2"/>
  <c r="J377" i="2"/>
  <c r="P302" i="2"/>
  <c r="R302" i="2"/>
  <c r="J235" i="2"/>
  <c r="AC41" i="2"/>
  <c r="H398" i="2"/>
  <c r="J272" i="2"/>
  <c r="U198" i="2"/>
  <c r="W216" i="2"/>
  <c r="N215" i="2"/>
  <c r="L216" i="2"/>
  <c r="B271" i="2"/>
  <c r="AE64" i="2"/>
  <c r="D81" i="2"/>
  <c r="U26" i="2"/>
  <c r="AJ285" i="2"/>
  <c r="AE294" i="2"/>
  <c r="AB422" i="2"/>
  <c r="S398" i="2"/>
  <c r="Y377" i="2"/>
  <c r="T377" i="2"/>
  <c r="K309" i="2"/>
  <c r="K310" i="2" s="1"/>
  <c r="AI247" i="2"/>
  <c r="E215" i="2"/>
  <c r="AD48" i="2"/>
  <c r="U66" i="2"/>
  <c r="Z67" i="2"/>
  <c r="R13" i="2"/>
  <c r="P13" i="2"/>
  <c r="AG25" i="2"/>
  <c r="AE25" i="2"/>
  <c r="AG258" i="2"/>
  <c r="AE258" i="2"/>
  <c r="AJ262" i="2"/>
  <c r="AG261" i="2"/>
  <c r="AE261" i="2"/>
  <c r="AE262" i="2"/>
  <c r="AJ435" i="2"/>
  <c r="AE434" i="2"/>
  <c r="AF392" i="2"/>
  <c r="AE390" i="2"/>
  <c r="AG391" i="2" s="1"/>
  <c r="X36" i="2"/>
  <c r="X41" i="2"/>
  <c r="T36" i="2"/>
  <c r="Y41" i="2"/>
  <c r="Q36" i="2"/>
  <c r="Q38" i="2" s="1"/>
  <c r="V41" i="2"/>
  <c r="N87" i="2"/>
  <c r="X88" i="2"/>
  <c r="AE86" i="2"/>
  <c r="AJ86" i="2"/>
  <c r="AJ161" i="2" s="1"/>
  <c r="AG88" i="2"/>
  <c r="AH87" i="2"/>
  <c r="F230" i="2"/>
  <c r="G233" i="2"/>
  <c r="G235" i="2" s="1"/>
  <c r="I232" i="2"/>
  <c r="J231" i="2"/>
  <c r="N232" i="2"/>
  <c r="P172" i="2"/>
  <c r="P173" i="2" s="1"/>
  <c r="R233" i="2"/>
  <c r="R235" i="2" s="1"/>
  <c r="S231" i="2"/>
  <c r="R232" i="2"/>
  <c r="U230" i="2"/>
  <c r="W231" i="2" s="1"/>
  <c r="V194" i="2"/>
  <c r="V192" i="2"/>
  <c r="V270" i="2"/>
  <c r="V174" i="2"/>
  <c r="AC174" i="2"/>
  <c r="X270" i="2"/>
  <c r="X174" i="2"/>
  <c r="AA194" i="2"/>
  <c r="AF174" i="2"/>
  <c r="AA192" i="2"/>
  <c r="AH272" i="2"/>
  <c r="AH271" i="2"/>
  <c r="AH174" i="2"/>
  <c r="AI173" i="2"/>
  <c r="F277" i="2"/>
  <c r="G338" i="2"/>
  <c r="L279" i="2"/>
  <c r="G279" i="2"/>
  <c r="G340" i="2"/>
  <c r="G290" i="2"/>
  <c r="G288" i="2"/>
  <c r="J342" i="2"/>
  <c r="O279" i="2"/>
  <c r="J338" i="2"/>
  <c r="J279" i="2"/>
  <c r="J340" i="2"/>
  <c r="J339" i="2"/>
  <c r="J278" i="2"/>
  <c r="M340" i="2"/>
  <c r="M279" i="2"/>
  <c r="M339" i="2"/>
  <c r="R279" i="2"/>
  <c r="N329" i="2"/>
  <c r="N330" i="2"/>
  <c r="O329" i="2"/>
  <c r="V342" i="2"/>
  <c r="AA330" i="2"/>
  <c r="V330" i="2"/>
  <c r="V331" i="2"/>
  <c r="AA342" i="2"/>
  <c r="AA338" i="2"/>
  <c r="AA339" i="2"/>
  <c r="AA290" i="2"/>
  <c r="AA288" i="2"/>
  <c r="AA340" i="2"/>
  <c r="AE328" i="2"/>
  <c r="AE330" i="2" s="1"/>
  <c r="AC329" i="2"/>
  <c r="AC331" i="2"/>
  <c r="AH330" i="2"/>
  <c r="AD329" i="2"/>
  <c r="AH342" i="2"/>
  <c r="AH278" i="2"/>
  <c r="AH279" i="2"/>
  <c r="AH340" i="2"/>
  <c r="AH338" i="2"/>
  <c r="G410" i="2"/>
  <c r="G399" i="2"/>
  <c r="L398" i="2"/>
  <c r="G398" i="2"/>
  <c r="I410" i="2"/>
  <c r="I399" i="2"/>
  <c r="I401" i="2" s="1"/>
  <c r="N398" i="2"/>
  <c r="I398" i="2"/>
  <c r="M410" i="2"/>
  <c r="R398" i="2"/>
  <c r="M398" i="2"/>
  <c r="U406" i="2"/>
  <c r="U347" i="2"/>
  <c r="V410" i="2"/>
  <c r="V399" i="2"/>
  <c r="V398" i="2"/>
  <c r="X410" i="2"/>
  <c r="X399" i="2"/>
  <c r="X402" i="2" s="1"/>
  <c r="X397" i="2"/>
  <c r="X398" i="2"/>
  <c r="AC398" i="2"/>
  <c r="Y397" i="2"/>
  <c r="AE347" i="2"/>
  <c r="AE408" i="2"/>
  <c r="AG347" i="2"/>
  <c r="AJ348" i="2"/>
  <c r="AF410" i="2"/>
  <c r="D474" i="2"/>
  <c r="D460" i="2"/>
  <c r="M416" i="2"/>
  <c r="K416" i="2"/>
  <c r="K472" i="2"/>
  <c r="N460" i="2"/>
  <c r="M462" i="2"/>
  <c r="M465" i="2" s="1"/>
  <c r="R474" i="2"/>
  <c r="S460" i="2"/>
  <c r="W461" i="2"/>
  <c r="R462" i="2"/>
  <c r="R465" i="2" s="1"/>
  <c r="V474" i="2"/>
  <c r="V462" i="2"/>
  <c r="V465" i="2" s="1"/>
  <c r="V461" i="2"/>
  <c r="X461" i="2"/>
  <c r="X462" i="2"/>
  <c r="X465" i="2" s="1"/>
  <c r="AF474" i="2"/>
  <c r="AF461" i="2"/>
  <c r="AJ416" i="2"/>
  <c r="AJ473" i="2"/>
  <c r="AJ417" i="2"/>
  <c r="AJ472" i="2"/>
  <c r="W281" i="2"/>
  <c r="AB246" i="2"/>
  <c r="AE303" i="2"/>
  <c r="Y215" i="2"/>
  <c r="AB392" i="2"/>
  <c r="AG392" i="2"/>
  <c r="G385" i="2"/>
  <c r="G378" i="2"/>
  <c r="P367" i="2"/>
  <c r="R367" i="2"/>
  <c r="U368" i="2"/>
  <c r="AJ31" i="2"/>
  <c r="R31" i="2"/>
  <c r="P31" i="2"/>
  <c r="AB323" i="2"/>
  <c r="Z323" i="2"/>
  <c r="AE324" i="2"/>
  <c r="H323" i="2"/>
  <c r="F323" i="2"/>
  <c r="R293" i="2"/>
  <c r="P293" i="2"/>
  <c r="K296" i="2"/>
  <c r="M296" i="2"/>
  <c r="AB249" i="2"/>
  <c r="Z249" i="2"/>
  <c r="AB225" i="2"/>
  <c r="Z225" i="2"/>
  <c r="P189" i="2"/>
  <c r="U49" i="2"/>
  <c r="G216" i="2"/>
  <c r="Z64" i="2"/>
  <c r="AE435" i="2"/>
  <c r="U183" i="2"/>
  <c r="W66" i="2"/>
  <c r="AB63" i="2"/>
  <c r="Z177" i="2"/>
  <c r="M188" i="2"/>
  <c r="K324" i="2"/>
  <c r="S450" i="2"/>
  <c r="AE268" i="2"/>
  <c r="W299" i="2"/>
  <c r="Q458" i="2"/>
  <c r="P456" i="2"/>
  <c r="R457" i="2" s="1"/>
  <c r="R454" i="2"/>
  <c r="P454" i="2"/>
  <c r="N450" i="2"/>
  <c r="O449" i="2"/>
  <c r="N473" i="2"/>
  <c r="U423" i="2"/>
  <c r="R422" i="2"/>
  <c r="C402" i="2"/>
  <c r="D400" i="2"/>
  <c r="AJ60" i="2"/>
  <c r="AJ176" i="2"/>
  <c r="AJ457" i="2"/>
  <c r="K395" i="2"/>
  <c r="F376" i="2"/>
  <c r="F377" i="2" s="1"/>
  <c r="F408" i="2"/>
  <c r="U300" i="2"/>
  <c r="Z250" i="2"/>
  <c r="G341" i="2"/>
  <c r="AC391" i="2"/>
  <c r="S391" i="2"/>
  <c r="U438" i="2"/>
  <c r="Y391" i="2"/>
  <c r="AJ328" i="2"/>
  <c r="AJ277" i="2"/>
  <c r="AC246" i="2"/>
  <c r="AI403" i="2"/>
  <c r="K458" i="2"/>
  <c r="M457" i="2"/>
  <c r="C473" i="2"/>
  <c r="D449" i="2"/>
  <c r="R428" i="2"/>
  <c r="P428" i="2"/>
  <c r="K425" i="2"/>
  <c r="M425" i="2"/>
  <c r="Z419" i="2"/>
  <c r="AB419" i="2"/>
  <c r="H437" i="2"/>
  <c r="F471" i="2"/>
  <c r="F437" i="2"/>
  <c r="K422" i="2"/>
  <c r="M422" i="2"/>
  <c r="Y402" i="2"/>
  <c r="AB385" i="2"/>
  <c r="AC386" i="2" s="1"/>
  <c r="AG378" i="2"/>
  <c r="P370" i="2"/>
  <c r="R370" i="2"/>
  <c r="AB383" i="2"/>
  <c r="AE384" i="2"/>
  <c r="P407" i="2"/>
  <c r="P380" i="2"/>
  <c r="U381" i="2"/>
  <c r="R380" i="2"/>
  <c r="AE364" i="2"/>
  <c r="AE406" i="2"/>
  <c r="K364" i="2"/>
  <c r="K406" i="2"/>
  <c r="AB334" i="2"/>
  <c r="S332" i="2"/>
  <c r="R334" i="2"/>
  <c r="S335" i="2" s="1"/>
  <c r="W333" i="2"/>
  <c r="AF320" i="2"/>
  <c r="Z318" i="2"/>
  <c r="Z319" i="2" s="1"/>
  <c r="S341" i="2"/>
  <c r="S319" i="2"/>
  <c r="AC310" i="2"/>
  <c r="U303" i="2"/>
  <c r="Z303" i="2"/>
  <c r="S236" i="2"/>
  <c r="T234" i="2"/>
  <c r="V229" i="2"/>
  <c r="Q229" i="2"/>
  <c r="U224" i="2"/>
  <c r="W226" i="2"/>
  <c r="AC222" i="2"/>
  <c r="AC221" i="2"/>
  <c r="X222" i="2"/>
  <c r="X272" i="2"/>
  <c r="Y221" i="2"/>
  <c r="S217" i="2"/>
  <c r="U220" i="2"/>
  <c r="U221" i="2" s="1"/>
  <c r="S272" i="2"/>
  <c r="S222" i="2"/>
  <c r="N217" i="2"/>
  <c r="N221" i="2"/>
  <c r="N272" i="2"/>
  <c r="N222" i="2"/>
  <c r="I217" i="2"/>
  <c r="I221" i="2"/>
  <c r="D272" i="2"/>
  <c r="F220" i="2"/>
  <c r="D221" i="2"/>
  <c r="K209" i="2"/>
  <c r="P210" i="2"/>
  <c r="P201" i="2"/>
  <c r="M200" i="2"/>
  <c r="K198" i="2"/>
  <c r="K197" i="2"/>
  <c r="M197" i="2"/>
  <c r="K470" i="2"/>
  <c r="AG380" i="2"/>
  <c r="AE407" i="2"/>
  <c r="AE380" i="2"/>
  <c r="AH409" i="2"/>
  <c r="AH386" i="2"/>
  <c r="AH387" i="2"/>
  <c r="AC465" i="2"/>
  <c r="AD463" i="2"/>
  <c r="M364" i="2"/>
  <c r="AI386" i="2"/>
  <c r="AI409" i="2"/>
  <c r="AB235" i="2"/>
  <c r="W236" i="2"/>
  <c r="AB238" i="2" s="1"/>
  <c r="E409" i="2"/>
  <c r="L334" i="2"/>
  <c r="L336" i="2" s="1"/>
  <c r="X271" i="2"/>
  <c r="AC342" i="2"/>
  <c r="Z214" i="2"/>
  <c r="AC216" i="2"/>
  <c r="AF235" i="2"/>
  <c r="H320" i="2"/>
  <c r="AE300" i="2"/>
  <c r="P285" i="2"/>
  <c r="AE418" i="2"/>
  <c r="AG419" i="2" s="1"/>
  <c r="AC428" i="2"/>
  <c r="AE421" i="2"/>
  <c r="AJ423" i="2" s="1"/>
  <c r="K328" i="2"/>
  <c r="AB333" i="2"/>
  <c r="E221" i="2"/>
  <c r="AF49" i="2"/>
  <c r="Z82" i="2"/>
  <c r="AE26" i="2"/>
  <c r="AE253" i="2"/>
  <c r="AF85" i="2"/>
  <c r="Z32" i="2"/>
  <c r="K302" i="2"/>
  <c r="H473" i="2"/>
  <c r="H450" i="2"/>
  <c r="K434" i="2"/>
  <c r="P435" i="2"/>
  <c r="M434" i="2"/>
  <c r="P303" i="2"/>
  <c r="W341" i="2"/>
  <c r="P81" i="2"/>
  <c r="R81" i="2"/>
  <c r="V318" i="2"/>
  <c r="U318" i="2" s="1"/>
  <c r="U309" i="2"/>
  <c r="AA311" i="2"/>
  <c r="U293" i="2"/>
  <c r="Z294" i="2"/>
  <c r="U316" i="2"/>
  <c r="Z317" i="2"/>
  <c r="W316" i="2"/>
  <c r="B217" i="2"/>
  <c r="B272" i="2"/>
  <c r="R206" i="2"/>
  <c r="P206" i="2"/>
  <c r="P188" i="2"/>
  <c r="R188" i="2"/>
  <c r="R179" i="2"/>
  <c r="P179" i="2"/>
  <c r="U57" i="2"/>
  <c r="W57" i="2"/>
  <c r="U428" i="2"/>
  <c r="W428" i="2"/>
  <c r="P425" i="2"/>
  <c r="P426" i="2"/>
  <c r="K419" i="2"/>
  <c r="P420" i="2"/>
  <c r="M419" i="2"/>
  <c r="F472" i="2"/>
  <c r="K447" i="2"/>
  <c r="P438" i="2"/>
  <c r="M437" i="2"/>
  <c r="K438" i="2"/>
  <c r="P422" i="2"/>
  <c r="P423" i="2"/>
  <c r="M394" i="2"/>
  <c r="P395" i="2"/>
  <c r="N409" i="2"/>
  <c r="O386" i="2"/>
  <c r="AH378" i="2"/>
  <c r="AC377" i="2"/>
  <c r="AC378" i="2"/>
  <c r="X378" i="2"/>
  <c r="X385" i="2"/>
  <c r="X409" i="2" s="1"/>
  <c r="S385" i="2"/>
  <c r="S377" i="2"/>
  <c r="S378" i="2"/>
  <c r="M361" i="2"/>
  <c r="K361" i="2"/>
  <c r="U380" i="2"/>
  <c r="U407" i="2"/>
  <c r="N41" i="2"/>
  <c r="I41" i="2"/>
  <c r="D40" i="2"/>
  <c r="Z28" i="2"/>
  <c r="AB28" i="2"/>
  <c r="AF217" i="2"/>
  <c r="AF219" i="2" s="1"/>
  <c r="AF272" i="2"/>
  <c r="Q392" i="2"/>
  <c r="U294" i="2"/>
  <c r="U201" i="2"/>
  <c r="F214" i="2"/>
  <c r="L82" i="2"/>
  <c r="F80" i="2"/>
  <c r="AE55" i="2"/>
  <c r="AE67" i="2"/>
  <c r="AF462" i="2"/>
  <c r="AJ85" i="2"/>
  <c r="AG364" i="2"/>
  <c r="AH234" i="2"/>
  <c r="AD423" i="2"/>
  <c r="L311" i="2"/>
  <c r="P317" i="2"/>
  <c r="K214" i="2"/>
  <c r="Z31" i="2"/>
  <c r="E86" i="2"/>
  <c r="H273" i="2"/>
  <c r="H474" i="2"/>
  <c r="AJ22" i="2"/>
  <c r="AJ258" i="2"/>
  <c r="AC295" i="2"/>
  <c r="AC297" i="2" s="1"/>
  <c r="F31" i="2"/>
  <c r="B86" i="2"/>
  <c r="G172" i="2"/>
  <c r="G273" i="2" s="1"/>
  <c r="AD465" i="2"/>
  <c r="AI467" i="2" s="1"/>
  <c r="AI464" i="2"/>
  <c r="F457" i="2"/>
  <c r="H457" i="2"/>
  <c r="AE455" i="2"/>
  <c r="AB454" i="2"/>
  <c r="M454" i="2"/>
  <c r="K454" i="2"/>
  <c r="P455" i="2"/>
  <c r="R473" i="2"/>
  <c r="R450" i="2"/>
  <c r="S449" i="2"/>
  <c r="M450" i="2"/>
  <c r="P448" i="2"/>
  <c r="P473" i="2" s="1"/>
  <c r="N449" i="2"/>
  <c r="L378" i="2"/>
  <c r="L385" i="2"/>
  <c r="L409" i="2" s="1"/>
  <c r="AF409" i="2"/>
  <c r="AF387" i="2"/>
  <c r="W385" i="2"/>
  <c r="AB378" i="2"/>
  <c r="T217" i="2"/>
  <c r="T222" i="2"/>
  <c r="T221" i="2"/>
  <c r="O217" i="2"/>
  <c r="P220" i="2"/>
  <c r="O221" i="2"/>
  <c r="R209" i="2"/>
  <c r="U210" i="2"/>
  <c r="P209" i="2"/>
  <c r="P197" i="2"/>
  <c r="R197" i="2"/>
  <c r="S215" i="2"/>
  <c r="U214" i="2"/>
  <c r="U215" i="2" s="1"/>
  <c r="R216" i="2"/>
  <c r="R271" i="2"/>
  <c r="P214" i="2"/>
  <c r="M216" i="2"/>
  <c r="M271" i="2"/>
  <c r="M206" i="2"/>
  <c r="K206" i="2"/>
  <c r="P180" i="2"/>
  <c r="M179" i="2"/>
  <c r="U176" i="2"/>
  <c r="U177" i="2"/>
  <c r="Z55" i="2"/>
  <c r="W54" i="2"/>
  <c r="M41" i="2"/>
  <c r="H41" i="2"/>
  <c r="K39" i="2"/>
  <c r="K160" i="2" s="1"/>
  <c r="K13" i="2"/>
  <c r="M13" i="2"/>
  <c r="P14" i="2"/>
  <c r="AB34" i="2"/>
  <c r="Z35" i="2"/>
  <c r="P22" i="2"/>
  <c r="P23" i="2"/>
  <c r="Z11" i="2"/>
  <c r="AB10" i="2"/>
  <c r="AE10" i="2"/>
  <c r="AE11" i="2"/>
  <c r="AE35" i="2"/>
  <c r="AG34" i="2"/>
  <c r="AJ17" i="2"/>
  <c r="AE16" i="2"/>
  <c r="AJ180" i="2"/>
  <c r="AE180" i="2"/>
  <c r="AE188" i="2"/>
  <c r="AG188" i="2"/>
  <c r="AE198" i="2"/>
  <c r="AG197" i="2"/>
  <c r="M334" i="2"/>
  <c r="M402" i="2"/>
  <c r="U434" i="2"/>
  <c r="W434" i="2"/>
  <c r="AI392" i="2"/>
  <c r="AD391" i="2"/>
  <c r="T391" i="2"/>
  <c r="T392" i="2"/>
  <c r="N392" i="2"/>
  <c r="N391" i="2"/>
  <c r="S392" i="2"/>
  <c r="F391" i="2"/>
  <c r="H391" i="2"/>
  <c r="AF378" i="2"/>
  <c r="Z376" i="2"/>
  <c r="AB377" i="2" s="1"/>
  <c r="M370" i="2"/>
  <c r="P371" i="2"/>
  <c r="K370" i="2"/>
  <c r="AB367" i="2"/>
  <c r="Z367" i="2"/>
  <c r="W383" i="2"/>
  <c r="U408" i="2"/>
  <c r="U383" i="2"/>
  <c r="K380" i="2"/>
  <c r="M380" i="2"/>
  <c r="AA334" i="2"/>
  <c r="AF336" i="2" s="1"/>
  <c r="AF333" i="2"/>
  <c r="C334" i="2"/>
  <c r="H336" i="2" s="1"/>
  <c r="H333" i="2"/>
  <c r="P327" i="2"/>
  <c r="K326" i="2"/>
  <c r="U323" i="2"/>
  <c r="U324" i="2"/>
  <c r="D319" i="2"/>
  <c r="D341" i="2"/>
  <c r="AG311" i="2"/>
  <c r="AB311" i="2"/>
  <c r="AE309" i="2"/>
  <c r="AE310" i="2" s="1"/>
  <c r="P299" i="2"/>
  <c r="P300" i="2"/>
  <c r="R299" i="2"/>
  <c r="K293" i="2"/>
  <c r="P294" i="2"/>
  <c r="K313" i="2"/>
  <c r="K314" i="2"/>
  <c r="Z296" i="2"/>
  <c r="Z297" i="2"/>
  <c r="W284" i="2"/>
  <c r="U285" i="2"/>
  <c r="U284" i="2"/>
  <c r="R281" i="2"/>
  <c r="P281" i="2"/>
  <c r="P282" i="2"/>
  <c r="U282" i="2"/>
  <c r="Z262" i="2"/>
  <c r="W261" i="2"/>
  <c r="W252" i="2"/>
  <c r="Z253" i="2"/>
  <c r="R226" i="2"/>
  <c r="S225" i="2"/>
  <c r="R225" i="2"/>
  <c r="AC217" i="2"/>
  <c r="AC218" i="2" s="1"/>
  <c r="AH222" i="2"/>
  <c r="AE220" i="2"/>
  <c r="AG221" i="2" s="1"/>
  <c r="AC272" i="2"/>
  <c r="X217" i="2"/>
  <c r="X221" i="2"/>
  <c r="W457" i="2"/>
  <c r="AH236" i="2"/>
  <c r="AH237" i="2" s="1"/>
  <c r="U361" i="2"/>
  <c r="X377" i="2"/>
  <c r="W182" i="2"/>
  <c r="W323" i="2"/>
  <c r="E272" i="2"/>
  <c r="U261" i="2"/>
  <c r="AJ471" i="2"/>
  <c r="AJ437" i="2"/>
  <c r="I449" i="2"/>
  <c r="K448" i="2"/>
  <c r="K449" i="2" s="1"/>
  <c r="J449" i="2"/>
  <c r="AI443" i="2"/>
  <c r="W31" i="2"/>
  <c r="B36" i="2"/>
  <c r="G38" i="2" s="1"/>
  <c r="AG235" i="2"/>
  <c r="AA371" i="2"/>
  <c r="AJ13" i="2"/>
  <c r="AE426" i="2"/>
  <c r="AG238" i="2"/>
  <c r="AJ200" i="2"/>
  <c r="AJ67" i="2"/>
  <c r="AJ253" i="2"/>
  <c r="AJ426" i="2"/>
  <c r="AJ259" i="2"/>
  <c r="AJ252" i="2"/>
  <c r="K455" i="2"/>
  <c r="I450" i="2"/>
  <c r="B342" i="2"/>
  <c r="F328" i="2"/>
  <c r="AJ201" i="2"/>
  <c r="AJ61" i="2"/>
  <c r="AJ54" i="2"/>
  <c r="AE425" i="2"/>
  <c r="AJ66" i="2"/>
  <c r="Z285" i="2"/>
  <c r="AD221" i="2"/>
  <c r="AJ313" i="2"/>
  <c r="AB437" i="2"/>
  <c r="Z471" i="2"/>
  <c r="Z422" i="2"/>
  <c r="AB394" i="2"/>
  <c r="AE395" i="2"/>
  <c r="Z390" i="2"/>
  <c r="AB391" i="2" s="1"/>
  <c r="Y392" i="2"/>
  <c r="Z364" i="2"/>
  <c r="AE365" i="2"/>
  <c r="Z406" i="2"/>
  <c r="Z365" i="2"/>
  <c r="R25" i="2"/>
  <c r="P25" i="2"/>
  <c r="AG54" i="2"/>
  <c r="AE54" i="2"/>
  <c r="AJ55" i="2"/>
  <c r="AG60" i="2"/>
  <c r="AE61" i="2"/>
  <c r="AE66" i="2"/>
  <c r="AG66" i="2"/>
  <c r="R434" i="2"/>
  <c r="U435" i="2"/>
  <c r="U426" i="2"/>
  <c r="W425" i="2"/>
  <c r="U425" i="2"/>
  <c r="M446" i="2"/>
  <c r="K446" i="2"/>
  <c r="AI378" i="2"/>
  <c r="AE376" i="2"/>
  <c r="AJ378" i="2" s="1"/>
  <c r="AD377" i="2"/>
  <c r="AD385" i="2"/>
  <c r="AD386" i="2" s="1"/>
  <c r="AD378" i="2"/>
  <c r="V385" i="2"/>
  <c r="AA387" i="2" s="1"/>
  <c r="U376" i="2"/>
  <c r="Q385" i="2"/>
  <c r="Q409" i="2" s="1"/>
  <c r="P376" i="2"/>
  <c r="Q378" i="2"/>
  <c r="J378" i="2"/>
  <c r="O378" i="2"/>
  <c r="J385" i="2"/>
  <c r="J387" i="2" s="1"/>
  <c r="U367" i="2"/>
  <c r="Z368" i="2"/>
  <c r="R361" i="2"/>
  <c r="P362" i="2"/>
  <c r="U384" i="2"/>
  <c r="P384" i="2"/>
  <c r="P383" i="2"/>
  <c r="AE381" i="2"/>
  <c r="AB380" i="2"/>
  <c r="F380" i="2"/>
  <c r="K381" i="2"/>
  <c r="AB188" i="2"/>
  <c r="Z188" i="2"/>
  <c r="W63" i="2"/>
  <c r="U63" i="2"/>
  <c r="Z60" i="2"/>
  <c r="AB60" i="2"/>
  <c r="Z61" i="2"/>
  <c r="Z52" i="2"/>
  <c r="W51" i="2"/>
  <c r="O85" i="2"/>
  <c r="J85" i="2"/>
  <c r="J81" i="2"/>
  <c r="N82" i="2"/>
  <c r="I82" i="2"/>
  <c r="Z324" i="2"/>
  <c r="M284" i="2"/>
  <c r="K284" i="2"/>
  <c r="AB281" i="2"/>
  <c r="Z281" i="2"/>
  <c r="AD246" i="2"/>
  <c r="AC247" i="2"/>
  <c r="R217" i="2"/>
  <c r="R222" i="2"/>
  <c r="R272" i="2"/>
  <c r="M217" i="2"/>
  <c r="M222" i="2"/>
  <c r="H217" i="2"/>
  <c r="H222" i="2"/>
  <c r="AB209" i="2"/>
  <c r="Z209" i="2"/>
  <c r="AJ364" i="2"/>
  <c r="AJ365" i="2"/>
  <c r="AJ406" i="2"/>
  <c r="AE449" i="2"/>
  <c r="AD449" i="2"/>
  <c r="H392" i="2"/>
  <c r="K390" i="2"/>
  <c r="M391" i="2" s="1"/>
  <c r="T341" i="2"/>
  <c r="Y320" i="2"/>
  <c r="E341" i="2"/>
  <c r="J320" i="2"/>
  <c r="E319" i="2"/>
  <c r="AC311" i="2"/>
  <c r="AD310" i="2"/>
  <c r="M311" i="2"/>
  <c r="M318" i="2"/>
  <c r="M341" i="2" s="1"/>
  <c r="N310" i="2"/>
  <c r="P313" i="2"/>
  <c r="P314" i="2"/>
  <c r="AG293" i="2"/>
  <c r="AE293" i="2"/>
  <c r="AJ294" i="2"/>
  <c r="AE458" i="2"/>
  <c r="AE457" i="2"/>
  <c r="AG457" i="2"/>
  <c r="AD371" i="2"/>
  <c r="AD370" i="2"/>
  <c r="AI371" i="2"/>
  <c r="AA444" i="2"/>
  <c r="G444" i="2"/>
  <c r="U32" i="2"/>
  <c r="M273" i="2"/>
  <c r="AJ394" i="2"/>
  <c r="AJ408" i="2"/>
  <c r="W273" i="2"/>
  <c r="N342" i="2"/>
  <c r="T342" i="2"/>
  <c r="AJ384" i="2"/>
  <c r="L273" i="2"/>
  <c r="AH403" i="2"/>
  <c r="Z426" i="2"/>
  <c r="I273" i="2"/>
  <c r="X342" i="2"/>
  <c r="G450" i="2"/>
  <c r="T236" i="2"/>
  <c r="U390" i="2"/>
  <c r="D86" i="2"/>
  <c r="B273" i="2"/>
  <c r="X273" i="2"/>
  <c r="O342" i="2"/>
  <c r="U396" i="2"/>
  <c r="AE396" i="2"/>
  <c r="E377" i="2"/>
  <c r="U362" i="2"/>
  <c r="O310" i="2"/>
  <c r="Z210" i="2"/>
  <c r="AG49" i="2"/>
  <c r="P32" i="2"/>
  <c r="N273" i="2"/>
  <c r="I342" i="2"/>
  <c r="U365" i="2"/>
  <c r="G41" i="2"/>
  <c r="Q342" i="2"/>
  <c r="U277" i="2"/>
  <c r="AJ380" i="2"/>
  <c r="AJ381" i="2"/>
  <c r="AE437" i="2"/>
  <c r="AJ438" i="2"/>
  <c r="AF342" i="2"/>
  <c r="AE277" i="2"/>
  <c r="AF290" i="2"/>
  <c r="AF341" i="2"/>
  <c r="AF295" i="2"/>
  <c r="AF279" i="2"/>
  <c r="AF288" i="2"/>
  <c r="AJ329" i="2"/>
  <c r="E399" i="2"/>
  <c r="E397" i="2"/>
  <c r="AI410" i="2"/>
  <c r="AI398" i="2"/>
  <c r="AI397" i="2"/>
  <c r="Z470" i="2"/>
  <c r="AE417" i="2"/>
  <c r="AA474" i="2"/>
  <c r="AA462" i="2"/>
  <c r="AC236" i="2"/>
  <c r="AH235" i="2"/>
  <c r="AA409" i="2"/>
  <c r="AC402" i="2"/>
  <c r="AH401" i="2"/>
  <c r="AG437" i="2"/>
  <c r="X320" i="2"/>
  <c r="X341" i="2"/>
  <c r="X319" i="2"/>
  <c r="Y319" i="2"/>
  <c r="AE438" i="2"/>
  <c r="AJ407" i="2"/>
  <c r="J398" i="2"/>
  <c r="AE471" i="2"/>
  <c r="M428" i="2"/>
  <c r="K428" i="2"/>
  <c r="P429" i="2"/>
  <c r="U419" i="2"/>
  <c r="U420" i="2"/>
  <c r="Z420" i="2"/>
  <c r="R446" i="2"/>
  <c r="P472" i="2"/>
  <c r="P447" i="2"/>
  <c r="M392" i="2"/>
  <c r="R392" i="2"/>
  <c r="H385" i="2"/>
  <c r="K376" i="2"/>
  <c r="P368" i="2"/>
  <c r="K367" i="2"/>
  <c r="Z362" i="2"/>
  <c r="Z361" i="2"/>
  <c r="AE362" i="2"/>
  <c r="B334" i="2"/>
  <c r="G336" i="2" s="1"/>
  <c r="G333" i="2"/>
  <c r="AF327" i="2"/>
  <c r="Z325" i="2"/>
  <c r="L327" i="2"/>
  <c r="G327" i="2"/>
  <c r="R316" i="2"/>
  <c r="U317" i="2"/>
  <c r="U313" i="2"/>
  <c r="Z314" i="2"/>
  <c r="U314" i="2"/>
  <c r="K281" i="2"/>
  <c r="M281" i="2"/>
  <c r="Z268" i="2"/>
  <c r="Z267" i="2"/>
  <c r="U249" i="2"/>
  <c r="W249" i="2"/>
  <c r="AB258" i="2"/>
  <c r="AE259" i="2"/>
  <c r="R200" i="2"/>
  <c r="P200" i="2"/>
  <c r="W197" i="2"/>
  <c r="Z198" i="2"/>
  <c r="Y49" i="2"/>
  <c r="AD49" i="2"/>
  <c r="W84" i="2"/>
  <c r="U84" i="2"/>
  <c r="Z85" i="2"/>
  <c r="M85" i="2"/>
  <c r="K83" i="2"/>
  <c r="D84" i="2"/>
  <c r="F83" i="2"/>
  <c r="H82" i="2"/>
  <c r="K80" i="2"/>
  <c r="I81" i="2"/>
  <c r="J41" i="2"/>
  <c r="O41" i="2"/>
  <c r="J40" i="2"/>
  <c r="F39" i="2"/>
  <c r="E40" i="2"/>
  <c r="K35" i="2"/>
  <c r="P35" i="2"/>
  <c r="M10" i="2"/>
  <c r="K11" i="2"/>
  <c r="AE23" i="2"/>
  <c r="AG22" i="2"/>
  <c r="AE22" i="2"/>
  <c r="AE13" i="2"/>
  <c r="AG13" i="2"/>
  <c r="AE51" i="2"/>
  <c r="AE52" i="2"/>
  <c r="AG209" i="2"/>
  <c r="AE209" i="2"/>
  <c r="AJ210" i="2"/>
  <c r="AE210" i="2"/>
  <c r="AE250" i="2"/>
  <c r="AJ250" i="2"/>
  <c r="AG264" i="2"/>
  <c r="AJ265" i="2"/>
  <c r="AE282" i="2"/>
  <c r="AG281" i="2"/>
  <c r="AJ368" i="2"/>
  <c r="AG367" i="2"/>
  <c r="AE368" i="2"/>
  <c r="AI319" i="2"/>
  <c r="AH341" i="2"/>
  <c r="AC473" i="2"/>
  <c r="AH450" i="2"/>
  <c r="AJ419" i="2"/>
  <c r="AJ428" i="2"/>
  <c r="AJ454" i="2"/>
  <c r="Y235" i="2"/>
  <c r="I409" i="2"/>
  <c r="N387" i="2"/>
  <c r="W419" i="2"/>
  <c r="P390" i="2"/>
  <c r="P391" i="2" s="1"/>
  <c r="Z425" i="2"/>
  <c r="AB425" i="2"/>
  <c r="AJ370" i="2"/>
  <c r="AF340" i="2"/>
  <c r="R378" i="2"/>
  <c r="R385" i="2"/>
  <c r="W378" i="2"/>
  <c r="J336" i="2"/>
  <c r="K335" i="2"/>
  <c r="J236" i="2"/>
  <c r="AH217" i="2"/>
  <c r="AJ264" i="2"/>
  <c r="AD428" i="2"/>
  <c r="AC429" i="2"/>
  <c r="AH429" i="2"/>
  <c r="AE427" i="2"/>
  <c r="AE429" i="2" s="1"/>
  <c r="AI423" i="2"/>
  <c r="AD422" i="2"/>
  <c r="AF444" i="2"/>
  <c r="AB88" i="2"/>
  <c r="W88" i="2"/>
  <c r="AJ422" i="2"/>
  <c r="AJ470" i="2"/>
  <c r="AE447" i="2"/>
  <c r="AB446" i="2"/>
  <c r="Y217" i="2"/>
  <c r="Y222" i="2"/>
  <c r="AJ309" i="2"/>
  <c r="U16" i="2"/>
  <c r="W209" i="2"/>
  <c r="L222" i="2"/>
  <c r="Z220" i="2"/>
  <c r="N318" i="2"/>
  <c r="R425" i="2"/>
  <c r="F446" i="2"/>
  <c r="AF450" i="2"/>
  <c r="AJ26" i="2"/>
  <c r="V450" i="2"/>
  <c r="Q450" i="2"/>
  <c r="M383" i="2"/>
  <c r="K383" i="2"/>
  <c r="F197" i="2"/>
  <c r="H197" i="2"/>
  <c r="R48" i="2"/>
  <c r="X49" i="2"/>
  <c r="AJ307" i="2"/>
  <c r="L342" i="2"/>
  <c r="G474" i="2"/>
  <c r="G86" i="2"/>
  <c r="G161" i="2" s="1"/>
  <c r="K407" i="2"/>
  <c r="AH392" i="2"/>
  <c r="Z282" i="2"/>
  <c r="M313" i="2"/>
  <c r="Q327" i="2"/>
  <c r="AA378" i="2"/>
  <c r="M378" i="2"/>
  <c r="AE32" i="2"/>
  <c r="AE31" i="2"/>
  <c r="AJ32" i="2"/>
  <c r="AG31" i="2"/>
  <c r="K32" i="2"/>
  <c r="K31" i="2"/>
  <c r="Z277" i="2"/>
  <c r="T273" i="2"/>
  <c r="AA273" i="2"/>
  <c r="AD273" i="2"/>
  <c r="AI273" i="2"/>
  <c r="K459" i="2"/>
  <c r="AE374" i="2"/>
  <c r="O273" i="2"/>
  <c r="R273" i="2"/>
  <c r="F459" i="2"/>
  <c r="Z459" i="2"/>
  <c r="AJ308" i="2"/>
  <c r="V273" i="2"/>
  <c r="Y273" i="2"/>
  <c r="AF273" i="2"/>
  <c r="AH273" i="2"/>
  <c r="D342" i="2"/>
  <c r="K396" i="2"/>
  <c r="AJ474" i="2"/>
  <c r="AH464" i="2"/>
  <c r="E465" i="2"/>
  <c r="O95" i="2"/>
  <c r="AI466" i="2"/>
  <c r="AJ465" i="2"/>
  <c r="AH466" i="2"/>
  <c r="AD402" i="2"/>
  <c r="AD401" i="2"/>
  <c r="AD400" i="2"/>
  <c r="L465" i="2"/>
  <c r="X449" i="2"/>
  <c r="X450" i="2"/>
  <c r="Z448" i="2"/>
  <c r="AB449" i="2" s="1"/>
  <c r="AC450" i="2"/>
  <c r="X473" i="2"/>
  <c r="Y449" i="2"/>
  <c r="E473" i="2"/>
  <c r="E449" i="2"/>
  <c r="J450" i="2"/>
  <c r="F448" i="2"/>
  <c r="H434" i="2"/>
  <c r="F434" i="2"/>
  <c r="K435" i="2"/>
  <c r="AB428" i="2"/>
  <c r="Z428" i="2"/>
  <c r="Z429" i="2"/>
  <c r="K384" i="2"/>
  <c r="F383" i="2"/>
  <c r="P364" i="2"/>
  <c r="R364" i="2"/>
  <c r="P365" i="2"/>
  <c r="Q318" i="2"/>
  <c r="P309" i="2"/>
  <c r="V311" i="2"/>
  <c r="Q311" i="2"/>
  <c r="L320" i="2"/>
  <c r="F318" i="2"/>
  <c r="G320" i="2"/>
  <c r="M316" i="2"/>
  <c r="K316" i="2"/>
  <c r="K317" i="2"/>
  <c r="Z284" i="2"/>
  <c r="AE285" i="2"/>
  <c r="AB284" i="2"/>
  <c r="Z264" i="2"/>
  <c r="Z265" i="2"/>
  <c r="AE265" i="2"/>
  <c r="AB264" i="2"/>
  <c r="U258" i="2"/>
  <c r="Z259" i="2"/>
  <c r="AB255" i="2"/>
  <c r="Z256" i="2"/>
  <c r="Z255" i="2"/>
  <c r="AE245" i="2"/>
  <c r="AD247" i="2"/>
  <c r="W246" i="2"/>
  <c r="Z247" i="2"/>
  <c r="W228" i="2"/>
  <c r="U228" i="2"/>
  <c r="U229" i="2"/>
  <c r="Z229" i="2"/>
  <c r="J217" i="2"/>
  <c r="J222" i="2"/>
  <c r="O222" i="2"/>
  <c r="K220" i="2"/>
  <c r="J221" i="2"/>
  <c r="T215" i="2"/>
  <c r="Y216" i="2"/>
  <c r="T271" i="2"/>
  <c r="T216" i="2"/>
  <c r="F331" i="2"/>
  <c r="E332" i="2"/>
  <c r="D334" i="2"/>
  <c r="AE215" i="2"/>
  <c r="AD450" i="2"/>
  <c r="AD473" i="2"/>
  <c r="AI450" i="2"/>
  <c r="Q465" i="2"/>
  <c r="H326" i="2"/>
  <c r="K327" i="2"/>
  <c r="AG409" i="2"/>
  <c r="AJ216" i="2"/>
  <c r="AG255" i="2"/>
  <c r="AE256" i="2"/>
  <c r="X48" i="2"/>
  <c r="P11" i="2"/>
  <c r="Z23" i="2"/>
  <c r="W22" i="2"/>
  <c r="M34" i="2"/>
  <c r="M323" i="2"/>
  <c r="K323" i="2"/>
  <c r="W217" i="2"/>
  <c r="W222" i="2"/>
  <c r="AB222" i="2"/>
  <c r="Y48" i="2"/>
  <c r="U23" i="2"/>
  <c r="K34" i="2"/>
  <c r="AE255" i="2"/>
  <c r="AB81" i="2"/>
  <c r="Z81" i="2"/>
  <c r="AC49" i="2"/>
  <c r="H394" i="2"/>
  <c r="F394" i="2"/>
  <c r="U302" i="2"/>
  <c r="W302" i="2"/>
  <c r="AD217" i="2"/>
  <c r="AI219" i="2" s="1"/>
  <c r="AD222" i="2"/>
  <c r="G217" i="2"/>
  <c r="G222" i="2"/>
  <c r="V444" i="2"/>
  <c r="AJ375" i="2"/>
  <c r="AE307" i="2"/>
  <c r="Q219" i="2"/>
  <c r="G342" i="2"/>
  <c r="K277" i="2"/>
  <c r="K340" i="2" s="1"/>
  <c r="P277" i="2"/>
  <c r="M342" i="2"/>
  <c r="X474" i="2"/>
  <c r="U328" i="2"/>
  <c r="P396" i="2"/>
  <c r="AJ396" i="2"/>
  <c r="AC410" i="2"/>
  <c r="P328" i="2"/>
  <c r="F396" i="2"/>
  <c r="Z396" i="2"/>
  <c r="P459" i="2"/>
  <c r="AE459" i="2"/>
  <c r="AH38" i="2" l="1"/>
  <c r="AF38" i="2"/>
  <c r="T409" i="2"/>
  <c r="AE36" i="2"/>
  <c r="AJ215" i="2"/>
  <c r="O94" i="2"/>
  <c r="R401" i="2"/>
  <c r="Y401" i="2"/>
  <c r="Z233" i="2"/>
  <c r="Z234" i="2" s="1"/>
  <c r="X235" i="2"/>
  <c r="V38" i="2"/>
  <c r="AD94" i="2"/>
  <c r="K92" i="2"/>
  <c r="M93" i="2" s="1"/>
  <c r="T467" i="2"/>
  <c r="W38" i="2"/>
  <c r="AB401" i="2"/>
  <c r="U463" i="2"/>
  <c r="Y464" i="2"/>
  <c r="X38" i="2"/>
  <c r="T464" i="2"/>
  <c r="N334" i="2"/>
  <c r="S336" i="2" s="1"/>
  <c r="T401" i="2"/>
  <c r="W402" i="2"/>
  <c r="W404" i="2" s="1"/>
  <c r="T235" i="2"/>
  <c r="F462" i="2"/>
  <c r="H463" i="2" s="1"/>
  <c r="O235" i="2"/>
  <c r="AA401" i="2"/>
  <c r="AE273" i="2"/>
  <c r="U458" i="2"/>
  <c r="AG38" i="2"/>
  <c r="AH37" i="2"/>
  <c r="AD37" i="2"/>
  <c r="P232" i="2"/>
  <c r="AC37" i="2"/>
  <c r="X94" i="2"/>
  <c r="H94" i="2"/>
  <c r="P231" i="2"/>
  <c r="Z273" i="2"/>
  <c r="AI332" i="2"/>
  <c r="O402" i="2"/>
  <c r="W463" i="2"/>
  <c r="O400" i="2"/>
  <c r="G464" i="2"/>
  <c r="J465" i="2"/>
  <c r="J466" i="2" s="1"/>
  <c r="AB38" i="2"/>
  <c r="O37" i="2"/>
  <c r="Z92" i="2"/>
  <c r="AB93" i="2" s="1"/>
  <c r="O466" i="2"/>
  <c r="AA95" i="2"/>
  <c r="AF97" i="2" s="1"/>
  <c r="Y463" i="2"/>
  <c r="AB296" i="2"/>
  <c r="AB338" i="2"/>
  <c r="X93" i="2"/>
  <c r="AI93" i="2"/>
  <c r="AA238" i="2"/>
  <c r="T94" i="2"/>
  <c r="J464" i="2"/>
  <c r="AB312" i="2"/>
  <c r="AB318" i="2" s="1"/>
  <c r="W401" i="2"/>
  <c r="T332" i="2"/>
  <c r="O401" i="2"/>
  <c r="M173" i="2"/>
  <c r="F385" i="2"/>
  <c r="F386" i="2" s="1"/>
  <c r="L38" i="2"/>
  <c r="P458" i="2"/>
  <c r="Y333" i="2"/>
  <c r="AH93" i="2"/>
  <c r="K270" i="2"/>
  <c r="U331" i="2"/>
  <c r="W332" i="2" s="1"/>
  <c r="T38" i="2"/>
  <c r="T333" i="2"/>
  <c r="B92" i="2"/>
  <c r="B95" i="2" s="1"/>
  <c r="B161" i="2"/>
  <c r="Q401" i="2"/>
  <c r="M154" i="2"/>
  <c r="H154" i="2"/>
  <c r="F160" i="2"/>
  <c r="D92" i="2"/>
  <c r="D161" i="2"/>
  <c r="E92" i="2"/>
  <c r="E161" i="2"/>
  <c r="AE87" i="2"/>
  <c r="AE161" i="2"/>
  <c r="P87" i="2"/>
  <c r="P161" i="2"/>
  <c r="AJ154" i="2"/>
  <c r="AJ160" i="2"/>
  <c r="AB87" i="2"/>
  <c r="Z161" i="2"/>
  <c r="X154" i="2"/>
  <c r="T93" i="2"/>
  <c r="I154" i="2"/>
  <c r="S38" i="2"/>
  <c r="R38" i="2"/>
  <c r="W87" i="2"/>
  <c r="U161" i="2"/>
  <c r="AC154" i="2"/>
  <c r="Z160" i="2"/>
  <c r="W97" i="2"/>
  <c r="Y387" i="2"/>
  <c r="Y93" i="2"/>
  <c r="AD38" i="2"/>
  <c r="P40" i="2"/>
  <c r="P154" i="2"/>
  <c r="AG332" i="2"/>
  <c r="AE154" i="2"/>
  <c r="AG154" i="2"/>
  <c r="S154" i="2"/>
  <c r="AI154" i="2"/>
  <c r="R154" i="2"/>
  <c r="AH154" i="2"/>
  <c r="N37" i="2"/>
  <c r="Y336" i="2"/>
  <c r="Z399" i="2"/>
  <c r="AB400" i="2" s="1"/>
  <c r="AH95" i="2"/>
  <c r="H95" i="2"/>
  <c r="H97" i="2" s="1"/>
  <c r="AI38" i="2"/>
  <c r="U173" i="2"/>
  <c r="AG336" i="2"/>
  <c r="AH332" i="2"/>
  <c r="L402" i="2"/>
  <c r="Q94" i="2"/>
  <c r="O464" i="2"/>
  <c r="Y94" i="2"/>
  <c r="AB154" i="2"/>
  <c r="J154" i="2"/>
  <c r="Z154" i="2"/>
  <c r="X333" i="2"/>
  <c r="AG333" i="2"/>
  <c r="X96" i="2"/>
  <c r="V409" i="2"/>
  <c r="AG231" i="2"/>
  <c r="Z40" i="2"/>
  <c r="AJ221" i="2"/>
  <c r="AE231" i="2"/>
  <c r="K154" i="2"/>
  <c r="K331" i="2"/>
  <c r="K332" i="2" s="1"/>
  <c r="AE40" i="2"/>
  <c r="U40" i="2"/>
  <c r="U154" i="2"/>
  <c r="T154" i="2"/>
  <c r="Y154" i="2"/>
  <c r="O154" i="2"/>
  <c r="W154" i="2"/>
  <c r="N154" i="2"/>
  <c r="AD154" i="2"/>
  <c r="P36" i="2"/>
  <c r="P37" i="2" s="1"/>
  <c r="H401" i="2"/>
  <c r="I387" i="2"/>
  <c r="F228" i="2"/>
  <c r="AG40" i="2"/>
  <c r="Z87" i="2"/>
  <c r="Y400" i="2"/>
  <c r="H402" i="2"/>
  <c r="M404" i="2" s="1"/>
  <c r="I334" i="2"/>
  <c r="AJ271" i="2"/>
  <c r="AC401" i="2"/>
  <c r="M333" i="2"/>
  <c r="AJ232" i="2"/>
  <c r="S400" i="2"/>
  <c r="AA333" i="2"/>
  <c r="T37" i="2"/>
  <c r="AJ342" i="2"/>
  <c r="AJ233" i="2"/>
  <c r="AJ234" i="2" s="1"/>
  <c r="F233" i="2"/>
  <c r="H234" i="2" s="1"/>
  <c r="AJ273" i="2"/>
  <c r="U231" i="2"/>
  <c r="K473" i="2"/>
  <c r="AB464" i="2"/>
  <c r="AH94" i="2"/>
  <c r="N332" i="2"/>
  <c r="AC94" i="2"/>
  <c r="AE48" i="2"/>
  <c r="P270" i="2"/>
  <c r="J332" i="2"/>
  <c r="S402" i="2"/>
  <c r="X404" i="2" s="1"/>
  <c r="AJ392" i="2"/>
  <c r="AB40" i="2"/>
  <c r="P457" i="2"/>
  <c r="I400" i="2"/>
  <c r="I333" i="2"/>
  <c r="AA235" i="2"/>
  <c r="AG297" i="2"/>
  <c r="K229" i="2"/>
  <c r="W40" i="2"/>
  <c r="Z173" i="2"/>
  <c r="N236" i="2"/>
  <c r="O237" i="2" s="1"/>
  <c r="V402" i="2"/>
  <c r="Z271" i="2"/>
  <c r="AG219" i="2"/>
  <c r="AJ36" i="2"/>
  <c r="Z270" i="2"/>
  <c r="I93" i="2"/>
  <c r="K87" i="2"/>
  <c r="O463" i="2"/>
  <c r="M449" i="2"/>
  <c r="AI387" i="2"/>
  <c r="Z174" i="2"/>
  <c r="Z465" i="2"/>
  <c r="P399" i="2"/>
  <c r="R400" i="2" s="1"/>
  <c r="G236" i="2"/>
  <c r="G238" i="2" s="1"/>
  <c r="AE216" i="2"/>
  <c r="AE232" i="2"/>
  <c r="X234" i="2"/>
  <c r="AJ87" i="2"/>
  <c r="AB336" i="2"/>
  <c r="AI334" i="2"/>
  <c r="U232" i="2"/>
  <c r="P174" i="2"/>
  <c r="J402" i="2"/>
  <c r="X463" i="2"/>
  <c r="Y234" i="2"/>
  <c r="S93" i="2"/>
  <c r="AJ318" i="2"/>
  <c r="AJ319" i="2" s="1"/>
  <c r="Z216" i="2"/>
  <c r="P272" i="2"/>
  <c r="R173" i="2"/>
  <c r="U174" i="2"/>
  <c r="X466" i="2"/>
  <c r="Z231" i="2"/>
  <c r="N463" i="2"/>
  <c r="S467" i="2"/>
  <c r="Y335" i="2"/>
  <c r="Q336" i="2"/>
  <c r="R97" i="2"/>
  <c r="H465" i="2"/>
  <c r="H467" i="2" s="1"/>
  <c r="AE272" i="2"/>
  <c r="L235" i="2"/>
  <c r="X236" i="2"/>
  <c r="AC238" i="2" s="1"/>
  <c r="K462" i="2"/>
  <c r="M463" i="2" s="1"/>
  <c r="AC464" i="2"/>
  <c r="N464" i="2"/>
  <c r="AB215" i="2"/>
  <c r="Q464" i="2"/>
  <c r="W94" i="2"/>
  <c r="P273" i="2"/>
  <c r="Q402" i="2"/>
  <c r="Q404" i="2" s="1"/>
  <c r="AF94" i="2"/>
  <c r="O234" i="2"/>
  <c r="AC463" i="2"/>
  <c r="Y38" i="2"/>
  <c r="U36" i="2"/>
  <c r="U37" i="2" s="1"/>
  <c r="AJ246" i="2"/>
  <c r="AB465" i="2"/>
  <c r="AC466" i="2" s="1"/>
  <c r="Y332" i="2"/>
  <c r="AA94" i="2"/>
  <c r="N96" i="2"/>
  <c r="G219" i="2"/>
  <c r="T463" i="2"/>
  <c r="N234" i="2"/>
  <c r="V94" i="2"/>
  <c r="U92" i="2"/>
  <c r="W93" i="2" s="1"/>
  <c r="X335" i="2"/>
  <c r="Z331" i="2"/>
  <c r="AB332" i="2" s="1"/>
  <c r="AC333" i="2"/>
  <c r="M94" i="2"/>
  <c r="AE391" i="2"/>
  <c r="V333" i="2"/>
  <c r="X332" i="2"/>
  <c r="Q333" i="2"/>
  <c r="G401" i="2"/>
  <c r="R94" i="2"/>
  <c r="X97" i="2"/>
  <c r="AC338" i="2"/>
  <c r="T237" i="2"/>
  <c r="E386" i="2"/>
  <c r="AE174" i="2"/>
  <c r="Q235" i="2"/>
  <c r="Z88" i="2"/>
  <c r="D386" i="2"/>
  <c r="U87" i="2"/>
  <c r="V238" i="2"/>
  <c r="Q238" i="2"/>
  <c r="N219" i="2"/>
  <c r="G409" i="2"/>
  <c r="AJ338" i="2"/>
  <c r="AJ174" i="2"/>
  <c r="V235" i="2"/>
  <c r="AE173" i="2"/>
  <c r="AE88" i="2"/>
  <c r="AE271" i="2"/>
  <c r="AG173" i="2"/>
  <c r="AD297" i="2"/>
  <c r="AI297" i="2"/>
  <c r="AD338" i="2"/>
  <c r="AD312" i="2"/>
  <c r="P462" i="2"/>
  <c r="U464" i="2" s="1"/>
  <c r="O219" i="2"/>
  <c r="AC312" i="2"/>
  <c r="AD313" i="2" s="1"/>
  <c r="AG377" i="2"/>
  <c r="X464" i="2"/>
  <c r="P233" i="2"/>
  <c r="P235" i="2" s="1"/>
  <c r="I218" i="2"/>
  <c r="W464" i="2"/>
  <c r="T466" i="2"/>
  <c r="AD296" i="2"/>
  <c r="AE377" i="2"/>
  <c r="AI234" i="2"/>
  <c r="T320" i="2"/>
  <c r="R464" i="2"/>
  <c r="V341" i="2"/>
  <c r="K311" i="2"/>
  <c r="S464" i="2"/>
  <c r="X219" i="2"/>
  <c r="X467" i="2"/>
  <c r="N235" i="2"/>
  <c r="N93" i="2"/>
  <c r="S401" i="2"/>
  <c r="AD234" i="2"/>
  <c r="N402" i="2"/>
  <c r="N403" i="2" s="1"/>
  <c r="N400" i="2"/>
  <c r="I463" i="2"/>
  <c r="AE222" i="2"/>
  <c r="AI95" i="2"/>
  <c r="M231" i="2"/>
  <c r="P92" i="2"/>
  <c r="R93" i="2" s="1"/>
  <c r="P392" i="2"/>
  <c r="AE342" i="2"/>
  <c r="U385" i="2"/>
  <c r="W386" i="2" s="1"/>
  <c r="M387" i="2"/>
  <c r="U41" i="2"/>
  <c r="AD466" i="2"/>
  <c r="AE329" i="2"/>
  <c r="AJ92" i="2"/>
  <c r="AJ93" i="2" s="1"/>
  <c r="X37" i="2"/>
  <c r="AE221" i="2"/>
  <c r="S94" i="2"/>
  <c r="I341" i="2"/>
  <c r="AE470" i="2"/>
  <c r="G387" i="2"/>
  <c r="M319" i="2"/>
  <c r="M234" i="2"/>
  <c r="AC467" i="2"/>
  <c r="AG387" i="2"/>
  <c r="V464" i="2"/>
  <c r="U271" i="2"/>
  <c r="AJ222" i="2"/>
  <c r="V320" i="2"/>
  <c r="Z36" i="2"/>
  <c r="AE38" i="2" s="1"/>
  <c r="Y37" i="2"/>
  <c r="AC38" i="2"/>
  <c r="I234" i="2"/>
  <c r="AJ339" i="2"/>
  <c r="AE420" i="2"/>
  <c r="I95" i="2"/>
  <c r="J96" i="2" s="1"/>
  <c r="J234" i="2"/>
  <c r="W173" i="2"/>
  <c r="U233" i="2"/>
  <c r="U234" i="2" s="1"/>
  <c r="K399" i="2"/>
  <c r="AJ330" i="2"/>
  <c r="R236" i="2"/>
  <c r="R238" i="2" s="1"/>
  <c r="AJ272" i="2"/>
  <c r="U273" i="2"/>
  <c r="R391" i="2"/>
  <c r="Y219" i="2"/>
  <c r="AG87" i="2"/>
  <c r="U272" i="2"/>
  <c r="AJ49" i="2"/>
  <c r="AJ340" i="2"/>
  <c r="AA320" i="2"/>
  <c r="AE419" i="2"/>
  <c r="K273" i="2"/>
  <c r="U88" i="2"/>
  <c r="V219" i="2"/>
  <c r="K231" i="2"/>
  <c r="P222" i="2"/>
  <c r="Q387" i="2"/>
  <c r="AJ420" i="2"/>
  <c r="AJ278" i="2"/>
  <c r="AJ279" i="2"/>
  <c r="S234" i="2"/>
  <c r="W235" i="2"/>
  <c r="AG329" i="2"/>
  <c r="W467" i="2"/>
  <c r="K232" i="2"/>
  <c r="Y386" i="2"/>
  <c r="P450" i="2"/>
  <c r="F342" i="2"/>
  <c r="R219" i="2"/>
  <c r="AC219" i="2"/>
  <c r="T219" i="2"/>
  <c r="AH218" i="2"/>
  <c r="AE402" i="2"/>
  <c r="AG403" i="2" s="1"/>
  <c r="AH467" i="2"/>
  <c r="AG422" i="2"/>
  <c r="P41" i="2"/>
  <c r="AI235" i="2"/>
  <c r="AE370" i="2"/>
  <c r="AD235" i="2"/>
  <c r="AE378" i="2"/>
  <c r="AG310" i="2"/>
  <c r="AD237" i="2"/>
  <c r="Z311" i="2"/>
  <c r="M320" i="2"/>
  <c r="T336" i="2"/>
  <c r="S463" i="2"/>
  <c r="W215" i="2"/>
  <c r="N386" i="2"/>
  <c r="W310" i="2"/>
  <c r="U311" i="2"/>
  <c r="AB409" i="2"/>
  <c r="AE399" i="2"/>
  <c r="AG400" i="2" s="1"/>
  <c r="X401" i="2"/>
  <c r="O93" i="2"/>
  <c r="AF401" i="2"/>
  <c r="W336" i="2"/>
  <c r="U392" i="2"/>
  <c r="R449" i="2"/>
  <c r="N320" i="2"/>
  <c r="AH219" i="2"/>
  <c r="AE311" i="2"/>
  <c r="W221" i="2"/>
  <c r="F399" i="2"/>
  <c r="F400" i="2" s="1"/>
  <c r="AE41" i="2"/>
  <c r="L401" i="2"/>
  <c r="R87" i="2"/>
  <c r="Y409" i="2"/>
  <c r="M87" i="2"/>
  <c r="P88" i="2"/>
  <c r="N333" i="2"/>
  <c r="AB310" i="2"/>
  <c r="O341" i="2"/>
  <c r="J319" i="2"/>
  <c r="AE392" i="2"/>
  <c r="M464" i="2"/>
  <c r="U399" i="2"/>
  <c r="W400" i="2" s="1"/>
  <c r="AE371" i="2"/>
  <c r="V401" i="2"/>
  <c r="Z41" i="2"/>
  <c r="X218" i="2"/>
  <c r="R320" i="2"/>
  <c r="I319" i="2"/>
  <c r="U310" i="2"/>
  <c r="X400" i="2"/>
  <c r="Z334" i="2"/>
  <c r="Z335" i="2" s="1"/>
  <c r="AJ41" i="2"/>
  <c r="H377" i="2"/>
  <c r="AE422" i="2"/>
  <c r="V334" i="2"/>
  <c r="AE233" i="2"/>
  <c r="AC97" i="2"/>
  <c r="K378" i="2"/>
  <c r="J400" i="2"/>
  <c r="G402" i="2"/>
  <c r="M310" i="2"/>
  <c r="AI238" i="2"/>
  <c r="AE423" i="2"/>
  <c r="R336" i="2"/>
  <c r="AB387" i="2"/>
  <c r="I320" i="2"/>
  <c r="Y403" i="2"/>
  <c r="AJ371" i="2"/>
  <c r="AE92" i="2"/>
  <c r="AE93" i="2" s="1"/>
  <c r="Q97" i="2"/>
  <c r="AG341" i="2"/>
  <c r="AJ88" i="2"/>
  <c r="AC93" i="2"/>
  <c r="R40" i="2"/>
  <c r="O332" i="2"/>
  <c r="P331" i="2"/>
  <c r="AJ173" i="2"/>
  <c r="AB370" i="2"/>
  <c r="Z371" i="2"/>
  <c r="U378" i="2"/>
  <c r="I235" i="2"/>
  <c r="I236" i="2"/>
  <c r="I237" i="2" s="1"/>
  <c r="F310" i="2"/>
  <c r="H310" i="2"/>
  <c r="I402" i="2"/>
  <c r="N401" i="2"/>
  <c r="F340" i="2"/>
  <c r="F278" i="2"/>
  <c r="F339" i="2"/>
  <c r="H278" i="2"/>
  <c r="N319" i="2"/>
  <c r="AB95" i="2"/>
  <c r="AB94" i="2"/>
  <c r="U48" i="2"/>
  <c r="W48" i="2"/>
  <c r="AC334" i="2"/>
  <c r="AE334" i="2" s="1"/>
  <c r="AC332" i="2"/>
  <c r="AD332" i="2"/>
  <c r="AH333" i="2"/>
  <c r="F231" i="2"/>
  <c r="H231" i="2"/>
  <c r="AG95" i="2"/>
  <c r="AG94" i="2"/>
  <c r="Z232" i="2"/>
  <c r="N218" i="2"/>
  <c r="T218" i="2"/>
  <c r="O218" i="2"/>
  <c r="S219" i="2"/>
  <c r="R387" i="2"/>
  <c r="S320" i="2"/>
  <c r="J218" i="2"/>
  <c r="Z215" i="2"/>
  <c r="U217" i="2"/>
  <c r="U218" i="2" s="1"/>
  <c r="S218" i="2"/>
  <c r="P217" i="2"/>
  <c r="R218" i="2" s="1"/>
  <c r="O319" i="2"/>
  <c r="U216" i="2"/>
  <c r="L387" i="2"/>
  <c r="W225" i="2"/>
  <c r="U226" i="2"/>
  <c r="Z226" i="2"/>
  <c r="U225" i="2"/>
  <c r="M329" i="2"/>
  <c r="K329" i="2"/>
  <c r="F221" i="2"/>
  <c r="H221" i="2"/>
  <c r="K215" i="2"/>
  <c r="M215" i="2"/>
  <c r="K216" i="2"/>
  <c r="K271" i="2"/>
  <c r="F81" i="2"/>
  <c r="H81" i="2"/>
  <c r="L219" i="2"/>
  <c r="AE462" i="2"/>
  <c r="J93" i="2"/>
  <c r="N94" i="2"/>
  <c r="J88" i="2"/>
  <c r="AJ399" i="2"/>
  <c r="F215" i="2"/>
  <c r="H215" i="2"/>
  <c r="S409" i="2"/>
  <c r="S387" i="2"/>
  <c r="T386" i="2"/>
  <c r="G192" i="2"/>
  <c r="G271" i="2"/>
  <c r="L174" i="2"/>
  <c r="F172" i="2"/>
  <c r="G174" i="2"/>
  <c r="G272" i="2"/>
  <c r="G270" i="2"/>
  <c r="G194" i="2"/>
  <c r="AH297" i="2"/>
  <c r="AC296" i="2"/>
  <c r="AC387" i="2"/>
  <c r="X387" i="2"/>
  <c r="K217" i="2"/>
  <c r="K218" i="2" s="1"/>
  <c r="W387" i="2"/>
  <c r="M335" i="2"/>
  <c r="X386" i="2"/>
  <c r="H329" i="2"/>
  <c r="F329" i="2"/>
  <c r="K330" i="2"/>
  <c r="K40" i="2"/>
  <c r="M40" i="2"/>
  <c r="Y218" i="2"/>
  <c r="AD409" i="2"/>
  <c r="M336" i="2"/>
  <c r="AE385" i="2"/>
  <c r="AG386" i="2" s="1"/>
  <c r="W409" i="2"/>
  <c r="Z385" i="2"/>
  <c r="AB386" i="2" s="1"/>
  <c r="R221" i="2"/>
  <c r="U222" i="2"/>
  <c r="P221" i="2"/>
  <c r="P449" i="2"/>
  <c r="U450" i="2"/>
  <c r="M219" i="2"/>
  <c r="AF404" i="2"/>
  <c r="AD387" i="2"/>
  <c r="AI237" i="2"/>
  <c r="P216" i="2"/>
  <c r="P271" i="2"/>
  <c r="P215" i="2"/>
  <c r="R215" i="2"/>
  <c r="V387" i="2"/>
  <c r="K392" i="2"/>
  <c r="K391" i="2"/>
  <c r="J409" i="2"/>
  <c r="O387" i="2"/>
  <c r="J386" i="2"/>
  <c r="R377" i="2"/>
  <c r="P377" i="2"/>
  <c r="U377" i="2"/>
  <c r="W377" i="2"/>
  <c r="AI218" i="2"/>
  <c r="AJ217" i="2"/>
  <c r="U339" i="2"/>
  <c r="U338" i="2"/>
  <c r="W278" i="2"/>
  <c r="U340" i="2"/>
  <c r="U278" i="2"/>
  <c r="U391" i="2"/>
  <c r="W391" i="2"/>
  <c r="I88" i="2"/>
  <c r="E87" i="2"/>
  <c r="D87" i="2"/>
  <c r="AB219" i="2"/>
  <c r="AE410" i="2"/>
  <c r="AG397" i="2"/>
  <c r="AE397" i="2"/>
  <c r="AD95" i="2"/>
  <c r="AD96" i="2" s="1"/>
  <c r="AI94" i="2"/>
  <c r="AD93" i="2"/>
  <c r="Z272" i="2"/>
  <c r="U410" i="2"/>
  <c r="U397" i="2"/>
  <c r="W397" i="2"/>
  <c r="T238" i="2"/>
  <c r="Y238" i="2"/>
  <c r="Z221" i="2"/>
  <c r="Z222" i="2"/>
  <c r="AB221" i="2"/>
  <c r="H84" i="2"/>
  <c r="F84" i="2"/>
  <c r="E402" i="2"/>
  <c r="E400" i="2"/>
  <c r="O238" i="2"/>
  <c r="K474" i="2"/>
  <c r="M460" i="2"/>
  <c r="K460" i="2"/>
  <c r="K461" i="2"/>
  <c r="Z339" i="2"/>
  <c r="Z338" i="2"/>
  <c r="AB278" i="2"/>
  <c r="Z278" i="2"/>
  <c r="Z279" i="2"/>
  <c r="Z340" i="2"/>
  <c r="AB326" i="2"/>
  <c r="AE327" i="2"/>
  <c r="Z327" i="2"/>
  <c r="Z326" i="2"/>
  <c r="AH404" i="2"/>
  <c r="AC404" i="2"/>
  <c r="AC403" i="2"/>
  <c r="AF464" i="2"/>
  <c r="Z462" i="2"/>
  <c r="Z341" i="2"/>
  <c r="K410" i="2"/>
  <c r="K397" i="2"/>
  <c r="M397" i="2"/>
  <c r="Z474" i="2"/>
  <c r="AB460" i="2"/>
  <c r="Z342" i="2"/>
  <c r="AE428" i="2"/>
  <c r="AG428" i="2"/>
  <c r="AJ429" i="2"/>
  <c r="M81" i="2"/>
  <c r="P82" i="2"/>
  <c r="K82" i="2"/>
  <c r="K81" i="2"/>
  <c r="K84" i="2"/>
  <c r="P85" i="2"/>
  <c r="M84" i="2"/>
  <c r="K85" i="2"/>
  <c r="M377" i="2"/>
  <c r="K377" i="2"/>
  <c r="P378" i="2"/>
  <c r="F474" i="2"/>
  <c r="H460" i="2"/>
  <c r="F460" i="2"/>
  <c r="L88" i="2"/>
  <c r="G92" i="2"/>
  <c r="G88" i="2"/>
  <c r="F86" i="2"/>
  <c r="F161" i="2" s="1"/>
  <c r="AJ311" i="2"/>
  <c r="AJ310" i="2"/>
  <c r="R409" i="2"/>
  <c r="R386" i="2"/>
  <c r="S386" i="2"/>
  <c r="F40" i="2"/>
  <c r="H40" i="2"/>
  <c r="K41" i="2"/>
  <c r="H387" i="2"/>
  <c r="H409" i="2"/>
  <c r="I386" i="2"/>
  <c r="J401" i="2"/>
  <c r="K385" i="2"/>
  <c r="AC237" i="2"/>
  <c r="AE236" i="2"/>
  <c r="AH238" i="2"/>
  <c r="S96" i="2"/>
  <c r="T96" i="2"/>
  <c r="S97" i="2"/>
  <c r="AJ331" i="2"/>
  <c r="AF338" i="2"/>
  <c r="AE295" i="2"/>
  <c r="AF297" i="2"/>
  <c r="AF312" i="2"/>
  <c r="AE279" i="2"/>
  <c r="AG278" i="2"/>
  <c r="AE278" i="2"/>
  <c r="AE340" i="2"/>
  <c r="AE474" i="2"/>
  <c r="AE461" i="2"/>
  <c r="AG460" i="2"/>
  <c r="AE460" i="2"/>
  <c r="AJ461" i="2"/>
  <c r="P342" i="2"/>
  <c r="R329" i="2"/>
  <c r="P330" i="2"/>
  <c r="P329" i="2"/>
  <c r="P339" i="2"/>
  <c r="R278" i="2"/>
  <c r="P278" i="2"/>
  <c r="P340" i="2"/>
  <c r="P338" i="2"/>
  <c r="P279" i="2"/>
  <c r="U279" i="2"/>
  <c r="W219" i="2"/>
  <c r="F332" i="2"/>
  <c r="H332" i="2"/>
  <c r="U341" i="2"/>
  <c r="U319" i="2"/>
  <c r="W319" i="2"/>
  <c r="AJ466" i="2"/>
  <c r="P474" i="2"/>
  <c r="P460" i="2"/>
  <c r="P461" i="2"/>
  <c r="R460" i="2"/>
  <c r="U461" i="2"/>
  <c r="AJ410" i="2"/>
  <c r="AJ397" i="2"/>
  <c r="AJ398" i="2"/>
  <c r="AD219" i="2"/>
  <c r="AD218" i="2"/>
  <c r="Z48" i="2"/>
  <c r="AE49" i="2"/>
  <c r="AB48" i="2"/>
  <c r="Z49" i="2"/>
  <c r="AE386" i="2"/>
  <c r="M221" i="2"/>
  <c r="K222" i="2"/>
  <c r="K272" i="2"/>
  <c r="K221" i="2"/>
  <c r="Y237" i="2"/>
  <c r="F341" i="2"/>
  <c r="F319" i="2"/>
  <c r="K320" i="2"/>
  <c r="H319" i="2"/>
  <c r="P310" i="2"/>
  <c r="P311" i="2"/>
  <c r="R310" i="2"/>
  <c r="T97" i="2"/>
  <c r="O97" i="2"/>
  <c r="P95" i="2"/>
  <c r="O96" i="2"/>
  <c r="Z320" i="2"/>
  <c r="Z410" i="2"/>
  <c r="AE398" i="2"/>
  <c r="AB397" i="2"/>
  <c r="P410" i="2"/>
  <c r="P398" i="2"/>
  <c r="U398" i="2"/>
  <c r="R397" i="2"/>
  <c r="P397" i="2"/>
  <c r="K342" i="2"/>
  <c r="M278" i="2"/>
  <c r="K279" i="2"/>
  <c r="K278" i="2"/>
  <c r="K338" i="2"/>
  <c r="K339" i="2"/>
  <c r="K341" i="2"/>
  <c r="AE37" i="2"/>
  <c r="AG37" i="2"/>
  <c r="S466" i="2"/>
  <c r="R467" i="2"/>
  <c r="E335" i="2"/>
  <c r="D335" i="2"/>
  <c r="F334" i="2"/>
  <c r="Q341" i="2"/>
  <c r="Q320" i="2"/>
  <c r="P318" i="2"/>
  <c r="U320" i="2" s="1"/>
  <c r="AD404" i="2"/>
  <c r="AI404" i="2"/>
  <c r="AD403" i="2"/>
  <c r="F465" i="2"/>
  <c r="F466" i="2" s="1"/>
  <c r="V97" i="2"/>
  <c r="AA97" i="2"/>
  <c r="U95" i="2"/>
  <c r="F410" i="2"/>
  <c r="K398" i="2"/>
  <c r="H397" i="2"/>
  <c r="F397" i="2"/>
  <c r="U342" i="2"/>
  <c r="W329" i="2"/>
  <c r="Z330" i="2"/>
  <c r="U329" i="2"/>
  <c r="U330" i="2"/>
  <c r="AE217" i="2"/>
  <c r="Z217" i="2"/>
  <c r="AJ236" i="2"/>
  <c r="AJ386" i="2"/>
  <c r="AJ409" i="2"/>
  <c r="V467" i="2"/>
  <c r="Q467" i="2"/>
  <c r="P465" i="2"/>
  <c r="Y97" i="2"/>
  <c r="Y96" i="2"/>
  <c r="Z95" i="2"/>
  <c r="AB234" i="2"/>
  <c r="AG246" i="2"/>
  <c r="AE247" i="2"/>
  <c r="AJ247" i="2"/>
  <c r="AE246" i="2"/>
  <c r="H449" i="2"/>
  <c r="K450" i="2"/>
  <c r="F449" i="2"/>
  <c r="F473" i="2"/>
  <c r="L467" i="2"/>
  <c r="AI335" i="2"/>
  <c r="N466" i="2"/>
  <c r="F463" i="2" l="1"/>
  <c r="AE235" i="2"/>
  <c r="AJ37" i="2"/>
  <c r="K93" i="2"/>
  <c r="P334" i="2"/>
  <c r="P335" i="2" s="1"/>
  <c r="N335" i="2"/>
  <c r="I403" i="2"/>
  <c r="U332" i="2"/>
  <c r="Z402" i="2"/>
  <c r="AB403" i="2" s="1"/>
  <c r="N336" i="2"/>
  <c r="P236" i="2"/>
  <c r="R237" i="2" s="1"/>
  <c r="O335" i="2"/>
  <c r="H386" i="2"/>
  <c r="M97" i="2"/>
  <c r="F409" i="2"/>
  <c r="R37" i="2"/>
  <c r="P400" i="2"/>
  <c r="Z332" i="2"/>
  <c r="L238" i="2"/>
  <c r="I336" i="2"/>
  <c r="Z236" i="2"/>
  <c r="Z237" i="2" s="1"/>
  <c r="W37" i="2"/>
  <c r="Z333" i="2"/>
  <c r="R234" i="2"/>
  <c r="O404" i="2"/>
  <c r="Z93" i="2"/>
  <c r="AG314" i="2"/>
  <c r="X237" i="2"/>
  <c r="X238" i="2"/>
  <c r="AE333" i="2"/>
  <c r="P234" i="2"/>
  <c r="O467" i="2"/>
  <c r="J467" i="2"/>
  <c r="I335" i="2"/>
  <c r="AB339" i="2"/>
  <c r="AB313" i="2"/>
  <c r="AH97" i="2"/>
  <c r="AB314" i="2"/>
  <c r="L404" i="2"/>
  <c r="AI336" i="2"/>
  <c r="Z94" i="2"/>
  <c r="O403" i="2"/>
  <c r="AB467" i="2"/>
  <c r="M332" i="2"/>
  <c r="AJ334" i="2"/>
  <c r="AJ335" i="2" s="1"/>
  <c r="AG467" i="2"/>
  <c r="U93" i="2"/>
  <c r="AE465" i="2"/>
  <c r="AG466" i="2" s="1"/>
  <c r="P93" i="2"/>
  <c r="K333" i="2"/>
  <c r="AB466" i="2"/>
  <c r="J335" i="2"/>
  <c r="AI96" i="2"/>
  <c r="U38" i="2"/>
  <c r="P401" i="2"/>
  <c r="Z235" i="2"/>
  <c r="AJ38" i="2"/>
  <c r="S238" i="2"/>
  <c r="F234" i="2"/>
  <c r="K235" i="2"/>
  <c r="N237" i="2"/>
  <c r="U402" i="2"/>
  <c r="U403" i="2" s="1"/>
  <c r="AJ95" i="2"/>
  <c r="AJ96" i="2" s="1"/>
  <c r="K464" i="2"/>
  <c r="S404" i="2"/>
  <c r="P402" i="2"/>
  <c r="P403" i="2" s="1"/>
  <c r="M467" i="2"/>
  <c r="I466" i="2"/>
  <c r="K463" i="2"/>
  <c r="AJ341" i="2"/>
  <c r="K465" i="2"/>
  <c r="M466" i="2" s="1"/>
  <c r="U409" i="2"/>
  <c r="H400" i="2"/>
  <c r="AC339" i="2"/>
  <c r="AE403" i="2"/>
  <c r="AE336" i="2"/>
  <c r="AB335" i="2"/>
  <c r="N238" i="2"/>
  <c r="P463" i="2"/>
  <c r="AJ235" i="2"/>
  <c r="R463" i="2"/>
  <c r="U94" i="2"/>
  <c r="AJ94" i="2"/>
  <c r="U387" i="2"/>
  <c r="AC313" i="2"/>
  <c r="U236" i="2"/>
  <c r="U237" i="2" s="1"/>
  <c r="AH314" i="2"/>
  <c r="Z37" i="2"/>
  <c r="AE401" i="2"/>
  <c r="AE404" i="2"/>
  <c r="AC318" i="2"/>
  <c r="AC320" i="2" s="1"/>
  <c r="AC314" i="2"/>
  <c r="U401" i="2"/>
  <c r="AE94" i="2"/>
  <c r="P464" i="2"/>
  <c r="AJ218" i="2"/>
  <c r="U400" i="2"/>
  <c r="AD314" i="2"/>
  <c r="AD339" i="2"/>
  <c r="AI314" i="2"/>
  <c r="AD318" i="2"/>
  <c r="AG93" i="2"/>
  <c r="I96" i="2"/>
  <c r="W234" i="2"/>
  <c r="F402" i="2"/>
  <c r="H403" i="2" s="1"/>
  <c r="AE400" i="2"/>
  <c r="U386" i="2"/>
  <c r="P94" i="2"/>
  <c r="P336" i="2"/>
  <c r="AJ219" i="2"/>
  <c r="U235" i="2"/>
  <c r="K95" i="2"/>
  <c r="P97" i="2" s="1"/>
  <c r="N97" i="2"/>
  <c r="J237" i="2"/>
  <c r="S237" i="2"/>
  <c r="W238" i="2"/>
  <c r="AH96" i="2"/>
  <c r="P219" i="2"/>
  <c r="Z38" i="2"/>
  <c r="K402" i="2"/>
  <c r="K400" i="2"/>
  <c r="M400" i="2"/>
  <c r="AE467" i="2"/>
  <c r="P218" i="2"/>
  <c r="AB37" i="2"/>
  <c r="K401" i="2"/>
  <c r="AG234" i="2"/>
  <c r="AE234" i="2"/>
  <c r="AJ387" i="2"/>
  <c r="AE409" i="2"/>
  <c r="U334" i="2"/>
  <c r="V336" i="2"/>
  <c r="AA336" i="2"/>
  <c r="AG97" i="2"/>
  <c r="K236" i="2"/>
  <c r="P332" i="2"/>
  <c r="P333" i="2"/>
  <c r="U333" i="2"/>
  <c r="R332" i="2"/>
  <c r="AE387" i="2"/>
  <c r="AH336" i="2"/>
  <c r="AD335" i="2"/>
  <c r="AC336" i="2"/>
  <c r="M218" i="2"/>
  <c r="U219" i="2"/>
  <c r="AC96" i="2"/>
  <c r="AB97" i="2"/>
  <c r="AC335" i="2"/>
  <c r="N404" i="2"/>
  <c r="I404" i="2"/>
  <c r="J403" i="2"/>
  <c r="W218" i="2"/>
  <c r="AE335" i="2"/>
  <c r="AG335" i="2"/>
  <c r="AJ402" i="2"/>
  <c r="H173" i="2"/>
  <c r="F173" i="2"/>
  <c r="F270" i="2"/>
  <c r="F272" i="2"/>
  <c r="F273" i="2"/>
  <c r="K174" i="2"/>
  <c r="F271" i="2"/>
  <c r="AJ401" i="2"/>
  <c r="AJ400" i="2"/>
  <c r="J94" i="2"/>
  <c r="E95" i="2"/>
  <c r="J97" i="2" s="1"/>
  <c r="AG463" i="2"/>
  <c r="AE463" i="2"/>
  <c r="AJ464" i="2"/>
  <c r="AD97" i="2"/>
  <c r="AI97" i="2"/>
  <c r="AE95" i="2"/>
  <c r="AE96" i="2" s="1"/>
  <c r="AB320" i="2"/>
  <c r="AB319" i="2"/>
  <c r="AG320" i="2"/>
  <c r="AB341" i="2"/>
  <c r="J404" i="2"/>
  <c r="I94" i="2"/>
  <c r="D93" i="2"/>
  <c r="D95" i="2"/>
  <c r="E93" i="2"/>
  <c r="H466" i="2"/>
  <c r="AG237" i="2"/>
  <c r="AE237" i="2"/>
  <c r="F87" i="2"/>
  <c r="H87" i="2"/>
  <c r="K88" i="2"/>
  <c r="AB463" i="2"/>
  <c r="AE464" i="2"/>
  <c r="AE297" i="2"/>
  <c r="AE338" i="2"/>
  <c r="AE296" i="2"/>
  <c r="AJ297" i="2"/>
  <c r="AG296" i="2"/>
  <c r="K409" i="2"/>
  <c r="K387" i="2"/>
  <c r="K386" i="2"/>
  <c r="M386" i="2"/>
  <c r="AF339" i="2"/>
  <c r="AF314" i="2"/>
  <c r="AE312" i="2"/>
  <c r="AJ333" i="2"/>
  <c r="AJ332" i="2"/>
  <c r="G94" i="2"/>
  <c r="F92" i="2"/>
  <c r="G95" i="2"/>
  <c r="L94" i="2"/>
  <c r="P237" i="2"/>
  <c r="Z219" i="2"/>
  <c r="Z218" i="2"/>
  <c r="AB218" i="2"/>
  <c r="P96" i="2"/>
  <c r="R96" i="2"/>
  <c r="AE218" i="2"/>
  <c r="AE219" i="2"/>
  <c r="AG218" i="2"/>
  <c r="AJ238" i="2"/>
  <c r="AJ237" i="2"/>
  <c r="F335" i="2"/>
  <c r="K336" i="2"/>
  <c r="H335" i="2"/>
  <c r="AB96" i="2"/>
  <c r="Z97" i="2"/>
  <c r="Z96" i="2"/>
  <c r="P466" i="2"/>
  <c r="U467" i="2"/>
  <c r="W96" i="2"/>
  <c r="U96" i="2"/>
  <c r="U97" i="2"/>
  <c r="R319" i="2"/>
  <c r="P341" i="2"/>
  <c r="P320" i="2"/>
  <c r="P319" i="2"/>
  <c r="R466" i="2"/>
  <c r="AE238" i="2"/>
  <c r="P238" i="2" l="1"/>
  <c r="AJ336" i="2"/>
  <c r="AB237" i="2"/>
  <c r="AE466" i="2"/>
  <c r="AD319" i="2"/>
  <c r="W403" i="2"/>
  <c r="K467" i="2"/>
  <c r="P467" i="2"/>
  <c r="K466" i="2"/>
  <c r="P404" i="2"/>
  <c r="U238" i="2"/>
  <c r="AC341" i="2"/>
  <c r="AC319" i="2"/>
  <c r="M96" i="2"/>
  <c r="AH320" i="2"/>
  <c r="AE318" i="2"/>
  <c r="AJ320" i="2" s="1"/>
  <c r="K96" i="2"/>
  <c r="W237" i="2"/>
  <c r="Z238" i="2"/>
  <c r="AJ97" i="2"/>
  <c r="AD341" i="2"/>
  <c r="AI320" i="2"/>
  <c r="AD320" i="2"/>
  <c r="K404" i="2"/>
  <c r="M403" i="2"/>
  <c r="K403" i="2"/>
  <c r="U335" i="2"/>
  <c r="Z336" i="2"/>
  <c r="W335" i="2"/>
  <c r="K237" i="2"/>
  <c r="M237" i="2"/>
  <c r="AJ404" i="2"/>
  <c r="AJ403" i="2"/>
  <c r="AE97" i="2"/>
  <c r="AG96" i="2"/>
  <c r="I97" i="2"/>
  <c r="E96" i="2"/>
  <c r="D96" i="2"/>
  <c r="F95" i="2"/>
  <c r="G97" i="2"/>
  <c r="L97" i="2"/>
  <c r="F93" i="2"/>
  <c r="H93" i="2"/>
  <c r="K94" i="2"/>
  <c r="AG313" i="2"/>
  <c r="AE313" i="2"/>
  <c r="AJ314" i="2"/>
  <c r="AE339" i="2"/>
  <c r="AE314" i="2"/>
  <c r="AG319" i="2" l="1"/>
  <c r="AE319" i="2"/>
  <c r="AE320" i="2"/>
  <c r="AE341" i="2"/>
  <c r="F96" i="2"/>
  <c r="H96" i="2"/>
  <c r="K97" i="2"/>
</calcChain>
</file>

<file path=xl/sharedStrings.xml><?xml version="1.0" encoding="utf-8"?>
<sst xmlns="http://schemas.openxmlformats.org/spreadsheetml/2006/main" count="3668" uniqueCount="273">
  <si>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</si>
  <si>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</si>
  <si>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</si>
  <si>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</si>
  <si>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</si>
  <si>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</si>
  <si>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</si>
  <si>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</si>
  <si>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</si>
  <si>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</si>
  <si>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</si>
  <si>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</si>
  <si>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</si>
  <si>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</si>
  <si>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</si>
  <si>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</si>
  <si>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</si>
  <si>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Total debt</t>
  </si>
  <si>
    <t xml:space="preserve">Number of employees </t>
  </si>
  <si>
    <t>Capex/Sales</t>
  </si>
  <si>
    <t>Ratios</t>
  </si>
  <si>
    <t>yes</t>
  </si>
  <si>
    <t xml:space="preserve">Bezeq Investor Relations </t>
  </si>
  <si>
    <t>www.bezeq.co.il</t>
  </si>
  <si>
    <t>For further information:</t>
  </si>
  <si>
    <t>Phone     +9722 539 5441</t>
  </si>
  <si>
    <t>Key Cash Flow Metrics</t>
  </si>
  <si>
    <t>Key Performance Indicators</t>
  </si>
  <si>
    <t>Index of contents</t>
  </si>
  <si>
    <t>Key Income Statement Metrics</t>
  </si>
  <si>
    <t>Net debt / EBITDA (ttm)</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</si>
  <si>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</si>
  <si>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</si>
  <si>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</si>
  <si>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</si>
  <si>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</si>
  <si>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</si>
  <si>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</si>
  <si>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</si>
  <si>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</si>
  <si>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</si>
  <si>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</si>
  <si>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Net profit</t>
  </si>
  <si>
    <t>Operating profit</t>
  </si>
  <si>
    <t>N/M</t>
  </si>
  <si>
    <t>N/A</t>
  </si>
  <si>
    <t xml:space="preserve">                                      (NIS millions, except for EPS)</t>
  </si>
  <si>
    <t xml:space="preserve">Ratios </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</si>
  <si>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</si>
  <si>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</si>
  <si>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</si>
  <si>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</si>
  <si>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</si>
  <si>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</si>
  <si>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</si>
  <si>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</si>
  <si>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</si>
  <si>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</si>
  <si>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r>
      <t>Net profit</t>
    </r>
    <r>
      <rPr>
        <b/>
        <sz val="8"/>
        <rFont val="Arial"/>
        <family val="2"/>
      </rPr>
      <t xml:space="preserve"> </t>
    </r>
    <r>
      <rPr>
        <b/>
        <vertAlign val="superscript"/>
        <sz val="8"/>
        <rFont val="Arial"/>
        <family val="2"/>
      </rPr>
      <t>(1)</t>
    </r>
  </si>
  <si>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</si>
  <si>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</si>
  <si>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</si>
  <si>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</si>
  <si>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</si>
  <si>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</si>
  <si>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</si>
  <si>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</si>
  <si>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</si>
  <si>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Net profit attributed to Bezeq shareholders </t>
  </si>
  <si>
    <t xml:space="preserve">Operating Profit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</si>
  <si>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</si>
  <si>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</si>
  <si>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</si>
  <si>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</si>
  <si>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</si>
  <si>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</si>
  <si>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</si>
  <si>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Operating cash flows less net capital expenditures</t>
  </si>
  <si>
    <t>Purchase of property, plant &amp; equipment (PPE), plus investments in intangible assets, less proceeds from the sale of PPE</t>
  </si>
  <si>
    <t xml:space="preserve">Subscribers (in 000's) </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</si>
  <si>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</si>
  <si>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</si>
  <si>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</si>
  <si>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</si>
  <si>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</si>
  <si>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</si>
  <si>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</si>
  <si>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</si>
  <si>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</si>
  <si>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</si>
  <si>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</si>
  <si>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</si>
  <si>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</si>
  <si>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</si>
  <si>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</si>
  <si>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</si>
  <si>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</si>
  <si>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</si>
  <si>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</si>
  <si>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</si>
  <si>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Total general &amp; operating expenses </t>
  </si>
  <si>
    <r>
      <t xml:space="preserve">Bezeq Group </t>
    </r>
    <r>
      <rPr>
        <b/>
        <vertAlign val="superscript"/>
        <sz val="10"/>
        <rFont val="Arial"/>
        <family val="2"/>
      </rPr>
      <t>(1)</t>
    </r>
  </si>
  <si>
    <r>
      <rPr>
        <vertAlign val="superscript"/>
        <sz val="10"/>
        <rFont val="Arial"/>
        <family val="2"/>
      </rPr>
      <t>(1)</t>
    </r>
    <r>
      <rPr>
        <sz val="8"/>
        <rFont val="Arial"/>
        <family val="2"/>
      </rPr>
      <t xml:space="preserve"> Net profit does not include share in profits/losses of equity-accounted investees.</t>
    </r>
  </si>
  <si>
    <t xml:space="preserve">Salaries </t>
  </si>
  <si>
    <r>
      <t>Bezeq Group</t>
    </r>
    <r>
      <rPr>
        <b/>
        <sz val="11"/>
        <rFont val="Arial"/>
        <family val="2"/>
      </rPr>
      <t xml:space="preserve"> (cont'd)</t>
    </r>
  </si>
  <si>
    <t>Total operating &amp; general expenses</t>
  </si>
  <si>
    <t>Vehicle maintenance</t>
  </si>
  <si>
    <t>Marketing &amp; general</t>
  </si>
  <si>
    <t>Other operating expenses (income)</t>
  </si>
  <si>
    <t>Dividend History</t>
  </si>
  <si>
    <t>Gross profit</t>
  </si>
  <si>
    <t>Gross profit margin</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</si>
  <si>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</si>
  <si>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</si>
  <si>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</si>
  <si>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</si>
  <si>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</si>
  <si>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</si>
  <si>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</si>
  <si>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</si>
  <si>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</si>
  <si>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</si>
  <si>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</si>
  <si>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</si>
  <si>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</si>
  <si>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</si>
  <si>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</si>
  <si>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</si>
  <si>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</si>
  <si>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</si>
  <si>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</si>
  <si>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</si>
  <si>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</si>
  <si>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</si>
  <si>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</si>
  <si>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</si>
  <si>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</si>
  <si>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</si>
  <si>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</si>
  <si>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</si>
  <si>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</si>
  <si>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</si>
  <si>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</si>
  <si>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</si>
  <si>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</si>
  <si>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</si>
  <si>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</si>
  <si>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</si>
  <si>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Revenues from ILD services</t>
  </si>
  <si>
    <t>Revenues from Internet, Data &amp; ICT services</t>
  </si>
  <si>
    <t>April 23, 2014</t>
  </si>
  <si>
    <t>Collection fees (royalties)</t>
  </si>
  <si>
    <t>October 2, 2014</t>
  </si>
  <si>
    <t>May 27, 2015</t>
  </si>
  <si>
    <t>-</t>
  </si>
  <si>
    <t>Broadband Internet lines (in 000's)-Wholesale</t>
  </si>
  <si>
    <t xml:space="preserve">Total Subscribers (in 000's) </t>
  </si>
  <si>
    <t xml:space="preserve">Prepaid Subscribers (in 000's) </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</si>
  <si>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</si>
  <si>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</si>
  <si>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</si>
  <si>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</si>
  <si>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</si>
  <si>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</si>
  <si>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</si>
  <si>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</si>
  <si>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</si>
  <si>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</si>
  <si>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</si>
  <si>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</si>
  <si>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</si>
  <si>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</si>
  <si>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</si>
  <si>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</si>
  <si>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</si>
  <si>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</si>
  <si>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</si>
  <si>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</si>
  <si>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</si>
  <si>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</si>
  <si>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</si>
  <si>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</si>
  <si>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</si>
  <si>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</si>
  <si>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</si>
  <si>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</si>
  <si>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</si>
  <si>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</si>
  <si>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</si>
  <si>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</si>
  <si>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</si>
  <si>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</si>
  <si>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</si>
  <si>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</si>
  <si>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</si>
  <si>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Provision for early retirement</t>
  </si>
  <si>
    <t>Expenses for a collective agreement at Pelephone</t>
  </si>
  <si>
    <t>Loss from the discontinuation of a software development project</t>
  </si>
  <si>
    <t>Other</t>
  </si>
  <si>
    <t>Total other operating expenses (income), net</t>
  </si>
  <si>
    <t>* Includes profit from copper sales beginning Q1 2015</t>
  </si>
  <si>
    <t>Financials</t>
  </si>
  <si>
    <t>Other income / expenses</t>
  </si>
  <si>
    <t>Key Performance Indicators (KPIs)</t>
  </si>
  <si>
    <t>Dividends</t>
  </si>
  <si>
    <t xml:space="preserve">Sheet IV-  </t>
  </si>
  <si>
    <t xml:space="preserve">Sheet III- </t>
  </si>
  <si>
    <t xml:space="preserve">Sheet II- </t>
  </si>
  <si>
    <t xml:space="preserve">Sheet I-  </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</si>
  <si>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</si>
  <si>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</si>
  <si>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</si>
  <si>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r>
      <t xml:space="preserve">Salaries </t>
    </r>
    <r>
      <rPr>
        <b/>
        <sz val="8"/>
        <rFont val="Arial"/>
        <family val="2"/>
      </rPr>
      <t>(included in oper. exps)</t>
    </r>
  </si>
  <si>
    <r>
      <t>Depreciation &amp; amortization</t>
    </r>
    <r>
      <rPr>
        <b/>
        <sz val="8"/>
        <rFont val="Arial"/>
        <family val="2"/>
      </rPr>
      <t xml:space="preserve"> </t>
    </r>
    <r>
      <rPr>
        <b/>
        <sz val="7.5"/>
        <rFont val="Arial"/>
        <family val="2"/>
      </rPr>
      <t>(included in oper. exps)</t>
    </r>
  </si>
  <si>
    <r>
      <t xml:space="preserve">Salaries </t>
    </r>
    <r>
      <rPr>
        <b/>
        <sz val="9"/>
        <rFont val="Arial"/>
        <family val="2"/>
      </rPr>
      <t>(included in oper. exps)</t>
    </r>
  </si>
  <si>
    <t xml:space="preserve">Sheet V-  </t>
  </si>
  <si>
    <t>Change in other liabilities (incl broadcasting rights)</t>
  </si>
  <si>
    <t>Adjusted EBITDA</t>
  </si>
  <si>
    <t>Broadband Internet lines (in 000's) - Retail</t>
  </si>
  <si>
    <t>EBITDA excluding other operating income/expenses</t>
  </si>
  <si>
    <t>EBITDA, reported</t>
  </si>
  <si>
    <t xml:space="preserve">Capital expenditures, net </t>
  </si>
  <si>
    <t xml:space="preserve">Content </t>
  </si>
  <si>
    <t>May 29, 2017</t>
  </si>
  <si>
    <t>Average revenue per line (ARPL) (in NIS)</t>
  </si>
  <si>
    <t>QoQ Line change (000's)</t>
  </si>
  <si>
    <t>QoQ subscriber change (000's)</t>
  </si>
  <si>
    <t>Finance expenses, net</t>
  </si>
  <si>
    <t>Wholesale subs as % of total broadband subs</t>
  </si>
  <si>
    <t>October 16, 2017</t>
  </si>
  <si>
    <t>Bezeq Facts &amp; Figures Q4 &amp; FY 2017</t>
  </si>
  <si>
    <t>Three months ending December 31, 2017</t>
  </si>
  <si>
    <t>Semi-Annual Dividend (Pending Shareholder Approval)</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</si>
  <si>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</si>
  <si>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</si>
  <si>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</si>
  <si>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</si>
  <si>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</si>
  <si>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</si>
  <si>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</si>
  <si>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</si>
  <si>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</si>
  <si>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</si>
  <si>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</si>
  <si>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</si>
  <si>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</si>
  <si>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</si>
  <si>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</si>
  <si>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</si>
  <si>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</si>
  <si>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</si>
  <si>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</si>
  <si>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</si>
  <si>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</si>
  <si>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</si>
  <si>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</si>
  <si>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</si>
  <si>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</si>
  <si>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</si>
  <si>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</si>
  <si>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</si>
  <si>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</si>
  <si>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</si>
  <si>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</si>
  <si>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</si>
  <si>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</si>
  <si>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</si>
  <si>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</si>
  <si>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</si>
  <si>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</si>
  <si>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</si>
  <si>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Earnings Before Interest, Taxes, Depreciation &amp; Amortization ; ttm = trailing twelve months</t>
  </si>
  <si>
    <t xml:space="preserve">Adjusted EBITDA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</si>
</sst>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s>
  <fonts count="51">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vertAlign val="superscript"/>
      <sz val="8"/>
      <name val="Arial"/>
      <family val="2"/>
    </font>
    <font>
      <b/>
      <sz val="8"/>
      <name val="Arial"/>
      <family val="2"/>
    </font>
    <font>
      <vertAlign val="superscript"/>
      <sz val="10"/>
      <name val="Arial"/>
      <family val="2"/>
    </font>
    <font>
      <vertAlign val="superscript"/>
      <sz val="8"/>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b/>
      <sz val="7.5"/>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27">
    <xf numFmtId="0" fontId="0" fillId="0" borderId="0" xfId="0"/>
    <xf numFmtId="0" fontId="0" fillId="0" borderId="0" xfId="0" applyBorder="1"/>
    <xf numFmtId="0" fontId="5" fillId="0" borderId="0" xfId="0" applyFont="1"/>
    <xf numFmtId="0" fontId="5" fillId="0" borderId="0" xfId="0" applyFont="1" applyBorder="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6" fillId="5" borderId="1" xfId="0" applyNumberFormat="1"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2" borderId="0" xfId="0" applyFont="1" applyFill="1" applyBorder="1"/>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0" fontId="42" fillId="2" borderId="0" xfId="0" applyFon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4"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5" fillId="0" borderId="0" xfId="0" applyFont="1" applyAlignment="1">
      <alignment horizontal="right" vertical="center" readingOrder="2"/>
    </xf>
    <xf numFmtId="0" fontId="45"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6" fillId="2" borderId="3" xfId="0" applyFont="1" applyFill="1" applyBorder="1" applyAlignment="1" applyProtection="1">
      <alignment horizontal="center" wrapText="1"/>
      <protection locked="0"/>
    </xf>
    <xf numFmtId="0" fontId="46" fillId="0" borderId="3" xfId="0" applyFont="1" applyBorder="1" applyAlignment="1" applyProtection="1">
      <alignment horizontal="center"/>
      <protection locked="0"/>
    </xf>
    <xf numFmtId="0" fontId="46" fillId="2" borderId="3" xfId="0" applyFont="1" applyFill="1" applyBorder="1" applyAlignment="1" applyProtection="1">
      <protection locked="0"/>
    </xf>
    <xf numFmtId="0" fontId="46" fillId="2" borderId="0" xfId="0" applyFont="1" applyFill="1" applyBorder="1" applyAlignment="1" applyProtection="1">
      <protection locked="0"/>
    </xf>
    <xf numFmtId="0" fontId="47" fillId="2" borderId="0" xfId="0" applyFont="1" applyFill="1" applyBorder="1" applyAlignment="1" applyProtection="1">
      <protection locked="0"/>
    </xf>
    <xf numFmtId="0" fontId="47" fillId="0" borderId="0" xfId="0" applyFont="1" applyAlignment="1" applyProtection="1">
      <protection locked="0"/>
    </xf>
    <xf numFmtId="0" fontId="47" fillId="2" borderId="0" xfId="0" applyFont="1" applyFill="1" applyAlignment="1" applyProtection="1">
      <protection locked="0"/>
    </xf>
    <xf numFmtId="0" fontId="46" fillId="4" borderId="1" xfId="0" applyFont="1" applyFill="1" applyBorder="1"/>
    <xf numFmtId="0" fontId="48" fillId="3" borderId="0" xfId="0" applyFont="1" applyFill="1" applyBorder="1" applyAlignment="1"/>
    <xf numFmtId="0" fontId="41"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9" fillId="2" borderId="0" xfId="0" applyFont="1" applyFill="1" applyBorder="1"/>
    <xf numFmtId="0" fontId="5" fillId="2" borderId="0" xfId="1"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0" fontId="5" fillId="0" borderId="0" xfId="0" applyFont="1" applyAlignment="1" applyProtection="1">
      <alignment horizontal="left"/>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71" fontId="5" fillId="0" borderId="0" xfId="0" applyNumberFormat="1" applyFont="1" applyAlignment="1"/>
    <xf numFmtId="2" fontId="5" fillId="0" borderId="0" xfId="0" applyNumberFormat="1" applyFont="1" applyAlignment="1"/>
    <xf numFmtId="165" fontId="5" fillId="4" borderId="1" xfId="1" applyNumberFormat="1" applyFont="1" applyFill="1" applyBorder="1"/>
    <xf numFmtId="168" fontId="5" fillId="0" borderId="0" xfId="1" applyNumberFormat="1" applyFont="1" applyFill="1" applyBorder="1"/>
    <xf numFmtId="9" fontId="11" fillId="3" borderId="0" xfId="0" applyNumberFormat="1" applyFont="1" applyFill="1" applyBorder="1" applyAlignment="1">
      <alignment horizontal="right"/>
    </xf>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xdr:colOff>
      <xdr:row>1</xdr:row>
      <xdr:rowOff>132362</xdr:rowOff>
    </xdr:from>
    <xdr:to>
      <xdr:col>9</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79553</xdr:rowOff>
    </xdr:from>
    <xdr:to>
      <xdr:col>0</xdr:col>
      <xdr:colOff>590550</xdr:colOff>
      <xdr:row>3</xdr:row>
      <xdr:rowOff>72847</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7955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V249"/>
  <sheetViews>
    <sheetView showGridLines="0" tabSelected="1" topLeftCell="F1" workbookViewId="0">
      <selection activeCell="AZ37" sqref="AZ37"/>
    </sheetView>
  </sheetViews>
  <sheetFormatPr defaultColWidth="8.77734375" defaultRowHeight="13.2"/>
  <cols>
    <col min="2" max="2" width="15.77734375" customWidth="1"/>
    <col min="3" max="3" width="9.21875" customWidth="1"/>
    <col min="4" max="4" width="5.77734375" customWidth="1"/>
    <col min="5" max="5" width="9.21875" hidden="1" customWidth="1"/>
    <col min="6" max="6" width="9.21875" customWidth="1"/>
    <col min="7" max="7" width="23.21875" customWidth="1"/>
    <col min="8" max="8" width="9" customWidth="1"/>
    <col min="9" max="9" width="13.21875" customWidth="1"/>
    <col min="10" max="10" width="12.21875" customWidth="1"/>
    <col min="11" max="11" width="26.44140625" customWidth="1"/>
    <col min="12" max="12" width="10.21875" customWidth="1"/>
    <col min="13" max="13" width="9.21875" customWidth="1"/>
  </cols>
  <sheetData>
    <row r="2" spans="4:15">
      <c r="D2" s="5"/>
      <c r="E2" s="5"/>
      <c r="F2" s="5"/>
      <c r="G2" s="5"/>
      <c r="H2" s="5"/>
      <c r="M2" s="5"/>
      <c r="N2" s="5"/>
      <c r="O2" s="5"/>
    </row>
    <row r="3" spans="4:15" ht="24.6">
      <c r="D3" s="5"/>
      <c r="E3" s="5"/>
      <c r="F3" s="5"/>
      <c r="G3" s="5"/>
      <c r="H3" s="6"/>
      <c r="M3" s="14"/>
      <c r="N3" s="5"/>
      <c r="O3" s="5"/>
    </row>
    <row r="4" spans="4:15">
      <c r="D4" s="5"/>
      <c r="E4" s="5"/>
      <c r="F4" s="5"/>
      <c r="G4" s="5"/>
      <c r="H4" s="5"/>
      <c r="M4" s="5"/>
      <c r="N4" s="5"/>
      <c r="O4" s="5"/>
    </row>
    <row r="5" spans="4:15">
      <c r="D5" s="5"/>
      <c r="E5" s="5"/>
      <c r="F5" s="5"/>
      <c r="G5" s="5"/>
      <c r="H5" s="5"/>
      <c r="M5" s="5"/>
      <c r="N5" s="5"/>
      <c r="O5" s="5"/>
    </row>
    <row r="6" spans="4:15">
      <c r="D6" s="5"/>
      <c r="E6" s="5"/>
      <c r="F6" s="5"/>
      <c r="G6" s="5"/>
      <c r="H6" s="5"/>
      <c r="M6" s="5"/>
      <c r="N6" s="5"/>
      <c r="O6" s="5"/>
    </row>
    <row r="7" spans="4:15">
      <c r="D7" s="5"/>
      <c r="E7" s="5"/>
      <c r="F7" s="5"/>
      <c r="G7" s="5"/>
      <c r="H7" s="5"/>
      <c r="M7" s="5"/>
      <c r="N7" s="5"/>
      <c r="O7" s="5"/>
    </row>
    <row r="8" spans="4:15">
      <c r="D8" s="5"/>
      <c r="E8" s="5"/>
      <c r="F8" s="5"/>
      <c r="G8" s="5"/>
      <c r="H8" s="5"/>
      <c r="M8" s="5"/>
      <c r="N8" s="5"/>
      <c r="O8" s="5"/>
    </row>
    <row r="9" spans="4:15">
      <c r="D9" s="5"/>
      <c r="E9" s="5"/>
      <c r="F9" s="5"/>
      <c r="G9" s="5"/>
      <c r="H9" s="5"/>
      <c r="M9" s="5"/>
      <c r="N9" s="5"/>
      <c r="O9" s="5"/>
    </row>
    <row r="10" spans="4:15">
      <c r="D10" s="5"/>
      <c r="E10" s="5"/>
      <c r="F10" s="5"/>
      <c r="G10" s="5"/>
      <c r="H10" s="5"/>
      <c r="N10" s="5"/>
      <c r="O10" s="5"/>
    </row>
    <row r="11" spans="4:15">
      <c r="D11" s="5"/>
      <c r="E11" s="5"/>
      <c r="F11" s="5"/>
      <c r="G11" s="5"/>
      <c r="H11" s="5"/>
      <c r="N11" s="5"/>
      <c r="O11" s="5"/>
    </row>
    <row r="12" spans="4:15" ht="30.75" customHeight="1">
      <c r="D12" s="5"/>
      <c r="E12" s="5"/>
      <c r="F12" s="5"/>
      <c r="I12" s="146" t="s">
        <v>230</v>
      </c>
      <c r="J12" s="144"/>
      <c r="K12" s="144"/>
      <c r="M12" s="7"/>
      <c r="N12" s="5"/>
      <c r="O12" s="5"/>
    </row>
    <row r="13" spans="4:15" ht="15.6">
      <c r="D13" s="5"/>
      <c r="E13" s="5"/>
      <c r="F13" s="5"/>
      <c r="I13" s="145" t="s">
        <v>231</v>
      </c>
      <c r="J13" s="145"/>
      <c r="K13" s="145"/>
      <c r="M13" s="7"/>
      <c r="N13" s="5"/>
      <c r="O13" s="5"/>
    </row>
    <row r="14" spans="4:15" ht="15.6">
      <c r="D14" s="5"/>
      <c r="E14" s="5"/>
      <c r="F14" s="5"/>
      <c r="G14" s="5"/>
      <c r="H14" s="17"/>
      <c r="I14" s="18"/>
      <c r="J14" s="18"/>
      <c r="K14" s="18"/>
      <c r="M14" s="7"/>
      <c r="N14" s="5"/>
      <c r="O14" s="5"/>
    </row>
    <row r="15" spans="4:15" ht="15.6">
      <c r="D15" s="5"/>
      <c r="E15" s="5"/>
      <c r="F15" s="5"/>
      <c r="G15" s="5"/>
      <c r="H15" s="19" t="s">
        <v>28</v>
      </c>
      <c r="I15" s="18"/>
      <c r="J15" s="18"/>
      <c r="K15" s="18"/>
      <c r="M15" s="5"/>
      <c r="N15" s="5"/>
      <c r="O15" s="5"/>
    </row>
    <row r="16" spans="4:15" ht="15.6">
      <c r="D16" s="5"/>
      <c r="E16" s="5"/>
      <c r="F16" s="5"/>
      <c r="G16" s="5"/>
      <c r="H16" s="20"/>
      <c r="I16" s="18"/>
      <c r="J16" s="18"/>
      <c r="K16" s="18"/>
      <c r="M16" s="5"/>
      <c r="N16" s="5"/>
      <c r="O16" s="5"/>
    </row>
    <row r="17" spans="4:15" ht="15.6">
      <c r="D17" s="5"/>
      <c r="E17" s="5"/>
      <c r="F17" s="5"/>
      <c r="G17" s="5"/>
      <c r="H17" s="20" t="s">
        <v>208</v>
      </c>
      <c r="I17" s="189" t="s">
        <v>201</v>
      </c>
      <c r="J17" s="18"/>
      <c r="K17" s="18"/>
      <c r="M17" s="8"/>
      <c r="N17" s="5"/>
      <c r="O17" s="5"/>
    </row>
    <row r="18" spans="4:15" ht="15.6">
      <c r="D18" s="5"/>
      <c r="E18" s="5"/>
      <c r="F18" s="5"/>
      <c r="G18" s="5"/>
      <c r="H18" s="20" t="s">
        <v>207</v>
      </c>
      <c r="I18" s="189" t="s">
        <v>202</v>
      </c>
      <c r="K18" s="16"/>
      <c r="M18" s="5"/>
      <c r="N18" s="5"/>
    </row>
    <row r="19" spans="4:15" ht="15.6">
      <c r="D19" s="5"/>
      <c r="E19" s="5"/>
      <c r="F19" s="5"/>
      <c r="G19" s="5"/>
      <c r="H19" s="20" t="s">
        <v>206</v>
      </c>
      <c r="I19" s="189" t="s">
        <v>203</v>
      </c>
      <c r="M19" s="15"/>
      <c r="N19" s="5"/>
    </row>
    <row r="20" spans="4:15" ht="15.6">
      <c r="D20" s="5"/>
      <c r="E20" s="5"/>
      <c r="F20" s="5"/>
      <c r="G20" s="5"/>
      <c r="H20" s="20" t="s">
        <v>205</v>
      </c>
      <c r="I20" s="189" t="s">
        <v>204</v>
      </c>
      <c r="J20" s="16"/>
      <c r="M20" s="15"/>
      <c r="N20" s="5"/>
    </row>
    <row r="21" spans="4:15" ht="15.6">
      <c r="D21" s="5"/>
      <c r="E21" s="5"/>
      <c r="F21" s="5"/>
      <c r="G21" s="5"/>
      <c r="H21" s="20" t="s">
        <v>215</v>
      </c>
      <c r="I21" s="189" t="s">
        <v>40</v>
      </c>
      <c r="M21" s="5"/>
      <c r="N21" s="5"/>
      <c r="O21" s="5"/>
    </row>
    <row r="22" spans="4:15">
      <c r="D22" s="5"/>
      <c r="E22" s="5"/>
      <c r="F22" s="5"/>
      <c r="G22" s="5"/>
      <c r="M22" s="5"/>
      <c r="N22" s="5"/>
      <c r="O22" s="5"/>
    </row>
    <row r="23" spans="4:15">
      <c r="D23" s="5"/>
      <c r="E23" s="5"/>
      <c r="F23" s="5"/>
      <c r="G23" s="5"/>
      <c r="H23" s="5"/>
      <c r="M23" s="5"/>
      <c r="N23" s="5"/>
      <c r="O23" s="5"/>
    </row>
    <row r="24" spans="4:15">
      <c r="D24" s="5"/>
      <c r="E24" s="5"/>
      <c r="F24" s="5"/>
      <c r="G24" s="5"/>
      <c r="H24" s="5"/>
      <c r="M24" s="5"/>
      <c r="N24" s="5"/>
      <c r="O24" s="5"/>
    </row>
    <row r="25" spans="4:15">
      <c r="D25" s="5"/>
      <c r="E25" s="5"/>
      <c r="F25" s="5"/>
      <c r="G25" s="5"/>
      <c r="H25" s="9" t="s">
        <v>24</v>
      </c>
      <c r="M25" s="5"/>
      <c r="N25" s="5"/>
      <c r="O25" s="5"/>
    </row>
    <row r="26" spans="4:15">
      <c r="D26" s="5"/>
      <c r="E26" s="5"/>
      <c r="F26" s="5"/>
      <c r="G26" s="5"/>
      <c r="H26" s="11" t="s">
        <v>22</v>
      </c>
      <c r="M26" s="5"/>
      <c r="N26" s="5"/>
      <c r="O26" s="5"/>
    </row>
    <row r="27" spans="4:15">
      <c r="D27" s="5"/>
      <c r="E27" s="5"/>
      <c r="F27" s="5"/>
      <c r="G27" s="5"/>
      <c r="H27" s="11" t="s">
        <v>25</v>
      </c>
      <c r="M27" s="5"/>
      <c r="N27" s="5"/>
      <c r="O27" s="5"/>
    </row>
    <row r="28" spans="4:15">
      <c r="D28" s="10"/>
      <c r="E28" s="5"/>
      <c r="F28" s="5"/>
      <c r="G28" s="5"/>
      <c r="H28" s="13" t="s">
        <v>41</v>
      </c>
      <c r="O28" s="10"/>
    </row>
    <row r="29" spans="4:15">
      <c r="D29" s="10"/>
      <c r="E29" s="5"/>
      <c r="F29" s="5"/>
      <c r="G29" s="5"/>
      <c r="H29" s="13" t="s">
        <v>23</v>
      </c>
      <c r="O29" s="10"/>
    </row>
    <row r="30" spans="4:15">
      <c r="E30" s="12"/>
      <c r="F30" s="5"/>
      <c r="G30" s="5"/>
      <c r="O30" s="10"/>
    </row>
    <row r="31" spans="4:15" ht="119.25" customHeight="1">
      <c r="E31" s="12"/>
      <c r="F31" s="5"/>
      <c r="G31" s="5"/>
      <c r="H31" s="223" t="s">
        <v>211</v>
      </c>
      <c r="I31" s="224"/>
      <c r="J31" s="224"/>
      <c r="K31" s="224"/>
      <c r="O31" s="10"/>
    </row>
    <row r="32" spans="4:15">
      <c r="D32" s="10"/>
      <c r="E32" s="5"/>
      <c r="F32" s="5"/>
      <c r="G32" s="5"/>
      <c r="H32" s="5"/>
      <c r="O32" s="10"/>
    </row>
    <row r="33" spans="4:15">
      <c r="D33" s="10"/>
      <c r="E33" s="5"/>
      <c r="F33" s="5"/>
      <c r="G33" s="5"/>
      <c r="O33" s="10"/>
    </row>
    <row r="36" spans="4:15">
      <c r="D36" s="68"/>
    </row>
    <row r="61" ht="6" customHeight="1"/>
    <row r="63" ht="7.5" customHeight="1"/>
    <row r="249" spans="22:22">
      <c r="V249" s="68"/>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mergeCells count="1">
    <mergeCell ref="H31:K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476"/>
  <sheetViews>
    <sheetView showGridLines="0" tabSelected="1" zoomScale="120" zoomScaleNormal="120" zoomScaleSheetLayoutView="100" workbookViewId="0">
      <pane xSplit="1" ySplit="4" topLeftCell="AK452" activePane="bottomRight" state="frozen"/>
      <selection activeCell="AZ37" sqref="AZ37"/>
      <selection pane="topRight" activeCell="AZ37" sqref="AZ37"/>
      <selection pane="bottomLeft" activeCell="AZ37" sqref="AZ37"/>
      <selection pane="bottomRight" activeCell="AZ37" sqref="AZ37"/>
    </sheetView>
  </sheetViews>
  <sheetFormatPr defaultColWidth="8.77734375" defaultRowHeight="13.2"/>
  <cols>
    <col min="1" max="1" width="43" customWidth="1"/>
    <col min="2" max="2" width="10.77734375" hidden="1" customWidth="1"/>
    <col min="3" max="10" width="10.44140625" style="4" hidden="1" customWidth="1"/>
    <col min="11" max="16" width="9.21875" style="4" hidden="1" customWidth="1"/>
    <col min="17" max="17" width="0" style="4" hidden="1" customWidth="1"/>
    <col min="18" max="21" width="9.21875" style="4" hidden="1" customWidth="1"/>
    <col min="22" max="22" width="0" style="4" hidden="1" customWidth="1"/>
    <col min="23" max="26" width="9.21875" style="4" hidden="1" customWidth="1"/>
    <col min="27" max="27" width="0" style="4" hidden="1" customWidth="1"/>
    <col min="28" max="28" width="9.21875" style="4" hidden="1" customWidth="1"/>
    <col min="29" max="29" width="11" style="4" hidden="1" customWidth="1"/>
    <col min="30" max="31" width="9.21875" style="4" hidden="1" customWidth="1"/>
    <col min="32" max="32" width="0" style="4" hidden="1" customWidth="1"/>
    <col min="33" max="36" width="9.21875" style="4" hidden="1" customWidth="1"/>
    <col min="37" max="37" width="8.77734375" style="4"/>
    <col min="38" max="41" width="8.77734375" style="4" customWidth="1"/>
    <col min="42" max="42" width="9.44140625" style="4" bestFit="1" customWidth="1"/>
    <col min="43" max="44" width="8.77734375" style="4"/>
    <col min="45" max="45" width="9.44140625" style="4" bestFit="1" customWidth="1"/>
    <col min="46" max="46" width="8.77734375" style="4"/>
    <col min="47" max="47" width="9.44140625" style="4" bestFit="1" customWidth="1"/>
    <col min="48" max="51" width="8.77734375" style="4"/>
    <col min="52" max="52" width="9" style="4" bestFit="1" customWidth="1"/>
    <col min="53" max="16384" width="8.77734375" style="4"/>
  </cols>
  <sheetData>
    <row r="1" spans="1:52" ht="15.6">
      <c r="A1" s="30"/>
      <c r="B1" s="30"/>
      <c r="C1" s="66"/>
      <c r="D1" s="66"/>
      <c r="E1" s="66"/>
      <c r="F1" s="66"/>
      <c r="G1" s="66"/>
      <c r="H1" s="66"/>
      <c r="I1" s="66"/>
      <c r="J1" s="66"/>
      <c r="K1" s="66"/>
      <c r="L1" s="66"/>
      <c r="M1" s="32"/>
      <c r="N1" s="32"/>
      <c r="O1" s="32"/>
    </row>
    <row r="2" spans="1:52" ht="15.6">
      <c r="A2" s="30"/>
      <c r="B2" s="30"/>
      <c r="C2" s="32"/>
      <c r="D2" s="66"/>
      <c r="E2" s="66"/>
      <c r="F2" s="66"/>
      <c r="G2" s="66"/>
      <c r="H2" s="32"/>
      <c r="I2" s="32"/>
      <c r="J2" s="32"/>
      <c r="K2" s="32"/>
      <c r="L2" s="32"/>
      <c r="M2" s="32"/>
      <c r="N2" s="32"/>
      <c r="O2" s="32"/>
    </row>
    <row r="3" spans="1:52" s="25" customFormat="1">
      <c r="A3" s="31"/>
      <c r="B3" s="47" t="s">
        <v>5</v>
      </c>
      <c r="C3" s="47" t="s">
        <v>6</v>
      </c>
      <c r="D3" s="47" t="s">
        <v>0</v>
      </c>
      <c r="E3" s="47" t="s">
        <v>1</v>
      </c>
      <c r="F3" s="47" t="s">
        <v>2</v>
      </c>
      <c r="G3" s="47" t="s">
        <v>5</v>
      </c>
      <c r="H3" s="47" t="s">
        <v>6</v>
      </c>
      <c r="I3" s="47" t="s">
        <v>0</v>
      </c>
      <c r="J3" s="47" t="s">
        <v>1</v>
      </c>
      <c r="K3" s="47" t="s">
        <v>2</v>
      </c>
      <c r="L3" s="47" t="s">
        <v>5</v>
      </c>
      <c r="M3" s="47" t="s">
        <v>6</v>
      </c>
      <c r="N3" s="47" t="s">
        <v>0</v>
      </c>
      <c r="O3" s="47" t="s">
        <v>1</v>
      </c>
      <c r="P3" s="47" t="s">
        <v>2</v>
      </c>
      <c r="Q3" s="47" t="s">
        <v>5</v>
      </c>
      <c r="R3" s="47" t="s">
        <v>6</v>
      </c>
      <c r="S3" s="47" t="s">
        <v>0</v>
      </c>
      <c r="T3" s="47" t="s">
        <v>1</v>
      </c>
      <c r="U3" s="47" t="s">
        <v>2</v>
      </c>
      <c r="V3" s="47" t="s">
        <v>5</v>
      </c>
      <c r="W3" s="47" t="s">
        <v>6</v>
      </c>
      <c r="X3" s="47" t="s">
        <v>0</v>
      </c>
      <c r="Y3" s="47" t="s">
        <v>1</v>
      </c>
      <c r="Z3" s="47" t="s">
        <v>2</v>
      </c>
      <c r="AA3" s="47" t="s">
        <v>5</v>
      </c>
      <c r="AB3" s="47" t="s">
        <v>99</v>
      </c>
      <c r="AC3" s="47" t="s">
        <v>0</v>
      </c>
      <c r="AD3" s="47" t="s">
        <v>1</v>
      </c>
      <c r="AE3" s="47" t="s">
        <v>2</v>
      </c>
      <c r="AF3" s="47" t="s">
        <v>5</v>
      </c>
      <c r="AG3" s="47" t="s">
        <v>99</v>
      </c>
      <c r="AH3" s="47" t="s">
        <v>0</v>
      </c>
      <c r="AI3" s="47" t="s">
        <v>1</v>
      </c>
      <c r="AJ3" s="47" t="s">
        <v>2</v>
      </c>
      <c r="AK3" s="47" t="s">
        <v>5</v>
      </c>
      <c r="AL3" s="47" t="s">
        <v>99</v>
      </c>
      <c r="AM3" s="47" t="s">
        <v>0</v>
      </c>
      <c r="AN3" s="47" t="s">
        <v>1</v>
      </c>
      <c r="AO3" s="47" t="s">
        <v>2</v>
      </c>
      <c r="AP3" s="47" t="s">
        <v>5</v>
      </c>
      <c r="AQ3" s="47" t="s">
        <v>99</v>
      </c>
      <c r="AR3" s="47" t="s">
        <v>0</v>
      </c>
      <c r="AS3" s="47" t="s">
        <v>1</v>
      </c>
      <c r="AT3" s="47" t="s">
        <v>2</v>
      </c>
      <c r="AU3" s="47" t="s">
        <v>5</v>
      </c>
      <c r="AV3" s="47" t="s">
        <v>99</v>
      </c>
      <c r="AW3" s="47" t="s">
        <v>0</v>
      </c>
      <c r="AX3" s="47" t="s">
        <v>1</v>
      </c>
      <c r="AY3" s="47" t="s">
        <v>2</v>
      </c>
      <c r="AZ3" s="47" t="s">
        <v>5</v>
      </c>
    </row>
    <row r="4" spans="1:52" s="57" customFormat="1" ht="12" customHeight="1">
      <c r="A4" s="58" t="s">
        <v>46</v>
      </c>
      <c r="B4" s="47">
        <v>2007</v>
      </c>
      <c r="C4" s="47">
        <v>2008</v>
      </c>
      <c r="D4" s="47">
        <v>2008</v>
      </c>
      <c r="E4" s="47">
        <v>2008</v>
      </c>
      <c r="F4" s="47">
        <v>2008</v>
      </c>
      <c r="G4" s="47">
        <v>2008</v>
      </c>
      <c r="H4" s="47">
        <v>2009</v>
      </c>
      <c r="I4" s="47">
        <v>2009</v>
      </c>
      <c r="J4" s="47">
        <v>2009</v>
      </c>
      <c r="K4" s="47">
        <v>2009</v>
      </c>
      <c r="L4" s="47">
        <v>2009</v>
      </c>
      <c r="M4" s="47">
        <v>2010</v>
      </c>
      <c r="N4" s="47">
        <v>2010</v>
      </c>
      <c r="O4" s="47">
        <v>2010</v>
      </c>
      <c r="P4" s="47">
        <v>2010</v>
      </c>
      <c r="Q4" s="47">
        <v>2010</v>
      </c>
      <c r="R4" s="47">
        <v>2011</v>
      </c>
      <c r="S4" s="47">
        <v>2011</v>
      </c>
      <c r="T4" s="47">
        <v>2011</v>
      </c>
      <c r="U4" s="47">
        <v>2011</v>
      </c>
      <c r="V4" s="47">
        <v>2011</v>
      </c>
      <c r="W4" s="47">
        <v>2012</v>
      </c>
      <c r="X4" s="47">
        <v>2012</v>
      </c>
      <c r="Y4" s="47">
        <v>2012</v>
      </c>
      <c r="Z4" s="47">
        <v>2012</v>
      </c>
      <c r="AA4" s="47">
        <v>2012</v>
      </c>
      <c r="AB4" s="47">
        <v>2013</v>
      </c>
      <c r="AC4" s="47">
        <v>2013</v>
      </c>
      <c r="AD4" s="47">
        <v>2013</v>
      </c>
      <c r="AE4" s="47">
        <v>2013</v>
      </c>
      <c r="AF4" s="47">
        <v>2013</v>
      </c>
      <c r="AG4" s="47">
        <v>2014</v>
      </c>
      <c r="AH4" s="47">
        <v>2014</v>
      </c>
      <c r="AI4" s="47">
        <v>2014</v>
      </c>
      <c r="AJ4" s="47">
        <v>2014</v>
      </c>
      <c r="AK4" s="47">
        <v>2014</v>
      </c>
      <c r="AL4" s="47">
        <v>2015</v>
      </c>
      <c r="AM4" s="47">
        <v>2015</v>
      </c>
      <c r="AN4" s="47">
        <v>2015</v>
      </c>
      <c r="AO4" s="47">
        <v>2015</v>
      </c>
      <c r="AP4" s="47">
        <v>2015</v>
      </c>
      <c r="AQ4" s="47">
        <v>2016</v>
      </c>
      <c r="AR4" s="47">
        <v>2016</v>
      </c>
      <c r="AS4" s="47">
        <v>2016</v>
      </c>
      <c r="AT4" s="47">
        <v>2016</v>
      </c>
      <c r="AU4" s="47">
        <v>2016</v>
      </c>
      <c r="AV4" s="47">
        <v>2017</v>
      </c>
      <c r="AW4" s="47">
        <v>2017</v>
      </c>
      <c r="AX4" s="47">
        <v>2017</v>
      </c>
      <c r="AY4" s="47">
        <v>2017</v>
      </c>
      <c r="AZ4" s="47">
        <v>2017</v>
      </c>
    </row>
    <row r="5" spans="1:52" s="25" customFormat="1" ht="4.5" customHeight="1">
      <c r="A5" s="44"/>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ht="21">
      <c r="A6" s="35" t="s">
        <v>101</v>
      </c>
      <c r="B6" s="35"/>
      <c r="C6" s="27"/>
      <c r="D6" s="27"/>
      <c r="E6" s="27"/>
      <c r="F6" s="27"/>
      <c r="G6" s="27"/>
      <c r="H6" s="27"/>
      <c r="I6" s="27"/>
      <c r="J6" s="27"/>
      <c r="K6" s="27"/>
      <c r="L6" s="27"/>
      <c r="M6" s="27"/>
      <c r="N6" s="27"/>
      <c r="O6" s="27"/>
      <c r="P6" s="27"/>
      <c r="Q6" s="27"/>
      <c r="R6" s="27"/>
      <c r="S6" s="27"/>
      <c r="T6" s="27"/>
      <c r="U6" s="21"/>
      <c r="V6" s="21"/>
      <c r="W6" s="27"/>
      <c r="X6" s="27"/>
      <c r="Y6" s="27"/>
      <c r="Z6" s="21"/>
      <c r="AA6" s="21"/>
      <c r="AB6" s="21"/>
      <c r="AC6" s="27"/>
      <c r="AD6" s="27"/>
      <c r="AE6" s="21"/>
      <c r="AF6" s="21"/>
      <c r="AG6" s="21"/>
      <c r="AH6" s="27"/>
      <c r="AI6" s="27"/>
      <c r="AJ6" s="21"/>
      <c r="AK6" s="21"/>
      <c r="AL6" s="21"/>
      <c r="AM6" s="21"/>
      <c r="AN6" s="21"/>
      <c r="AO6" s="21"/>
      <c r="AP6" s="21"/>
      <c r="AQ6" s="21"/>
      <c r="AR6" s="21"/>
      <c r="AS6" s="21"/>
      <c r="AT6" s="21"/>
      <c r="AU6" s="21"/>
      <c r="AV6" s="21"/>
      <c r="AW6" s="21"/>
      <c r="AX6" s="21"/>
      <c r="AY6" s="21"/>
      <c r="AZ6" s="21"/>
    </row>
    <row r="7" spans="1:52" ht="2.25" customHeight="1">
      <c r="A7" s="61"/>
      <c r="B7" s="61"/>
      <c r="C7" s="62"/>
      <c r="D7" s="62"/>
      <c r="E7" s="62"/>
      <c r="F7" s="62"/>
      <c r="G7" s="62"/>
      <c r="H7" s="62"/>
      <c r="I7" s="62"/>
      <c r="J7" s="62"/>
      <c r="K7" s="62"/>
      <c r="L7" s="62"/>
      <c r="M7" s="62"/>
      <c r="N7" s="62"/>
      <c r="O7" s="62"/>
      <c r="P7" s="62"/>
      <c r="Q7" s="62"/>
      <c r="R7" s="62"/>
      <c r="S7" s="62"/>
      <c r="T7" s="62"/>
      <c r="U7" s="61"/>
      <c r="V7" s="61"/>
      <c r="W7" s="62"/>
      <c r="X7" s="62"/>
      <c r="Y7" s="62"/>
      <c r="Z7" s="61"/>
      <c r="AA7" s="61"/>
      <c r="AB7" s="61"/>
      <c r="AC7" s="62"/>
      <c r="AD7" s="62"/>
      <c r="AE7" s="61"/>
      <c r="AF7" s="61"/>
      <c r="AG7" s="61"/>
      <c r="AH7" s="62"/>
      <c r="AI7" s="62"/>
      <c r="AJ7" s="61"/>
      <c r="AK7" s="61"/>
      <c r="AL7" s="61"/>
      <c r="AM7" s="61"/>
      <c r="AN7" s="61"/>
      <c r="AO7" s="61"/>
      <c r="AP7" s="61"/>
      <c r="AQ7" s="61"/>
      <c r="AR7" s="61"/>
      <c r="AS7" s="61"/>
      <c r="AT7" s="61"/>
      <c r="AU7" s="61"/>
      <c r="AV7" s="61"/>
      <c r="AW7" s="61"/>
      <c r="AX7" s="61"/>
      <c r="AY7" s="61"/>
      <c r="AZ7" s="61"/>
    </row>
    <row r="8" spans="1:52">
      <c r="A8" s="40" t="s">
        <v>29</v>
      </c>
      <c r="B8" s="40"/>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row>
    <row r="9" spans="1:52" s="36" customFormat="1">
      <c r="A9" s="69" t="s">
        <v>16</v>
      </c>
      <c r="B9" s="65">
        <v>11136</v>
      </c>
      <c r="C9" s="70">
        <v>2760</v>
      </c>
      <c r="D9" s="70">
        <v>2748</v>
      </c>
      <c r="E9" s="70">
        <v>2806</v>
      </c>
      <c r="F9" s="70">
        <v>2701</v>
      </c>
      <c r="G9" s="65">
        <v>11015</v>
      </c>
      <c r="H9" s="70">
        <v>2791</v>
      </c>
      <c r="I9" s="70">
        <v>2872</v>
      </c>
      <c r="J9" s="70">
        <v>2924</v>
      </c>
      <c r="K9" s="70">
        <f>L9-J9-I9-H9</f>
        <v>2932</v>
      </c>
      <c r="L9" s="65">
        <v>11519</v>
      </c>
      <c r="M9" s="70">
        <v>2915</v>
      </c>
      <c r="N9" s="70">
        <v>2981</v>
      </c>
      <c r="O9" s="70">
        <v>3033</v>
      </c>
      <c r="P9" s="70">
        <f>Q9-O9-N9-M9</f>
        <v>3058</v>
      </c>
      <c r="Q9" s="65">
        <v>11987</v>
      </c>
      <c r="R9" s="70">
        <v>2913</v>
      </c>
      <c r="S9" s="70">
        <v>2893</v>
      </c>
      <c r="T9" s="70">
        <v>2917</v>
      </c>
      <c r="U9" s="70">
        <f>V9-T9-S9-R9</f>
        <v>2650</v>
      </c>
      <c r="V9" s="65">
        <v>11373</v>
      </c>
      <c r="W9" s="70">
        <v>2740</v>
      </c>
      <c r="X9" s="70">
        <v>2595</v>
      </c>
      <c r="Y9" s="70">
        <v>2494</v>
      </c>
      <c r="Z9" s="70">
        <f>AA9-Y9-X9-W9</f>
        <v>2449</v>
      </c>
      <c r="AA9" s="65">
        <v>10278</v>
      </c>
      <c r="AB9" s="70">
        <v>2405</v>
      </c>
      <c r="AC9" s="70">
        <v>2351</v>
      </c>
      <c r="AD9" s="70">
        <v>2398</v>
      </c>
      <c r="AE9" s="70">
        <f>AF9-AD9-AC9-AB9</f>
        <v>2409</v>
      </c>
      <c r="AF9" s="65">
        <v>9563</v>
      </c>
      <c r="AG9" s="70">
        <v>2311</v>
      </c>
      <c r="AH9" s="70">
        <v>2250</v>
      </c>
      <c r="AI9" s="70">
        <v>2232</v>
      </c>
      <c r="AJ9" s="70">
        <f>AK9-AI9-AH9-AG9</f>
        <v>2262</v>
      </c>
      <c r="AK9" s="65">
        <v>9055</v>
      </c>
      <c r="AL9" s="70">
        <v>2174</v>
      </c>
      <c r="AM9" s="70">
        <v>2603</v>
      </c>
      <c r="AN9" s="70">
        <v>2602</v>
      </c>
      <c r="AO9" s="70">
        <v>2606</v>
      </c>
      <c r="AP9" s="65">
        <v>9985</v>
      </c>
      <c r="AQ9" s="70">
        <v>2559</v>
      </c>
      <c r="AR9" s="70">
        <v>2511</v>
      </c>
      <c r="AS9" s="70">
        <v>2510</v>
      </c>
      <c r="AT9" s="70">
        <v>2504</v>
      </c>
      <c r="AU9" s="65">
        <v>10084</v>
      </c>
      <c r="AV9" s="70">
        <v>2453</v>
      </c>
      <c r="AW9" s="70">
        <v>2463</v>
      </c>
      <c r="AX9" s="70">
        <v>2415</v>
      </c>
      <c r="AY9" s="70">
        <v>2458</v>
      </c>
      <c r="AZ9" s="65">
        <v>9789</v>
      </c>
    </row>
    <row r="10" spans="1:52">
      <c r="A10" s="71" t="s">
        <v>7</v>
      </c>
      <c r="B10" s="24"/>
      <c r="C10" s="72"/>
      <c r="D10" s="72">
        <f>D9/C9-1</f>
        <v>-4.3478260869564966E-3</v>
      </c>
      <c r="E10" s="72">
        <f>E9/D9-1</f>
        <v>2.1106259097525504E-2</v>
      </c>
      <c r="F10" s="72">
        <f>F9/E9-1</f>
        <v>-3.7419814682822516E-2</v>
      </c>
      <c r="G10" s="24"/>
      <c r="H10" s="72">
        <f>H9/F9-1</f>
        <v>3.3320992225101875E-2</v>
      </c>
      <c r="I10" s="72">
        <f>I9/H9-1</f>
        <v>2.9021855965603693E-2</v>
      </c>
      <c r="J10" s="72">
        <f>J9/I9-1</f>
        <v>1.8105849582172651E-2</v>
      </c>
      <c r="K10" s="72">
        <f>K9/J9-1</f>
        <v>2.7359781121751858E-3</v>
      </c>
      <c r="L10" s="24"/>
      <c r="M10" s="72">
        <f>M9/K9-1</f>
        <v>-5.7980900409276837E-3</v>
      </c>
      <c r="N10" s="72">
        <f>N9/M9-1</f>
        <v>2.2641509433962259E-2</v>
      </c>
      <c r="O10" s="72">
        <f>O9/N9-1</f>
        <v>1.7443810801744286E-2</v>
      </c>
      <c r="P10" s="72">
        <f>P9/O9-1</f>
        <v>8.2426640290140796E-3</v>
      </c>
      <c r="Q10" s="24"/>
      <c r="R10" s="72">
        <f>R9/P9-1</f>
        <v>-4.7416612164813632E-2</v>
      </c>
      <c r="S10" s="72">
        <f>S9/R9-1</f>
        <v>-6.8657741160316199E-3</v>
      </c>
      <c r="T10" s="72">
        <f>T9/S9-1</f>
        <v>8.295886622882831E-3</v>
      </c>
      <c r="U10" s="72">
        <f>U9/T9-1</f>
        <v>-9.1532396297566043E-2</v>
      </c>
      <c r="V10" s="24"/>
      <c r="W10" s="72">
        <f>W9/U9-1</f>
        <v>3.3962264150943389E-2</v>
      </c>
      <c r="X10" s="72">
        <f>X9/W9-1</f>
        <v>-5.2919708029197099E-2</v>
      </c>
      <c r="Y10" s="72">
        <f>Y9/X9-1</f>
        <v>-3.8921001926782273E-2</v>
      </c>
      <c r="Z10" s="72">
        <f>Z9/Y9-1</f>
        <v>-1.8043303929430654E-2</v>
      </c>
      <c r="AA10" s="24"/>
      <c r="AB10" s="72">
        <f>AB9/Z9-1</f>
        <v>-1.7966516945692068E-2</v>
      </c>
      <c r="AC10" s="72">
        <f>AC9/AB9-1</f>
        <v>-2.2453222453222454E-2</v>
      </c>
      <c r="AD10" s="72">
        <f>AD9/AC9-1</f>
        <v>1.9991492981709991E-2</v>
      </c>
      <c r="AE10" s="72">
        <f>AE9/AD9-1</f>
        <v>4.5871559633028358E-3</v>
      </c>
      <c r="AF10" s="24"/>
      <c r="AG10" s="72">
        <f>AG9/AE9-1</f>
        <v>-4.0680780406807782E-2</v>
      </c>
      <c r="AH10" s="72">
        <f>AH9/AG9-1</f>
        <v>-2.6395499783643417E-2</v>
      </c>
      <c r="AI10" s="72">
        <f>AI9/AH9-1</f>
        <v>-8.0000000000000071E-3</v>
      </c>
      <c r="AJ10" s="72">
        <f>AJ9/AI9-1</f>
        <v>1.3440860215053752E-2</v>
      </c>
      <c r="AK10" s="24"/>
      <c r="AL10" s="72">
        <v>-3.89036251105217E-2</v>
      </c>
      <c r="AM10" s="72">
        <v>0.19733210671573143</v>
      </c>
      <c r="AN10" s="72">
        <v>-3.8417210910490773E-4</v>
      </c>
      <c r="AO10" s="72">
        <v>1.537279016141424E-3</v>
      </c>
      <c r="AP10" s="24"/>
      <c r="AQ10" s="72">
        <v>-1.8035303146584858E-2</v>
      </c>
      <c r="AR10" s="72">
        <v>-1.8757327080890951E-2</v>
      </c>
      <c r="AS10" s="72">
        <v>-3.9824771007568316E-4</v>
      </c>
      <c r="AT10" s="72">
        <v>-2.3904382470119057E-3</v>
      </c>
      <c r="AU10" s="24"/>
      <c r="AV10" s="72">
        <v>-2.0367412140575025E-2</v>
      </c>
      <c r="AW10" s="72">
        <v>4.0766408479413485E-3</v>
      </c>
      <c r="AX10" s="72">
        <v>-1.948842874543244E-2</v>
      </c>
      <c r="AY10" s="72">
        <v>1.7805383022774235E-2</v>
      </c>
      <c r="AZ10" s="24"/>
    </row>
    <row r="11" spans="1:52">
      <c r="A11" s="71" t="s">
        <v>8</v>
      </c>
      <c r="B11" s="24"/>
      <c r="C11" s="73"/>
      <c r="D11" s="73"/>
      <c r="E11" s="73"/>
      <c r="F11" s="73"/>
      <c r="G11" s="24">
        <f t="shared" ref="G11:N11" si="0">G9/B9-1</f>
        <v>-1.0865660919540221E-2</v>
      </c>
      <c r="H11" s="73">
        <f t="shared" si="0"/>
        <v>1.1231884057971042E-2</v>
      </c>
      <c r="I11" s="73">
        <f t="shared" si="0"/>
        <v>4.512372634643369E-2</v>
      </c>
      <c r="J11" s="73">
        <f t="shared" si="0"/>
        <v>4.2052744119743357E-2</v>
      </c>
      <c r="K11" s="73">
        <f t="shared" si="0"/>
        <v>8.5523880044428013E-2</v>
      </c>
      <c r="L11" s="24">
        <f t="shared" si="0"/>
        <v>4.5755787562414829E-2</v>
      </c>
      <c r="M11" s="73">
        <f t="shared" si="0"/>
        <v>4.4428520243640302E-2</v>
      </c>
      <c r="N11" s="73">
        <f t="shared" si="0"/>
        <v>3.79526462395543E-2</v>
      </c>
      <c r="O11" s="73">
        <f t="shared" ref="O11:Y11" si="1">O9/J9-1</f>
        <v>3.7277701778385852E-2</v>
      </c>
      <c r="P11" s="73">
        <f t="shared" si="1"/>
        <v>4.2974079126875786E-2</v>
      </c>
      <c r="Q11" s="24">
        <f t="shared" si="1"/>
        <v>4.0628526781838703E-2</v>
      </c>
      <c r="R11" s="73">
        <f t="shared" si="1"/>
        <v>-6.8610634648369473E-4</v>
      </c>
      <c r="S11" s="73">
        <f t="shared" si="1"/>
        <v>-2.9520295202952074E-2</v>
      </c>
      <c r="T11" s="73">
        <f t="shared" si="1"/>
        <v>-3.8245961094625747E-2</v>
      </c>
      <c r="U11" s="73">
        <f t="shared" si="1"/>
        <v>-0.13342053629823414</v>
      </c>
      <c r="V11" s="24">
        <f t="shared" si="1"/>
        <v>-5.1222157337115215E-2</v>
      </c>
      <c r="W11" s="73">
        <f t="shared" si="1"/>
        <v>-5.9388946103673179E-2</v>
      </c>
      <c r="X11" s="73">
        <f t="shared" si="1"/>
        <v>-0.10300725890079498</v>
      </c>
      <c r="Y11" s="73">
        <f t="shared" si="1"/>
        <v>-0.14501199862872816</v>
      </c>
      <c r="Z11" s="73">
        <f t="shared" ref="Z11:AI11" si="2">Z9/U9-1</f>
        <v>-7.5849056603773612E-2</v>
      </c>
      <c r="AA11" s="24">
        <f t="shared" si="2"/>
        <v>-9.6280664732260601E-2</v>
      </c>
      <c r="AB11" s="73">
        <f t="shared" si="2"/>
        <v>-0.12226277372262773</v>
      </c>
      <c r="AC11" s="73">
        <f t="shared" si="2"/>
        <v>-9.4026974951830433E-2</v>
      </c>
      <c r="AD11" s="73">
        <f t="shared" si="2"/>
        <v>-3.8492381716118684E-2</v>
      </c>
      <c r="AE11" s="73">
        <f t="shared" si="2"/>
        <v>-1.6333197223356466E-2</v>
      </c>
      <c r="AF11" s="24">
        <f t="shared" si="2"/>
        <v>-6.9566063436466208E-2</v>
      </c>
      <c r="AG11" s="73">
        <f t="shared" si="2"/>
        <v>-3.9085239085239087E-2</v>
      </c>
      <c r="AH11" s="73">
        <f t="shared" si="2"/>
        <v>-4.2960442364951112E-2</v>
      </c>
      <c r="AI11" s="73">
        <f t="shared" si="2"/>
        <v>-6.9224353628023372E-2</v>
      </c>
      <c r="AJ11" s="73">
        <f t="shared" ref="AJ11:AS11" si="3">AJ9/AE9-1</f>
        <v>-6.1021170610211728E-2</v>
      </c>
      <c r="AK11" s="24">
        <v>-5.3121405416710288E-2</v>
      </c>
      <c r="AL11" s="73">
        <v>-5.928169623539592E-2</v>
      </c>
      <c r="AM11" s="73">
        <v>0.15688888888888886</v>
      </c>
      <c r="AN11" s="73">
        <v>0.16577060931899634</v>
      </c>
      <c r="AO11" s="73">
        <v>0.15207780725022113</v>
      </c>
      <c r="AP11" s="24">
        <v>0.10270568746548858</v>
      </c>
      <c r="AQ11" s="73">
        <v>0.17709291628334856</v>
      </c>
      <c r="AR11" s="73">
        <v>-3.5343834037648847E-2</v>
      </c>
      <c r="AS11" s="73">
        <v>-3.5357417371252864E-2</v>
      </c>
      <c r="AT11" s="73">
        <v>-3.9140445126630841E-2</v>
      </c>
      <c r="AU11" s="24">
        <v>9.9148723084627743E-3</v>
      </c>
      <c r="AV11" s="73">
        <v>-4.14224306369676E-2</v>
      </c>
      <c r="AW11" s="73">
        <v>-1.9115890083632014E-2</v>
      </c>
      <c r="AX11" s="73">
        <v>-3.7848605577689209E-2</v>
      </c>
      <c r="AY11" s="73">
        <v>-1.8370607028754038E-2</v>
      </c>
      <c r="AZ11" s="24">
        <v>-2.9254264180880618E-2</v>
      </c>
    </row>
    <row r="12" spans="1:52" s="36" customFormat="1">
      <c r="A12" s="69" t="s">
        <v>11</v>
      </c>
      <c r="B12" s="65">
        <v>1509</v>
      </c>
      <c r="C12" s="70">
        <v>368</v>
      </c>
      <c r="D12" s="70">
        <v>361</v>
      </c>
      <c r="E12" s="70">
        <v>365</v>
      </c>
      <c r="F12" s="70">
        <v>364</v>
      </c>
      <c r="G12" s="65">
        <v>1458</v>
      </c>
      <c r="H12" s="70">
        <v>371</v>
      </c>
      <c r="I12" s="70">
        <v>377</v>
      </c>
      <c r="J12" s="70">
        <v>361</v>
      </c>
      <c r="K12" s="70">
        <f>L12-J12-I12-H12</f>
        <v>376</v>
      </c>
      <c r="L12" s="65">
        <v>1485</v>
      </c>
      <c r="M12" s="70">
        <v>343</v>
      </c>
      <c r="N12" s="70">
        <v>348</v>
      </c>
      <c r="O12" s="70">
        <v>350</v>
      </c>
      <c r="P12" s="70">
        <f>Q12-O12-N12-M12</f>
        <v>368</v>
      </c>
      <c r="Q12" s="65">
        <v>1409</v>
      </c>
      <c r="R12" s="70">
        <v>335</v>
      </c>
      <c r="S12" s="70">
        <v>348</v>
      </c>
      <c r="T12" s="70">
        <v>357</v>
      </c>
      <c r="U12" s="70">
        <f>V12-T12-S12-R12</f>
        <v>355</v>
      </c>
      <c r="V12" s="65">
        <v>1395</v>
      </c>
      <c r="W12" s="70">
        <v>358</v>
      </c>
      <c r="X12" s="70">
        <v>358</v>
      </c>
      <c r="Y12" s="70">
        <v>359</v>
      </c>
      <c r="Z12" s="70">
        <f>AA12-Y12-X12-W12</f>
        <v>361</v>
      </c>
      <c r="AA12" s="65">
        <v>1436</v>
      </c>
      <c r="AB12" s="70">
        <v>328</v>
      </c>
      <c r="AC12" s="70">
        <v>326</v>
      </c>
      <c r="AD12" s="70">
        <v>329</v>
      </c>
      <c r="AE12" s="70">
        <f>AF12-AD12-AC12-AB12</f>
        <v>328</v>
      </c>
      <c r="AF12" s="65">
        <v>1311</v>
      </c>
      <c r="AG12" s="70">
        <v>314</v>
      </c>
      <c r="AH12" s="70">
        <v>319</v>
      </c>
      <c r="AI12" s="70">
        <v>327</v>
      </c>
      <c r="AJ12" s="70">
        <f>AK12-AI12-AH12-AG12</f>
        <v>321</v>
      </c>
      <c r="AK12" s="65">
        <v>1281</v>
      </c>
      <c r="AL12" s="70">
        <v>317</v>
      </c>
      <c r="AM12" s="70">
        <v>451</v>
      </c>
      <c r="AN12" s="70">
        <v>457</v>
      </c>
      <c r="AO12" s="70">
        <v>459</v>
      </c>
      <c r="AP12" s="65">
        <v>1684</v>
      </c>
      <c r="AQ12" s="70">
        <v>449</v>
      </c>
      <c r="AR12" s="70">
        <v>440</v>
      </c>
      <c r="AS12" s="70">
        <v>442</v>
      </c>
      <c r="AT12" s="70">
        <v>408</v>
      </c>
      <c r="AU12" s="65">
        <v>1739</v>
      </c>
      <c r="AV12" s="70">
        <v>428</v>
      </c>
      <c r="AW12" s="70">
        <v>424</v>
      </c>
      <c r="AX12" s="70">
        <v>436</v>
      </c>
      <c r="AY12" s="70">
        <v>427</v>
      </c>
      <c r="AZ12" s="65">
        <v>1715</v>
      </c>
    </row>
    <row r="13" spans="1:52">
      <c r="A13" s="71" t="s">
        <v>7</v>
      </c>
      <c r="B13" s="24"/>
      <c r="C13" s="72"/>
      <c r="D13" s="72">
        <f>D12/C12-1</f>
        <v>-1.9021739130434812E-2</v>
      </c>
      <c r="E13" s="72">
        <f>E12/D12-1</f>
        <v>1.1080332409972193E-2</v>
      </c>
      <c r="F13" s="72">
        <f>F12/E12-1</f>
        <v>-2.739726027397249E-3</v>
      </c>
      <c r="G13" s="24"/>
      <c r="H13" s="72">
        <f>H12/F12-1</f>
        <v>1.9230769230769162E-2</v>
      </c>
      <c r="I13" s="72">
        <f>I12/H12-1</f>
        <v>1.6172506738544534E-2</v>
      </c>
      <c r="J13" s="72">
        <f>J12/I12-1</f>
        <v>-4.2440318302387259E-2</v>
      </c>
      <c r="K13" s="72">
        <f>K12/J12-1</f>
        <v>4.1551246537396169E-2</v>
      </c>
      <c r="L13" s="24"/>
      <c r="M13" s="72">
        <f>M12/K12-1</f>
        <v>-8.7765957446808485E-2</v>
      </c>
      <c r="N13" s="72">
        <f>N12/M12-1</f>
        <v>1.4577259475218707E-2</v>
      </c>
      <c r="O13" s="72">
        <f>O12/N12-1</f>
        <v>5.7471264367816577E-3</v>
      </c>
      <c r="P13" s="72">
        <f>P12/O12-1</f>
        <v>5.1428571428571379E-2</v>
      </c>
      <c r="Q13" s="24"/>
      <c r="R13" s="72">
        <f>R12/P12-1</f>
        <v>-8.9673913043478271E-2</v>
      </c>
      <c r="S13" s="72">
        <f>S12/R12-1</f>
        <v>3.8805970149253799E-2</v>
      </c>
      <c r="T13" s="72">
        <f>T12/S12-1</f>
        <v>2.5862068965517349E-2</v>
      </c>
      <c r="U13" s="72">
        <f>U12/T12-1</f>
        <v>-5.6022408963585235E-3</v>
      </c>
      <c r="V13" s="24"/>
      <c r="W13" s="72">
        <f>W12/U12-1</f>
        <v>8.4507042253521014E-3</v>
      </c>
      <c r="X13" s="72">
        <f>X12/W12-1</f>
        <v>0</v>
      </c>
      <c r="Y13" s="72">
        <f>Y12/X12-1</f>
        <v>2.7932960893854997E-3</v>
      </c>
      <c r="Z13" s="72">
        <f>Z12/Y12-1</f>
        <v>5.5710306406684396E-3</v>
      </c>
      <c r="AA13" s="24"/>
      <c r="AB13" s="72">
        <f>AB12/Z12-1</f>
        <v>-9.1412742382271484E-2</v>
      </c>
      <c r="AC13" s="72">
        <f>AC12/AB12-1</f>
        <v>-6.0975609756097615E-3</v>
      </c>
      <c r="AD13" s="72">
        <f>AD12/AC12-1</f>
        <v>9.2024539877300082E-3</v>
      </c>
      <c r="AE13" s="72">
        <f>AE12/AD12-1</f>
        <v>-3.0395136778115228E-3</v>
      </c>
      <c r="AF13" s="24"/>
      <c r="AG13" s="72">
        <f>AG12/AE12-1</f>
        <v>-4.2682926829268331E-2</v>
      </c>
      <c r="AH13" s="72">
        <f>AH12/AG12-1</f>
        <v>1.5923566878980999E-2</v>
      </c>
      <c r="AI13" s="72">
        <f>AI12/AH12-1</f>
        <v>2.5078369905956022E-2</v>
      </c>
      <c r="AJ13" s="72">
        <f>AJ12/AI12-1</f>
        <v>-1.834862385321101E-2</v>
      </c>
      <c r="AK13" s="24"/>
      <c r="AL13" s="72">
        <v>-1.2461059190031154E-2</v>
      </c>
      <c r="AM13" s="72">
        <v>0.42271293375394325</v>
      </c>
      <c r="AN13" s="72">
        <v>1.3303769401330268E-2</v>
      </c>
      <c r="AO13" s="72">
        <v>4.3763676148795838E-3</v>
      </c>
      <c r="AP13" s="24"/>
      <c r="AQ13" s="72">
        <v>-2.1786492374727628E-2</v>
      </c>
      <c r="AR13" s="72">
        <v>-2.0044543429844075E-2</v>
      </c>
      <c r="AS13" s="72">
        <v>4.5454545454546302E-3</v>
      </c>
      <c r="AT13" s="72">
        <v>-7.6923076923076872E-2</v>
      </c>
      <c r="AU13" s="24"/>
      <c r="AV13" s="72">
        <v>4.9019607843137303E-2</v>
      </c>
      <c r="AW13" s="72">
        <v>-9.3457943925233655E-3</v>
      </c>
      <c r="AX13" s="72">
        <v>2.8301886792452935E-2</v>
      </c>
      <c r="AY13" s="72">
        <v>-2.0642201834862428E-2</v>
      </c>
      <c r="AZ13" s="24"/>
    </row>
    <row r="14" spans="1:52">
      <c r="A14" s="71" t="s">
        <v>8</v>
      </c>
      <c r="B14" s="24"/>
      <c r="C14" s="73"/>
      <c r="D14" s="73"/>
      <c r="E14" s="73"/>
      <c r="F14" s="73"/>
      <c r="G14" s="24">
        <f t="shared" ref="G14:N14" si="4">G12/B12-1</f>
        <v>-3.379721669980118E-2</v>
      </c>
      <c r="H14" s="73">
        <f t="shared" si="4"/>
        <v>8.152173913043459E-3</v>
      </c>
      <c r="I14" s="73">
        <f t="shared" si="4"/>
        <v>4.4321329639889218E-2</v>
      </c>
      <c r="J14" s="73">
        <f t="shared" si="4"/>
        <v>-1.0958904109588996E-2</v>
      </c>
      <c r="K14" s="73">
        <f t="shared" si="4"/>
        <v>3.2967032967033072E-2</v>
      </c>
      <c r="L14" s="24">
        <f t="shared" si="4"/>
        <v>1.8518518518518601E-2</v>
      </c>
      <c r="M14" s="73">
        <f t="shared" si="4"/>
        <v>-7.547169811320753E-2</v>
      </c>
      <c r="N14" s="73">
        <f t="shared" si="4"/>
        <v>-7.6923076923076872E-2</v>
      </c>
      <c r="O14" s="73">
        <f t="shared" ref="O14:Y14" si="5">O12/J12-1</f>
        <v>-3.0470914127423865E-2</v>
      </c>
      <c r="P14" s="73">
        <f t="shared" si="5"/>
        <v>-2.1276595744680882E-2</v>
      </c>
      <c r="Q14" s="24">
        <f t="shared" si="5"/>
        <v>-5.1178451178451212E-2</v>
      </c>
      <c r="R14" s="73">
        <f t="shared" si="5"/>
        <v>-2.3323615160349864E-2</v>
      </c>
      <c r="S14" s="73">
        <f t="shared" si="5"/>
        <v>0</v>
      </c>
      <c r="T14" s="73">
        <f t="shared" si="5"/>
        <v>2.0000000000000018E-2</v>
      </c>
      <c r="U14" s="73">
        <f t="shared" si="5"/>
        <v>-3.5326086956521729E-2</v>
      </c>
      <c r="V14" s="24">
        <f t="shared" si="5"/>
        <v>-9.936124911284594E-3</v>
      </c>
      <c r="W14" s="73">
        <f t="shared" si="5"/>
        <v>6.8656716417910379E-2</v>
      </c>
      <c r="X14" s="73">
        <f t="shared" si="5"/>
        <v>2.8735632183908066E-2</v>
      </c>
      <c r="Y14" s="73">
        <f t="shared" si="5"/>
        <v>5.6022408963585235E-3</v>
      </c>
      <c r="Z14" s="73">
        <f t="shared" ref="Z14:AI14" si="6">Z12/U12-1</f>
        <v>1.6901408450704203E-2</v>
      </c>
      <c r="AA14" s="24">
        <f t="shared" si="6"/>
        <v>2.9390681003584218E-2</v>
      </c>
      <c r="AB14" s="73">
        <f t="shared" si="6"/>
        <v>-8.3798882681564213E-2</v>
      </c>
      <c r="AC14" s="73">
        <f t="shared" si="6"/>
        <v>-8.9385474860335212E-2</v>
      </c>
      <c r="AD14" s="73">
        <f t="shared" si="6"/>
        <v>-8.3565459610027815E-2</v>
      </c>
      <c r="AE14" s="73">
        <f t="shared" si="6"/>
        <v>-9.1412742382271484E-2</v>
      </c>
      <c r="AF14" s="24">
        <f t="shared" si="6"/>
        <v>-8.70473537604457E-2</v>
      </c>
      <c r="AG14" s="73">
        <f t="shared" si="6"/>
        <v>-4.2682926829268331E-2</v>
      </c>
      <c r="AH14" s="73">
        <f t="shared" si="6"/>
        <v>-2.1472392638036797E-2</v>
      </c>
      <c r="AI14" s="73">
        <f t="shared" si="6"/>
        <v>-6.0790273556230456E-3</v>
      </c>
      <c r="AJ14" s="73">
        <f t="shared" ref="AJ14:AS14" si="7">AJ12/AE12-1</f>
        <v>-2.1341463414634165E-2</v>
      </c>
      <c r="AK14" s="24">
        <v>-2.2883295194508046E-2</v>
      </c>
      <c r="AL14" s="73">
        <v>9.5541401273886439E-3</v>
      </c>
      <c r="AM14" s="73">
        <v>0.4137931034482758</v>
      </c>
      <c r="AN14" s="73">
        <v>0.39755351681957185</v>
      </c>
      <c r="AO14" s="73">
        <v>0.42990654205607481</v>
      </c>
      <c r="AP14" s="24">
        <v>0.31459797033567516</v>
      </c>
      <c r="AQ14" s="73">
        <v>0.41640378548895907</v>
      </c>
      <c r="AR14" s="73">
        <v>-2.4390243902439046E-2</v>
      </c>
      <c r="AS14" s="73">
        <v>-3.2822757111597323E-2</v>
      </c>
      <c r="AT14" s="73">
        <v>-0.11111111111111116</v>
      </c>
      <c r="AU14" s="24">
        <v>3.2660332541567749E-2</v>
      </c>
      <c r="AV14" s="73">
        <v>-4.6770601336302842E-2</v>
      </c>
      <c r="AW14" s="73">
        <v>-3.6363636363636376E-2</v>
      </c>
      <c r="AX14" s="73">
        <v>-1.3574660633484115E-2</v>
      </c>
      <c r="AY14" s="73">
        <v>4.6568627450980449E-2</v>
      </c>
      <c r="AZ14" s="24">
        <v>-1.3801035077630863E-2</v>
      </c>
    </row>
    <row r="15" spans="1:52">
      <c r="A15" s="69" t="s">
        <v>86</v>
      </c>
      <c r="B15" s="65">
        <v>2192</v>
      </c>
      <c r="C15" s="80" t="s">
        <v>53</v>
      </c>
      <c r="D15" s="80" t="s">
        <v>53</v>
      </c>
      <c r="E15" s="80" t="s">
        <v>53</v>
      </c>
      <c r="F15" s="80" t="s">
        <v>53</v>
      </c>
      <c r="G15" s="65">
        <v>2161</v>
      </c>
      <c r="H15" s="120" t="s">
        <v>45</v>
      </c>
      <c r="I15" s="120" t="s">
        <v>45</v>
      </c>
      <c r="J15" s="120" t="s">
        <v>45</v>
      </c>
      <c r="K15" s="120" t="s">
        <v>45</v>
      </c>
      <c r="L15" s="65">
        <v>1990</v>
      </c>
      <c r="M15" s="70">
        <v>505</v>
      </c>
      <c r="N15" s="70">
        <v>489</v>
      </c>
      <c r="O15" s="70">
        <v>492</v>
      </c>
      <c r="P15" s="70">
        <f>Q15-O15-N15-M15</f>
        <v>538</v>
      </c>
      <c r="Q15" s="65">
        <v>2024</v>
      </c>
      <c r="R15" s="70">
        <v>532</v>
      </c>
      <c r="S15" s="70">
        <v>540</v>
      </c>
      <c r="T15" s="70">
        <v>540</v>
      </c>
      <c r="U15" s="70">
        <f>V15-T15-S15-R15</f>
        <v>478</v>
      </c>
      <c r="V15" s="65">
        <v>2090</v>
      </c>
      <c r="W15" s="70">
        <v>511</v>
      </c>
      <c r="X15" s="70">
        <v>505</v>
      </c>
      <c r="Y15" s="70">
        <v>511</v>
      </c>
      <c r="Z15" s="70">
        <f>AA15-Y15-X15-W15</f>
        <v>449</v>
      </c>
      <c r="AA15" s="65">
        <v>1976</v>
      </c>
      <c r="AB15" s="70">
        <v>499</v>
      </c>
      <c r="AC15" s="70">
        <v>468</v>
      </c>
      <c r="AD15" s="70">
        <v>464</v>
      </c>
      <c r="AE15" s="70">
        <f>AF15-AD15-AC15-AB15</f>
        <v>441</v>
      </c>
      <c r="AF15" s="65">
        <v>1872</v>
      </c>
      <c r="AG15" s="70">
        <v>448</v>
      </c>
      <c r="AH15" s="70">
        <v>443</v>
      </c>
      <c r="AI15" s="70">
        <v>437</v>
      </c>
      <c r="AJ15" s="70">
        <f>AK15-AI15-AH15-AG15</f>
        <v>440</v>
      </c>
      <c r="AK15" s="65">
        <v>1768</v>
      </c>
      <c r="AL15" s="70">
        <v>439</v>
      </c>
      <c r="AM15" s="70">
        <v>497</v>
      </c>
      <c r="AN15" s="70">
        <v>506</v>
      </c>
      <c r="AO15" s="70">
        <v>515</v>
      </c>
      <c r="AP15" s="65">
        <v>1957</v>
      </c>
      <c r="AQ15" s="70">
        <v>513</v>
      </c>
      <c r="AR15" s="70">
        <v>495</v>
      </c>
      <c r="AS15" s="70">
        <v>501</v>
      </c>
      <c r="AT15" s="70">
        <v>503</v>
      </c>
      <c r="AU15" s="65">
        <v>2012</v>
      </c>
      <c r="AV15" s="70">
        <v>504</v>
      </c>
      <c r="AW15" s="70">
        <v>494</v>
      </c>
      <c r="AX15" s="70">
        <v>502</v>
      </c>
      <c r="AY15" s="70">
        <v>505</v>
      </c>
      <c r="AZ15" s="65">
        <v>2005</v>
      </c>
    </row>
    <row r="16" spans="1:52">
      <c r="A16" s="71" t="s">
        <v>7</v>
      </c>
      <c r="B16" s="24"/>
      <c r="C16" s="73"/>
      <c r="D16" s="73"/>
      <c r="E16" s="73"/>
      <c r="F16" s="73"/>
      <c r="G16" s="24"/>
      <c r="H16" s="72"/>
      <c r="I16" s="72"/>
      <c r="J16" s="72"/>
      <c r="K16" s="72"/>
      <c r="L16" s="24"/>
      <c r="M16" s="72"/>
      <c r="N16" s="72">
        <f>N15/M15-1</f>
        <v>-3.1683168316831711E-2</v>
      </c>
      <c r="O16" s="72">
        <f>O15/N15-1</f>
        <v>6.1349693251533388E-3</v>
      </c>
      <c r="P16" s="72">
        <f>P15/O15-1</f>
        <v>9.3495934959349603E-2</v>
      </c>
      <c r="Q16" s="24"/>
      <c r="R16" s="72">
        <f>R15/P15-1</f>
        <v>-1.1152416356877359E-2</v>
      </c>
      <c r="S16" s="72">
        <f>S15/R15-1</f>
        <v>1.5037593984962516E-2</v>
      </c>
      <c r="T16" s="72">
        <f>T15/S15-1</f>
        <v>0</v>
      </c>
      <c r="U16" s="72">
        <f>U15/T15-1</f>
        <v>-0.11481481481481481</v>
      </c>
      <c r="V16" s="24"/>
      <c r="W16" s="72">
        <f>W15/U15-1</f>
        <v>6.9037656903765621E-2</v>
      </c>
      <c r="X16" s="72">
        <f>X15/W15-1</f>
        <v>-1.1741682974559686E-2</v>
      </c>
      <c r="Y16" s="72">
        <f>Y15/X15-1</f>
        <v>1.1881188118811892E-2</v>
      </c>
      <c r="Z16" s="72">
        <f>Z15/Y15-1</f>
        <v>-0.12133072407045009</v>
      </c>
      <c r="AA16" s="24"/>
      <c r="AB16" s="72">
        <f>AB15/Z15-1</f>
        <v>0.11135857461024501</v>
      </c>
      <c r="AC16" s="72">
        <f>AC15/AB15-1</f>
        <v>-6.2124248496993939E-2</v>
      </c>
      <c r="AD16" s="72">
        <f>AD15/AC15-1</f>
        <v>-8.5470085470085166E-3</v>
      </c>
      <c r="AE16" s="72">
        <f>AE15/AD15-1</f>
        <v>-4.9568965517241326E-2</v>
      </c>
      <c r="AF16" s="24"/>
      <c r="AG16" s="72">
        <f>AG15/AE15-1</f>
        <v>1.5873015873015817E-2</v>
      </c>
      <c r="AH16" s="72">
        <f>AH15/AG15-1</f>
        <v>-1.1160714285714302E-2</v>
      </c>
      <c r="AI16" s="72">
        <f>AI15/AH15-1</f>
        <v>-1.3544018058690765E-2</v>
      </c>
      <c r="AJ16" s="72">
        <f>AJ15/AI15-1</f>
        <v>6.8649885583524917E-3</v>
      </c>
      <c r="AK16" s="24"/>
      <c r="AL16" s="72">
        <v>-2.2727272727273151E-3</v>
      </c>
      <c r="AM16" s="72">
        <v>0.13211845102505704</v>
      </c>
      <c r="AN16" s="72">
        <v>1.810865191146882E-2</v>
      </c>
      <c r="AO16" s="72">
        <v>1.7786561264822032E-2</v>
      </c>
      <c r="AP16" s="24"/>
      <c r="AQ16" s="72">
        <v>-3.8834951456310218E-3</v>
      </c>
      <c r="AR16" s="72">
        <v>-3.5087719298245612E-2</v>
      </c>
      <c r="AS16" s="72">
        <v>1.2121212121212199E-2</v>
      </c>
      <c r="AT16" s="72">
        <v>3.9920159680639777E-3</v>
      </c>
      <c r="AU16" s="24"/>
      <c r="AV16" s="72">
        <v>1.9880715705764551E-3</v>
      </c>
      <c r="AW16" s="72">
        <v>-1.9841269841269882E-2</v>
      </c>
      <c r="AX16" s="72">
        <v>1.6194331983805599E-2</v>
      </c>
      <c r="AY16" s="72">
        <v>5.9760956175298752E-3</v>
      </c>
      <c r="AZ16" s="24"/>
    </row>
    <row r="17" spans="1:52">
      <c r="A17" s="71" t="s">
        <v>8</v>
      </c>
      <c r="B17" s="24"/>
      <c r="C17" s="73"/>
      <c r="D17" s="73"/>
      <c r="E17" s="73"/>
      <c r="F17" s="73"/>
      <c r="G17" s="24">
        <f>G15/B15-1</f>
        <v>-1.414233576642332E-2</v>
      </c>
      <c r="H17" s="73"/>
      <c r="I17" s="73"/>
      <c r="J17" s="73"/>
      <c r="K17" s="73"/>
      <c r="L17" s="24">
        <f>L15/G15-1</f>
        <v>-7.9130032392410898E-2</v>
      </c>
      <c r="M17" s="73"/>
      <c r="N17" s="73"/>
      <c r="O17" s="72"/>
      <c r="P17" s="70"/>
      <c r="Q17" s="24">
        <f t="shared" ref="Q17:Y17" si="8">Q15/L15-1</f>
        <v>1.7085427135678399E-2</v>
      </c>
      <c r="R17" s="73">
        <f t="shared" si="8"/>
        <v>5.3465346534653513E-2</v>
      </c>
      <c r="S17" s="73">
        <f t="shared" si="8"/>
        <v>0.10429447852760743</v>
      </c>
      <c r="T17" s="73">
        <f t="shared" si="8"/>
        <v>9.7560975609756184E-2</v>
      </c>
      <c r="U17" s="73">
        <f t="shared" si="8"/>
        <v>-0.11152416356877326</v>
      </c>
      <c r="V17" s="24">
        <f t="shared" si="8"/>
        <v>3.2608695652173836E-2</v>
      </c>
      <c r="W17" s="73">
        <f t="shared" si="8"/>
        <v>-3.9473684210526327E-2</v>
      </c>
      <c r="X17" s="73">
        <f t="shared" si="8"/>
        <v>-6.481481481481477E-2</v>
      </c>
      <c r="Y17" s="73">
        <f t="shared" si="8"/>
        <v>-5.3703703703703698E-2</v>
      </c>
      <c r="Z17" s="73">
        <f t="shared" ref="Z17:AI17" si="9">Z15/U15-1</f>
        <v>-6.0669456066945626E-2</v>
      </c>
      <c r="AA17" s="24">
        <f t="shared" si="9"/>
        <v>-5.4545454545454564E-2</v>
      </c>
      <c r="AB17" s="73">
        <f t="shared" si="9"/>
        <v>-2.3483365949119372E-2</v>
      </c>
      <c r="AC17" s="73">
        <f t="shared" si="9"/>
        <v>-7.3267326732673221E-2</v>
      </c>
      <c r="AD17" s="73">
        <f t="shared" si="9"/>
        <v>-9.1976516634050931E-2</v>
      </c>
      <c r="AE17" s="73">
        <f t="shared" si="9"/>
        <v>-1.7817371937639215E-2</v>
      </c>
      <c r="AF17" s="24">
        <f t="shared" si="9"/>
        <v>-5.2631578947368474E-2</v>
      </c>
      <c r="AG17" s="73">
        <f t="shared" si="9"/>
        <v>-0.10220440881763526</v>
      </c>
      <c r="AH17" s="73">
        <f t="shared" si="9"/>
        <v>-5.3418803418803451E-2</v>
      </c>
      <c r="AI17" s="73">
        <f t="shared" si="9"/>
        <v>-5.8189655172413812E-2</v>
      </c>
      <c r="AJ17" s="73">
        <f t="shared" ref="AJ17:AS17" si="10">AJ15/AE15-1</f>
        <v>-2.2675736961451642E-3</v>
      </c>
      <c r="AK17" s="24">
        <v>-5.555555555555558E-2</v>
      </c>
      <c r="AL17" s="73">
        <v>-2.0089285714285698E-2</v>
      </c>
      <c r="AM17" s="73">
        <v>0.12189616252821667</v>
      </c>
      <c r="AN17" s="73">
        <v>0.15789473684210531</v>
      </c>
      <c r="AO17" s="73">
        <v>0.17045454545454541</v>
      </c>
      <c r="AP17" s="24">
        <v>0.10690045248868785</v>
      </c>
      <c r="AQ17" s="73">
        <v>0.16856492027334857</v>
      </c>
      <c r="AR17" s="73">
        <v>-4.0241448692153181E-3</v>
      </c>
      <c r="AS17" s="73">
        <v>-9.8814229249012397E-3</v>
      </c>
      <c r="AT17" s="73">
        <v>-2.3300970873786353E-2</v>
      </c>
      <c r="AU17" s="24">
        <v>2.8104241185487933E-2</v>
      </c>
      <c r="AV17" s="73">
        <v>-1.7543859649122862E-2</v>
      </c>
      <c r="AW17" s="73">
        <v>-2.0202020202020332E-3</v>
      </c>
      <c r="AX17" s="73">
        <v>1.9960079840319889E-3</v>
      </c>
      <c r="AY17" s="73">
        <v>3.9761431411531323E-3</v>
      </c>
      <c r="AZ17" s="24">
        <v>-3.4791252485089075E-3</v>
      </c>
    </row>
    <row r="18" spans="1:52">
      <c r="A18" s="69" t="s">
        <v>108</v>
      </c>
      <c r="B18" s="65">
        <v>39</v>
      </c>
      <c r="C18" s="80" t="s">
        <v>53</v>
      </c>
      <c r="D18" s="80" t="s">
        <v>53</v>
      </c>
      <c r="E18" s="80" t="s">
        <v>53</v>
      </c>
      <c r="F18" s="80" t="s">
        <v>53</v>
      </c>
      <c r="G18" s="65">
        <v>96</v>
      </c>
      <c r="H18" s="120" t="s">
        <v>45</v>
      </c>
      <c r="I18" s="120" t="s">
        <v>45</v>
      </c>
      <c r="J18" s="120" t="s">
        <v>45</v>
      </c>
      <c r="K18" s="120" t="s">
        <v>45</v>
      </c>
      <c r="L18" s="65">
        <v>201</v>
      </c>
      <c r="M18" s="186">
        <v>-25</v>
      </c>
      <c r="N18" s="186">
        <v>-70</v>
      </c>
      <c r="O18" s="186">
        <v>-59</v>
      </c>
      <c r="P18" s="186">
        <f>Q18-O18-N18-M18</f>
        <v>-62</v>
      </c>
      <c r="Q18" s="178">
        <v>-216</v>
      </c>
      <c r="R18" s="186">
        <v>250</v>
      </c>
      <c r="S18" s="186">
        <v>-62</v>
      </c>
      <c r="T18" s="186">
        <v>-106</v>
      </c>
      <c r="U18" s="186">
        <f>V18-T18-S18-R18</f>
        <v>57</v>
      </c>
      <c r="V18" s="65">
        <v>139</v>
      </c>
      <c r="W18" s="186">
        <v>-23</v>
      </c>
      <c r="X18" s="186">
        <v>17</v>
      </c>
      <c r="Y18" s="186">
        <v>-6</v>
      </c>
      <c r="Z18" s="186">
        <f>AA18-Y18-X18-W18</f>
        <v>-116</v>
      </c>
      <c r="AA18" s="178">
        <v>-128</v>
      </c>
      <c r="AB18" s="186">
        <v>-72</v>
      </c>
      <c r="AC18" s="186">
        <v>-18</v>
      </c>
      <c r="AD18" s="186">
        <v>-6</v>
      </c>
      <c r="AE18" s="186">
        <f>AF18-AD18-AC18-AB18</f>
        <v>81</v>
      </c>
      <c r="AF18" s="178">
        <v>-15</v>
      </c>
      <c r="AG18" s="186">
        <v>-8</v>
      </c>
      <c r="AH18" s="186">
        <v>-568</v>
      </c>
      <c r="AI18" s="186">
        <v>-25</v>
      </c>
      <c r="AJ18" s="186">
        <f>AK18-AI18-AH18-AG18</f>
        <v>15</v>
      </c>
      <c r="AK18" s="178">
        <v>-586</v>
      </c>
      <c r="AL18" s="186">
        <v>-17</v>
      </c>
      <c r="AM18" s="186">
        <v>-141</v>
      </c>
      <c r="AN18" s="186">
        <v>-13</v>
      </c>
      <c r="AO18" s="186">
        <v>76</v>
      </c>
      <c r="AP18" s="178">
        <v>-95</v>
      </c>
      <c r="AQ18" s="186">
        <v>5</v>
      </c>
      <c r="AR18" s="186">
        <v>-12</v>
      </c>
      <c r="AS18" s="186">
        <v>-26</v>
      </c>
      <c r="AT18" s="186">
        <v>33</v>
      </c>
      <c r="AU18" s="178">
        <v>0</v>
      </c>
      <c r="AV18" s="186">
        <v>-4</v>
      </c>
      <c r="AW18" s="186">
        <v>-1</v>
      </c>
      <c r="AX18" s="186">
        <v>-23</v>
      </c>
      <c r="AY18" s="186">
        <v>96</v>
      </c>
      <c r="AZ18" s="178">
        <v>68</v>
      </c>
    </row>
    <row r="19" spans="1:52">
      <c r="A19" s="71" t="s">
        <v>7</v>
      </c>
      <c r="B19" s="24"/>
      <c r="C19" s="73"/>
      <c r="D19" s="73"/>
      <c r="E19" s="73"/>
      <c r="F19" s="73"/>
      <c r="G19" s="24"/>
      <c r="H19" s="73"/>
      <c r="I19" s="73"/>
      <c r="J19" s="73"/>
      <c r="K19" s="73"/>
      <c r="L19" s="24"/>
      <c r="M19" s="73"/>
      <c r="N19" s="72">
        <f>N18/M18-1</f>
        <v>1.7999999999999998</v>
      </c>
      <c r="O19" s="72">
        <f>O18/N18-1</f>
        <v>-0.15714285714285714</v>
      </c>
      <c r="P19" s="72">
        <f>P18/O18-1</f>
        <v>5.0847457627118731E-2</v>
      </c>
      <c r="Q19" s="24"/>
      <c r="R19" s="85" t="s">
        <v>49</v>
      </c>
      <c r="S19" s="85" t="s">
        <v>49</v>
      </c>
      <c r="T19" s="72">
        <f>T18/S18-1</f>
        <v>0.70967741935483875</v>
      </c>
      <c r="U19" s="85" t="s">
        <v>49</v>
      </c>
      <c r="V19" s="24"/>
      <c r="W19" s="85" t="s">
        <v>49</v>
      </c>
      <c r="X19" s="85" t="s">
        <v>49</v>
      </c>
      <c r="Y19" s="85" t="s">
        <v>49</v>
      </c>
      <c r="Z19" s="85" t="s">
        <v>49</v>
      </c>
      <c r="AA19" s="24"/>
      <c r="AB19" s="85" t="s">
        <v>44</v>
      </c>
      <c r="AC19" s="85" t="s">
        <v>44</v>
      </c>
      <c r="AD19" s="85" t="s">
        <v>44</v>
      </c>
      <c r="AE19" s="85" t="s">
        <v>44</v>
      </c>
      <c r="AF19" s="24"/>
      <c r="AG19" s="85" t="s">
        <v>44</v>
      </c>
      <c r="AH19" s="85" t="s">
        <v>44</v>
      </c>
      <c r="AI19" s="85" t="s">
        <v>44</v>
      </c>
      <c r="AJ19" s="85" t="s">
        <v>44</v>
      </c>
      <c r="AK19" s="24"/>
      <c r="AL19" s="85" t="s">
        <v>49</v>
      </c>
      <c r="AM19" s="72">
        <v>7.2941176470588243</v>
      </c>
      <c r="AN19" s="72">
        <v>-0.90780141843971629</v>
      </c>
      <c r="AO19" s="85" t="s">
        <v>44</v>
      </c>
      <c r="AP19" s="24"/>
      <c r="AQ19" s="72">
        <v>-0.93421052631578949</v>
      </c>
      <c r="AR19" s="72">
        <v>-3.4</v>
      </c>
      <c r="AS19" s="72">
        <v>1.1666666666666665</v>
      </c>
      <c r="AT19" s="85" t="s">
        <v>44</v>
      </c>
      <c r="AU19" s="24"/>
      <c r="AV19" s="85" t="s">
        <v>44</v>
      </c>
      <c r="AW19" s="72">
        <v>-0.75</v>
      </c>
      <c r="AX19" s="72">
        <v>22</v>
      </c>
      <c r="AY19" s="85" t="s">
        <v>44</v>
      </c>
      <c r="AZ19" s="24"/>
    </row>
    <row r="20" spans="1:52">
      <c r="A20" s="71" t="s">
        <v>8</v>
      </c>
      <c r="B20" s="24"/>
      <c r="C20" s="73"/>
      <c r="D20" s="73"/>
      <c r="E20" s="73"/>
      <c r="F20" s="73"/>
      <c r="G20" s="24"/>
      <c r="H20" s="73"/>
      <c r="I20" s="73"/>
      <c r="J20" s="73"/>
      <c r="K20" s="73"/>
      <c r="L20" s="92" t="s">
        <v>44</v>
      </c>
      <c r="M20" s="73"/>
      <c r="N20" s="73"/>
      <c r="O20" s="73"/>
      <c r="P20" s="73"/>
      <c r="Q20" s="92" t="s">
        <v>49</v>
      </c>
      <c r="R20" s="85" t="s">
        <v>49</v>
      </c>
      <c r="S20" s="73">
        <f>S18/N18-1</f>
        <v>-0.11428571428571432</v>
      </c>
      <c r="T20" s="73">
        <f>T18/O18-1</f>
        <v>0.79661016949152552</v>
      </c>
      <c r="U20" s="85" t="s">
        <v>49</v>
      </c>
      <c r="V20" s="92" t="s">
        <v>49</v>
      </c>
      <c r="W20" s="85" t="s">
        <v>49</v>
      </c>
      <c r="X20" s="85" t="s">
        <v>49</v>
      </c>
      <c r="Y20" s="73">
        <f>Y18/T18-1</f>
        <v>-0.94339622641509435</v>
      </c>
      <c r="Z20" s="85" t="s">
        <v>49</v>
      </c>
      <c r="AA20" s="92" t="s">
        <v>49</v>
      </c>
      <c r="AB20" s="85" t="s">
        <v>44</v>
      </c>
      <c r="AC20" s="85" t="s">
        <v>44</v>
      </c>
      <c r="AD20" s="85" t="s">
        <v>44</v>
      </c>
      <c r="AE20" s="85" t="s">
        <v>44</v>
      </c>
      <c r="AF20" s="92" t="s">
        <v>44</v>
      </c>
      <c r="AG20" s="85" t="s">
        <v>44</v>
      </c>
      <c r="AH20" s="85" t="s">
        <v>44</v>
      </c>
      <c r="AI20" s="85" t="s">
        <v>44</v>
      </c>
      <c r="AJ20" s="85" t="s">
        <v>44</v>
      </c>
      <c r="AK20" s="92" t="s">
        <v>44</v>
      </c>
      <c r="AL20" s="85" t="s">
        <v>49</v>
      </c>
      <c r="AM20" s="73">
        <v>-0.75176056338028174</v>
      </c>
      <c r="AN20" s="73">
        <v>-0.48</v>
      </c>
      <c r="AO20" s="73">
        <v>4.0666666666666664</v>
      </c>
      <c r="AP20" s="24">
        <v>-0.83788395904436863</v>
      </c>
      <c r="AQ20" s="85" t="s">
        <v>44</v>
      </c>
      <c r="AR20" s="73">
        <v>-0.91489361702127658</v>
      </c>
      <c r="AS20" s="73">
        <v>1</v>
      </c>
      <c r="AT20" s="73">
        <v>-0.56578947368421051</v>
      </c>
      <c r="AU20" s="92" t="s">
        <v>44</v>
      </c>
      <c r="AV20" s="85" t="s">
        <v>44</v>
      </c>
      <c r="AW20" s="73">
        <v>-0.91666666666666663</v>
      </c>
      <c r="AX20" s="73">
        <v>-0.11538461538461542</v>
      </c>
      <c r="AY20" s="73">
        <v>1.9090909090909092</v>
      </c>
      <c r="AZ20" s="92" t="s">
        <v>44</v>
      </c>
    </row>
    <row r="21" spans="1:52" s="36" customFormat="1">
      <c r="A21" s="69" t="s">
        <v>69</v>
      </c>
      <c r="B21" s="65">
        <v>2321</v>
      </c>
      <c r="C21" s="70">
        <v>641</v>
      </c>
      <c r="D21" s="70">
        <v>772</v>
      </c>
      <c r="E21" s="70">
        <v>775</v>
      </c>
      <c r="F21" s="70">
        <v>452</v>
      </c>
      <c r="G21" s="65">
        <v>2640</v>
      </c>
      <c r="H21" s="70">
        <v>799</v>
      </c>
      <c r="I21" s="70">
        <v>818</v>
      </c>
      <c r="J21" s="70">
        <v>875</v>
      </c>
      <c r="K21" s="70">
        <f>L21-J21-I21-H21</f>
        <v>480</v>
      </c>
      <c r="L21" s="65">
        <v>2972</v>
      </c>
      <c r="M21" s="70">
        <v>874</v>
      </c>
      <c r="N21" s="70">
        <v>990</v>
      </c>
      <c r="O21" s="70">
        <v>979</v>
      </c>
      <c r="P21" s="70">
        <f>Q21-O21-N21-M21</f>
        <v>901</v>
      </c>
      <c r="Q21" s="65">
        <v>3744</v>
      </c>
      <c r="R21" s="70">
        <v>665</v>
      </c>
      <c r="S21" s="70">
        <v>935</v>
      </c>
      <c r="T21" s="70">
        <v>944</v>
      </c>
      <c r="U21" s="70">
        <f>V21-T21-S21-R21</f>
        <v>711</v>
      </c>
      <c r="V21" s="65">
        <v>3255</v>
      </c>
      <c r="W21" s="70">
        <v>850</v>
      </c>
      <c r="X21" s="70">
        <v>746</v>
      </c>
      <c r="Y21" s="70">
        <v>667</v>
      </c>
      <c r="Z21" s="70">
        <f>AA21-Y21-X21-W21</f>
        <v>778</v>
      </c>
      <c r="AA21" s="65">
        <v>3041</v>
      </c>
      <c r="AB21" s="70">
        <v>761</v>
      </c>
      <c r="AC21" s="70">
        <v>744</v>
      </c>
      <c r="AD21" s="70">
        <v>721</v>
      </c>
      <c r="AE21" s="70">
        <f>AF21-AD21-AC21-AB21</f>
        <v>593</v>
      </c>
      <c r="AF21" s="65">
        <v>2819</v>
      </c>
      <c r="AG21" s="70">
        <v>688</v>
      </c>
      <c r="AH21" s="70">
        <v>1234</v>
      </c>
      <c r="AI21" s="70">
        <v>671</v>
      </c>
      <c r="AJ21" s="70">
        <f>AK21-AI21-AH21-AG21</f>
        <v>633</v>
      </c>
      <c r="AK21" s="65">
        <v>3226</v>
      </c>
      <c r="AL21" s="70">
        <v>636</v>
      </c>
      <c r="AM21" s="70">
        <v>794</v>
      </c>
      <c r="AN21" s="70">
        <v>652</v>
      </c>
      <c r="AO21" s="70">
        <v>488</v>
      </c>
      <c r="AP21" s="65">
        <v>2570</v>
      </c>
      <c r="AQ21" s="70">
        <v>574</v>
      </c>
      <c r="AR21" s="70">
        <v>616</v>
      </c>
      <c r="AS21" s="70">
        <v>599</v>
      </c>
      <c r="AT21" s="70">
        <v>532</v>
      </c>
      <c r="AU21" s="65">
        <v>2321</v>
      </c>
      <c r="AV21" s="70">
        <v>566</v>
      </c>
      <c r="AW21" s="70">
        <v>573</v>
      </c>
      <c r="AX21" s="70">
        <v>544</v>
      </c>
      <c r="AY21" s="70">
        <v>427</v>
      </c>
      <c r="AZ21" s="65">
        <v>2110</v>
      </c>
    </row>
    <row r="22" spans="1:52">
      <c r="A22" s="71" t="s">
        <v>7</v>
      </c>
      <c r="B22" s="24"/>
      <c r="C22" s="72"/>
      <c r="D22" s="72">
        <f>D21/C21-1</f>
        <v>0.20436817472698898</v>
      </c>
      <c r="E22" s="72">
        <f>E21/D21-1</f>
        <v>3.8860103626943143E-3</v>
      </c>
      <c r="F22" s="72">
        <f>F21/E21-1</f>
        <v>-0.41677419354838707</v>
      </c>
      <c r="G22" s="24"/>
      <c r="H22" s="72">
        <f>H21/F21-1</f>
        <v>0.76769911504424782</v>
      </c>
      <c r="I22" s="72">
        <f>I21/H21-1</f>
        <v>2.3779724655819789E-2</v>
      </c>
      <c r="J22" s="72">
        <f>J21/I21-1</f>
        <v>6.968215158924207E-2</v>
      </c>
      <c r="K22" s="72">
        <f>K21/J21-1</f>
        <v>-0.4514285714285714</v>
      </c>
      <c r="L22" s="24"/>
      <c r="M22" s="72">
        <f>M21/K21-1</f>
        <v>0.8208333333333333</v>
      </c>
      <c r="N22" s="72">
        <f>N21/M21-1</f>
        <v>0.13272311212814647</v>
      </c>
      <c r="O22" s="72">
        <f>O21/N21-1</f>
        <v>-1.1111111111111072E-2</v>
      </c>
      <c r="P22" s="72">
        <f>P21/O21-1</f>
        <v>-7.9673135852911137E-2</v>
      </c>
      <c r="Q22" s="24"/>
      <c r="R22" s="72">
        <f>R21/P21-1</f>
        <v>-0.2619311875693674</v>
      </c>
      <c r="S22" s="72">
        <f>S21/R21-1</f>
        <v>0.40601503759398505</v>
      </c>
      <c r="T22" s="72">
        <f>T21/S21-1</f>
        <v>9.6256684491977662E-3</v>
      </c>
      <c r="U22" s="72">
        <f>U21/T21-1</f>
        <v>-0.24682203389830504</v>
      </c>
      <c r="V22" s="24"/>
      <c r="W22" s="72">
        <f>W21/U21-1</f>
        <v>0.19549929676511946</v>
      </c>
      <c r="X22" s="72">
        <f>X21/W21-1</f>
        <v>-0.12235294117647055</v>
      </c>
      <c r="Y22" s="72">
        <f>Y21/X21-1</f>
        <v>-0.10589812332439674</v>
      </c>
      <c r="Z22" s="72">
        <f>Z21/Y21-1</f>
        <v>0.16641679160419787</v>
      </c>
      <c r="AA22" s="24"/>
      <c r="AB22" s="72">
        <f>AB21/Z21-1</f>
        <v>-2.1850899742930641E-2</v>
      </c>
      <c r="AC22" s="72">
        <f>AC21/AB21-1</f>
        <v>-2.2339027595269401E-2</v>
      </c>
      <c r="AD22" s="72">
        <f>AD21/AC21-1</f>
        <v>-3.0913978494623628E-2</v>
      </c>
      <c r="AE22" s="72">
        <f>AE21/AD21-1</f>
        <v>-0.17753120665742028</v>
      </c>
      <c r="AF22" s="24"/>
      <c r="AG22" s="72">
        <f>AG21/AE21-1</f>
        <v>0.16020236087689721</v>
      </c>
      <c r="AH22" s="72">
        <f>AH21/AG21-1</f>
        <v>0.79360465116279078</v>
      </c>
      <c r="AI22" s="72">
        <f>AI21/AH21-1</f>
        <v>-0.45623987034035651</v>
      </c>
      <c r="AJ22" s="72">
        <f>AJ21/AI21-1</f>
        <v>-5.663189269746649E-2</v>
      </c>
      <c r="AK22" s="24"/>
      <c r="AL22" s="72">
        <v>4.7393364928909332E-3</v>
      </c>
      <c r="AM22" s="72">
        <v>0.2484276729559749</v>
      </c>
      <c r="AN22" s="72">
        <v>-0.17884130982367763</v>
      </c>
      <c r="AO22" s="72">
        <v>-0.25153374233128833</v>
      </c>
      <c r="AP22" s="24"/>
      <c r="AQ22" s="72">
        <v>0.17622950819672134</v>
      </c>
      <c r="AR22" s="72">
        <v>7.3170731707317138E-2</v>
      </c>
      <c r="AS22" s="72">
        <v>-2.759740259740262E-2</v>
      </c>
      <c r="AT22" s="72">
        <v>-0.11185308848080133</v>
      </c>
      <c r="AU22" s="24"/>
      <c r="AV22" s="72">
        <v>6.3909774436090139E-2</v>
      </c>
      <c r="AW22" s="72">
        <v>1.2367491166077826E-2</v>
      </c>
      <c r="AX22" s="72">
        <v>-5.0610820244328059E-2</v>
      </c>
      <c r="AY22" s="72">
        <v>-0.21507352941176472</v>
      </c>
      <c r="AZ22" s="24"/>
    </row>
    <row r="23" spans="1:52">
      <c r="A23" s="71" t="s">
        <v>8</v>
      </c>
      <c r="B23" s="24"/>
      <c r="C23" s="73"/>
      <c r="D23" s="73"/>
      <c r="E23" s="73"/>
      <c r="F23" s="73"/>
      <c r="G23" s="24">
        <f t="shared" ref="G23:N23" si="11">G21/B21-1</f>
        <v>0.13744075829383884</v>
      </c>
      <c r="H23" s="73">
        <f t="shared" si="11"/>
        <v>0.24648985959438385</v>
      </c>
      <c r="I23" s="73">
        <f t="shared" si="11"/>
        <v>5.9585492227979264E-2</v>
      </c>
      <c r="J23" s="73">
        <f t="shared" si="11"/>
        <v>0.12903225806451624</v>
      </c>
      <c r="K23" s="73">
        <f t="shared" si="11"/>
        <v>6.1946902654867353E-2</v>
      </c>
      <c r="L23" s="24">
        <f t="shared" si="11"/>
        <v>0.12575757575757573</v>
      </c>
      <c r="M23" s="73">
        <f t="shared" si="11"/>
        <v>9.3867334167709648E-2</v>
      </c>
      <c r="N23" s="73">
        <f t="shared" si="11"/>
        <v>0.21026894865525669</v>
      </c>
      <c r="O23" s="73">
        <f t="shared" ref="O23:Y23" si="12">O21/J21-1</f>
        <v>0.11885714285714277</v>
      </c>
      <c r="P23" s="73">
        <f t="shared" si="12"/>
        <v>0.87708333333333344</v>
      </c>
      <c r="Q23" s="24">
        <f t="shared" si="12"/>
        <v>0.25975773889636611</v>
      </c>
      <c r="R23" s="73">
        <f t="shared" si="12"/>
        <v>-0.23913043478260865</v>
      </c>
      <c r="S23" s="73">
        <f t="shared" si="12"/>
        <v>-5.555555555555558E-2</v>
      </c>
      <c r="T23" s="73">
        <f t="shared" si="12"/>
        <v>-3.5750766087844776E-2</v>
      </c>
      <c r="U23" s="73">
        <f t="shared" si="12"/>
        <v>-0.21087680355160932</v>
      </c>
      <c r="V23" s="24">
        <f t="shared" si="12"/>
        <v>-0.13060897435897434</v>
      </c>
      <c r="W23" s="73">
        <f t="shared" si="12"/>
        <v>0.27819548872180455</v>
      </c>
      <c r="X23" s="73">
        <f t="shared" si="12"/>
        <v>-0.20213903743315509</v>
      </c>
      <c r="Y23" s="73">
        <f t="shared" si="12"/>
        <v>-0.29343220338983056</v>
      </c>
      <c r="Z23" s="73">
        <f t="shared" ref="Z23:AI23" si="13">Z21/U21-1</f>
        <v>9.4233473980309457E-2</v>
      </c>
      <c r="AA23" s="24">
        <f t="shared" si="13"/>
        <v>-6.5745007680491518E-2</v>
      </c>
      <c r="AB23" s="73">
        <f t="shared" si="13"/>
        <v>-0.1047058823529412</v>
      </c>
      <c r="AC23" s="73">
        <f t="shared" si="13"/>
        <v>-2.6809651474530849E-3</v>
      </c>
      <c r="AD23" s="73">
        <f t="shared" si="13"/>
        <v>8.0959520239880067E-2</v>
      </c>
      <c r="AE23" s="73">
        <f t="shared" si="13"/>
        <v>-0.23778920308483287</v>
      </c>
      <c r="AF23" s="24">
        <f t="shared" si="13"/>
        <v>-7.3002301874383391E-2</v>
      </c>
      <c r="AG23" s="73">
        <f t="shared" si="13"/>
        <v>-9.592641261498025E-2</v>
      </c>
      <c r="AH23" s="73">
        <f t="shared" si="13"/>
        <v>0.65860215053763449</v>
      </c>
      <c r="AI23" s="73">
        <f t="shared" si="13"/>
        <v>-6.9348127600554754E-2</v>
      </c>
      <c r="AJ23" s="73">
        <f t="shared" ref="AJ23:AS23" si="14">AJ21/AE21-1</f>
        <v>6.7453625632377667E-2</v>
      </c>
      <c r="AK23" s="24">
        <v>0.14437743880808807</v>
      </c>
      <c r="AL23" s="73">
        <v>-7.5581395348837233E-2</v>
      </c>
      <c r="AM23" s="73">
        <v>-0.35656401944894656</v>
      </c>
      <c r="AN23" s="73">
        <v>-2.8315946348733245E-2</v>
      </c>
      <c r="AO23" s="73">
        <v>-0.2290679304897314</v>
      </c>
      <c r="AP23" s="24">
        <v>-0.20334779913205203</v>
      </c>
      <c r="AQ23" s="73">
        <v>-9.7484276729559727E-2</v>
      </c>
      <c r="AR23" s="73">
        <v>-0.22418136020151136</v>
      </c>
      <c r="AS23" s="73">
        <v>-8.1288343558282183E-2</v>
      </c>
      <c r="AT23" s="73">
        <v>9.0163934426229497E-2</v>
      </c>
      <c r="AU23" s="24">
        <v>-9.6887159533073919E-2</v>
      </c>
      <c r="AV23" s="73">
        <v>-1.3937282229965153E-2</v>
      </c>
      <c r="AW23" s="73">
        <v>-6.9805194805194759E-2</v>
      </c>
      <c r="AX23" s="73">
        <v>-9.1819699499165242E-2</v>
      </c>
      <c r="AY23" s="73">
        <v>-0.19736842105263153</v>
      </c>
      <c r="AZ23" s="24">
        <v>-9.0909090909090939E-2</v>
      </c>
    </row>
    <row r="24" spans="1:52">
      <c r="A24" s="69" t="s">
        <v>98</v>
      </c>
      <c r="B24" s="65">
        <v>182</v>
      </c>
      <c r="C24" s="80" t="s">
        <v>53</v>
      </c>
      <c r="D24" s="80" t="s">
        <v>53</v>
      </c>
      <c r="E24" s="80" t="s">
        <v>53</v>
      </c>
      <c r="F24" s="80" t="s">
        <v>53</v>
      </c>
      <c r="G24" s="65">
        <v>140</v>
      </c>
      <c r="H24" s="120" t="s">
        <v>45</v>
      </c>
      <c r="I24" s="120" t="s">
        <v>45</v>
      </c>
      <c r="J24" s="120" t="s">
        <v>45</v>
      </c>
      <c r="K24" s="120" t="s">
        <v>45</v>
      </c>
      <c r="L24" s="178">
        <v>-31</v>
      </c>
      <c r="M24" s="70">
        <v>-22</v>
      </c>
      <c r="N24" s="70">
        <v>35</v>
      </c>
      <c r="O24" s="70">
        <v>74</v>
      </c>
      <c r="P24" s="70">
        <f>Q24-O24-N24-M24</f>
        <v>22</v>
      </c>
      <c r="Q24" s="65">
        <v>109</v>
      </c>
      <c r="R24" s="70">
        <v>20</v>
      </c>
      <c r="S24" s="70">
        <v>62</v>
      </c>
      <c r="T24" s="70">
        <v>86</v>
      </c>
      <c r="U24" s="70">
        <f>V24-T24-S24-R24</f>
        <v>44</v>
      </c>
      <c r="V24" s="65">
        <v>212</v>
      </c>
      <c r="W24" s="70">
        <v>-44</v>
      </c>
      <c r="X24" s="70">
        <v>77</v>
      </c>
      <c r="Y24" s="70">
        <v>55</v>
      </c>
      <c r="Z24" s="70">
        <f>AA24-SUM(W24:Y24)</f>
        <v>63</v>
      </c>
      <c r="AA24" s="65">
        <v>151</v>
      </c>
      <c r="AB24" s="70">
        <v>24</v>
      </c>
      <c r="AC24" s="70">
        <v>27</v>
      </c>
      <c r="AD24" s="70">
        <v>45</v>
      </c>
      <c r="AE24" s="70">
        <f>AF24-SUM(AB24:AD24)</f>
        <v>49</v>
      </c>
      <c r="AF24" s="65">
        <v>145</v>
      </c>
      <c r="AG24" s="70">
        <v>42</v>
      </c>
      <c r="AH24" s="70">
        <v>32</v>
      </c>
      <c r="AI24" s="70">
        <v>39</v>
      </c>
      <c r="AJ24" s="70">
        <f>AK24-SUM(AG24:AI24)</f>
        <v>17</v>
      </c>
      <c r="AK24" s="65">
        <v>130</v>
      </c>
      <c r="AL24" s="70">
        <v>37</v>
      </c>
      <c r="AM24" s="70">
        <v>129</v>
      </c>
      <c r="AN24" s="70">
        <v>100</v>
      </c>
      <c r="AO24" s="186">
        <v>-3</v>
      </c>
      <c r="AP24" s="65">
        <v>263</v>
      </c>
      <c r="AQ24" s="70">
        <v>102</v>
      </c>
      <c r="AR24" s="70">
        <v>105</v>
      </c>
      <c r="AS24" s="70">
        <v>104</v>
      </c>
      <c r="AT24" s="186">
        <v>136</v>
      </c>
      <c r="AU24" s="65">
        <v>447</v>
      </c>
      <c r="AV24" s="70">
        <v>101</v>
      </c>
      <c r="AW24" s="70">
        <v>102</v>
      </c>
      <c r="AX24" s="70">
        <v>94</v>
      </c>
      <c r="AY24" s="186">
        <v>120</v>
      </c>
      <c r="AZ24" s="65">
        <v>417</v>
      </c>
    </row>
    <row r="25" spans="1:52">
      <c r="A25" s="71" t="s">
        <v>7</v>
      </c>
      <c r="B25" s="24"/>
      <c r="C25" s="73"/>
      <c r="D25" s="73"/>
      <c r="E25" s="73"/>
      <c r="F25" s="73"/>
      <c r="G25" s="24"/>
      <c r="H25" s="73"/>
      <c r="I25" s="73"/>
      <c r="J25" s="73"/>
      <c r="K25" s="73"/>
      <c r="L25" s="24"/>
      <c r="M25" s="73"/>
      <c r="N25" s="72"/>
      <c r="O25" s="72">
        <f>O24/N24-1</f>
        <v>1.1142857142857143</v>
      </c>
      <c r="P25" s="72">
        <f>P24/O24-1</f>
        <v>-0.70270270270270263</v>
      </c>
      <c r="Q25" s="24"/>
      <c r="R25" s="85">
        <f>R24/P24-1</f>
        <v>-9.0909090909090939E-2</v>
      </c>
      <c r="S25" s="85">
        <f>S24/R24-1</f>
        <v>2.1</v>
      </c>
      <c r="T25" s="72">
        <f>T24/S24-1</f>
        <v>0.38709677419354849</v>
      </c>
      <c r="U25" s="85">
        <f>U24/T24-1</f>
        <v>-0.48837209302325579</v>
      </c>
      <c r="V25" s="24"/>
      <c r="W25" s="85"/>
      <c r="X25" s="85"/>
      <c r="Y25" s="85">
        <f>Y24/X24-1</f>
        <v>-0.2857142857142857</v>
      </c>
      <c r="Z25" s="85">
        <f>Z24/Y24-1</f>
        <v>0.1454545454545455</v>
      </c>
      <c r="AA25" s="24"/>
      <c r="AB25" s="72">
        <f>AB24/Z24-1</f>
        <v>-0.61904761904761907</v>
      </c>
      <c r="AC25" s="72">
        <f>AC24/AB24-1</f>
        <v>0.125</v>
      </c>
      <c r="AD25" s="72">
        <f>AD24/AC24-1</f>
        <v>0.66666666666666674</v>
      </c>
      <c r="AE25" s="85">
        <f>AE24/AD24-1</f>
        <v>8.8888888888888795E-2</v>
      </c>
      <c r="AF25" s="24"/>
      <c r="AG25" s="72">
        <f>AG24/AE24-1</f>
        <v>-0.1428571428571429</v>
      </c>
      <c r="AH25" s="72">
        <f>AH24/AG24-1</f>
        <v>-0.23809523809523814</v>
      </c>
      <c r="AI25" s="72">
        <f>AI24/AH24-1</f>
        <v>0.21875</v>
      </c>
      <c r="AJ25" s="85">
        <f>AJ24/AI24-1</f>
        <v>-0.5641025641025641</v>
      </c>
      <c r="AK25" s="24"/>
      <c r="AL25" s="72">
        <v>1.1764705882352939</v>
      </c>
      <c r="AM25" s="72">
        <v>2.4864864864864864</v>
      </c>
      <c r="AN25" s="72">
        <v>-0.22480620155038755</v>
      </c>
      <c r="AO25" s="85" t="s">
        <v>44</v>
      </c>
      <c r="AP25" s="24"/>
      <c r="AQ25" s="85" t="s">
        <v>44</v>
      </c>
      <c r="AR25" s="72">
        <v>2.9411764705882248E-2</v>
      </c>
      <c r="AS25" s="72">
        <v>-9.52380952380949E-3</v>
      </c>
      <c r="AT25" s="72">
        <v>0.30769230769230771</v>
      </c>
      <c r="AU25" s="24"/>
      <c r="AV25" s="72">
        <v>-0.25735294117647056</v>
      </c>
      <c r="AW25" s="72">
        <v>9.9009900990099098E-3</v>
      </c>
      <c r="AX25" s="72">
        <v>-7.8431372549019662E-2</v>
      </c>
      <c r="AY25" s="72">
        <v>0.27659574468085113</v>
      </c>
      <c r="AZ25" s="24"/>
    </row>
    <row r="26" spans="1:52">
      <c r="A26" s="71" t="s">
        <v>8</v>
      </c>
      <c r="B26" s="24"/>
      <c r="C26" s="73"/>
      <c r="D26" s="73"/>
      <c r="E26" s="73"/>
      <c r="F26" s="73"/>
      <c r="G26" s="24">
        <f>G24/B24-1</f>
        <v>-0.23076923076923073</v>
      </c>
      <c r="H26" s="73"/>
      <c r="I26" s="73"/>
      <c r="J26" s="73"/>
      <c r="K26" s="73"/>
      <c r="L26" s="24"/>
      <c r="M26" s="73"/>
      <c r="N26" s="73"/>
      <c r="O26" s="73"/>
      <c r="P26" s="73"/>
      <c r="Q26" s="92"/>
      <c r="R26" s="85"/>
      <c r="S26" s="73">
        <f>S24/N24-1</f>
        <v>0.77142857142857135</v>
      </c>
      <c r="T26" s="73">
        <f>T24/O24-1</f>
        <v>0.16216216216216206</v>
      </c>
      <c r="U26" s="85">
        <f>U24/P24-1</f>
        <v>1</v>
      </c>
      <c r="V26" s="92">
        <f>V24/Q24-1</f>
        <v>0.94495412844036708</v>
      </c>
      <c r="W26" s="85"/>
      <c r="X26" s="85">
        <f t="shared" ref="X26:AD26" si="15">X24/S24-1</f>
        <v>0.24193548387096775</v>
      </c>
      <c r="Y26" s="73">
        <f t="shared" si="15"/>
        <v>-0.36046511627906974</v>
      </c>
      <c r="Z26" s="85">
        <f t="shared" si="15"/>
        <v>0.43181818181818188</v>
      </c>
      <c r="AA26" s="92">
        <f t="shared" si="15"/>
        <v>-0.28773584905660377</v>
      </c>
      <c r="AB26" s="73">
        <f t="shared" si="15"/>
        <v>-1.5454545454545454</v>
      </c>
      <c r="AC26" s="73">
        <f t="shared" si="15"/>
        <v>-0.64935064935064934</v>
      </c>
      <c r="AD26" s="73">
        <f t="shared" si="15"/>
        <v>-0.18181818181818177</v>
      </c>
      <c r="AE26" s="85">
        <f t="shared" ref="AE26:AN26" si="16">AE24/Z24-1</f>
        <v>-0.22222222222222221</v>
      </c>
      <c r="AF26" s="92">
        <f t="shared" si="16"/>
        <v>-3.9735099337748325E-2</v>
      </c>
      <c r="AG26" s="73">
        <f t="shared" si="16"/>
        <v>0.75</v>
      </c>
      <c r="AH26" s="73">
        <f t="shared" si="16"/>
        <v>0.18518518518518512</v>
      </c>
      <c r="AI26" s="73">
        <f t="shared" si="16"/>
        <v>-0.1333333333333333</v>
      </c>
      <c r="AJ26" s="85">
        <f t="shared" si="16"/>
        <v>-0.65306122448979598</v>
      </c>
      <c r="AK26" s="92">
        <v>-0.10344827586206895</v>
      </c>
      <c r="AL26" s="73">
        <v>-0.11904761904761907</v>
      </c>
      <c r="AM26" s="73">
        <v>3.03125</v>
      </c>
      <c r="AN26" s="73">
        <v>1.5641025641025643</v>
      </c>
      <c r="AO26" s="85" t="s">
        <v>44</v>
      </c>
      <c r="AP26" s="92">
        <v>1.023076923076923</v>
      </c>
      <c r="AQ26" s="73">
        <v>1.7567567567567566</v>
      </c>
      <c r="AR26" s="73">
        <v>-0.18604651162790697</v>
      </c>
      <c r="AS26" s="73">
        <v>4.0000000000000036E-2</v>
      </c>
      <c r="AT26" s="85" t="s">
        <v>44</v>
      </c>
      <c r="AU26" s="92">
        <v>0.69961977186311786</v>
      </c>
      <c r="AV26" s="73">
        <v>-9.8039215686274161E-3</v>
      </c>
      <c r="AW26" s="73">
        <v>-2.8571428571428581E-2</v>
      </c>
      <c r="AX26" s="73">
        <v>-9.6153846153846145E-2</v>
      </c>
      <c r="AY26" s="73">
        <v>-0.11764705882352944</v>
      </c>
      <c r="AZ26" s="92">
        <v>-6.7114093959731558E-2</v>
      </c>
    </row>
    <row r="27" spans="1:52" ht="26.4" hidden="1">
      <c r="A27" s="89" t="s">
        <v>160</v>
      </c>
      <c r="B27" s="124" t="s">
        <v>45</v>
      </c>
      <c r="C27" s="80" t="s">
        <v>53</v>
      </c>
      <c r="D27" s="80" t="s">
        <v>53</v>
      </c>
      <c r="E27" s="80" t="s">
        <v>53</v>
      </c>
      <c r="F27" s="80" t="s">
        <v>53</v>
      </c>
      <c r="G27" s="124" t="s">
        <v>45</v>
      </c>
      <c r="H27" s="120" t="s">
        <v>45</v>
      </c>
      <c r="I27" s="120" t="s">
        <v>45</v>
      </c>
      <c r="J27" s="120" t="s">
        <v>45</v>
      </c>
      <c r="K27" s="120" t="s">
        <v>45</v>
      </c>
      <c r="L27" s="124" t="s">
        <v>45</v>
      </c>
      <c r="M27" s="186">
        <v>-23</v>
      </c>
      <c r="N27" s="186">
        <v>-86</v>
      </c>
      <c r="O27" s="186">
        <v>-71</v>
      </c>
      <c r="P27" s="186">
        <f>Q27-O27-N27-M27</f>
        <v>-81</v>
      </c>
      <c r="Q27" s="178">
        <v>-261</v>
      </c>
      <c r="R27" s="186">
        <v>-65</v>
      </c>
      <c r="S27" s="186">
        <v>-72</v>
      </c>
      <c r="T27" s="186">
        <v>-66</v>
      </c>
      <c r="U27" s="186">
        <f>V27-T27-S27-R27</f>
        <v>-13</v>
      </c>
      <c r="V27" s="178">
        <v>-216</v>
      </c>
      <c r="W27" s="186">
        <v>-58</v>
      </c>
      <c r="X27" s="186">
        <v>-83</v>
      </c>
      <c r="Y27" s="186">
        <v>-92</v>
      </c>
      <c r="Z27" s="186">
        <f>AA27-Y27-X27-W27</f>
        <v>-12</v>
      </c>
      <c r="AA27" s="178">
        <v>-245</v>
      </c>
      <c r="AB27" s="186">
        <v>-40</v>
      </c>
      <c r="AC27" s="186">
        <v>-67</v>
      </c>
      <c r="AD27" s="186">
        <v>-88</v>
      </c>
      <c r="AE27" s="186">
        <f>AF27-AD27-AC27-AB27</f>
        <v>-57</v>
      </c>
      <c r="AF27" s="178">
        <v>-252</v>
      </c>
      <c r="AG27" s="186">
        <v>-19</v>
      </c>
      <c r="AH27" s="186">
        <v>-79</v>
      </c>
      <c r="AI27" s="186">
        <v>-34</v>
      </c>
      <c r="AJ27" s="186">
        <f>AK27-AI27-AH27-AG27</f>
        <v>-38</v>
      </c>
      <c r="AK27" s="178">
        <v>-170</v>
      </c>
      <c r="AL27" s="70">
        <v>16</v>
      </c>
      <c r="AM27" s="70">
        <v>0</v>
      </c>
      <c r="AN27" s="186">
        <v>-1</v>
      </c>
      <c r="AO27" s="186">
        <v>-3</v>
      </c>
      <c r="AP27" s="65">
        <v>12</v>
      </c>
      <c r="AQ27" s="186">
        <v>-1</v>
      </c>
      <c r="AR27" s="186">
        <v>-1</v>
      </c>
      <c r="AS27" s="186">
        <v>-2</v>
      </c>
      <c r="AT27" s="186">
        <v>16</v>
      </c>
      <c r="AU27" s="65">
        <v>12</v>
      </c>
      <c r="AV27" s="186">
        <v>-1</v>
      </c>
      <c r="AW27" s="186">
        <v>-1</v>
      </c>
      <c r="AX27" s="186">
        <v>-1</v>
      </c>
      <c r="AY27" s="186">
        <v>15</v>
      </c>
      <c r="AZ27" s="65">
        <v>12</v>
      </c>
    </row>
    <row r="28" spans="1:52" hidden="1">
      <c r="A28" s="71" t="s">
        <v>7</v>
      </c>
      <c r="B28" s="24"/>
      <c r="C28" s="73"/>
      <c r="D28" s="73"/>
      <c r="E28" s="73"/>
      <c r="F28" s="73"/>
      <c r="G28" s="24"/>
      <c r="H28" s="73"/>
      <c r="I28" s="73"/>
      <c r="J28" s="73"/>
      <c r="K28" s="73"/>
      <c r="L28" s="24"/>
      <c r="M28" s="73"/>
      <c r="N28" s="72">
        <f>N27/M27-1</f>
        <v>2.7391304347826089</v>
      </c>
      <c r="O28" s="72">
        <f>O27/N27-1</f>
        <v>-0.17441860465116277</v>
      </c>
      <c r="P28" s="72">
        <f>P27/O27-1</f>
        <v>0.14084507042253525</v>
      </c>
      <c r="Q28" s="24"/>
      <c r="R28" s="85">
        <f>R27/P27-1</f>
        <v>-0.19753086419753085</v>
      </c>
      <c r="S28" s="85">
        <f>S27/R27-1</f>
        <v>0.10769230769230775</v>
      </c>
      <c r="T28" s="72">
        <f>T27/S27-1</f>
        <v>-8.333333333333337E-2</v>
      </c>
      <c r="U28" s="85">
        <f>U27/T27-1</f>
        <v>-0.80303030303030298</v>
      </c>
      <c r="V28" s="178"/>
      <c r="W28" s="72">
        <f>W27/U27-1</f>
        <v>3.4615384615384617</v>
      </c>
      <c r="X28" s="72">
        <f>X27/W27-1</f>
        <v>0.43103448275862077</v>
      </c>
      <c r="Y28" s="72">
        <f>Y27/X27-1</f>
        <v>0.10843373493975905</v>
      </c>
      <c r="Z28" s="72">
        <f>Z27/Y27-1</f>
        <v>-0.86956521739130432</v>
      </c>
      <c r="AA28" s="24"/>
      <c r="AB28" s="72">
        <f>AB27/Z27-1</f>
        <v>2.3333333333333335</v>
      </c>
      <c r="AC28" s="72">
        <f>AC27/AB27-1</f>
        <v>0.67500000000000004</v>
      </c>
      <c r="AD28" s="72">
        <f>AD27/AC27-1</f>
        <v>0.31343283582089554</v>
      </c>
      <c r="AE28" s="72">
        <f>AE27/AD27-1</f>
        <v>-0.35227272727272729</v>
      </c>
      <c r="AF28" s="24"/>
      <c r="AG28" s="72">
        <f>AG27/AE27-1</f>
        <v>-0.66666666666666674</v>
      </c>
      <c r="AH28" s="72">
        <f>AH27/AG27-1</f>
        <v>3.1578947368421053</v>
      </c>
      <c r="AI28" s="72">
        <f>AI27/AH27-1</f>
        <v>-0.56962025316455689</v>
      </c>
      <c r="AJ28" s="72">
        <f>AJ27/AI27-1</f>
        <v>0.11764705882352944</v>
      </c>
      <c r="AK28" s="24"/>
      <c r="AL28" s="85" t="s">
        <v>44</v>
      </c>
      <c r="AM28" s="72">
        <v>-1</v>
      </c>
      <c r="AN28" s="85" t="s">
        <v>44</v>
      </c>
      <c r="AO28" s="72">
        <v>2</v>
      </c>
      <c r="AP28" s="24"/>
      <c r="AQ28" s="72">
        <v>-0.66666666666666674</v>
      </c>
      <c r="AR28" s="72">
        <v>0</v>
      </c>
      <c r="AS28" s="72">
        <v>1</v>
      </c>
      <c r="AT28" s="72">
        <v>-9</v>
      </c>
      <c r="AU28" s="24"/>
      <c r="AV28" s="72">
        <v>-1.0625</v>
      </c>
      <c r="AW28" s="72">
        <v>-1.0833333333333333</v>
      </c>
      <c r="AX28" s="72">
        <v>0</v>
      </c>
      <c r="AY28" s="72">
        <v>-16</v>
      </c>
      <c r="AZ28" s="24"/>
    </row>
    <row r="29" spans="1:52" hidden="1">
      <c r="A29" s="71" t="s">
        <v>8</v>
      </c>
      <c r="B29" s="24"/>
      <c r="C29" s="73"/>
      <c r="D29" s="73"/>
      <c r="E29" s="73"/>
      <c r="F29" s="73"/>
      <c r="G29" s="24"/>
      <c r="H29" s="73"/>
      <c r="I29" s="73"/>
      <c r="J29" s="73"/>
      <c r="K29" s="73"/>
      <c r="L29" s="24"/>
      <c r="M29" s="73"/>
      <c r="N29" s="73"/>
      <c r="O29" s="73"/>
      <c r="P29" s="73"/>
      <c r="Q29" s="92"/>
      <c r="R29" s="85"/>
      <c r="S29" s="73">
        <f t="shared" ref="S29:AD29" si="17">S27/N27-1</f>
        <v>-0.16279069767441856</v>
      </c>
      <c r="T29" s="73">
        <f t="shared" si="17"/>
        <v>-7.0422535211267623E-2</v>
      </c>
      <c r="U29" s="85">
        <f t="shared" si="17"/>
        <v>-0.83950617283950613</v>
      </c>
      <c r="V29" s="92">
        <f t="shared" si="17"/>
        <v>-0.17241379310344829</v>
      </c>
      <c r="W29" s="73">
        <f t="shared" si="17"/>
        <v>-0.10769230769230764</v>
      </c>
      <c r="X29" s="73">
        <f t="shared" si="17"/>
        <v>0.15277777777777768</v>
      </c>
      <c r="Y29" s="73">
        <f t="shared" si="17"/>
        <v>0.39393939393939403</v>
      </c>
      <c r="Z29" s="73">
        <f t="shared" si="17"/>
        <v>-7.6923076923076872E-2</v>
      </c>
      <c r="AA29" s="92">
        <f t="shared" si="17"/>
        <v>0.1342592592592593</v>
      </c>
      <c r="AB29" s="73">
        <f t="shared" si="17"/>
        <v>-0.31034482758620685</v>
      </c>
      <c r="AC29" s="73">
        <f t="shared" si="17"/>
        <v>-0.19277108433734935</v>
      </c>
      <c r="AD29" s="73">
        <f t="shared" si="17"/>
        <v>-4.3478260869565188E-2</v>
      </c>
      <c r="AE29" s="73">
        <f t="shared" ref="AE29:AM29" si="18">AE27/Z27-1</f>
        <v>3.75</v>
      </c>
      <c r="AF29" s="92">
        <f t="shared" si="18"/>
        <v>2.857142857142847E-2</v>
      </c>
      <c r="AG29" s="73">
        <f t="shared" si="18"/>
        <v>-0.52500000000000002</v>
      </c>
      <c r="AH29" s="73">
        <f t="shared" si="18"/>
        <v>0.17910447761194037</v>
      </c>
      <c r="AI29" s="73">
        <f t="shared" si="18"/>
        <v>-0.61363636363636365</v>
      </c>
      <c r="AJ29" s="73">
        <f t="shared" si="18"/>
        <v>-0.33333333333333337</v>
      </c>
      <c r="AK29" s="92">
        <v>-0.32539682539682535</v>
      </c>
      <c r="AL29" s="85" t="s">
        <v>44</v>
      </c>
      <c r="AM29" s="73">
        <v>-1</v>
      </c>
      <c r="AN29" s="85" t="s">
        <v>44</v>
      </c>
      <c r="AO29" s="73">
        <v>-0.92105263157894735</v>
      </c>
      <c r="AP29" s="92">
        <v>-1.0705882352941176</v>
      </c>
      <c r="AQ29" s="85" t="s">
        <v>44</v>
      </c>
      <c r="AR29" s="85" t="s">
        <v>44</v>
      </c>
      <c r="AS29" s="73">
        <v>1</v>
      </c>
      <c r="AT29" s="73">
        <v>-6.333333333333333</v>
      </c>
      <c r="AU29" s="92">
        <v>0</v>
      </c>
      <c r="AV29" s="85" t="s">
        <v>44</v>
      </c>
      <c r="AW29" s="85" t="s">
        <v>44</v>
      </c>
      <c r="AX29" s="85" t="s">
        <v>44</v>
      </c>
      <c r="AY29" s="73">
        <v>-6.25E-2</v>
      </c>
      <c r="AZ29" s="92">
        <v>0</v>
      </c>
    </row>
    <row r="30" spans="1:52">
      <c r="A30" s="69" t="s">
        <v>210</v>
      </c>
      <c r="B30" s="65">
        <v>666</v>
      </c>
      <c r="C30" s="70">
        <v>180</v>
      </c>
      <c r="D30" s="70">
        <v>205</v>
      </c>
      <c r="E30" s="70">
        <v>207</v>
      </c>
      <c r="F30" s="70">
        <f>G30-E30-D30-C30</f>
        <v>128</v>
      </c>
      <c r="G30" s="65">
        <v>720</v>
      </c>
      <c r="H30" s="70">
        <v>221</v>
      </c>
      <c r="I30" s="70">
        <v>222</v>
      </c>
      <c r="J30" s="70">
        <v>259</v>
      </c>
      <c r="K30" s="70">
        <f>L30-J30-I30-H30</f>
        <v>105</v>
      </c>
      <c r="L30" s="65">
        <v>807</v>
      </c>
      <c r="M30" s="70">
        <v>231</v>
      </c>
      <c r="N30" s="70">
        <v>231</v>
      </c>
      <c r="O30" s="70">
        <v>246</v>
      </c>
      <c r="P30" s="70">
        <f>Q30-O30-N30-M30</f>
        <v>224</v>
      </c>
      <c r="Q30" s="65">
        <v>932</v>
      </c>
      <c r="R30" s="70">
        <v>174</v>
      </c>
      <c r="S30" s="70">
        <v>216</v>
      </c>
      <c r="T30" s="70">
        <v>243</v>
      </c>
      <c r="U30" s="70">
        <f>V30-T30-S30-R30</f>
        <v>122</v>
      </c>
      <c r="V30" s="65">
        <v>755</v>
      </c>
      <c r="W30" s="70">
        <v>245</v>
      </c>
      <c r="X30" s="70">
        <v>174</v>
      </c>
      <c r="Y30" s="70">
        <v>178</v>
      </c>
      <c r="Z30" s="70">
        <f>AA30-Y30-X30-W30</f>
        <v>181</v>
      </c>
      <c r="AA30" s="65">
        <v>778</v>
      </c>
      <c r="AB30" s="70">
        <v>200</v>
      </c>
      <c r="AC30" s="70">
        <v>177</v>
      </c>
      <c r="AD30" s="70">
        <v>139</v>
      </c>
      <c r="AE30" s="70">
        <f>AF30-AD30-AC30-AB30</f>
        <v>135</v>
      </c>
      <c r="AF30" s="65">
        <v>651</v>
      </c>
      <c r="AG30" s="70">
        <v>170</v>
      </c>
      <c r="AH30" s="70">
        <v>313</v>
      </c>
      <c r="AI30" s="70">
        <v>170</v>
      </c>
      <c r="AJ30" s="70">
        <f>AK30-AI30-AH30-AG30</f>
        <v>162</v>
      </c>
      <c r="AK30" s="65">
        <v>815</v>
      </c>
      <c r="AL30" s="70">
        <v>152</v>
      </c>
      <c r="AM30" s="70">
        <v>183</v>
      </c>
      <c r="AN30" s="70">
        <v>144</v>
      </c>
      <c r="AO30" s="70">
        <v>119</v>
      </c>
      <c r="AP30" s="65">
        <v>598</v>
      </c>
      <c r="AQ30" s="70">
        <v>183</v>
      </c>
      <c r="AR30" s="70">
        <v>133</v>
      </c>
      <c r="AS30" s="70">
        <v>99</v>
      </c>
      <c r="AT30" s="70">
        <v>210</v>
      </c>
      <c r="AU30" s="65">
        <v>625</v>
      </c>
      <c r="AV30" s="70">
        <v>113</v>
      </c>
      <c r="AW30" s="70">
        <v>111</v>
      </c>
      <c r="AX30" s="70">
        <v>128</v>
      </c>
      <c r="AY30" s="70">
        <v>101</v>
      </c>
      <c r="AZ30" s="65">
        <v>453</v>
      </c>
    </row>
    <row r="31" spans="1:52">
      <c r="A31" s="71" t="s">
        <v>7</v>
      </c>
      <c r="B31" s="24"/>
      <c r="C31" s="72"/>
      <c r="D31" s="72">
        <f>D30/C30-1</f>
        <v>0.13888888888888884</v>
      </c>
      <c r="E31" s="72">
        <f>E30/D30-1</f>
        <v>9.7560975609756184E-3</v>
      </c>
      <c r="F31" s="72">
        <f>F30/E30-1</f>
        <v>-0.38164251207729472</v>
      </c>
      <c r="G31" s="24"/>
      <c r="H31" s="72">
        <f>H30/F30-1</f>
        <v>0.7265625</v>
      </c>
      <c r="I31" s="72">
        <f>I30/H30-1</f>
        <v>4.5248868778280382E-3</v>
      </c>
      <c r="J31" s="72">
        <f>J30/I30-1</f>
        <v>0.16666666666666674</v>
      </c>
      <c r="K31" s="72">
        <f>K30/J30-1</f>
        <v>-0.59459459459459452</v>
      </c>
      <c r="L31" s="24"/>
      <c r="M31" s="72">
        <f>M30/K30-1</f>
        <v>1.2000000000000002</v>
      </c>
      <c r="N31" s="72">
        <f>N30/M30-1</f>
        <v>0</v>
      </c>
      <c r="O31" s="72">
        <f>O30/N30-1</f>
        <v>6.4935064935064846E-2</v>
      </c>
      <c r="P31" s="72">
        <f>P30/O30-1</f>
        <v>-8.9430894308943132E-2</v>
      </c>
      <c r="Q31" s="24"/>
      <c r="R31" s="72">
        <f>R30/P30-1</f>
        <v>-0.2232142857142857</v>
      </c>
      <c r="S31" s="72">
        <f>S30/R30-1</f>
        <v>0.24137931034482762</v>
      </c>
      <c r="T31" s="72">
        <f>T30/S30-1</f>
        <v>0.125</v>
      </c>
      <c r="U31" s="72">
        <f>U30/T30-1</f>
        <v>-0.49794238683127567</v>
      </c>
      <c r="V31" s="24"/>
      <c r="W31" s="72">
        <f>W30/U30-1</f>
        <v>1.0081967213114753</v>
      </c>
      <c r="X31" s="72">
        <f>X30/W30-1</f>
        <v>-0.28979591836734697</v>
      </c>
      <c r="Y31" s="72">
        <f>Y30/X30-1</f>
        <v>2.2988505747126409E-2</v>
      </c>
      <c r="Z31" s="72">
        <f>Z30/Y30-1</f>
        <v>1.6853932584269593E-2</v>
      </c>
      <c r="AA31" s="24"/>
      <c r="AB31" s="72">
        <f>AB30/Z30-1</f>
        <v>0.1049723756906078</v>
      </c>
      <c r="AC31" s="72">
        <f>AC30/AB30-1</f>
        <v>-0.11499999999999999</v>
      </c>
      <c r="AD31" s="72">
        <f>AD30/AC30-1</f>
        <v>-0.21468926553672318</v>
      </c>
      <c r="AE31" s="72">
        <f>AE30/AD30-1</f>
        <v>-2.877697841726623E-2</v>
      </c>
      <c r="AF31" s="24"/>
      <c r="AG31" s="72">
        <f>AG30/AE30-1</f>
        <v>0.2592592592592593</v>
      </c>
      <c r="AH31" s="72">
        <f>AH30/AG30-1</f>
        <v>0.84117647058823519</v>
      </c>
      <c r="AI31" s="72">
        <f>AI30/AH30-1</f>
        <v>-0.45686900958466459</v>
      </c>
      <c r="AJ31" s="72">
        <f>AJ30/AI30-1</f>
        <v>-4.705882352941182E-2</v>
      </c>
      <c r="AK31" s="24"/>
      <c r="AL31" s="72">
        <v>-6.1728395061728447E-2</v>
      </c>
      <c r="AM31" s="72">
        <v>0.20394736842105265</v>
      </c>
      <c r="AN31" s="72">
        <v>-0.21311475409836067</v>
      </c>
      <c r="AO31" s="72">
        <v>-0.17361111111111116</v>
      </c>
      <c r="AP31" s="24"/>
      <c r="AQ31" s="72">
        <v>0.53781512605042026</v>
      </c>
      <c r="AR31" s="72">
        <v>-0.27322404371584696</v>
      </c>
      <c r="AS31" s="72">
        <v>-0.25563909774436089</v>
      </c>
      <c r="AT31" s="72">
        <v>1.1212121212121211</v>
      </c>
      <c r="AU31" s="24"/>
      <c r="AV31" s="72">
        <v>-0.46190476190476193</v>
      </c>
      <c r="AW31" s="72">
        <v>-1.7699115044247815E-2</v>
      </c>
      <c r="AX31" s="72">
        <v>0.15315315315315314</v>
      </c>
      <c r="AY31" s="72">
        <v>-0.2109375</v>
      </c>
      <c r="AZ31" s="24"/>
    </row>
    <row r="32" spans="1:52">
      <c r="A32" s="71" t="s">
        <v>8</v>
      </c>
      <c r="B32" s="24"/>
      <c r="C32" s="73"/>
      <c r="D32" s="73"/>
      <c r="E32" s="73"/>
      <c r="F32" s="73"/>
      <c r="G32" s="24">
        <f t="shared" ref="G32" si="19">G30/B30-1</f>
        <v>8.1081081081081141E-2</v>
      </c>
      <c r="H32" s="73">
        <f t="shared" ref="H32" si="20">H30/C30-1</f>
        <v>0.22777777777777786</v>
      </c>
      <c r="I32" s="73">
        <f t="shared" ref="I32" si="21">I30/D30-1</f>
        <v>8.2926829268292757E-2</v>
      </c>
      <c r="J32" s="73">
        <f t="shared" ref="J32" si="22">J30/E30-1</f>
        <v>0.25120772946859904</v>
      </c>
      <c r="K32" s="73">
        <f t="shared" ref="K32" si="23">K30/F30-1</f>
        <v>-0.1796875</v>
      </c>
      <c r="L32" s="24">
        <f t="shared" ref="L32" si="24">L30/G30-1</f>
        <v>0.12083333333333335</v>
      </c>
      <c r="M32" s="73">
        <f t="shared" ref="M32" si="25">M30/H30-1</f>
        <v>4.5248868778280604E-2</v>
      </c>
      <c r="N32" s="73">
        <f t="shared" ref="N32" si="26">N30/I30-1</f>
        <v>4.0540540540540571E-2</v>
      </c>
      <c r="O32" s="73">
        <f t="shared" ref="O32" si="27">O30/J30-1</f>
        <v>-5.0193050193050204E-2</v>
      </c>
      <c r="P32" s="73">
        <f t="shared" ref="P32" si="28">P30/K30-1</f>
        <v>1.1333333333333333</v>
      </c>
      <c r="Q32" s="24">
        <f t="shared" ref="Q32" si="29">Q30/L30-1</f>
        <v>0.15489467162329618</v>
      </c>
      <c r="R32" s="73">
        <f t="shared" ref="R32" si="30">R30/M30-1</f>
        <v>-0.24675324675324672</v>
      </c>
      <c r="S32" s="73">
        <f t="shared" ref="S32" si="31">S30/N30-1</f>
        <v>-6.4935064935064957E-2</v>
      </c>
      <c r="T32" s="73">
        <f t="shared" ref="T32" si="32">T30/O30-1</f>
        <v>-1.2195121951219523E-2</v>
      </c>
      <c r="U32" s="73">
        <f t="shared" ref="U32" si="33">U30/P30-1</f>
        <v>-0.4553571428571429</v>
      </c>
      <c r="V32" s="24">
        <f t="shared" ref="V32" si="34">V30/Q30-1</f>
        <v>-0.18991416309012876</v>
      </c>
      <c r="W32" s="73">
        <f t="shared" ref="W32" si="35">W30/R30-1</f>
        <v>0.40804597701149414</v>
      </c>
      <c r="X32" s="73">
        <f t="shared" ref="X32" si="36">X30/S30-1</f>
        <v>-0.19444444444444442</v>
      </c>
      <c r="Y32" s="73">
        <f t="shared" ref="Y32" si="37">Y30/T30-1</f>
        <v>-0.26748971193415638</v>
      </c>
      <c r="Z32" s="73">
        <f t="shared" ref="Z32" si="38">Z30/U30-1</f>
        <v>0.48360655737704916</v>
      </c>
      <c r="AA32" s="24">
        <f t="shared" ref="AA32" si="39">AA30/V30-1</f>
        <v>3.0463576158940464E-2</v>
      </c>
      <c r="AB32" s="73">
        <f t="shared" ref="AB32" si="40">AB30/W30-1</f>
        <v>-0.18367346938775508</v>
      </c>
      <c r="AC32" s="73">
        <f t="shared" ref="AC32" si="41">AC30/X30-1</f>
        <v>1.7241379310344751E-2</v>
      </c>
      <c r="AD32" s="73">
        <f t="shared" ref="AD32" si="42">AD30/Y30-1</f>
        <v>-0.2191011235955056</v>
      </c>
      <c r="AE32" s="73">
        <f t="shared" ref="AE32" si="43">AE30/Z30-1</f>
        <v>-0.2541436464088398</v>
      </c>
      <c r="AF32" s="24">
        <f t="shared" ref="AF32" si="44">AF30/AA30-1</f>
        <v>-0.16323907455012854</v>
      </c>
      <c r="AG32" s="73">
        <f t="shared" ref="AG32" si="45">AG30/AB30-1</f>
        <v>-0.15000000000000002</v>
      </c>
      <c r="AH32" s="73">
        <f t="shared" ref="AH32" si="46">AH30/AC30-1</f>
        <v>0.76836158192090398</v>
      </c>
      <c r="AI32" s="73">
        <f t="shared" ref="AI32" si="47">AI30/AD30-1</f>
        <v>0.2230215827338129</v>
      </c>
      <c r="AJ32" s="73">
        <f t="shared" ref="AJ32" si="48">AJ30/AE30-1</f>
        <v>0.19999999999999996</v>
      </c>
      <c r="AK32" s="24">
        <v>0.25192012288786492</v>
      </c>
      <c r="AL32" s="73">
        <v>-0.10588235294117643</v>
      </c>
      <c r="AM32" s="73">
        <v>-0.4153354632587859</v>
      </c>
      <c r="AN32" s="73">
        <v>-0.15294117647058825</v>
      </c>
      <c r="AO32" s="73">
        <v>-0.26543209876543206</v>
      </c>
      <c r="AP32" s="24">
        <v>-0.26625766871165646</v>
      </c>
      <c r="AQ32" s="73">
        <v>0.20394736842105265</v>
      </c>
      <c r="AR32" s="73">
        <v>-0.27322404371584696</v>
      </c>
      <c r="AS32" s="73">
        <v>-0.3125</v>
      </c>
      <c r="AT32" s="73">
        <v>0.76470588235294112</v>
      </c>
      <c r="AU32" s="24">
        <v>4.5150501672240884E-2</v>
      </c>
      <c r="AV32" s="73">
        <v>-0.38251366120218577</v>
      </c>
      <c r="AW32" s="73">
        <v>-0.16541353383458646</v>
      </c>
      <c r="AX32" s="73">
        <v>0.29292929292929304</v>
      </c>
      <c r="AY32" s="73">
        <v>-0.51904761904761898</v>
      </c>
      <c r="AZ32" s="24">
        <v>-0.2752</v>
      </c>
    </row>
    <row r="33" spans="1:52" s="36" customFormat="1">
      <c r="A33" s="69" t="s">
        <v>68</v>
      </c>
      <c r="B33" s="65">
        <v>1330</v>
      </c>
      <c r="C33" s="70">
        <v>411</v>
      </c>
      <c r="D33" s="70">
        <v>456</v>
      </c>
      <c r="E33" s="70">
        <v>462</v>
      </c>
      <c r="F33" s="70">
        <v>298</v>
      </c>
      <c r="G33" s="65">
        <v>1627</v>
      </c>
      <c r="H33" s="70">
        <v>608</v>
      </c>
      <c r="I33" s="70">
        <v>541</v>
      </c>
      <c r="J33" s="70">
        <v>2088</v>
      </c>
      <c r="K33" s="70">
        <f>L33-J33-I33-H33</f>
        <v>366</v>
      </c>
      <c r="L33" s="65">
        <v>3603</v>
      </c>
      <c r="M33" s="70">
        <v>642</v>
      </c>
      <c r="N33" s="70">
        <v>638</v>
      </c>
      <c r="O33" s="70">
        <v>588</v>
      </c>
      <c r="P33" s="70">
        <f>Q33-O33-N33-M33</f>
        <v>575</v>
      </c>
      <c r="Q33" s="65">
        <v>2443</v>
      </c>
      <c r="R33" s="70">
        <v>407</v>
      </c>
      <c r="S33" s="70">
        <v>585</v>
      </c>
      <c r="T33" s="70">
        <v>550</v>
      </c>
      <c r="U33" s="70">
        <f>V33-T33-S33-R33</f>
        <v>532</v>
      </c>
      <c r="V33" s="65">
        <v>2074</v>
      </c>
      <c r="W33" s="70">
        <v>582</v>
      </c>
      <c r="X33" s="70">
        <v>415</v>
      </c>
      <c r="Y33" s="70">
        <v>342</v>
      </c>
      <c r="Z33" s="70">
        <f>AA33-Y33-X33-W33</f>
        <v>522</v>
      </c>
      <c r="AA33" s="65">
        <v>1861</v>
      </c>
      <c r="AB33" s="70">
        <v>497</v>
      </c>
      <c r="AC33" s="70">
        <v>473</v>
      </c>
      <c r="AD33" s="70">
        <v>449</v>
      </c>
      <c r="AE33" s="70">
        <f>AF33-AD33-AC33-AB33</f>
        <v>352</v>
      </c>
      <c r="AF33" s="65">
        <v>1771</v>
      </c>
      <c r="AG33" s="70">
        <v>457</v>
      </c>
      <c r="AH33" s="70">
        <v>810</v>
      </c>
      <c r="AI33" s="70">
        <v>428</v>
      </c>
      <c r="AJ33" s="70">
        <f>AK33-AI33-AH33-AG33</f>
        <v>416</v>
      </c>
      <c r="AK33" s="65">
        <v>2111</v>
      </c>
      <c r="AL33" s="70">
        <v>463</v>
      </c>
      <c r="AM33" s="70">
        <v>482</v>
      </c>
      <c r="AN33" s="70">
        <v>407</v>
      </c>
      <c r="AO33" s="70">
        <v>369</v>
      </c>
      <c r="AP33" s="65">
        <v>1721</v>
      </c>
      <c r="AQ33" s="70">
        <v>288</v>
      </c>
      <c r="AR33" s="70">
        <v>377</v>
      </c>
      <c r="AS33" s="70">
        <v>394</v>
      </c>
      <c r="AT33" s="70">
        <v>185</v>
      </c>
      <c r="AU33" s="65">
        <v>1244</v>
      </c>
      <c r="AV33" s="70">
        <v>350</v>
      </c>
      <c r="AW33" s="70">
        <v>358</v>
      </c>
      <c r="AX33" s="70">
        <v>322</v>
      </c>
      <c r="AY33" s="70">
        <v>205</v>
      </c>
      <c r="AZ33" s="65">
        <v>1235</v>
      </c>
    </row>
    <row r="34" spans="1:52">
      <c r="A34" s="71" t="s">
        <v>7</v>
      </c>
      <c r="B34" s="24"/>
      <c r="C34" s="72"/>
      <c r="D34" s="72">
        <f>D33/C33-1</f>
        <v>0.10948905109489049</v>
      </c>
      <c r="E34" s="72">
        <f>E33/D33-1</f>
        <v>1.3157894736842035E-2</v>
      </c>
      <c r="F34" s="72">
        <f>F33/E33-1</f>
        <v>-0.35497835497835495</v>
      </c>
      <c r="G34" s="24"/>
      <c r="H34" s="72">
        <f>H33/F33-1</f>
        <v>1.0402684563758391</v>
      </c>
      <c r="I34" s="72">
        <f>I33/H33-1</f>
        <v>-0.11019736842105265</v>
      </c>
      <c r="J34" s="72">
        <f>J33/I33-1</f>
        <v>2.8595194085027726</v>
      </c>
      <c r="K34" s="72">
        <f>K33/J33-1</f>
        <v>-0.82471264367816088</v>
      </c>
      <c r="L34" s="24"/>
      <c r="M34" s="72">
        <f>M33/K33-1</f>
        <v>0.75409836065573765</v>
      </c>
      <c r="N34" s="72">
        <f>N33/M33-1</f>
        <v>-6.230529595015577E-3</v>
      </c>
      <c r="O34" s="72">
        <f>O33/N33-1</f>
        <v>-7.8369905956112818E-2</v>
      </c>
      <c r="P34" s="72">
        <f>P33/O33-1</f>
        <v>-2.2108843537414935E-2</v>
      </c>
      <c r="Q34" s="24"/>
      <c r="R34" s="72">
        <f>R33/P33-1</f>
        <v>-0.29217391304347828</v>
      </c>
      <c r="S34" s="72">
        <f>S33/R33-1</f>
        <v>0.4373464373464373</v>
      </c>
      <c r="T34" s="72">
        <f>T33/S33-1</f>
        <v>-5.9829059829059839E-2</v>
      </c>
      <c r="U34" s="72">
        <f>U33/T33-1</f>
        <v>-3.2727272727272716E-2</v>
      </c>
      <c r="V34" s="24"/>
      <c r="W34" s="72">
        <f>W33/U33-1</f>
        <v>9.3984962406014949E-2</v>
      </c>
      <c r="X34" s="72">
        <f>X33/W33-1</f>
        <v>-0.28694158075601373</v>
      </c>
      <c r="Y34" s="72">
        <f>Y33/X33-1</f>
        <v>-0.17590361445783131</v>
      </c>
      <c r="Z34" s="72">
        <f>Z33/Y33-1</f>
        <v>0.52631578947368429</v>
      </c>
      <c r="AA34" s="24"/>
      <c r="AB34" s="72">
        <f>AB33/Z33-1</f>
        <v>-4.789272030651337E-2</v>
      </c>
      <c r="AC34" s="72">
        <f>AC33/AB33-1</f>
        <v>-4.8289738430583484E-2</v>
      </c>
      <c r="AD34" s="72">
        <f>AD33/AC33-1</f>
        <v>-5.0739957716701922E-2</v>
      </c>
      <c r="AE34" s="72">
        <f>AE33/AD33-1</f>
        <v>-0.21603563474387533</v>
      </c>
      <c r="AF34" s="24"/>
      <c r="AG34" s="72">
        <f>AG33/AE33-1</f>
        <v>0.29829545454545459</v>
      </c>
      <c r="AH34" s="72">
        <f>AH33/AG33-1</f>
        <v>0.77242888402625831</v>
      </c>
      <c r="AI34" s="72">
        <f>AI33/AH33-1</f>
        <v>-0.47160493827160499</v>
      </c>
      <c r="AJ34" s="72">
        <f>AJ33/AI33-1</f>
        <v>-2.8037383177570097E-2</v>
      </c>
      <c r="AK34" s="24"/>
      <c r="AL34" s="72">
        <v>0.11298076923076916</v>
      </c>
      <c r="AM34" s="72">
        <v>4.1036717062634898E-2</v>
      </c>
      <c r="AN34" s="72">
        <v>-0.15560165975103735</v>
      </c>
      <c r="AO34" s="72">
        <v>-9.3366093366093361E-2</v>
      </c>
      <c r="AP34" s="24"/>
      <c r="AQ34" s="72">
        <v>-0.21951219512195119</v>
      </c>
      <c r="AR34" s="72">
        <v>0.30902777777777768</v>
      </c>
      <c r="AS34" s="72">
        <v>4.5092838196286511E-2</v>
      </c>
      <c r="AT34" s="72">
        <v>-0.53045685279187815</v>
      </c>
      <c r="AU34" s="24"/>
      <c r="AV34" s="72">
        <v>0.89189189189189189</v>
      </c>
      <c r="AW34" s="72">
        <v>2.2857142857142909E-2</v>
      </c>
      <c r="AX34" s="72">
        <v>-0.1005586592178771</v>
      </c>
      <c r="AY34" s="72">
        <v>-0.36335403726708071</v>
      </c>
      <c r="AZ34" s="24"/>
    </row>
    <row r="35" spans="1:52">
      <c r="A35" s="71" t="s">
        <v>8</v>
      </c>
      <c r="B35" s="24"/>
      <c r="C35" s="73"/>
      <c r="D35" s="73"/>
      <c r="E35" s="73"/>
      <c r="F35" s="73"/>
      <c r="G35" s="24">
        <f t="shared" ref="G35:N35" si="49">G33/B33-1</f>
        <v>0.22330827067669179</v>
      </c>
      <c r="H35" s="73">
        <f t="shared" si="49"/>
        <v>0.47931873479318732</v>
      </c>
      <c r="I35" s="73">
        <f t="shared" si="49"/>
        <v>0.18640350877192979</v>
      </c>
      <c r="J35" s="73">
        <f t="shared" si="49"/>
        <v>3.5194805194805197</v>
      </c>
      <c r="K35" s="73">
        <f t="shared" si="49"/>
        <v>0.22818791946308714</v>
      </c>
      <c r="L35" s="24">
        <f t="shared" si="49"/>
        <v>1.2145052243392747</v>
      </c>
      <c r="M35" s="73">
        <f t="shared" si="49"/>
        <v>5.5921052631578982E-2</v>
      </c>
      <c r="N35" s="73">
        <f t="shared" si="49"/>
        <v>0.17929759704251391</v>
      </c>
      <c r="O35" s="73">
        <f t="shared" ref="O35:Y35" si="50">O33/J33-1</f>
        <v>-0.71839080459770122</v>
      </c>
      <c r="P35" s="73">
        <f t="shared" si="50"/>
        <v>0.5710382513661203</v>
      </c>
      <c r="Q35" s="24">
        <f t="shared" si="50"/>
        <v>-0.32195392728281991</v>
      </c>
      <c r="R35" s="73">
        <f t="shared" si="50"/>
        <v>-0.36604361370716509</v>
      </c>
      <c r="S35" s="73">
        <f t="shared" si="50"/>
        <v>-8.3072100313479669E-2</v>
      </c>
      <c r="T35" s="73">
        <f t="shared" si="50"/>
        <v>-6.4625850340136015E-2</v>
      </c>
      <c r="U35" s="73">
        <f t="shared" si="50"/>
        <v>-7.478260869565212E-2</v>
      </c>
      <c r="V35" s="24">
        <f t="shared" si="50"/>
        <v>-0.15104379860826855</v>
      </c>
      <c r="W35" s="73">
        <f t="shared" si="50"/>
        <v>0.42997542997542992</v>
      </c>
      <c r="X35" s="73">
        <f t="shared" si="50"/>
        <v>-0.29059829059829057</v>
      </c>
      <c r="Y35" s="73">
        <f t="shared" si="50"/>
        <v>-0.37818181818181817</v>
      </c>
      <c r="Z35" s="73">
        <f t="shared" ref="Z35:AI35" si="51">Z33/U33-1</f>
        <v>-1.8796992481203034E-2</v>
      </c>
      <c r="AA35" s="24">
        <f t="shared" si="51"/>
        <v>-0.10270009643201539</v>
      </c>
      <c r="AB35" s="73">
        <f t="shared" si="51"/>
        <v>-0.14604810996563578</v>
      </c>
      <c r="AC35" s="73">
        <f t="shared" si="51"/>
        <v>0.13975903614457841</v>
      </c>
      <c r="AD35" s="73">
        <f t="shared" si="51"/>
        <v>0.3128654970760234</v>
      </c>
      <c r="AE35" s="73">
        <f t="shared" si="51"/>
        <v>-0.32567049808429116</v>
      </c>
      <c r="AF35" s="24">
        <f t="shared" si="51"/>
        <v>-4.8361096184846852E-2</v>
      </c>
      <c r="AG35" s="73">
        <f t="shared" si="51"/>
        <v>-8.0482897384305807E-2</v>
      </c>
      <c r="AH35" s="73">
        <f t="shared" si="51"/>
        <v>0.71247357293868929</v>
      </c>
      <c r="AI35" s="73">
        <f t="shared" si="51"/>
        <v>-4.6770601336302842E-2</v>
      </c>
      <c r="AJ35" s="73">
        <f t="shared" ref="AJ35:AS35" si="52">AJ33/AE33-1</f>
        <v>0.18181818181818188</v>
      </c>
      <c r="AK35" s="24">
        <v>0.19198193111236583</v>
      </c>
      <c r="AL35" s="73">
        <v>1.3129102844638973E-2</v>
      </c>
      <c r="AM35" s="73">
        <v>-0.40493827160493823</v>
      </c>
      <c r="AN35" s="73">
        <v>-4.9065420560747697E-2</v>
      </c>
      <c r="AO35" s="73">
        <v>-0.11298076923076927</v>
      </c>
      <c r="AP35" s="24">
        <v>-0.18474656560871627</v>
      </c>
      <c r="AQ35" s="73">
        <v>-0.37796976241900648</v>
      </c>
      <c r="AR35" s="73">
        <v>-0.21784232365145229</v>
      </c>
      <c r="AS35" s="73">
        <v>-3.1941031941031928E-2</v>
      </c>
      <c r="AT35" s="73">
        <v>-0.49864498644986455</v>
      </c>
      <c r="AU35" s="24">
        <v>-0.27716443927948864</v>
      </c>
      <c r="AV35" s="73">
        <v>0.21527777777777768</v>
      </c>
      <c r="AW35" s="73">
        <v>-5.0397877984084904E-2</v>
      </c>
      <c r="AX35" s="73">
        <v>-0.18274111675126903</v>
      </c>
      <c r="AY35" s="73">
        <v>0.10810810810810811</v>
      </c>
      <c r="AZ35" s="24">
        <v>-7.2347266881028771E-3</v>
      </c>
    </row>
    <row r="36" spans="1:52">
      <c r="A36" s="69" t="s">
        <v>272</v>
      </c>
      <c r="B36" s="65">
        <f>B39+B18</f>
        <v>3869</v>
      </c>
      <c r="C36" s="80" t="s">
        <v>53</v>
      </c>
      <c r="D36" s="80" t="s">
        <v>53</v>
      </c>
      <c r="E36" s="80" t="s">
        <v>53</v>
      </c>
      <c r="F36" s="80" t="s">
        <v>53</v>
      </c>
      <c r="G36" s="65">
        <f>G39+G18</f>
        <v>4194</v>
      </c>
      <c r="H36" s="80" t="s">
        <v>53</v>
      </c>
      <c r="I36" s="80" t="s">
        <v>53</v>
      </c>
      <c r="J36" s="80" t="s">
        <v>53</v>
      </c>
      <c r="K36" s="80" t="s">
        <v>53</v>
      </c>
      <c r="L36" s="65">
        <f>L39+L18</f>
        <v>4658</v>
      </c>
      <c r="M36" s="70">
        <f t="shared" ref="M36:N36" si="53">M39+M18</f>
        <v>1192</v>
      </c>
      <c r="N36" s="70">
        <f t="shared" si="53"/>
        <v>1268</v>
      </c>
      <c r="O36" s="70">
        <f>O39+O18</f>
        <v>1270</v>
      </c>
      <c r="P36" s="70">
        <f>Q36-O36-N36-M36</f>
        <v>1207</v>
      </c>
      <c r="Q36" s="65">
        <f>Q39+Q18</f>
        <v>4937</v>
      </c>
      <c r="R36" s="70">
        <f t="shared" ref="R36:S36" si="54">R39+R18</f>
        <v>1250</v>
      </c>
      <c r="S36" s="70">
        <f t="shared" si="54"/>
        <v>1221</v>
      </c>
      <c r="T36" s="70">
        <f>T39+T18</f>
        <v>1195</v>
      </c>
      <c r="U36" s="70">
        <f>V36-T36-S36-R36</f>
        <v>1123</v>
      </c>
      <c r="V36" s="65">
        <f>V39+V18</f>
        <v>4789</v>
      </c>
      <c r="W36" s="70">
        <f t="shared" ref="W36:X36" si="55">W39+W18</f>
        <v>1185</v>
      </c>
      <c r="X36" s="70">
        <f t="shared" si="55"/>
        <v>1121</v>
      </c>
      <c r="Y36" s="70">
        <f>Y39+Y18</f>
        <v>1020</v>
      </c>
      <c r="Z36" s="70">
        <f>AA36-Y36-X36-W36</f>
        <v>1023</v>
      </c>
      <c r="AA36" s="65">
        <f>AA39+AA18</f>
        <v>4349</v>
      </c>
      <c r="AB36" s="70">
        <f t="shared" ref="AB36:AC36" si="56">AB39+AB18</f>
        <v>1017</v>
      </c>
      <c r="AC36" s="70">
        <f t="shared" si="56"/>
        <v>1052</v>
      </c>
      <c r="AD36" s="70">
        <f>AD39+AD18</f>
        <v>1044</v>
      </c>
      <c r="AE36" s="70">
        <f>AF36-AD36-AC36-AB36</f>
        <v>1002</v>
      </c>
      <c r="AF36" s="65">
        <f>AF39+AF18</f>
        <v>4115</v>
      </c>
      <c r="AG36" s="70">
        <f t="shared" ref="AG36:AH36" si="57">AG39+AG18</f>
        <v>994</v>
      </c>
      <c r="AH36" s="70">
        <f t="shared" si="57"/>
        <v>985</v>
      </c>
      <c r="AI36" s="70">
        <f>AI39+AI18</f>
        <v>973</v>
      </c>
      <c r="AJ36" s="70">
        <f>AK36-AI36-AH36-AG36</f>
        <v>969</v>
      </c>
      <c r="AK36" s="65">
        <v>3921</v>
      </c>
      <c r="AL36" s="70">
        <v>936</v>
      </c>
      <c r="AM36" s="70">
        <v>1104</v>
      </c>
      <c r="AN36" s="70">
        <v>1096</v>
      </c>
      <c r="AO36" s="70">
        <v>1023</v>
      </c>
      <c r="AP36" s="65">
        <v>4159</v>
      </c>
      <c r="AQ36" s="70">
        <v>1028</v>
      </c>
      <c r="AR36" s="70">
        <v>1044</v>
      </c>
      <c r="AS36" s="70">
        <v>1015</v>
      </c>
      <c r="AT36" s="70">
        <v>973</v>
      </c>
      <c r="AU36" s="65">
        <v>4060</v>
      </c>
      <c r="AV36" s="70">
        <v>990</v>
      </c>
      <c r="AW36" s="70">
        <v>996</v>
      </c>
      <c r="AX36" s="70">
        <v>957</v>
      </c>
      <c r="AY36" s="70">
        <v>950</v>
      </c>
      <c r="AZ36" s="65">
        <v>3893</v>
      </c>
    </row>
    <row r="37" spans="1:52">
      <c r="A37" s="71" t="s">
        <v>7</v>
      </c>
      <c r="B37" s="24"/>
      <c r="C37" s="72"/>
      <c r="D37" s="72"/>
      <c r="E37" s="72"/>
      <c r="F37" s="72"/>
      <c r="G37" s="24"/>
      <c r="H37" s="72"/>
      <c r="I37" s="72"/>
      <c r="J37" s="72"/>
      <c r="K37" s="72"/>
      <c r="L37" s="24"/>
      <c r="M37" s="72"/>
      <c r="N37" s="72">
        <f>N36/M36-1</f>
        <v>6.3758389261745041E-2</v>
      </c>
      <c r="O37" s="72">
        <f>O36/N36-1</f>
        <v>1.577287066246047E-3</v>
      </c>
      <c r="P37" s="72">
        <f>P36/O36-1</f>
        <v>-4.9606299212598404E-2</v>
      </c>
      <c r="Q37" s="24"/>
      <c r="R37" s="72">
        <f>R36/P36-1</f>
        <v>3.5625517812758911E-2</v>
      </c>
      <c r="S37" s="72">
        <f>S36/R36-1</f>
        <v>-2.3199999999999998E-2</v>
      </c>
      <c r="T37" s="72">
        <f>T36/S36-1</f>
        <v>-2.1294021294021248E-2</v>
      </c>
      <c r="U37" s="72">
        <f>U36/T36-1</f>
        <v>-6.025104602510456E-2</v>
      </c>
      <c r="V37" s="24"/>
      <c r="W37" s="72">
        <f>W36/U36-1</f>
        <v>5.5209260908281488E-2</v>
      </c>
      <c r="X37" s="72">
        <f>X36/W36-1</f>
        <v>-5.400843881856543E-2</v>
      </c>
      <c r="Y37" s="72">
        <f>Y36/X36-1</f>
        <v>-9.0098126672613743E-2</v>
      </c>
      <c r="Z37" s="72">
        <f>Z36/Y36-1</f>
        <v>2.9411764705882248E-3</v>
      </c>
      <c r="AA37" s="24"/>
      <c r="AB37" s="72">
        <f>AB36/Z36-1</f>
        <v>-5.8651026392961825E-3</v>
      </c>
      <c r="AC37" s="72">
        <f>AC36/AB36-1</f>
        <v>3.4414945919370776E-2</v>
      </c>
      <c r="AD37" s="72">
        <f>AD36/AC36-1</f>
        <v>-7.6045627376425395E-3</v>
      </c>
      <c r="AE37" s="72">
        <f>AE36/AD36-1</f>
        <v>-4.0229885057471271E-2</v>
      </c>
      <c r="AF37" s="24"/>
      <c r="AG37" s="72">
        <f>AG36/AE36-1</f>
        <v>-7.9840319361277334E-3</v>
      </c>
      <c r="AH37" s="72">
        <f>AH36/AG36-1</f>
        <v>-9.0543259557344102E-3</v>
      </c>
      <c r="AI37" s="72">
        <f>AI36/AH36-1</f>
        <v>-1.2182741116751217E-2</v>
      </c>
      <c r="AJ37" s="72">
        <f>AJ36/AI36-1</f>
        <v>-4.1109969167523186E-3</v>
      </c>
      <c r="AK37" s="24"/>
      <c r="AL37" s="72">
        <v>-3.4055727554179516E-2</v>
      </c>
      <c r="AM37" s="72">
        <v>0.17948717948717952</v>
      </c>
      <c r="AN37" s="72">
        <v>-7.2463768115942351E-3</v>
      </c>
      <c r="AO37" s="72">
        <v>-6.6605839416058354E-2</v>
      </c>
      <c r="AP37" s="24"/>
      <c r="AQ37" s="72">
        <v>4.8875855327468187E-3</v>
      </c>
      <c r="AR37" s="72">
        <v>1.5564202334630295E-2</v>
      </c>
      <c r="AS37" s="72">
        <v>-2.777777777777779E-2</v>
      </c>
      <c r="AT37" s="72">
        <v>-4.1379310344827558E-2</v>
      </c>
      <c r="AU37" s="24"/>
      <c r="AV37" s="72">
        <v>1.747173689619741E-2</v>
      </c>
      <c r="AW37" s="72">
        <v>6.0606060606060996E-3</v>
      </c>
      <c r="AX37" s="72">
        <v>-3.9156626506024139E-2</v>
      </c>
      <c r="AY37" s="72">
        <v>-7.3145245559038674E-3</v>
      </c>
      <c r="AZ37" s="24"/>
    </row>
    <row r="38" spans="1:52">
      <c r="A38" s="71" t="s">
        <v>8</v>
      </c>
      <c r="B38" s="24"/>
      <c r="C38" s="73"/>
      <c r="D38" s="73"/>
      <c r="E38" s="73"/>
      <c r="F38" s="73"/>
      <c r="G38" s="24">
        <f t="shared" ref="G38" si="58">G36/B36-1</f>
        <v>8.400103385887836E-2</v>
      </c>
      <c r="H38" s="73"/>
      <c r="I38" s="73"/>
      <c r="J38" s="73"/>
      <c r="K38" s="73"/>
      <c r="L38" s="24">
        <f t="shared" ref="L38" si="59">L36/G36-1</f>
        <v>0.11063423938960426</v>
      </c>
      <c r="M38" s="73"/>
      <c r="N38" s="73"/>
      <c r="O38" s="73"/>
      <c r="P38" s="73"/>
      <c r="Q38" s="24">
        <f t="shared" ref="Q38" si="60">Q36/L36-1</f>
        <v>5.9896951481322347E-2</v>
      </c>
      <c r="R38" s="73">
        <f t="shared" ref="R38" si="61">R36/M36-1</f>
        <v>4.8657718120805438E-2</v>
      </c>
      <c r="S38" s="73">
        <f t="shared" ref="S38" si="62">S36/N36-1</f>
        <v>-3.7066246056782326E-2</v>
      </c>
      <c r="T38" s="73">
        <f t="shared" ref="T38" si="63">T36/O36-1</f>
        <v>-5.9055118110236227E-2</v>
      </c>
      <c r="U38" s="73">
        <f t="shared" ref="U38:V38" si="64">U36/P36-1</f>
        <v>-6.9594034797017423E-2</v>
      </c>
      <c r="V38" s="24">
        <f t="shared" si="64"/>
        <v>-2.9977719262710201E-2</v>
      </c>
      <c r="W38" s="73">
        <f t="shared" ref="W38" si="65">W36/R36-1</f>
        <v>-5.2000000000000046E-2</v>
      </c>
      <c r="X38" s="73">
        <f t="shared" ref="X38" si="66">X36/S36-1</f>
        <v>-8.1900081900081911E-2</v>
      </c>
      <c r="Y38" s="73">
        <f t="shared" ref="Y38" si="67">Y36/T36-1</f>
        <v>-0.14644351464435146</v>
      </c>
      <c r="Z38" s="73">
        <f t="shared" ref="Z38:AA38" si="68">Z36/U36-1</f>
        <v>-8.9047195013357117E-2</v>
      </c>
      <c r="AA38" s="24">
        <f t="shared" si="68"/>
        <v>-9.1877218626017942E-2</v>
      </c>
      <c r="AB38" s="73">
        <f t="shared" ref="AB38" si="69">AB36/W36-1</f>
        <v>-0.14177215189873416</v>
      </c>
      <c r="AC38" s="73">
        <f t="shared" ref="AC38" si="70">AC36/X36-1</f>
        <v>-6.15521855486173E-2</v>
      </c>
      <c r="AD38" s="73">
        <f t="shared" ref="AD38" si="71">AD36/Y36-1</f>
        <v>2.3529411764705799E-2</v>
      </c>
      <c r="AE38" s="73">
        <f t="shared" ref="AE38:AF38" si="72">AE36/Z36-1</f>
        <v>-2.0527859237536639E-2</v>
      </c>
      <c r="AF38" s="24">
        <f t="shared" si="72"/>
        <v>-5.3805472522418962E-2</v>
      </c>
      <c r="AG38" s="73">
        <f t="shared" ref="AG38" si="73">AG36/AB36-1</f>
        <v>-2.2615535889872196E-2</v>
      </c>
      <c r="AH38" s="73">
        <f t="shared" ref="AH38" si="74">AH36/AC36-1</f>
        <v>-6.3688212927756616E-2</v>
      </c>
      <c r="AI38" s="73">
        <f t="shared" ref="AI38" si="75">AI36/AD36-1</f>
        <v>-6.8007662835249061E-2</v>
      </c>
      <c r="AJ38" s="73">
        <f t="shared" ref="AJ38:AK38" si="76">AJ36/AE36-1</f>
        <v>-3.2934131736526928E-2</v>
      </c>
      <c r="AK38" s="24">
        <v>-4.7144592952612419E-2</v>
      </c>
      <c r="AL38" s="73">
        <v>-5.835010060362178E-2</v>
      </c>
      <c r="AM38" s="73">
        <v>0.12081218274111682</v>
      </c>
      <c r="AN38" s="73">
        <v>0.12641315519013352</v>
      </c>
      <c r="AO38" s="73">
        <v>5.5727554179566541E-2</v>
      </c>
      <c r="AP38" s="24">
        <v>6.0698801326192209E-2</v>
      </c>
      <c r="AQ38" s="73">
        <v>9.8290598290598385E-2</v>
      </c>
      <c r="AR38" s="73">
        <v>-5.4347826086956541E-2</v>
      </c>
      <c r="AS38" s="73">
        <v>-7.3905109489051046E-2</v>
      </c>
      <c r="AT38" s="73">
        <v>-4.8875855327468187E-2</v>
      </c>
      <c r="AU38" s="24">
        <v>-2.3803798990141845E-2</v>
      </c>
      <c r="AV38" s="73">
        <v>-3.6964980544747061E-2</v>
      </c>
      <c r="AW38" s="73">
        <v>-4.5977011494252928E-2</v>
      </c>
      <c r="AX38" s="73">
        <v>-5.7142857142857162E-2</v>
      </c>
      <c r="AY38" s="73">
        <v>-2.3638232271325776E-2</v>
      </c>
      <c r="AZ38" s="24">
        <v>-4.1133004926108385E-2</v>
      </c>
    </row>
    <row r="39" spans="1:52" s="36" customFormat="1">
      <c r="A39" s="69" t="s">
        <v>220</v>
      </c>
      <c r="B39" s="65">
        <f>B12+B21</f>
        <v>3830</v>
      </c>
      <c r="C39" s="77">
        <f>C12+C21</f>
        <v>1009</v>
      </c>
      <c r="D39" s="77">
        <f>D12+D21</f>
        <v>1133</v>
      </c>
      <c r="E39" s="77">
        <f>E12+E21</f>
        <v>1140</v>
      </c>
      <c r="F39" s="70">
        <f>G39-E39-D39-C39</f>
        <v>816</v>
      </c>
      <c r="G39" s="65">
        <f>G12+G21</f>
        <v>4098</v>
      </c>
      <c r="H39" s="77">
        <f>H12+H21</f>
        <v>1170</v>
      </c>
      <c r="I39" s="77">
        <f>I12+I21</f>
        <v>1195</v>
      </c>
      <c r="J39" s="77">
        <f>J12+J21</f>
        <v>1236</v>
      </c>
      <c r="K39" s="70">
        <f>L39-J39-I39-H39</f>
        <v>856</v>
      </c>
      <c r="L39" s="65">
        <f>L12+L21</f>
        <v>4457</v>
      </c>
      <c r="M39" s="77">
        <f>M12+M21</f>
        <v>1217</v>
      </c>
      <c r="N39" s="77">
        <f>N12+N21</f>
        <v>1338</v>
      </c>
      <c r="O39" s="77">
        <f>O12+O21</f>
        <v>1329</v>
      </c>
      <c r="P39" s="70">
        <f>Q39-O39-N39-M39</f>
        <v>1269</v>
      </c>
      <c r="Q39" s="65">
        <f>Q12+Q21</f>
        <v>5153</v>
      </c>
      <c r="R39" s="77">
        <f>R12+R21</f>
        <v>1000</v>
      </c>
      <c r="S39" s="77">
        <f>S12+S21</f>
        <v>1283</v>
      </c>
      <c r="T39" s="77">
        <f>T12+T21</f>
        <v>1301</v>
      </c>
      <c r="U39" s="70">
        <f>V39-T39-S39-R39</f>
        <v>1066</v>
      </c>
      <c r="V39" s="65">
        <f>V12+V21</f>
        <v>4650</v>
      </c>
      <c r="W39" s="77">
        <f>W12+W21</f>
        <v>1208</v>
      </c>
      <c r="X39" s="77">
        <f>X12+X21</f>
        <v>1104</v>
      </c>
      <c r="Y39" s="77">
        <f>Y12+Y21</f>
        <v>1026</v>
      </c>
      <c r="Z39" s="70">
        <f>AA39-Y39-X39-W39</f>
        <v>1139</v>
      </c>
      <c r="AA39" s="65">
        <f>AA12+AA21</f>
        <v>4477</v>
      </c>
      <c r="AB39" s="77">
        <f>AB12+AB21</f>
        <v>1089</v>
      </c>
      <c r="AC39" s="77">
        <f>AC12+AC21</f>
        <v>1070</v>
      </c>
      <c r="AD39" s="77">
        <f>AD12+AD21</f>
        <v>1050</v>
      </c>
      <c r="AE39" s="70">
        <f>AF39-AD39-AC39-AB39</f>
        <v>921</v>
      </c>
      <c r="AF39" s="65">
        <f>AF12+AF21</f>
        <v>4130</v>
      </c>
      <c r="AG39" s="77">
        <f>AG12+AG21</f>
        <v>1002</v>
      </c>
      <c r="AH39" s="77">
        <f>AH12+AH21</f>
        <v>1553</v>
      </c>
      <c r="AI39" s="77">
        <f>AI12+AI21</f>
        <v>998</v>
      </c>
      <c r="AJ39" s="70">
        <f>AK39-AI39-AH39-AG39</f>
        <v>954</v>
      </c>
      <c r="AK39" s="65">
        <v>4507</v>
      </c>
      <c r="AL39" s="77">
        <v>953</v>
      </c>
      <c r="AM39" s="77">
        <v>1245</v>
      </c>
      <c r="AN39" s="77">
        <v>1109</v>
      </c>
      <c r="AO39" s="70">
        <v>947</v>
      </c>
      <c r="AP39" s="65">
        <v>4254</v>
      </c>
      <c r="AQ39" s="77">
        <v>1023</v>
      </c>
      <c r="AR39" s="77">
        <v>1056</v>
      </c>
      <c r="AS39" s="77">
        <v>1041</v>
      </c>
      <c r="AT39" s="70">
        <v>940</v>
      </c>
      <c r="AU39" s="65">
        <v>4060</v>
      </c>
      <c r="AV39" s="77">
        <v>994</v>
      </c>
      <c r="AW39" s="77">
        <v>997</v>
      </c>
      <c r="AX39" s="77">
        <v>980</v>
      </c>
      <c r="AY39" s="70">
        <v>854</v>
      </c>
      <c r="AZ39" s="65">
        <v>3825</v>
      </c>
    </row>
    <row r="40" spans="1:52">
      <c r="A40" s="71" t="s">
        <v>7</v>
      </c>
      <c r="B40" s="24"/>
      <c r="C40" s="72"/>
      <c r="D40" s="72">
        <f>D39/C39-1</f>
        <v>0.12289395441030715</v>
      </c>
      <c r="E40" s="72">
        <f>E39/D39-1</f>
        <v>6.1782877316858276E-3</v>
      </c>
      <c r="F40" s="72">
        <f>F39/E39-1</f>
        <v>-0.28421052631578947</v>
      </c>
      <c r="G40" s="24"/>
      <c r="H40" s="72">
        <f>H39/F39-1</f>
        <v>0.43382352941176472</v>
      </c>
      <c r="I40" s="72">
        <f>I39/H39-1</f>
        <v>2.1367521367521292E-2</v>
      </c>
      <c r="J40" s="72">
        <f>J39/I39-1</f>
        <v>3.4309623430962333E-2</v>
      </c>
      <c r="K40" s="72">
        <f>K39/J39-1</f>
        <v>-0.30744336569579289</v>
      </c>
      <c r="L40" s="24"/>
      <c r="M40" s="72">
        <f>M39/K39-1</f>
        <v>0.42172897196261672</v>
      </c>
      <c r="N40" s="72">
        <f>N39/M39-1</f>
        <v>9.9424815119145471E-2</v>
      </c>
      <c r="O40" s="72">
        <f>O39/N39-1</f>
        <v>-6.7264573991031584E-3</v>
      </c>
      <c r="P40" s="72">
        <f>P39/O39-1</f>
        <v>-4.5146726862302478E-2</v>
      </c>
      <c r="Q40" s="24"/>
      <c r="R40" s="72">
        <f>R39/P39-1</f>
        <v>-0.21197793538219067</v>
      </c>
      <c r="S40" s="72">
        <f>S39/R39-1</f>
        <v>0.28299999999999992</v>
      </c>
      <c r="T40" s="72">
        <f>T39/S39-1</f>
        <v>1.4029618082618933E-2</v>
      </c>
      <c r="U40" s="72">
        <f>U39/T39-1</f>
        <v>-0.18063028439661799</v>
      </c>
      <c r="V40" s="24"/>
      <c r="W40" s="72">
        <f>W39/U39-1</f>
        <v>0.13320825515947465</v>
      </c>
      <c r="X40" s="72">
        <f>X39/W39-1</f>
        <v>-8.6092715231788075E-2</v>
      </c>
      <c r="Y40" s="72">
        <f>Y39/X39-1</f>
        <v>-7.0652173913043459E-2</v>
      </c>
      <c r="Z40" s="72">
        <f>Z39/Y39-1</f>
        <v>0.11013645224171542</v>
      </c>
      <c r="AA40" s="24"/>
      <c r="AB40" s="72">
        <f>AB39/Z39-1</f>
        <v>-4.3898156277436318E-2</v>
      </c>
      <c r="AC40" s="72">
        <f>AC39/AB39-1</f>
        <v>-1.7447199265381075E-2</v>
      </c>
      <c r="AD40" s="72">
        <f>AD39/AC39-1</f>
        <v>-1.8691588785046731E-2</v>
      </c>
      <c r="AE40" s="72">
        <f>AE39/AD39-1</f>
        <v>-0.12285714285714289</v>
      </c>
      <c r="AF40" s="24"/>
      <c r="AG40" s="72">
        <f>AG39/AE39-1</f>
        <v>8.7947882736156391E-2</v>
      </c>
      <c r="AH40" s="72">
        <f>AH39/AG39-1</f>
        <v>0.54990019960079839</v>
      </c>
      <c r="AI40" s="72">
        <f>AI39/AH39-1</f>
        <v>-0.35737282678686411</v>
      </c>
      <c r="AJ40" s="72">
        <f>AJ39/AI39-1</f>
        <v>-4.4088176352705455E-2</v>
      </c>
      <c r="AK40" s="24"/>
      <c r="AL40" s="72">
        <v>-1.0482180293500676E-3</v>
      </c>
      <c r="AM40" s="72">
        <v>0.3064008394543547</v>
      </c>
      <c r="AN40" s="72">
        <v>-0.10923694779116466</v>
      </c>
      <c r="AO40" s="72">
        <v>-0.14607754733994593</v>
      </c>
      <c r="AP40" s="24"/>
      <c r="AQ40" s="72">
        <v>8.0253431890179527E-2</v>
      </c>
      <c r="AR40" s="72">
        <v>3.2258064516129004E-2</v>
      </c>
      <c r="AS40" s="72">
        <v>-1.4204545454545414E-2</v>
      </c>
      <c r="AT40" s="72">
        <v>-9.7022094140249759E-2</v>
      </c>
      <c r="AU40" s="24"/>
      <c r="AV40" s="72">
        <v>5.7446808510638325E-2</v>
      </c>
      <c r="AW40" s="72">
        <v>3.0181086519114331E-3</v>
      </c>
      <c r="AX40" s="72">
        <v>-1.7051153460381108E-2</v>
      </c>
      <c r="AY40" s="72">
        <v>-0.12857142857142856</v>
      </c>
      <c r="AZ40" s="24"/>
    </row>
    <row r="41" spans="1:52">
      <c r="A41" s="71" t="s">
        <v>8</v>
      </c>
      <c r="B41" s="24"/>
      <c r="C41" s="73"/>
      <c r="D41" s="73"/>
      <c r="E41" s="73"/>
      <c r="F41" s="73"/>
      <c r="G41" s="24">
        <f t="shared" ref="G41:N41" si="77">G39/B39-1</f>
        <v>6.9973890339425582E-2</v>
      </c>
      <c r="H41" s="73">
        <f t="shared" si="77"/>
        <v>0.15956392467789882</v>
      </c>
      <c r="I41" s="73">
        <f t="shared" si="77"/>
        <v>5.4721977052074156E-2</v>
      </c>
      <c r="J41" s="73">
        <f t="shared" si="77"/>
        <v>8.4210526315789513E-2</v>
      </c>
      <c r="K41" s="73">
        <f t="shared" si="77"/>
        <v>4.9019607843137303E-2</v>
      </c>
      <c r="L41" s="24">
        <f t="shared" si="77"/>
        <v>8.7603709126403029E-2</v>
      </c>
      <c r="M41" s="73">
        <f t="shared" si="77"/>
        <v>4.017094017094025E-2</v>
      </c>
      <c r="N41" s="73">
        <f t="shared" si="77"/>
        <v>0.11966527196652721</v>
      </c>
      <c r="O41" s="73">
        <f t="shared" ref="O41:Y41" si="78">O39/J39-1</f>
        <v>7.5242718446602019E-2</v>
      </c>
      <c r="P41" s="73">
        <f t="shared" si="78"/>
        <v>0.48247663551401865</v>
      </c>
      <c r="Q41" s="24">
        <f t="shared" si="78"/>
        <v>0.15615885124523232</v>
      </c>
      <c r="R41" s="73">
        <f t="shared" si="78"/>
        <v>-0.17830731306491376</v>
      </c>
      <c r="S41" s="73">
        <f t="shared" si="78"/>
        <v>-4.1106128550074783E-2</v>
      </c>
      <c r="T41" s="73">
        <f t="shared" si="78"/>
        <v>-2.1068472535741178E-2</v>
      </c>
      <c r="U41" s="73">
        <f t="shared" si="78"/>
        <v>-0.1599684791174153</v>
      </c>
      <c r="V41" s="24">
        <f t="shared" si="78"/>
        <v>-9.7613040947021168E-2</v>
      </c>
      <c r="W41" s="73">
        <f t="shared" si="78"/>
        <v>0.20799999999999996</v>
      </c>
      <c r="X41" s="73">
        <f t="shared" si="78"/>
        <v>-0.13951675759937643</v>
      </c>
      <c r="Y41" s="73">
        <f t="shared" si="78"/>
        <v>-0.21137586471944658</v>
      </c>
      <c r="Z41" s="73">
        <f t="shared" ref="Z41:AI41" si="79">Z39/U39-1</f>
        <v>6.8480300187617305E-2</v>
      </c>
      <c r="AA41" s="24">
        <f t="shared" si="79"/>
        <v>-3.7204301075268842E-2</v>
      </c>
      <c r="AB41" s="73">
        <f t="shared" si="79"/>
        <v>-9.8509933774834413E-2</v>
      </c>
      <c r="AC41" s="73">
        <f t="shared" si="79"/>
        <v>-3.0797101449275388E-2</v>
      </c>
      <c r="AD41" s="73">
        <f t="shared" si="79"/>
        <v>2.3391812865497075E-2</v>
      </c>
      <c r="AE41" s="73">
        <f t="shared" si="79"/>
        <v>-0.19139596136962245</v>
      </c>
      <c r="AF41" s="24">
        <f t="shared" si="79"/>
        <v>-7.7507259325441114E-2</v>
      </c>
      <c r="AG41" s="73">
        <f t="shared" si="79"/>
        <v>-7.9889807162534465E-2</v>
      </c>
      <c r="AH41" s="73">
        <f t="shared" si="79"/>
        <v>0.45140186915887859</v>
      </c>
      <c r="AI41" s="73">
        <f t="shared" si="79"/>
        <v>-4.9523809523809526E-2</v>
      </c>
      <c r="AJ41" s="73">
        <f t="shared" ref="AJ41:AS41" si="80">AJ39/AE39-1</f>
        <v>3.5830618892508159E-2</v>
      </c>
      <c r="AK41" s="24">
        <v>9.1283292978208141E-2</v>
      </c>
      <c r="AL41" s="73">
        <v>-4.8902195608782395E-2</v>
      </c>
      <c r="AM41" s="73">
        <v>-0.1983258209916291</v>
      </c>
      <c r="AN41" s="73">
        <v>0.11122244488977961</v>
      </c>
      <c r="AO41" s="73">
        <v>-7.3375262054506951E-3</v>
      </c>
      <c r="AP41" s="24">
        <v>-5.6134901264699333E-2</v>
      </c>
      <c r="AQ41" s="73">
        <v>7.3452256033578189E-2</v>
      </c>
      <c r="AR41" s="73">
        <v>-0.15180722891566267</v>
      </c>
      <c r="AS41" s="73">
        <v>-6.131650135256983E-2</v>
      </c>
      <c r="AT41" s="73">
        <v>-7.3917634635691787E-3</v>
      </c>
      <c r="AU41" s="24">
        <v>-4.5604137282557633E-2</v>
      </c>
      <c r="AV41" s="73">
        <v>-2.8347996089931549E-2</v>
      </c>
      <c r="AW41" s="73">
        <v>-5.5871212121212155E-2</v>
      </c>
      <c r="AX41" s="73">
        <v>-5.8597502401536938E-2</v>
      </c>
      <c r="AY41" s="73">
        <v>-9.1489361702127625E-2</v>
      </c>
      <c r="AZ41" s="24">
        <v>-5.7881773399014791E-2</v>
      </c>
    </row>
    <row r="42" spans="1:52" hidden="1">
      <c r="A42" s="69" t="s">
        <v>32</v>
      </c>
      <c r="B42" s="64">
        <v>0.51</v>
      </c>
      <c r="C42" s="74">
        <v>0.15</v>
      </c>
      <c r="D42" s="74">
        <v>0.17</v>
      </c>
      <c r="E42" s="74">
        <v>0.18</v>
      </c>
      <c r="F42" s="75">
        <f>G42-E42-D42-C42</f>
        <v>0.12000000000000002</v>
      </c>
      <c r="G42" s="64">
        <v>0.62</v>
      </c>
      <c r="H42" s="74">
        <v>0.23</v>
      </c>
      <c r="I42" s="74">
        <v>0.21</v>
      </c>
      <c r="J42" s="74">
        <v>0.79</v>
      </c>
      <c r="K42" s="75">
        <f>L42-J42-I42-H42</f>
        <v>0.13701858018376797</v>
      </c>
      <c r="L42" s="64">
        <f>3602772/2635496</f>
        <v>1.367018580183768</v>
      </c>
      <c r="M42" s="74">
        <f>641531016/2663427674</f>
        <v>0.24086669304465597</v>
      </c>
      <c r="N42" s="74">
        <v>0.24</v>
      </c>
      <c r="O42" s="75">
        <v>0.22</v>
      </c>
      <c r="P42" s="74">
        <v>0.21</v>
      </c>
      <c r="Q42" s="64">
        <v>0.91</v>
      </c>
      <c r="R42" s="74">
        <v>0.15</v>
      </c>
      <c r="S42" s="74">
        <v>0.22</v>
      </c>
      <c r="T42" s="75">
        <v>0.2</v>
      </c>
      <c r="U42" s="75">
        <f>V42-T42-S42-R42</f>
        <v>0.20000000000000009</v>
      </c>
      <c r="V42" s="64">
        <v>0.77</v>
      </c>
      <c r="W42" s="74">
        <v>0.21</v>
      </c>
      <c r="X42" s="74">
        <v>0.15</v>
      </c>
      <c r="Y42" s="74">
        <v>0.13</v>
      </c>
      <c r="Z42" s="75">
        <f>AA42-Y42-X42-W42</f>
        <v>0.19000000000000003</v>
      </c>
      <c r="AA42" s="64">
        <v>0.68</v>
      </c>
      <c r="AB42" s="74">
        <v>0.18</v>
      </c>
      <c r="AC42" s="74">
        <v>0.17</v>
      </c>
      <c r="AD42" s="74">
        <v>0.16</v>
      </c>
      <c r="AE42" s="75">
        <v>0.13</v>
      </c>
      <c r="AF42" s="64">
        <v>0.65</v>
      </c>
      <c r="AG42" s="74">
        <v>0.17</v>
      </c>
      <c r="AH42" s="74">
        <v>0.3</v>
      </c>
      <c r="AI42" s="74">
        <v>0.16</v>
      </c>
      <c r="AJ42" s="75">
        <v>0.15</v>
      </c>
      <c r="AK42" s="64">
        <v>0.77</v>
      </c>
      <c r="AL42" s="74">
        <v>0.17</v>
      </c>
      <c r="AM42" s="74">
        <v>0.18</v>
      </c>
      <c r="AN42" s="74">
        <v>0.15</v>
      </c>
      <c r="AO42" s="75">
        <v>0.12999999999999998</v>
      </c>
      <c r="AP42" s="64">
        <v>0.63</v>
      </c>
      <c r="AQ42" s="74">
        <v>0.1</v>
      </c>
      <c r="AR42" s="74">
        <v>0.14000000000000001</v>
      </c>
      <c r="AS42" s="74">
        <v>0.14000000000000001</v>
      </c>
      <c r="AT42" s="75">
        <v>6.9999999999999979E-2</v>
      </c>
      <c r="AU42" s="64">
        <v>0.45</v>
      </c>
      <c r="AV42" s="74">
        <v>0.13</v>
      </c>
      <c r="AW42" s="74">
        <v>0.13</v>
      </c>
      <c r="AX42" s="74">
        <v>0.12</v>
      </c>
      <c r="AY42" s="75">
        <v>-0.38</v>
      </c>
      <c r="AZ42" s="64"/>
    </row>
    <row r="43" spans="1:52" ht="12.6" customHeight="1">
      <c r="A43" s="69" t="s">
        <v>33</v>
      </c>
      <c r="B43" s="64">
        <v>0.5</v>
      </c>
      <c r="C43" s="74">
        <v>0.15</v>
      </c>
      <c r="D43" s="74">
        <v>0.17</v>
      </c>
      <c r="E43" s="74">
        <v>0.17</v>
      </c>
      <c r="F43" s="75">
        <f>G43-E43-D43-C43</f>
        <v>0.11999999999999991</v>
      </c>
      <c r="G43" s="64">
        <v>0.61</v>
      </c>
      <c r="H43" s="74">
        <v>0.23</v>
      </c>
      <c r="I43" s="74">
        <v>0.2</v>
      </c>
      <c r="J43" s="74">
        <v>0.79</v>
      </c>
      <c r="K43" s="75">
        <f>L43-J43-I43-H43</f>
        <v>0.12209418646577999</v>
      </c>
      <c r="L43" s="64">
        <f>3603029/2684632</f>
        <v>1.34209418646578</v>
      </c>
      <c r="M43" s="74">
        <f>648428321/2709646450</f>
        <v>0.23930366302954395</v>
      </c>
      <c r="N43" s="74">
        <v>0.24</v>
      </c>
      <c r="O43" s="74">
        <v>0.22</v>
      </c>
      <c r="P43" s="74">
        <v>0.21</v>
      </c>
      <c r="Q43" s="64">
        <v>0.9</v>
      </c>
      <c r="R43" s="74">
        <v>0.15</v>
      </c>
      <c r="S43" s="74">
        <v>0.21</v>
      </c>
      <c r="T43" s="74">
        <v>0.2</v>
      </c>
      <c r="U43" s="75">
        <v>0.19</v>
      </c>
      <c r="V43" s="64">
        <v>0.76</v>
      </c>
      <c r="W43" s="74">
        <v>0.21</v>
      </c>
      <c r="X43" s="74">
        <v>0.15</v>
      </c>
      <c r="Y43" s="74">
        <v>0.13</v>
      </c>
      <c r="Z43" s="75">
        <f>AA43-Y43-X43-W43</f>
        <v>0.19000000000000003</v>
      </c>
      <c r="AA43" s="64">
        <v>0.68</v>
      </c>
      <c r="AB43" s="74">
        <v>0.18</v>
      </c>
      <c r="AC43" s="74">
        <v>0.17</v>
      </c>
      <c r="AD43" s="74">
        <v>0.16</v>
      </c>
      <c r="AE43" s="75">
        <v>0.13</v>
      </c>
      <c r="AF43" s="64">
        <v>0.65</v>
      </c>
      <c r="AG43" s="74">
        <v>0.17</v>
      </c>
      <c r="AH43" s="74">
        <v>0.28999999999999998</v>
      </c>
      <c r="AI43" s="74">
        <v>0.16</v>
      </c>
      <c r="AJ43" s="75">
        <f>AK43-AI43-AH43-AG43</f>
        <v>0.15</v>
      </c>
      <c r="AK43" s="64">
        <v>0.77</v>
      </c>
      <c r="AL43" s="74">
        <v>0.17</v>
      </c>
      <c r="AM43" s="74">
        <v>0.17</v>
      </c>
      <c r="AN43" s="74">
        <v>0.15</v>
      </c>
      <c r="AO43" s="75">
        <v>0.12999999999999992</v>
      </c>
      <c r="AP43" s="64">
        <v>0.62</v>
      </c>
      <c r="AQ43" s="74">
        <v>0.1</v>
      </c>
      <c r="AR43" s="74">
        <v>0.14000000000000001</v>
      </c>
      <c r="AS43" s="74">
        <v>0.14000000000000001</v>
      </c>
      <c r="AT43" s="75">
        <v>6.9999999999999979E-2</v>
      </c>
      <c r="AU43" s="64">
        <v>0.45</v>
      </c>
      <c r="AV43" s="74">
        <v>0.13</v>
      </c>
      <c r="AW43" s="74">
        <v>0.13</v>
      </c>
      <c r="AX43" s="74">
        <v>0.12</v>
      </c>
      <c r="AY43" s="75">
        <v>7.0000000000000007E-2</v>
      </c>
      <c r="AZ43" s="64">
        <v>0.45</v>
      </c>
    </row>
    <row r="44" spans="1:52" hidden="1">
      <c r="A44" s="69" t="s">
        <v>35</v>
      </c>
      <c r="B44" s="65">
        <v>2605</v>
      </c>
      <c r="C44" s="76">
        <v>2605</v>
      </c>
      <c r="D44" s="76">
        <v>2605</v>
      </c>
      <c r="E44" s="76">
        <v>2605</v>
      </c>
      <c r="F44" s="76">
        <v>2605</v>
      </c>
      <c r="G44" s="65">
        <v>2605</v>
      </c>
      <c r="H44" s="76">
        <v>2605.6669999999999</v>
      </c>
      <c r="I44" s="76">
        <v>2616.77</v>
      </c>
      <c r="J44" s="76">
        <v>2628</v>
      </c>
      <c r="K44" s="76">
        <v>2657</v>
      </c>
      <c r="L44" s="65">
        <v>2635.4960000000001</v>
      </c>
      <c r="M44" s="76">
        <v>2663.427674</v>
      </c>
      <c r="N44" s="76">
        <v>2675.2443619999999</v>
      </c>
      <c r="O44" s="76">
        <v>2676.893313</v>
      </c>
      <c r="P44" s="76">
        <v>2682</v>
      </c>
      <c r="Q44" s="65">
        <v>2675</v>
      </c>
      <c r="R44" s="76">
        <v>2688.2785669999998</v>
      </c>
      <c r="S44" s="76">
        <v>2699</v>
      </c>
      <c r="T44" s="76">
        <v>2706</v>
      </c>
      <c r="U44" s="76">
        <v>2711</v>
      </c>
      <c r="V44" s="65">
        <v>2713.6277439999999</v>
      </c>
      <c r="W44" s="76">
        <v>2715</v>
      </c>
      <c r="X44" s="76">
        <v>2718</v>
      </c>
      <c r="Y44" s="76">
        <v>2721</v>
      </c>
      <c r="Z44" s="76">
        <v>2725</v>
      </c>
      <c r="AA44" s="65">
        <v>2720</v>
      </c>
      <c r="AB44" s="76">
        <v>2725</v>
      </c>
      <c r="AC44" s="76">
        <v>2725</v>
      </c>
      <c r="AD44" s="76">
        <v>2726</v>
      </c>
      <c r="AE44" s="76">
        <v>2729</v>
      </c>
      <c r="AF44" s="65">
        <v>2726</v>
      </c>
      <c r="AG44" s="76">
        <v>2731</v>
      </c>
      <c r="AH44" s="76">
        <v>2734</v>
      </c>
      <c r="AI44" s="76">
        <v>2737</v>
      </c>
      <c r="AJ44" s="76">
        <v>2741</v>
      </c>
      <c r="AK44" s="65">
        <v>2736</v>
      </c>
      <c r="AL44" s="76">
        <v>2744</v>
      </c>
      <c r="AM44" s="76">
        <v>2746</v>
      </c>
      <c r="AN44" s="76">
        <v>2750</v>
      </c>
      <c r="AO44" s="76">
        <v>2758</v>
      </c>
      <c r="AP44" s="65">
        <v>2750</v>
      </c>
      <c r="AQ44" s="76">
        <v>2765</v>
      </c>
      <c r="AR44" s="76">
        <v>2765</v>
      </c>
      <c r="AS44" s="76">
        <v>2765</v>
      </c>
      <c r="AT44" s="76">
        <v>2765</v>
      </c>
      <c r="AU44" s="65">
        <v>2765</v>
      </c>
      <c r="AV44" s="76">
        <v>2765</v>
      </c>
      <c r="AW44" s="76">
        <v>2765</v>
      </c>
      <c r="AX44" s="76">
        <v>2765</v>
      </c>
      <c r="AY44" s="76">
        <v>2765</v>
      </c>
      <c r="AZ44" s="65"/>
    </row>
    <row r="45" spans="1:52">
      <c r="A45" s="69" t="s">
        <v>34</v>
      </c>
      <c r="B45" s="65">
        <v>2641</v>
      </c>
      <c r="C45" s="76">
        <v>2649</v>
      </c>
      <c r="D45" s="76">
        <v>2648</v>
      </c>
      <c r="E45" s="76">
        <v>2648</v>
      </c>
      <c r="F45" s="76">
        <v>2649</v>
      </c>
      <c r="G45" s="65">
        <v>2649</v>
      </c>
      <c r="H45" s="76">
        <v>2646.8939999999998</v>
      </c>
      <c r="I45" s="76">
        <v>2666.6060000000002</v>
      </c>
      <c r="J45" s="76">
        <v>2677</v>
      </c>
      <c r="K45" s="76">
        <v>2702</v>
      </c>
      <c r="L45" s="65">
        <v>2684.6320000000001</v>
      </c>
      <c r="M45" s="76">
        <v>2709.6464500000002</v>
      </c>
      <c r="N45" s="76">
        <v>2712.6721739999998</v>
      </c>
      <c r="O45" s="76">
        <v>2714.7899040000002</v>
      </c>
      <c r="P45" s="76">
        <v>2720</v>
      </c>
      <c r="Q45" s="65">
        <v>2717</v>
      </c>
      <c r="R45" s="76">
        <v>2722.1732790000001</v>
      </c>
      <c r="S45" s="76">
        <v>2724</v>
      </c>
      <c r="T45" s="76">
        <v>2724</v>
      </c>
      <c r="U45" s="76">
        <v>2725</v>
      </c>
      <c r="V45" s="65">
        <v>2725</v>
      </c>
      <c r="W45" s="76">
        <v>2727</v>
      </c>
      <c r="X45" s="76">
        <v>2724</v>
      </c>
      <c r="Y45" s="76">
        <v>2725</v>
      </c>
      <c r="Z45" s="76">
        <v>2726</v>
      </c>
      <c r="AA45" s="65">
        <v>2726</v>
      </c>
      <c r="AB45" s="76">
        <v>2726</v>
      </c>
      <c r="AC45" s="76">
        <v>2729</v>
      </c>
      <c r="AD45" s="76">
        <v>2743</v>
      </c>
      <c r="AE45" s="76">
        <v>2749</v>
      </c>
      <c r="AF45" s="65">
        <v>2741</v>
      </c>
      <c r="AG45" s="76">
        <v>2749</v>
      </c>
      <c r="AH45" s="76">
        <v>2752</v>
      </c>
      <c r="AI45" s="76">
        <v>2755</v>
      </c>
      <c r="AJ45" s="76">
        <v>2761</v>
      </c>
      <c r="AK45" s="65">
        <v>2755</v>
      </c>
      <c r="AL45" s="76">
        <v>2759</v>
      </c>
      <c r="AM45" s="76">
        <v>2759</v>
      </c>
      <c r="AN45" s="76">
        <v>2762</v>
      </c>
      <c r="AO45" s="76">
        <v>2764</v>
      </c>
      <c r="AP45" s="65">
        <v>2763</v>
      </c>
      <c r="AQ45" s="76">
        <v>2765</v>
      </c>
      <c r="AR45" s="76">
        <v>2765</v>
      </c>
      <c r="AS45" s="76">
        <v>2765</v>
      </c>
      <c r="AT45" s="76">
        <v>2765</v>
      </c>
      <c r="AU45" s="65">
        <v>2765</v>
      </c>
      <c r="AV45" s="76">
        <v>2765</v>
      </c>
      <c r="AW45" s="76">
        <v>2765</v>
      </c>
      <c r="AX45" s="76">
        <v>2765</v>
      </c>
      <c r="AY45" s="76">
        <v>2765</v>
      </c>
      <c r="AZ45" s="65">
        <v>2765</v>
      </c>
    </row>
    <row r="46" spans="1:52" ht="13.5" customHeight="1">
      <c r="A46" s="40" t="s">
        <v>143</v>
      </c>
      <c r="B46" s="40"/>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ht="13.5" customHeight="1">
      <c r="A47" s="69" t="s">
        <v>105</v>
      </c>
      <c r="B47" s="65">
        <v>5075</v>
      </c>
      <c r="C47" s="80" t="s">
        <v>53</v>
      </c>
      <c r="D47" s="80" t="s">
        <v>53</v>
      </c>
      <c r="E47" s="80" t="s">
        <v>53</v>
      </c>
      <c r="F47" s="80" t="s">
        <v>53</v>
      </c>
      <c r="G47" s="65">
        <v>4660</v>
      </c>
      <c r="H47" s="120" t="s">
        <v>45</v>
      </c>
      <c r="I47" s="120" t="s">
        <v>45</v>
      </c>
      <c r="J47" s="120" t="s">
        <v>45</v>
      </c>
      <c r="K47" s="120" t="s">
        <v>45</v>
      </c>
      <c r="L47" s="65">
        <f>L50+L53+L56+L59+L62+L65+L68+ L71</f>
        <v>4871</v>
      </c>
      <c r="M47" s="70">
        <v>1218</v>
      </c>
      <c r="N47" s="70">
        <v>1224</v>
      </c>
      <c r="O47" s="70">
        <v>1271</v>
      </c>
      <c r="P47" s="70">
        <f>Q47-O47-N47-M47</f>
        <v>1313</v>
      </c>
      <c r="Q47" s="65">
        <f>Q50+Q53+Q56+Q59+Q62+Q65+Q68+ Q71</f>
        <v>5026</v>
      </c>
      <c r="R47" s="70">
        <v>1218</v>
      </c>
      <c r="S47" s="70">
        <v>1224</v>
      </c>
      <c r="T47" s="70">
        <v>1271</v>
      </c>
      <c r="U47" s="70">
        <f>V47-T47-S47-R47</f>
        <v>781</v>
      </c>
      <c r="V47" s="65">
        <f>V50+V53+V56+V59+V62+V65+V68+ V71</f>
        <v>4494</v>
      </c>
      <c r="W47" s="70">
        <v>1218</v>
      </c>
      <c r="X47" s="70">
        <v>1224</v>
      </c>
      <c r="Y47" s="70">
        <v>1271</v>
      </c>
      <c r="Z47" s="70">
        <f>AA47-Y47-X47-W47</f>
        <v>240</v>
      </c>
      <c r="AA47" s="65">
        <f>AA50+AA53+AA56+AA59+AA62+AA65+AA68+ AA71</f>
        <v>3953</v>
      </c>
      <c r="AB47" s="70">
        <v>1218</v>
      </c>
      <c r="AC47" s="70">
        <v>1224</v>
      </c>
      <c r="AD47" s="70">
        <v>1271</v>
      </c>
      <c r="AE47" s="70">
        <f>AF47-AD47-AC47-AB47</f>
        <v>-137</v>
      </c>
      <c r="AF47" s="65">
        <f>AF50+AF53+AF56+AF59+AF62+AF65+AF68+ AF71</f>
        <v>3576</v>
      </c>
      <c r="AG47" s="70">
        <v>1218</v>
      </c>
      <c r="AH47" s="70">
        <v>1224</v>
      </c>
      <c r="AI47" s="70">
        <v>1271</v>
      </c>
      <c r="AJ47" s="70">
        <f>AK47-AI47-AH47-AG47</f>
        <v>-347</v>
      </c>
      <c r="AK47" s="65">
        <v>3366</v>
      </c>
      <c r="AL47" s="70">
        <v>799</v>
      </c>
      <c r="AM47" s="70">
        <v>1002</v>
      </c>
      <c r="AN47" s="70">
        <v>1000</v>
      </c>
      <c r="AO47" s="70">
        <v>1068</v>
      </c>
      <c r="AP47" s="65">
        <v>3869</v>
      </c>
      <c r="AQ47" s="70">
        <v>1018</v>
      </c>
      <c r="AR47" s="70">
        <v>972</v>
      </c>
      <c r="AS47" s="70">
        <v>994</v>
      </c>
      <c r="AT47" s="70">
        <v>1028</v>
      </c>
      <c r="AU47" s="65">
        <v>4012</v>
      </c>
      <c r="AV47" s="70">
        <v>959</v>
      </c>
      <c r="AW47" s="70">
        <v>973</v>
      </c>
      <c r="AX47" s="70">
        <v>956</v>
      </c>
      <c r="AY47" s="70">
        <v>1003</v>
      </c>
      <c r="AZ47" s="65">
        <v>3891</v>
      </c>
    </row>
    <row r="48" spans="1:52" ht="10.5" customHeight="1">
      <c r="A48" s="71" t="s">
        <v>7</v>
      </c>
      <c r="B48" s="24"/>
      <c r="C48" s="73"/>
      <c r="D48" s="73"/>
      <c r="E48" s="73"/>
      <c r="F48" s="73"/>
      <c r="G48" s="24"/>
      <c r="H48" s="73"/>
      <c r="I48" s="73"/>
      <c r="J48" s="73"/>
      <c r="K48" s="73"/>
      <c r="L48" s="24"/>
      <c r="M48" s="73"/>
      <c r="N48" s="72">
        <f>N47/M47-1</f>
        <v>4.9261083743843415E-3</v>
      </c>
      <c r="O48" s="72">
        <f>O47/N47-1</f>
        <v>3.8398692810457602E-2</v>
      </c>
      <c r="P48" s="72">
        <f>P47/O47-1</f>
        <v>3.3044846577497955E-2</v>
      </c>
      <c r="Q48" s="24"/>
      <c r="R48" s="72">
        <f>R47/P47-1</f>
        <v>-7.2353389185072392E-2</v>
      </c>
      <c r="S48" s="72">
        <f>S47/R47-1</f>
        <v>4.9261083743843415E-3</v>
      </c>
      <c r="T48" s="72">
        <f>T47/S47-1</f>
        <v>3.8398692810457602E-2</v>
      </c>
      <c r="U48" s="72">
        <f>U47/T47-1</f>
        <v>-0.38552321007081036</v>
      </c>
      <c r="V48" s="24"/>
      <c r="W48" s="72">
        <f>W47/U47-1</f>
        <v>0.55953905249679892</v>
      </c>
      <c r="X48" s="72">
        <f>X47/W47-1</f>
        <v>4.9261083743843415E-3</v>
      </c>
      <c r="Y48" s="72">
        <f>Y47/X47-1</f>
        <v>3.8398692810457602E-2</v>
      </c>
      <c r="Z48" s="72">
        <f>Z47/Y47-1</f>
        <v>-0.8111723052714398</v>
      </c>
      <c r="AA48" s="24"/>
      <c r="AB48" s="72">
        <f>AB47/Z47-1</f>
        <v>4.0750000000000002</v>
      </c>
      <c r="AC48" s="72">
        <f>AC47/AB47-1</f>
        <v>4.9261083743843415E-3</v>
      </c>
      <c r="AD48" s="72">
        <f>AD47/AC47-1</f>
        <v>3.8398692810457602E-2</v>
      </c>
      <c r="AE48" s="72">
        <f>AE47/AD47-1</f>
        <v>-1.1077891424075532</v>
      </c>
      <c r="AF48" s="24"/>
      <c r="AG48" s="72">
        <f>AG47/AE47-1</f>
        <v>-9.89051094890511</v>
      </c>
      <c r="AH48" s="72">
        <f>AH47/AG47-1</f>
        <v>4.9261083743843415E-3</v>
      </c>
      <c r="AI48" s="72">
        <f>AI47/AH47-1</f>
        <v>3.8398692810457602E-2</v>
      </c>
      <c r="AJ48" s="72">
        <f>AJ47/AI47-1</f>
        <v>-1.2730133752950432</v>
      </c>
      <c r="AK48" s="24"/>
      <c r="AL48" s="72">
        <v>-3.3025936599423633</v>
      </c>
      <c r="AM48" s="72">
        <v>0.25406758448060085</v>
      </c>
      <c r="AN48" s="72">
        <v>-1.9960079840319889E-3</v>
      </c>
      <c r="AO48" s="72">
        <v>6.800000000000006E-2</v>
      </c>
      <c r="AP48" s="24"/>
      <c r="AQ48" s="72">
        <v>-4.6816479400749067E-2</v>
      </c>
      <c r="AR48" s="72">
        <v>-4.5186640471512773E-2</v>
      </c>
      <c r="AS48" s="72">
        <v>2.2633744855967031E-2</v>
      </c>
      <c r="AT48" s="72">
        <v>3.4205231388329871E-2</v>
      </c>
      <c r="AU48" s="24"/>
      <c r="AV48" s="72">
        <v>-6.7120622568093369E-2</v>
      </c>
      <c r="AW48" s="72">
        <v>1.4598540145985384E-2</v>
      </c>
      <c r="AX48" s="72">
        <v>-1.7471736896197299E-2</v>
      </c>
      <c r="AY48" s="72">
        <v>4.9163179916317912E-2</v>
      </c>
      <c r="AZ48" s="24"/>
    </row>
    <row r="49" spans="1:52" ht="14.1" customHeight="1">
      <c r="A49" s="71" t="s">
        <v>8</v>
      </c>
      <c r="B49" s="24"/>
      <c r="C49" s="73"/>
      <c r="D49" s="73"/>
      <c r="E49" s="73"/>
      <c r="F49" s="73"/>
      <c r="G49" s="24">
        <f>G47/B47-1</f>
        <v>-8.1773399014778314E-2</v>
      </c>
      <c r="H49" s="73"/>
      <c r="I49" s="73"/>
      <c r="J49" s="73"/>
      <c r="K49" s="73"/>
      <c r="L49" s="24">
        <f>L47/G47-1</f>
        <v>4.5278969957081472E-2</v>
      </c>
      <c r="M49" s="73"/>
      <c r="N49" s="73"/>
      <c r="O49" s="73"/>
      <c r="P49" s="73"/>
      <c r="Q49" s="24">
        <f t="shared" ref="Q49:AA49" si="81">Q47/L47-1</f>
        <v>3.1820981318004593E-2</v>
      </c>
      <c r="R49" s="73">
        <f t="shared" si="81"/>
        <v>0</v>
      </c>
      <c r="S49" s="73">
        <f t="shared" si="81"/>
        <v>0</v>
      </c>
      <c r="T49" s="73">
        <f t="shared" si="81"/>
        <v>0</v>
      </c>
      <c r="U49" s="73">
        <f t="shared" si="81"/>
        <v>-0.40517897943640513</v>
      </c>
      <c r="V49" s="24">
        <f t="shared" si="81"/>
        <v>-0.10584958217270191</v>
      </c>
      <c r="W49" s="73">
        <f t="shared" si="81"/>
        <v>0</v>
      </c>
      <c r="X49" s="73">
        <f t="shared" si="81"/>
        <v>0</v>
      </c>
      <c r="Y49" s="73">
        <f t="shared" si="81"/>
        <v>0</v>
      </c>
      <c r="Z49" s="73">
        <f t="shared" si="81"/>
        <v>-0.69270166453265047</v>
      </c>
      <c r="AA49" s="24">
        <f t="shared" si="81"/>
        <v>-0.12038273253226528</v>
      </c>
      <c r="AB49" s="73">
        <f>AB47/R47-1</f>
        <v>0</v>
      </c>
      <c r="AC49" s="73">
        <f t="shared" ref="AC49:AI49" si="82">AC47/X47-1</f>
        <v>0</v>
      </c>
      <c r="AD49" s="73">
        <f t="shared" si="82"/>
        <v>0</v>
      </c>
      <c r="AE49" s="73">
        <f t="shared" si="82"/>
        <v>-1.5708333333333333</v>
      </c>
      <c r="AF49" s="24">
        <f t="shared" si="82"/>
        <v>-9.5370604604098186E-2</v>
      </c>
      <c r="AG49" s="73">
        <f t="shared" si="82"/>
        <v>0</v>
      </c>
      <c r="AH49" s="73">
        <f t="shared" si="82"/>
        <v>0</v>
      </c>
      <c r="AI49" s="73">
        <f t="shared" si="82"/>
        <v>0</v>
      </c>
      <c r="AJ49" s="73">
        <f t="shared" ref="AJ49:AS49" si="83">AJ47/AE47-1</f>
        <v>1.5328467153284673</v>
      </c>
      <c r="AK49" s="24">
        <v>-5.8724832214765099E-2</v>
      </c>
      <c r="AL49" s="73">
        <v>-0.34400656814449915</v>
      </c>
      <c r="AM49" s="73">
        <v>-0.18137254901960786</v>
      </c>
      <c r="AN49" s="73">
        <v>-0.21321793863099925</v>
      </c>
      <c r="AO49" s="73">
        <v>-4.0778097982708932</v>
      </c>
      <c r="AP49" s="24">
        <v>0.14943553178847302</v>
      </c>
      <c r="AQ49" s="73">
        <v>0.27409261576971211</v>
      </c>
      <c r="AR49" s="73">
        <v>-2.9940119760479056E-2</v>
      </c>
      <c r="AS49" s="73">
        <v>-6.0000000000000053E-3</v>
      </c>
      <c r="AT49" s="73">
        <v>-3.7453183520599231E-2</v>
      </c>
      <c r="AU49" s="24">
        <v>3.6960454897906336E-2</v>
      </c>
      <c r="AV49" s="73">
        <v>-5.7956777996070685E-2</v>
      </c>
      <c r="AW49" s="73">
        <v>1.0288065843622185E-3</v>
      </c>
      <c r="AX49" s="73">
        <v>-3.82293762575453E-2</v>
      </c>
      <c r="AY49" s="73">
        <v>-2.4319066147859947E-2</v>
      </c>
      <c r="AZ49" s="24">
        <v>-3.0159521435692893E-2</v>
      </c>
    </row>
    <row r="50" spans="1:52" ht="13.5" customHeight="1">
      <c r="A50" s="69" t="s">
        <v>94</v>
      </c>
      <c r="B50" s="123" t="s">
        <v>45</v>
      </c>
      <c r="C50" s="80" t="s">
        <v>53</v>
      </c>
      <c r="D50" s="80" t="s">
        <v>53</v>
      </c>
      <c r="E50" s="80" t="s">
        <v>53</v>
      </c>
      <c r="F50" s="80" t="s">
        <v>53</v>
      </c>
      <c r="G50" s="123" t="s">
        <v>45</v>
      </c>
      <c r="H50" s="80" t="s">
        <v>53</v>
      </c>
      <c r="I50" s="80" t="s">
        <v>53</v>
      </c>
      <c r="J50" s="80" t="s">
        <v>53</v>
      </c>
      <c r="K50" s="80" t="s">
        <v>53</v>
      </c>
      <c r="L50" s="65">
        <v>1163</v>
      </c>
      <c r="M50" s="80" t="s">
        <v>53</v>
      </c>
      <c r="N50" s="80" t="s">
        <v>53</v>
      </c>
      <c r="O50" s="80" t="s">
        <v>53</v>
      </c>
      <c r="P50" s="80" t="s">
        <v>53</v>
      </c>
      <c r="Q50" s="65">
        <v>1225</v>
      </c>
      <c r="R50" s="70">
        <v>430</v>
      </c>
      <c r="S50" s="70">
        <v>443</v>
      </c>
      <c r="T50" s="70">
        <v>454</v>
      </c>
      <c r="U50" s="70">
        <f>V50-T50-S50-R50</f>
        <v>366</v>
      </c>
      <c r="V50" s="65">
        <v>1693</v>
      </c>
      <c r="W50" s="70">
        <v>379</v>
      </c>
      <c r="X50" s="70">
        <v>293</v>
      </c>
      <c r="Y50" s="70">
        <v>285</v>
      </c>
      <c r="Z50" s="70">
        <f>AA50-Y50-X50-W50</f>
        <v>306</v>
      </c>
      <c r="AA50" s="65">
        <v>1263</v>
      </c>
      <c r="AB50" s="70">
        <v>258</v>
      </c>
      <c r="AC50" s="70">
        <v>247</v>
      </c>
      <c r="AD50" s="70">
        <v>264</v>
      </c>
      <c r="AE50" s="70">
        <f>AF50-AD50-AC50-AB50</f>
        <v>302</v>
      </c>
      <c r="AF50" s="65">
        <v>1071</v>
      </c>
      <c r="AG50" s="70">
        <v>262</v>
      </c>
      <c r="AH50" s="70">
        <v>212</v>
      </c>
      <c r="AI50" s="70">
        <v>200</v>
      </c>
      <c r="AJ50" s="70">
        <f>AK50-AI50-AH50-AG50</f>
        <v>254</v>
      </c>
      <c r="AK50" s="65">
        <v>928</v>
      </c>
      <c r="AL50" s="70">
        <v>226</v>
      </c>
      <c r="AM50" s="70">
        <v>205</v>
      </c>
      <c r="AN50" s="70">
        <v>193</v>
      </c>
      <c r="AO50" s="70">
        <v>256</v>
      </c>
      <c r="AP50" s="65">
        <v>880</v>
      </c>
      <c r="AQ50" s="70">
        <v>216</v>
      </c>
      <c r="AR50" s="70">
        <v>201</v>
      </c>
      <c r="AS50" s="70">
        <v>177</v>
      </c>
      <c r="AT50" s="70">
        <v>237</v>
      </c>
      <c r="AU50" s="65">
        <v>831</v>
      </c>
      <c r="AV50" s="70">
        <v>202</v>
      </c>
      <c r="AW50" s="70">
        <v>230</v>
      </c>
      <c r="AX50" s="70">
        <v>181</v>
      </c>
      <c r="AY50" s="70">
        <v>242</v>
      </c>
      <c r="AZ50" s="65">
        <v>855</v>
      </c>
    </row>
    <row r="51" spans="1:52" ht="10.050000000000001" customHeight="1">
      <c r="A51" s="71" t="s">
        <v>7</v>
      </c>
      <c r="B51" s="24"/>
      <c r="C51" s="95"/>
      <c r="D51" s="95"/>
      <c r="E51" s="95"/>
      <c r="F51" s="95"/>
      <c r="G51" s="24"/>
      <c r="H51" s="95"/>
      <c r="I51" s="95"/>
      <c r="J51" s="95"/>
      <c r="K51" s="95"/>
      <c r="L51" s="24"/>
      <c r="M51" s="95"/>
      <c r="N51" s="95"/>
      <c r="O51" s="95"/>
      <c r="P51" s="95"/>
      <c r="Q51" s="24"/>
      <c r="R51" s="72"/>
      <c r="S51" s="72">
        <f>S50/R50-1</f>
        <v>3.0232558139534849E-2</v>
      </c>
      <c r="T51" s="72">
        <f>T50/S50-1</f>
        <v>2.483069977426644E-2</v>
      </c>
      <c r="U51" s="72">
        <f>U50/T50-1</f>
        <v>-0.19383259911894268</v>
      </c>
      <c r="V51" s="24"/>
      <c r="W51" s="72">
        <f>W50/U50-1</f>
        <v>3.5519125683060038E-2</v>
      </c>
      <c r="X51" s="72">
        <f>X50/W50-1</f>
        <v>-0.22691292875989444</v>
      </c>
      <c r="Y51" s="72">
        <f>Y50/X50-1</f>
        <v>-2.7303754266211566E-2</v>
      </c>
      <c r="Z51" s="72">
        <f>Z50/Y50-1</f>
        <v>7.3684210526315796E-2</v>
      </c>
      <c r="AA51" s="24"/>
      <c r="AB51" s="72">
        <f>AB50/Z50-1</f>
        <v>-0.15686274509803921</v>
      </c>
      <c r="AC51" s="72">
        <f>AC50/AB50-1</f>
        <v>-4.2635658914728647E-2</v>
      </c>
      <c r="AD51" s="72">
        <f>AD50/AC50-1</f>
        <v>6.8825910931174183E-2</v>
      </c>
      <c r="AE51" s="72">
        <f>AE50/AD50-1</f>
        <v>0.14393939393939403</v>
      </c>
      <c r="AF51" s="24"/>
      <c r="AG51" s="72">
        <f>AG50/AE50-1</f>
        <v>-0.13245033112582782</v>
      </c>
      <c r="AH51" s="72">
        <f>AH50/AG50-1</f>
        <v>-0.19083969465648853</v>
      </c>
      <c r="AI51" s="72">
        <f>AI50/AH50-1</f>
        <v>-5.6603773584905648E-2</v>
      </c>
      <c r="AJ51" s="72">
        <f>AJ50/AI50-1</f>
        <v>0.27</v>
      </c>
      <c r="AK51" s="24"/>
      <c r="AL51" s="72">
        <v>-0.11023622047244097</v>
      </c>
      <c r="AM51" s="72">
        <v>-9.2920353982300918E-2</v>
      </c>
      <c r="AN51" s="72">
        <v>-5.8536585365853711E-2</v>
      </c>
      <c r="AO51" s="72">
        <v>0.32642487046632129</v>
      </c>
      <c r="AP51" s="24"/>
      <c r="AQ51" s="72">
        <v>-0.15625</v>
      </c>
      <c r="AR51" s="72">
        <v>-6.944444444444442E-2</v>
      </c>
      <c r="AS51" s="72">
        <v>-0.11940298507462688</v>
      </c>
      <c r="AT51" s="72">
        <v>0.33898305084745761</v>
      </c>
      <c r="AU51" s="24"/>
      <c r="AV51" s="72">
        <v>-0.14767932489451474</v>
      </c>
      <c r="AW51" s="72">
        <v>0.13861386138613851</v>
      </c>
      <c r="AX51" s="72">
        <v>-0.21304347826086956</v>
      </c>
      <c r="AY51" s="72">
        <v>0.33701657458563528</v>
      </c>
      <c r="AZ51" s="24"/>
    </row>
    <row r="52" spans="1:52" ht="15.6" customHeight="1">
      <c r="A52" s="71" t="s">
        <v>8</v>
      </c>
      <c r="B52" s="24"/>
      <c r="C52" s="95"/>
      <c r="D52" s="95"/>
      <c r="E52" s="95"/>
      <c r="F52" s="95"/>
      <c r="G52" s="24"/>
      <c r="H52" s="95"/>
      <c r="I52" s="95"/>
      <c r="J52" s="95"/>
      <c r="K52" s="95"/>
      <c r="L52" s="24"/>
      <c r="M52" s="95"/>
      <c r="N52" s="95"/>
      <c r="O52" s="95"/>
      <c r="P52" s="95"/>
      <c r="Q52" s="24">
        <f>Q50/L50-1</f>
        <v>5.3310404127257183E-2</v>
      </c>
      <c r="R52" s="73"/>
      <c r="S52" s="73"/>
      <c r="T52" s="73"/>
      <c r="U52" s="73"/>
      <c r="V52" s="24">
        <f t="shared" ref="V52:AD52" si="84">V50/Q50-1</f>
        <v>0.38204081632653053</v>
      </c>
      <c r="W52" s="73">
        <f t="shared" si="84"/>
        <v>-0.11860465116279073</v>
      </c>
      <c r="X52" s="73">
        <f t="shared" si="84"/>
        <v>-0.33860045146726858</v>
      </c>
      <c r="Y52" s="73">
        <f t="shared" si="84"/>
        <v>-0.3722466960352423</v>
      </c>
      <c r="Z52" s="73">
        <f t="shared" si="84"/>
        <v>-0.16393442622950816</v>
      </c>
      <c r="AA52" s="24">
        <f t="shared" si="84"/>
        <v>-0.25398700531600704</v>
      </c>
      <c r="AB52" s="73">
        <f t="shared" si="84"/>
        <v>-0.31926121372031657</v>
      </c>
      <c r="AC52" s="73">
        <f t="shared" si="84"/>
        <v>-0.15699658703071673</v>
      </c>
      <c r="AD52" s="73">
        <f t="shared" si="84"/>
        <v>-7.3684210526315796E-2</v>
      </c>
      <c r="AE52" s="73">
        <f t="shared" ref="AE52:AN52" si="85">AE50/Z50-1</f>
        <v>-1.3071895424836555E-2</v>
      </c>
      <c r="AF52" s="24">
        <f t="shared" si="85"/>
        <v>-0.15201900237529686</v>
      </c>
      <c r="AG52" s="73">
        <f t="shared" si="85"/>
        <v>1.5503875968992276E-2</v>
      </c>
      <c r="AH52" s="73">
        <f t="shared" si="85"/>
        <v>-0.1417004048582996</v>
      </c>
      <c r="AI52" s="73">
        <f t="shared" si="85"/>
        <v>-0.24242424242424243</v>
      </c>
      <c r="AJ52" s="73">
        <f t="shared" si="85"/>
        <v>-0.15894039735099341</v>
      </c>
      <c r="AK52" s="24">
        <v>-0.13352007469654525</v>
      </c>
      <c r="AL52" s="73">
        <v>-0.13740458015267176</v>
      </c>
      <c r="AM52" s="73">
        <v>-3.301886792452835E-2</v>
      </c>
      <c r="AN52" s="73">
        <v>-3.5000000000000031E-2</v>
      </c>
      <c r="AO52" s="73">
        <v>7.8740157480314821E-3</v>
      </c>
      <c r="AP52" s="24">
        <v>-5.1724137931034475E-2</v>
      </c>
      <c r="AQ52" s="73">
        <v>-4.4247787610619427E-2</v>
      </c>
      <c r="AR52" s="73">
        <v>-1.9512195121951237E-2</v>
      </c>
      <c r="AS52" s="73">
        <v>-8.2901554404145039E-2</v>
      </c>
      <c r="AT52" s="73">
        <v>-7.421875E-2</v>
      </c>
      <c r="AU52" s="24">
        <v>-5.5681818181818166E-2</v>
      </c>
      <c r="AV52" s="73">
        <v>-6.481481481481477E-2</v>
      </c>
      <c r="AW52" s="73">
        <v>0.14427860696517403</v>
      </c>
      <c r="AX52" s="73">
        <v>2.2598870056497189E-2</v>
      </c>
      <c r="AY52" s="73">
        <v>2.1097046413502074E-2</v>
      </c>
      <c r="AZ52" s="24">
        <v>2.8880866425992746E-2</v>
      </c>
    </row>
    <row r="53" spans="1:52" ht="13.5" customHeight="1">
      <c r="A53" s="69" t="s">
        <v>93</v>
      </c>
      <c r="B53" s="123" t="s">
        <v>45</v>
      </c>
      <c r="C53" s="80" t="s">
        <v>53</v>
      </c>
      <c r="D53" s="80" t="s">
        <v>53</v>
      </c>
      <c r="E53" s="80" t="s">
        <v>53</v>
      </c>
      <c r="F53" s="80" t="s">
        <v>53</v>
      </c>
      <c r="G53" s="123" t="s">
        <v>45</v>
      </c>
      <c r="H53" s="80" t="s">
        <v>53</v>
      </c>
      <c r="I53" s="80" t="s">
        <v>53</v>
      </c>
      <c r="J53" s="80" t="s">
        <v>53</v>
      </c>
      <c r="K53" s="80" t="s">
        <v>53</v>
      </c>
      <c r="L53" s="65">
        <v>1762</v>
      </c>
      <c r="M53" s="80" t="s">
        <v>53</v>
      </c>
      <c r="N53" s="80" t="s">
        <v>53</v>
      </c>
      <c r="O53" s="80" t="s">
        <v>53</v>
      </c>
      <c r="P53" s="80" t="s">
        <v>53</v>
      </c>
      <c r="Q53" s="65">
        <v>1876</v>
      </c>
      <c r="R53" s="70">
        <v>222</v>
      </c>
      <c r="S53" s="70">
        <v>224</v>
      </c>
      <c r="T53" s="70">
        <v>242</v>
      </c>
      <c r="U53" s="70">
        <f>V53-T53-S53-R53</f>
        <v>222</v>
      </c>
      <c r="V53" s="65">
        <v>910</v>
      </c>
      <c r="W53" s="70">
        <v>224</v>
      </c>
      <c r="X53" s="70">
        <v>222</v>
      </c>
      <c r="Y53" s="70">
        <v>229</v>
      </c>
      <c r="Z53" s="70">
        <f>AA53-Y53-X53-W53</f>
        <v>225</v>
      </c>
      <c r="AA53" s="65">
        <v>900</v>
      </c>
      <c r="AB53" s="70">
        <v>224</v>
      </c>
      <c r="AC53" s="70">
        <v>228</v>
      </c>
      <c r="AD53" s="70">
        <v>232</v>
      </c>
      <c r="AE53" s="70">
        <f>AF53-AD53-AC53-AB53</f>
        <v>221</v>
      </c>
      <c r="AF53" s="65">
        <v>905</v>
      </c>
      <c r="AG53" s="70">
        <v>206</v>
      </c>
      <c r="AH53" s="70">
        <v>208</v>
      </c>
      <c r="AI53" s="70">
        <v>219</v>
      </c>
      <c r="AJ53" s="70">
        <f>AK53-AI53-AH53-AG53</f>
        <v>214</v>
      </c>
      <c r="AK53" s="65">
        <v>847</v>
      </c>
      <c r="AL53" s="70">
        <v>212</v>
      </c>
      <c r="AM53" s="70">
        <v>241</v>
      </c>
      <c r="AN53" s="70">
        <v>236</v>
      </c>
      <c r="AO53" s="70">
        <v>220</v>
      </c>
      <c r="AP53" s="65">
        <v>909</v>
      </c>
      <c r="AQ53" s="70">
        <v>212</v>
      </c>
      <c r="AR53" s="70">
        <v>211</v>
      </c>
      <c r="AS53" s="70">
        <v>211</v>
      </c>
      <c r="AT53" s="70">
        <v>191</v>
      </c>
      <c r="AU53" s="65">
        <v>825</v>
      </c>
      <c r="AV53" s="70">
        <v>196</v>
      </c>
      <c r="AW53" s="70">
        <v>206</v>
      </c>
      <c r="AX53" s="70">
        <v>201</v>
      </c>
      <c r="AY53" s="70">
        <v>202</v>
      </c>
      <c r="AZ53" s="65">
        <v>805</v>
      </c>
    </row>
    <row r="54" spans="1:52" ht="10.050000000000001" customHeight="1">
      <c r="A54" s="71" t="s">
        <v>7</v>
      </c>
      <c r="B54" s="24"/>
      <c r="C54" s="95"/>
      <c r="D54" s="95"/>
      <c r="E54" s="95"/>
      <c r="F54" s="95"/>
      <c r="G54" s="24"/>
      <c r="H54" s="95"/>
      <c r="I54" s="95"/>
      <c r="J54" s="95"/>
      <c r="K54" s="95"/>
      <c r="L54" s="24"/>
      <c r="M54" s="95"/>
      <c r="N54" s="95"/>
      <c r="O54" s="95"/>
      <c r="P54" s="95"/>
      <c r="Q54" s="24"/>
      <c r="R54" s="72"/>
      <c r="S54" s="72">
        <f>S53/R53-1</f>
        <v>9.009009009008917E-3</v>
      </c>
      <c r="T54" s="72">
        <f>T53/S53-1</f>
        <v>8.0357142857142794E-2</v>
      </c>
      <c r="U54" s="72">
        <f>U53/T53-1</f>
        <v>-8.2644628099173501E-2</v>
      </c>
      <c r="V54" s="24"/>
      <c r="W54" s="72">
        <f>W53/U53-1</f>
        <v>9.009009009008917E-3</v>
      </c>
      <c r="X54" s="72">
        <f>X53/W53-1</f>
        <v>-8.9285714285713969E-3</v>
      </c>
      <c r="Y54" s="72">
        <f>Y53/X53-1</f>
        <v>3.1531531531531432E-2</v>
      </c>
      <c r="Z54" s="72">
        <f>Z53/Y53-1</f>
        <v>-1.7467248908296984E-2</v>
      </c>
      <c r="AA54" s="24"/>
      <c r="AB54" s="72">
        <f>AB53/Z53-1</f>
        <v>-4.4444444444444731E-3</v>
      </c>
      <c r="AC54" s="72">
        <f>AC53/AB53-1</f>
        <v>1.7857142857142794E-2</v>
      </c>
      <c r="AD54" s="72">
        <f>AD53/AC53-1</f>
        <v>1.7543859649122862E-2</v>
      </c>
      <c r="AE54" s="72">
        <f>AE53/AD53-1</f>
        <v>-4.7413793103448287E-2</v>
      </c>
      <c r="AF54" s="24"/>
      <c r="AG54" s="72">
        <f>AG53/AE53-1</f>
        <v>-6.7873303167420795E-2</v>
      </c>
      <c r="AH54" s="72">
        <f>AH53/AG53-1</f>
        <v>9.7087378640776656E-3</v>
      </c>
      <c r="AI54" s="72">
        <f>AI53/AH53-1</f>
        <v>5.2884615384615419E-2</v>
      </c>
      <c r="AJ54" s="72">
        <f>AJ53/AI53-1</f>
        <v>-2.2831050228310557E-2</v>
      </c>
      <c r="AK54" s="24"/>
      <c r="AL54" s="72">
        <v>-9.3457943925233655E-3</v>
      </c>
      <c r="AM54" s="72">
        <v>0.1367924528301887</v>
      </c>
      <c r="AN54" s="72">
        <v>-2.0746887966805017E-2</v>
      </c>
      <c r="AO54" s="72">
        <v>-6.7796610169491567E-2</v>
      </c>
      <c r="AP54" s="24"/>
      <c r="AQ54" s="72">
        <v>-3.6363636363636376E-2</v>
      </c>
      <c r="AR54" s="72">
        <v>-4.7169811320755262E-3</v>
      </c>
      <c r="AS54" s="72">
        <v>0</v>
      </c>
      <c r="AT54" s="72">
        <v>-9.4786729857819885E-2</v>
      </c>
      <c r="AU54" s="24"/>
      <c r="AV54" s="72">
        <v>2.6178010471204161E-2</v>
      </c>
      <c r="AW54" s="72">
        <v>5.1020408163265252E-2</v>
      </c>
      <c r="AX54" s="72">
        <v>-2.4271844660194164E-2</v>
      </c>
      <c r="AY54" s="72">
        <v>4.9751243781095411E-3</v>
      </c>
      <c r="AZ54" s="24"/>
    </row>
    <row r="55" spans="1:52" ht="15.6" customHeight="1">
      <c r="A55" s="71" t="s">
        <v>8</v>
      </c>
      <c r="B55" s="24"/>
      <c r="C55" s="95"/>
      <c r="D55" s="95"/>
      <c r="E55" s="95"/>
      <c r="F55" s="95"/>
      <c r="G55" s="24"/>
      <c r="H55" s="95"/>
      <c r="I55" s="95"/>
      <c r="J55" s="95"/>
      <c r="K55" s="95"/>
      <c r="L55" s="24"/>
      <c r="M55" s="95"/>
      <c r="N55" s="95"/>
      <c r="O55" s="95"/>
      <c r="P55" s="95"/>
      <c r="Q55" s="24">
        <f>Q53/L53-1</f>
        <v>6.4699205448354169E-2</v>
      </c>
      <c r="R55" s="73"/>
      <c r="S55" s="73"/>
      <c r="T55" s="73"/>
      <c r="U55" s="73"/>
      <c r="V55" s="24">
        <f t="shared" ref="V55:AD55" si="86">V53/Q53-1</f>
        <v>-0.5149253731343284</v>
      </c>
      <c r="W55" s="73">
        <f t="shared" si="86"/>
        <v>9.009009009008917E-3</v>
      </c>
      <c r="X55" s="73">
        <f t="shared" si="86"/>
        <v>-8.9285714285713969E-3</v>
      </c>
      <c r="Y55" s="73">
        <f t="shared" si="86"/>
        <v>-5.3719008264462853E-2</v>
      </c>
      <c r="Z55" s="73">
        <f t="shared" si="86"/>
        <v>1.3513513513513598E-2</v>
      </c>
      <c r="AA55" s="24">
        <f t="shared" si="86"/>
        <v>-1.098901098901095E-2</v>
      </c>
      <c r="AB55" s="73">
        <f t="shared" si="86"/>
        <v>0</v>
      </c>
      <c r="AC55" s="73">
        <f t="shared" si="86"/>
        <v>2.7027027027026973E-2</v>
      </c>
      <c r="AD55" s="73">
        <f t="shared" si="86"/>
        <v>1.3100436681222627E-2</v>
      </c>
      <c r="AE55" s="73">
        <f t="shared" ref="AE55:AN55" si="87">AE53/Z53-1</f>
        <v>-1.7777777777777781E-2</v>
      </c>
      <c r="AF55" s="24">
        <f t="shared" si="87"/>
        <v>5.5555555555555358E-3</v>
      </c>
      <c r="AG55" s="73">
        <f t="shared" si="87"/>
        <v>-8.0357142857142905E-2</v>
      </c>
      <c r="AH55" s="73">
        <f t="shared" si="87"/>
        <v>-8.7719298245614086E-2</v>
      </c>
      <c r="AI55" s="73">
        <f t="shared" si="87"/>
        <v>-5.6034482758620663E-2</v>
      </c>
      <c r="AJ55" s="73">
        <f t="shared" si="87"/>
        <v>-3.1674208144796379E-2</v>
      </c>
      <c r="AK55" s="24">
        <v>-6.4088397790055263E-2</v>
      </c>
      <c r="AL55" s="73">
        <v>2.9126213592232997E-2</v>
      </c>
      <c r="AM55" s="73">
        <v>0.15865384615384626</v>
      </c>
      <c r="AN55" s="73">
        <v>7.7625570776255648E-2</v>
      </c>
      <c r="AO55" s="73">
        <v>2.8037383177569986E-2</v>
      </c>
      <c r="AP55" s="24">
        <v>7.3199527744982396E-2</v>
      </c>
      <c r="AQ55" s="73">
        <v>0</v>
      </c>
      <c r="AR55" s="73">
        <v>-0.12448132780082988</v>
      </c>
      <c r="AS55" s="73">
        <v>-0.10593220338983056</v>
      </c>
      <c r="AT55" s="73">
        <v>-0.13181818181818183</v>
      </c>
      <c r="AU55" s="24">
        <v>-9.2409240924092417E-2</v>
      </c>
      <c r="AV55" s="73">
        <v>-7.547169811320753E-2</v>
      </c>
      <c r="AW55" s="73">
        <v>-2.3696682464454999E-2</v>
      </c>
      <c r="AX55" s="73">
        <v>-4.7393364928909998E-2</v>
      </c>
      <c r="AY55" s="73">
        <v>5.7591623036649109E-2</v>
      </c>
      <c r="AZ55" s="24">
        <v>-2.4242424242424288E-2</v>
      </c>
    </row>
    <row r="56" spans="1:52" ht="13.5" customHeight="1">
      <c r="A56" s="69" t="s">
        <v>95</v>
      </c>
      <c r="B56" s="123" t="s">
        <v>45</v>
      </c>
      <c r="C56" s="80" t="s">
        <v>53</v>
      </c>
      <c r="D56" s="80" t="s">
        <v>53</v>
      </c>
      <c r="E56" s="80" t="s">
        <v>53</v>
      </c>
      <c r="F56" s="80" t="s">
        <v>53</v>
      </c>
      <c r="G56" s="123" t="s">
        <v>45</v>
      </c>
      <c r="H56" s="80" t="s">
        <v>53</v>
      </c>
      <c r="I56" s="80" t="s">
        <v>53</v>
      </c>
      <c r="J56" s="80" t="s">
        <v>53</v>
      </c>
      <c r="K56" s="80" t="s">
        <v>53</v>
      </c>
      <c r="L56" s="65">
        <v>647</v>
      </c>
      <c r="M56" s="80" t="s">
        <v>53</v>
      </c>
      <c r="N56" s="80" t="s">
        <v>53</v>
      </c>
      <c r="O56" s="80" t="s">
        <v>53</v>
      </c>
      <c r="P56" s="80" t="s">
        <v>53</v>
      </c>
      <c r="Q56" s="65">
        <v>640</v>
      </c>
      <c r="R56" s="70">
        <v>161</v>
      </c>
      <c r="S56" s="70">
        <v>159</v>
      </c>
      <c r="T56" s="70">
        <v>160</v>
      </c>
      <c r="U56" s="70">
        <f>V56-T56-S56-R56</f>
        <v>161</v>
      </c>
      <c r="V56" s="65">
        <v>641</v>
      </c>
      <c r="W56" s="70">
        <v>162</v>
      </c>
      <c r="X56" s="70">
        <v>158</v>
      </c>
      <c r="Y56" s="70">
        <v>169</v>
      </c>
      <c r="Z56" s="70">
        <f>AA56-Y56-X56-W56</f>
        <v>174</v>
      </c>
      <c r="AA56" s="65">
        <v>663</v>
      </c>
      <c r="AB56" s="70">
        <v>161</v>
      </c>
      <c r="AC56" s="70">
        <v>127</v>
      </c>
      <c r="AD56" s="70">
        <v>168</v>
      </c>
      <c r="AE56" s="70">
        <f>AF56-AD56-AC56-AB56</f>
        <v>151</v>
      </c>
      <c r="AF56" s="65">
        <v>607</v>
      </c>
      <c r="AG56" s="70">
        <v>156</v>
      </c>
      <c r="AH56" s="70">
        <v>156</v>
      </c>
      <c r="AI56" s="70">
        <v>163</v>
      </c>
      <c r="AJ56" s="70">
        <f>AK56-AI56-AH56-AG56</f>
        <v>164</v>
      </c>
      <c r="AK56" s="65">
        <v>639</v>
      </c>
      <c r="AL56" s="70">
        <v>150</v>
      </c>
      <c r="AM56" s="70">
        <v>156</v>
      </c>
      <c r="AN56" s="70">
        <v>161</v>
      </c>
      <c r="AO56" s="70">
        <v>149</v>
      </c>
      <c r="AP56" s="65">
        <v>616</v>
      </c>
      <c r="AQ56" s="70">
        <v>154</v>
      </c>
      <c r="AR56" s="70">
        <v>145</v>
      </c>
      <c r="AS56" s="70">
        <v>151</v>
      </c>
      <c r="AT56" s="70">
        <v>155</v>
      </c>
      <c r="AU56" s="65">
        <v>605</v>
      </c>
      <c r="AV56" s="70">
        <v>147</v>
      </c>
      <c r="AW56" s="70">
        <v>138</v>
      </c>
      <c r="AX56" s="70">
        <v>152</v>
      </c>
      <c r="AY56" s="70">
        <v>147</v>
      </c>
      <c r="AZ56" s="65">
        <v>584</v>
      </c>
    </row>
    <row r="57" spans="1:52" ht="10.5" customHeight="1">
      <c r="A57" s="71" t="s">
        <v>7</v>
      </c>
      <c r="B57" s="24"/>
      <c r="C57" s="95"/>
      <c r="D57" s="95"/>
      <c r="E57" s="95"/>
      <c r="F57" s="95"/>
      <c r="G57" s="24"/>
      <c r="H57" s="95"/>
      <c r="I57" s="95"/>
      <c r="J57" s="95"/>
      <c r="K57" s="95"/>
      <c r="L57" s="24"/>
      <c r="M57" s="95"/>
      <c r="N57" s="95"/>
      <c r="O57" s="95"/>
      <c r="P57" s="95"/>
      <c r="Q57" s="24"/>
      <c r="R57" s="72"/>
      <c r="S57" s="72">
        <f>S56/R56-1</f>
        <v>-1.2422360248447228E-2</v>
      </c>
      <c r="T57" s="72">
        <f>T56/S56-1</f>
        <v>6.2893081761006275E-3</v>
      </c>
      <c r="U57" s="72">
        <f>U56/T56-1</f>
        <v>6.2500000000000888E-3</v>
      </c>
      <c r="V57" s="24"/>
      <c r="W57" s="72">
        <f>W56/U56-1</f>
        <v>6.2111801242235032E-3</v>
      </c>
      <c r="X57" s="72">
        <f>X56/W56-1</f>
        <v>-2.4691358024691357E-2</v>
      </c>
      <c r="Y57" s="72">
        <f>Y56/X56-1</f>
        <v>6.9620253164556889E-2</v>
      </c>
      <c r="Z57" s="72">
        <f>Z56/Y56-1</f>
        <v>2.9585798816567976E-2</v>
      </c>
      <c r="AA57" s="24"/>
      <c r="AB57" s="72">
        <f>AB56/Z56-1</f>
        <v>-7.4712643678160884E-2</v>
      </c>
      <c r="AC57" s="72">
        <f>AC56/AB56-1</f>
        <v>-0.21118012422360244</v>
      </c>
      <c r="AD57" s="72">
        <f>AD56/AC56-1</f>
        <v>0.32283464566929143</v>
      </c>
      <c r="AE57" s="72">
        <f>AE56/AD56-1</f>
        <v>-0.10119047619047616</v>
      </c>
      <c r="AF57" s="24"/>
      <c r="AG57" s="72">
        <f>AG56/AE56-1</f>
        <v>3.3112582781456901E-2</v>
      </c>
      <c r="AH57" s="72">
        <f>AH56/AG56-1</f>
        <v>0</v>
      </c>
      <c r="AI57" s="72">
        <f>AI56/AH56-1</f>
        <v>4.4871794871794934E-2</v>
      </c>
      <c r="AJ57" s="72">
        <f>AJ56/AI56-1</f>
        <v>6.1349693251533388E-3</v>
      </c>
      <c r="AK57" s="24"/>
      <c r="AL57" s="72">
        <v>-8.536585365853655E-2</v>
      </c>
      <c r="AM57" s="72">
        <v>4.0000000000000036E-2</v>
      </c>
      <c r="AN57" s="72">
        <v>3.2051282051282159E-2</v>
      </c>
      <c r="AO57" s="72">
        <v>-7.4534161490683259E-2</v>
      </c>
      <c r="AP57" s="24"/>
      <c r="AQ57" s="72">
        <v>3.3557046979865834E-2</v>
      </c>
      <c r="AR57" s="72">
        <v>-5.8441558441558406E-2</v>
      </c>
      <c r="AS57" s="72">
        <v>4.1379310344827669E-2</v>
      </c>
      <c r="AT57" s="72">
        <v>2.6490066225165476E-2</v>
      </c>
      <c r="AU57" s="24"/>
      <c r="AV57" s="72">
        <v>-5.1612903225806472E-2</v>
      </c>
      <c r="AW57" s="72">
        <v>-6.1224489795918324E-2</v>
      </c>
      <c r="AX57" s="72">
        <v>0.10144927536231885</v>
      </c>
      <c r="AY57" s="72">
        <v>-3.289473684210531E-2</v>
      </c>
      <c r="AZ57" s="24"/>
    </row>
    <row r="58" spans="1:52" ht="11.55" customHeight="1">
      <c r="A58" s="71" t="s">
        <v>8</v>
      </c>
      <c r="B58" s="24"/>
      <c r="C58" s="95"/>
      <c r="D58" s="95"/>
      <c r="E58" s="95"/>
      <c r="F58" s="95"/>
      <c r="G58" s="24"/>
      <c r="H58" s="95"/>
      <c r="I58" s="95"/>
      <c r="J58" s="95"/>
      <c r="K58" s="95"/>
      <c r="L58" s="24"/>
      <c r="M58" s="95"/>
      <c r="N58" s="95"/>
      <c r="O58" s="95"/>
      <c r="P58" s="95"/>
      <c r="Q58" s="24">
        <f>Q56/L56-1</f>
        <v>-1.0819165378670781E-2</v>
      </c>
      <c r="R58" s="73"/>
      <c r="S58" s="73"/>
      <c r="T58" s="73"/>
      <c r="U58" s="73"/>
      <c r="V58" s="24">
        <f t="shared" ref="V58:AD58" si="88">V56/Q56-1</f>
        <v>1.5624999999999112E-3</v>
      </c>
      <c r="W58" s="73">
        <f t="shared" si="88"/>
        <v>6.2111801242235032E-3</v>
      </c>
      <c r="X58" s="73">
        <f t="shared" si="88"/>
        <v>-6.2893081761006275E-3</v>
      </c>
      <c r="Y58" s="73">
        <f t="shared" si="88"/>
        <v>5.6249999999999911E-2</v>
      </c>
      <c r="Z58" s="73">
        <f t="shared" si="88"/>
        <v>8.0745341614906874E-2</v>
      </c>
      <c r="AA58" s="24">
        <f t="shared" si="88"/>
        <v>3.4321372854914101E-2</v>
      </c>
      <c r="AB58" s="73">
        <f t="shared" si="88"/>
        <v>-6.1728395061728669E-3</v>
      </c>
      <c r="AC58" s="73">
        <f t="shared" si="88"/>
        <v>-0.19620253164556967</v>
      </c>
      <c r="AD58" s="73">
        <f t="shared" si="88"/>
        <v>-5.9171597633136397E-3</v>
      </c>
      <c r="AE58" s="73">
        <f t="shared" ref="AE58:AN58" si="89">AE56/Z56-1</f>
        <v>-0.13218390804597702</v>
      </c>
      <c r="AF58" s="24">
        <f t="shared" si="89"/>
        <v>-8.446455505279038E-2</v>
      </c>
      <c r="AG58" s="73">
        <f t="shared" si="89"/>
        <v>-3.105590062111796E-2</v>
      </c>
      <c r="AH58" s="73">
        <f t="shared" si="89"/>
        <v>0.22834645669291342</v>
      </c>
      <c r="AI58" s="73">
        <f t="shared" si="89"/>
        <v>-2.9761904761904767E-2</v>
      </c>
      <c r="AJ58" s="73">
        <f t="shared" si="89"/>
        <v>8.6092715231788075E-2</v>
      </c>
      <c r="AK58" s="24">
        <v>5.2718286655683677E-2</v>
      </c>
      <c r="AL58" s="73">
        <v>-3.8461538461538436E-2</v>
      </c>
      <c r="AM58" s="73">
        <v>0</v>
      </c>
      <c r="AN58" s="73">
        <v>-1.2269938650306789E-2</v>
      </c>
      <c r="AO58" s="73">
        <v>-9.1463414634146312E-2</v>
      </c>
      <c r="AP58" s="24">
        <v>-3.5993740219092296E-2</v>
      </c>
      <c r="AQ58" s="73">
        <v>2.6666666666666616E-2</v>
      </c>
      <c r="AR58" s="73">
        <v>-7.0512820512820484E-2</v>
      </c>
      <c r="AS58" s="73">
        <v>-6.2111801242236031E-2</v>
      </c>
      <c r="AT58" s="73">
        <v>4.0268456375838868E-2</v>
      </c>
      <c r="AU58" s="24">
        <v>-1.7857142857142905E-2</v>
      </c>
      <c r="AV58" s="73">
        <v>-4.5454545454545414E-2</v>
      </c>
      <c r="AW58" s="73">
        <v>-4.8275862068965503E-2</v>
      </c>
      <c r="AX58" s="73">
        <v>6.6225165562914245E-3</v>
      </c>
      <c r="AY58" s="73">
        <v>-5.1612903225806472E-2</v>
      </c>
      <c r="AZ58" s="24">
        <v>-3.4710743801652844E-2</v>
      </c>
    </row>
    <row r="59" spans="1:52" ht="13.5" customHeight="1">
      <c r="A59" s="69" t="s">
        <v>107</v>
      </c>
      <c r="B59" s="123" t="s">
        <v>45</v>
      </c>
      <c r="C59" s="80" t="s">
        <v>53</v>
      </c>
      <c r="D59" s="80" t="s">
        <v>53</v>
      </c>
      <c r="E59" s="80" t="s">
        <v>53</v>
      </c>
      <c r="F59" s="80" t="s">
        <v>53</v>
      </c>
      <c r="G59" s="123" t="s">
        <v>45</v>
      </c>
      <c r="H59" s="80" t="s">
        <v>53</v>
      </c>
      <c r="I59" s="80" t="s">
        <v>53</v>
      </c>
      <c r="J59" s="80" t="s">
        <v>53</v>
      </c>
      <c r="K59" s="80" t="s">
        <v>53</v>
      </c>
      <c r="L59" s="65">
        <v>626</v>
      </c>
      <c r="M59" s="80" t="s">
        <v>53</v>
      </c>
      <c r="N59" s="80" t="s">
        <v>53</v>
      </c>
      <c r="O59" s="80" t="s">
        <v>53</v>
      </c>
      <c r="P59" s="80" t="s">
        <v>53</v>
      </c>
      <c r="Q59" s="65">
        <v>622</v>
      </c>
      <c r="R59" s="70">
        <v>156</v>
      </c>
      <c r="S59" s="70">
        <v>158</v>
      </c>
      <c r="T59" s="70">
        <v>177</v>
      </c>
      <c r="U59" s="70">
        <f>V59-T59-S59-R59</f>
        <v>164</v>
      </c>
      <c r="V59" s="65">
        <v>655</v>
      </c>
      <c r="W59" s="70">
        <v>122</v>
      </c>
      <c r="X59" s="70">
        <v>152</v>
      </c>
      <c r="Y59" s="70">
        <v>156</v>
      </c>
      <c r="Z59" s="70">
        <f>AA59-Y59-X59-W59</f>
        <v>126</v>
      </c>
      <c r="AA59" s="65">
        <v>556</v>
      </c>
      <c r="AB59" s="70">
        <v>140</v>
      </c>
      <c r="AC59" s="70">
        <v>126</v>
      </c>
      <c r="AD59" s="70">
        <v>126</v>
      </c>
      <c r="AE59" s="70">
        <f>AF59-AD59-AC59-AB59</f>
        <v>171</v>
      </c>
      <c r="AF59" s="65">
        <v>563</v>
      </c>
      <c r="AG59" s="70">
        <v>153</v>
      </c>
      <c r="AH59" s="70">
        <v>153</v>
      </c>
      <c r="AI59" s="70">
        <v>152</v>
      </c>
      <c r="AJ59" s="70">
        <f>AK59-AI59-AH59-AG59</f>
        <v>145</v>
      </c>
      <c r="AK59" s="65">
        <v>603</v>
      </c>
      <c r="AL59" s="70">
        <v>129</v>
      </c>
      <c r="AM59" s="70">
        <v>160</v>
      </c>
      <c r="AN59" s="70">
        <v>164</v>
      </c>
      <c r="AO59" s="70">
        <v>187</v>
      </c>
      <c r="AP59" s="65">
        <v>640</v>
      </c>
      <c r="AQ59" s="70">
        <v>177</v>
      </c>
      <c r="AR59" s="70">
        <v>168</v>
      </c>
      <c r="AS59" s="70">
        <v>180</v>
      </c>
      <c r="AT59" s="70">
        <v>172</v>
      </c>
      <c r="AU59" s="65">
        <v>697</v>
      </c>
      <c r="AV59" s="70">
        <v>144</v>
      </c>
      <c r="AW59" s="70">
        <v>134</v>
      </c>
      <c r="AX59" s="70">
        <v>159</v>
      </c>
      <c r="AY59" s="70">
        <v>158</v>
      </c>
      <c r="AZ59" s="65">
        <v>595</v>
      </c>
    </row>
    <row r="60" spans="1:52" ht="11.55" customHeight="1">
      <c r="A60" s="71" t="s">
        <v>7</v>
      </c>
      <c r="B60" s="24"/>
      <c r="C60" s="95"/>
      <c r="D60" s="95"/>
      <c r="E60" s="95"/>
      <c r="F60" s="95"/>
      <c r="G60" s="24"/>
      <c r="H60" s="95"/>
      <c r="I60" s="95"/>
      <c r="J60" s="95"/>
      <c r="K60" s="95"/>
      <c r="L60" s="24"/>
      <c r="M60" s="95"/>
      <c r="N60" s="95"/>
      <c r="O60" s="95"/>
      <c r="P60" s="95"/>
      <c r="Q60" s="24"/>
      <c r="R60" s="72"/>
      <c r="S60" s="72">
        <f>S59/R59-1</f>
        <v>1.2820512820512775E-2</v>
      </c>
      <c r="T60" s="72">
        <f>T59/S59-1</f>
        <v>0.120253164556962</v>
      </c>
      <c r="U60" s="72">
        <f>U59/T59-1</f>
        <v>-7.3446327683615809E-2</v>
      </c>
      <c r="V60" s="24"/>
      <c r="W60" s="72">
        <f>W59/U59-1</f>
        <v>-0.25609756097560976</v>
      </c>
      <c r="X60" s="72">
        <f>X59/W59-1</f>
        <v>0.24590163934426235</v>
      </c>
      <c r="Y60" s="72">
        <f>Y59/X59-1</f>
        <v>2.6315789473684292E-2</v>
      </c>
      <c r="Z60" s="72">
        <f>Z59/Y59-1</f>
        <v>-0.19230769230769229</v>
      </c>
      <c r="AA60" s="24"/>
      <c r="AB60" s="72">
        <f>AB59/Z59-1</f>
        <v>0.11111111111111116</v>
      </c>
      <c r="AC60" s="72">
        <f>AC59/AB59-1</f>
        <v>-9.9999999999999978E-2</v>
      </c>
      <c r="AD60" s="72">
        <f>AD59/AC59-1</f>
        <v>0</v>
      </c>
      <c r="AE60" s="72">
        <f>AE59/AD59-1</f>
        <v>0.35714285714285721</v>
      </c>
      <c r="AF60" s="24"/>
      <c r="AG60" s="72">
        <f>AG59/AE59-1</f>
        <v>-0.10526315789473684</v>
      </c>
      <c r="AH60" s="72">
        <f>AH59/AG59-1</f>
        <v>0</v>
      </c>
      <c r="AI60" s="72">
        <f>AI59/AH59-1</f>
        <v>-6.5359477124182774E-3</v>
      </c>
      <c r="AJ60" s="72">
        <f>AJ59/AI59-1</f>
        <v>-4.6052631578947345E-2</v>
      </c>
      <c r="AK60" s="24"/>
      <c r="AL60" s="72">
        <v>-0.1103448275862069</v>
      </c>
      <c r="AM60" s="72">
        <v>0.24031007751937983</v>
      </c>
      <c r="AN60" s="72">
        <v>2.4999999999999911E-2</v>
      </c>
      <c r="AO60" s="72">
        <v>0.14024390243902429</v>
      </c>
      <c r="AP60" s="24"/>
      <c r="AQ60" s="72">
        <v>-5.3475935828876997E-2</v>
      </c>
      <c r="AR60" s="72">
        <v>-5.084745762711862E-2</v>
      </c>
      <c r="AS60" s="72">
        <v>7.1428571428571397E-2</v>
      </c>
      <c r="AT60" s="72">
        <v>-4.4444444444444398E-2</v>
      </c>
      <c r="AU60" s="24"/>
      <c r="AV60" s="72">
        <v>-0.16279069767441856</v>
      </c>
      <c r="AW60" s="72">
        <v>-6.944444444444442E-2</v>
      </c>
      <c r="AX60" s="72">
        <v>0.18656716417910446</v>
      </c>
      <c r="AY60" s="72">
        <v>-6.2893081761006275E-3</v>
      </c>
      <c r="AZ60" s="24"/>
    </row>
    <row r="61" spans="1:52" ht="14.55" customHeight="1">
      <c r="A61" s="71" t="s">
        <v>8</v>
      </c>
      <c r="B61" s="24"/>
      <c r="C61" s="95"/>
      <c r="D61" s="95"/>
      <c r="E61" s="95"/>
      <c r="F61" s="95"/>
      <c r="G61" s="24"/>
      <c r="H61" s="95"/>
      <c r="I61" s="95"/>
      <c r="J61" s="95"/>
      <c r="K61" s="95"/>
      <c r="L61" s="24"/>
      <c r="M61" s="95"/>
      <c r="N61" s="95"/>
      <c r="O61" s="95"/>
      <c r="P61" s="95"/>
      <c r="Q61" s="24">
        <f>Q59/L59-1</f>
        <v>-6.389776357827448E-3</v>
      </c>
      <c r="R61" s="73"/>
      <c r="S61" s="73"/>
      <c r="T61" s="73"/>
      <c r="U61" s="73"/>
      <c r="V61" s="24">
        <f t="shared" ref="V61:AD61" si="90">V59/Q59-1</f>
        <v>5.3054662379421247E-2</v>
      </c>
      <c r="W61" s="73">
        <f t="shared" si="90"/>
        <v>-0.21794871794871795</v>
      </c>
      <c r="X61" s="73">
        <f t="shared" si="90"/>
        <v>-3.7974683544303778E-2</v>
      </c>
      <c r="Y61" s="73">
        <f t="shared" si="90"/>
        <v>-0.11864406779661019</v>
      </c>
      <c r="Z61" s="73">
        <f t="shared" si="90"/>
        <v>-0.23170731707317072</v>
      </c>
      <c r="AA61" s="24">
        <f t="shared" si="90"/>
        <v>-0.15114503816793889</v>
      </c>
      <c r="AB61" s="73">
        <f t="shared" si="90"/>
        <v>0.14754098360655732</v>
      </c>
      <c r="AC61" s="73">
        <f t="shared" si="90"/>
        <v>-0.17105263157894735</v>
      </c>
      <c r="AD61" s="73">
        <f t="shared" si="90"/>
        <v>-0.19230769230769229</v>
      </c>
      <c r="AE61" s="73">
        <f t="shared" ref="AE61:AN61" si="91">AE59/Z59-1</f>
        <v>0.35714285714285721</v>
      </c>
      <c r="AF61" s="24">
        <f t="shared" si="91"/>
        <v>1.2589928057553879E-2</v>
      </c>
      <c r="AG61" s="73">
        <f t="shared" si="91"/>
        <v>9.2857142857142749E-2</v>
      </c>
      <c r="AH61" s="73">
        <f t="shared" si="91"/>
        <v>0.21428571428571419</v>
      </c>
      <c r="AI61" s="73">
        <f t="shared" si="91"/>
        <v>0.20634920634920628</v>
      </c>
      <c r="AJ61" s="73">
        <f t="shared" si="91"/>
        <v>-0.15204678362573099</v>
      </c>
      <c r="AK61" s="24">
        <v>7.104795737122549E-2</v>
      </c>
      <c r="AL61" s="73">
        <v>-0.15686274509803921</v>
      </c>
      <c r="AM61" s="73">
        <v>4.5751633986928164E-2</v>
      </c>
      <c r="AN61" s="73">
        <v>7.8947368421052655E-2</v>
      </c>
      <c r="AO61" s="73">
        <v>0.28965517241379302</v>
      </c>
      <c r="AP61" s="24">
        <v>6.1359867330016638E-2</v>
      </c>
      <c r="AQ61" s="73">
        <v>0.37209302325581395</v>
      </c>
      <c r="AR61" s="73">
        <v>5.0000000000000044E-2</v>
      </c>
      <c r="AS61" s="73">
        <v>9.7560975609756184E-2</v>
      </c>
      <c r="AT61" s="73">
        <v>-8.0213903743315496E-2</v>
      </c>
      <c r="AU61" s="24">
        <v>8.9062500000000044E-2</v>
      </c>
      <c r="AV61" s="73">
        <v>-0.18644067796610164</v>
      </c>
      <c r="AW61" s="73">
        <v>-0.20238095238095233</v>
      </c>
      <c r="AX61" s="73">
        <v>-0.1166666666666667</v>
      </c>
      <c r="AY61" s="73">
        <v>-8.1395348837209336E-2</v>
      </c>
      <c r="AZ61" s="24">
        <v>-0.14634146341463417</v>
      </c>
    </row>
    <row r="62" spans="1:52" ht="13.5" customHeight="1">
      <c r="A62" s="69" t="s">
        <v>96</v>
      </c>
      <c r="B62" s="123" t="s">
        <v>45</v>
      </c>
      <c r="C62" s="80" t="s">
        <v>53</v>
      </c>
      <c r="D62" s="80" t="s">
        <v>53</v>
      </c>
      <c r="E62" s="80" t="s">
        <v>53</v>
      </c>
      <c r="F62" s="80" t="s">
        <v>53</v>
      </c>
      <c r="G62" s="123" t="s">
        <v>45</v>
      </c>
      <c r="H62" s="80" t="s">
        <v>53</v>
      </c>
      <c r="I62" s="80" t="s">
        <v>53</v>
      </c>
      <c r="J62" s="80" t="s">
        <v>53</v>
      </c>
      <c r="K62" s="80" t="s">
        <v>53</v>
      </c>
      <c r="L62" s="65">
        <v>218</v>
      </c>
      <c r="M62" s="80" t="s">
        <v>53</v>
      </c>
      <c r="N62" s="80" t="s">
        <v>53</v>
      </c>
      <c r="O62" s="80" t="s">
        <v>53</v>
      </c>
      <c r="P62" s="80" t="s">
        <v>53</v>
      </c>
      <c r="Q62" s="65">
        <v>189</v>
      </c>
      <c r="R62" s="70">
        <v>46</v>
      </c>
      <c r="S62" s="70">
        <v>43</v>
      </c>
      <c r="T62" s="70">
        <v>42</v>
      </c>
      <c r="U62" s="70">
        <f>V62-T62-S62-R62</f>
        <v>39</v>
      </c>
      <c r="V62" s="65">
        <v>170</v>
      </c>
      <c r="W62" s="70">
        <v>43</v>
      </c>
      <c r="X62" s="70">
        <v>34</v>
      </c>
      <c r="Y62" s="70">
        <v>35</v>
      </c>
      <c r="Z62" s="70">
        <f>AA62-Y62-X62-W62</f>
        <v>46</v>
      </c>
      <c r="AA62" s="65">
        <v>158</v>
      </c>
      <c r="AB62" s="70">
        <v>38</v>
      </c>
      <c r="AC62" s="70">
        <v>36</v>
      </c>
      <c r="AD62" s="70">
        <v>33</v>
      </c>
      <c r="AE62" s="70">
        <f>AF62-AD62-AC62-AB62</f>
        <v>55</v>
      </c>
      <c r="AF62" s="65">
        <v>162</v>
      </c>
      <c r="AG62" s="70">
        <v>40</v>
      </c>
      <c r="AH62" s="70">
        <v>38</v>
      </c>
      <c r="AI62" s="70">
        <v>35</v>
      </c>
      <c r="AJ62" s="70">
        <f>AK62-AI62-AH62-AG62</f>
        <v>24</v>
      </c>
      <c r="AK62" s="65">
        <v>137</v>
      </c>
      <c r="AL62" s="70">
        <v>34</v>
      </c>
      <c r="AM62" s="70">
        <v>55</v>
      </c>
      <c r="AN62" s="70">
        <v>52</v>
      </c>
      <c r="AO62" s="70">
        <v>58</v>
      </c>
      <c r="AP62" s="65">
        <v>199</v>
      </c>
      <c r="AQ62" s="70">
        <v>63</v>
      </c>
      <c r="AR62" s="70">
        <v>61</v>
      </c>
      <c r="AS62" s="70">
        <v>68</v>
      </c>
      <c r="AT62" s="70">
        <v>69</v>
      </c>
      <c r="AU62" s="65">
        <v>261</v>
      </c>
      <c r="AV62" s="70">
        <v>67</v>
      </c>
      <c r="AW62" s="70">
        <v>64</v>
      </c>
      <c r="AX62" s="70">
        <v>67</v>
      </c>
      <c r="AY62" s="70">
        <v>62</v>
      </c>
      <c r="AZ62" s="65">
        <v>260</v>
      </c>
    </row>
    <row r="63" spans="1:52" ht="9" customHeight="1">
      <c r="A63" s="71" t="s">
        <v>7</v>
      </c>
      <c r="B63" s="24"/>
      <c r="C63" s="95"/>
      <c r="D63" s="95"/>
      <c r="E63" s="95"/>
      <c r="F63" s="95"/>
      <c r="G63" s="24"/>
      <c r="H63" s="95"/>
      <c r="I63" s="95"/>
      <c r="J63" s="95"/>
      <c r="K63" s="95"/>
      <c r="L63" s="24"/>
      <c r="M63" s="95"/>
      <c r="N63" s="95"/>
      <c r="O63" s="95"/>
      <c r="P63" s="95"/>
      <c r="Q63" s="24"/>
      <c r="R63" s="72"/>
      <c r="S63" s="72">
        <f>S62/R62-1</f>
        <v>-6.5217391304347783E-2</v>
      </c>
      <c r="T63" s="72">
        <f>T62/S62-1</f>
        <v>-2.3255813953488413E-2</v>
      </c>
      <c r="U63" s="72">
        <f>U62/T62-1</f>
        <v>-7.1428571428571397E-2</v>
      </c>
      <c r="V63" s="24"/>
      <c r="W63" s="72">
        <f>W62/U62-1</f>
        <v>0.10256410256410264</v>
      </c>
      <c r="X63" s="72">
        <f>X62/W62-1</f>
        <v>-0.20930232558139539</v>
      </c>
      <c r="Y63" s="72">
        <f>Y62/X62-1</f>
        <v>2.9411764705882248E-2</v>
      </c>
      <c r="Z63" s="72">
        <f>Z62/Y62-1</f>
        <v>0.31428571428571428</v>
      </c>
      <c r="AA63" s="24"/>
      <c r="AB63" s="72">
        <f>AB62/Z62-1</f>
        <v>-0.17391304347826086</v>
      </c>
      <c r="AC63" s="72">
        <f>AC62/AB62-1</f>
        <v>-5.2631578947368474E-2</v>
      </c>
      <c r="AD63" s="72">
        <f>AD62/AC62-1</f>
        <v>-8.333333333333337E-2</v>
      </c>
      <c r="AE63" s="72">
        <f>AE62/AD62-1</f>
        <v>0.66666666666666674</v>
      </c>
      <c r="AF63" s="24"/>
      <c r="AG63" s="72">
        <f>AG62/AE62-1</f>
        <v>-0.27272727272727271</v>
      </c>
      <c r="AH63" s="72">
        <f>AH62/AG62-1</f>
        <v>-5.0000000000000044E-2</v>
      </c>
      <c r="AI63" s="72">
        <f>AI62/AH62-1</f>
        <v>-7.8947368421052655E-2</v>
      </c>
      <c r="AJ63" s="72">
        <f>AJ62/AI62-1</f>
        <v>-0.31428571428571428</v>
      </c>
      <c r="AK63" s="24"/>
      <c r="AL63" s="72">
        <v>0.41666666666666674</v>
      </c>
      <c r="AM63" s="72">
        <v>0.61764705882352944</v>
      </c>
      <c r="AN63" s="72">
        <v>-5.4545454545454564E-2</v>
      </c>
      <c r="AO63" s="72">
        <v>0.11538461538461542</v>
      </c>
      <c r="AP63" s="24"/>
      <c r="AQ63" s="72">
        <v>8.6206896551724199E-2</v>
      </c>
      <c r="AR63" s="72">
        <v>-3.1746031746031744E-2</v>
      </c>
      <c r="AS63" s="72">
        <v>0.11475409836065564</v>
      </c>
      <c r="AT63" s="72">
        <v>1.4705882352941124E-2</v>
      </c>
      <c r="AU63" s="24"/>
      <c r="AV63" s="72">
        <v>-2.8985507246376829E-2</v>
      </c>
      <c r="AW63" s="72">
        <v>-4.4776119402985093E-2</v>
      </c>
      <c r="AX63" s="72">
        <v>4.6875E-2</v>
      </c>
      <c r="AY63" s="72">
        <v>-7.4626865671641784E-2</v>
      </c>
      <c r="AZ63" s="24"/>
    </row>
    <row r="64" spans="1:52" ht="13.05" customHeight="1">
      <c r="A64" s="71" t="s">
        <v>8</v>
      </c>
      <c r="B64" s="24"/>
      <c r="C64" s="95"/>
      <c r="D64" s="95"/>
      <c r="E64" s="95"/>
      <c r="F64" s="95"/>
      <c r="G64" s="24"/>
      <c r="H64" s="95"/>
      <c r="I64" s="95"/>
      <c r="J64" s="95"/>
      <c r="K64" s="95"/>
      <c r="L64" s="24"/>
      <c r="M64" s="95"/>
      <c r="N64" s="95"/>
      <c r="O64" s="95"/>
      <c r="P64" s="95"/>
      <c r="Q64" s="24">
        <f>Q62/L62-1</f>
        <v>-0.1330275229357798</v>
      </c>
      <c r="R64" s="73"/>
      <c r="S64" s="73"/>
      <c r="T64" s="73"/>
      <c r="U64" s="73"/>
      <c r="V64" s="24">
        <f t="shared" ref="V64:AD64" si="92">V62/Q62-1</f>
        <v>-0.10052910052910058</v>
      </c>
      <c r="W64" s="73">
        <f t="shared" si="92"/>
        <v>-6.5217391304347783E-2</v>
      </c>
      <c r="X64" s="73">
        <f t="shared" si="92"/>
        <v>-0.20930232558139539</v>
      </c>
      <c r="Y64" s="73">
        <f t="shared" si="92"/>
        <v>-0.16666666666666663</v>
      </c>
      <c r="Z64" s="73">
        <f t="shared" si="92"/>
        <v>0.17948717948717952</v>
      </c>
      <c r="AA64" s="24">
        <f t="shared" si="92"/>
        <v>-7.0588235294117618E-2</v>
      </c>
      <c r="AB64" s="73">
        <f t="shared" si="92"/>
        <v>-0.11627906976744184</v>
      </c>
      <c r="AC64" s="73">
        <f t="shared" si="92"/>
        <v>5.8823529411764719E-2</v>
      </c>
      <c r="AD64" s="73">
        <f t="shared" si="92"/>
        <v>-5.7142857142857162E-2</v>
      </c>
      <c r="AE64" s="73">
        <f t="shared" ref="AE64:AN64" si="93">AE62/Z62-1</f>
        <v>0.19565217391304346</v>
      </c>
      <c r="AF64" s="24">
        <f t="shared" si="93"/>
        <v>2.5316455696202445E-2</v>
      </c>
      <c r="AG64" s="73">
        <f t="shared" si="93"/>
        <v>5.2631578947368363E-2</v>
      </c>
      <c r="AH64" s="73">
        <f t="shared" si="93"/>
        <v>5.555555555555558E-2</v>
      </c>
      <c r="AI64" s="73">
        <f t="shared" si="93"/>
        <v>6.0606060606060552E-2</v>
      </c>
      <c r="AJ64" s="73">
        <f t="shared" si="93"/>
        <v>-0.56363636363636371</v>
      </c>
      <c r="AK64" s="24">
        <v>-0.15432098765432101</v>
      </c>
      <c r="AL64" s="73">
        <v>-0.15000000000000002</v>
      </c>
      <c r="AM64" s="73">
        <v>0.44736842105263164</v>
      </c>
      <c r="AN64" s="73">
        <v>0.48571428571428577</v>
      </c>
      <c r="AO64" s="73">
        <v>1.4166666666666665</v>
      </c>
      <c r="AP64" s="24">
        <v>0.45255474452554734</v>
      </c>
      <c r="AQ64" s="73">
        <v>0.85294117647058831</v>
      </c>
      <c r="AR64" s="73">
        <v>0.10909090909090913</v>
      </c>
      <c r="AS64" s="73">
        <v>0.30769230769230771</v>
      </c>
      <c r="AT64" s="73">
        <v>0.18965517241379315</v>
      </c>
      <c r="AU64" s="24">
        <v>0.31155778894472363</v>
      </c>
      <c r="AV64" s="73">
        <v>6.3492063492063489E-2</v>
      </c>
      <c r="AW64" s="73">
        <v>4.9180327868852514E-2</v>
      </c>
      <c r="AX64" s="73">
        <v>-1.4705882352941124E-2</v>
      </c>
      <c r="AY64" s="73">
        <v>-0.10144927536231885</v>
      </c>
      <c r="AZ64" s="24">
        <v>-3.8314176245211051E-3</v>
      </c>
    </row>
    <row r="65" spans="1:52" ht="12.6" customHeight="1">
      <c r="A65" s="69" t="s">
        <v>106</v>
      </c>
      <c r="B65" s="123" t="s">
        <v>45</v>
      </c>
      <c r="C65" s="80" t="s">
        <v>53</v>
      </c>
      <c r="D65" s="80" t="s">
        <v>53</v>
      </c>
      <c r="E65" s="80" t="s">
        <v>53</v>
      </c>
      <c r="F65" s="80" t="s">
        <v>53</v>
      </c>
      <c r="G65" s="123" t="s">
        <v>45</v>
      </c>
      <c r="H65" s="80" t="s">
        <v>53</v>
      </c>
      <c r="I65" s="80" t="s">
        <v>53</v>
      </c>
      <c r="J65" s="80" t="s">
        <v>53</v>
      </c>
      <c r="K65" s="80" t="s">
        <v>53</v>
      </c>
      <c r="L65" s="65">
        <v>177</v>
      </c>
      <c r="M65" s="80" t="s">
        <v>53</v>
      </c>
      <c r="N65" s="80" t="s">
        <v>53</v>
      </c>
      <c r="O65" s="80" t="s">
        <v>53</v>
      </c>
      <c r="P65" s="80" t="s">
        <v>53</v>
      </c>
      <c r="Q65" s="65">
        <v>188</v>
      </c>
      <c r="R65" s="70">
        <v>42</v>
      </c>
      <c r="S65" s="70">
        <v>33</v>
      </c>
      <c r="T65" s="70">
        <v>37</v>
      </c>
      <c r="U65" s="70">
        <f>V65-T65-S65-R65</f>
        <v>30</v>
      </c>
      <c r="V65" s="65">
        <v>142</v>
      </c>
      <c r="W65" s="70">
        <v>38</v>
      </c>
      <c r="X65" s="70">
        <v>39</v>
      </c>
      <c r="Y65" s="70">
        <v>44</v>
      </c>
      <c r="Z65" s="70">
        <f>AA65-Y65-X65-W65</f>
        <v>41</v>
      </c>
      <c r="AA65" s="65">
        <v>162</v>
      </c>
      <c r="AB65" s="70">
        <v>37</v>
      </c>
      <c r="AC65" s="70">
        <v>38</v>
      </c>
      <c r="AD65" s="70">
        <v>38</v>
      </c>
      <c r="AE65" s="70">
        <f>AF65-AD65-AC65-AB65</f>
        <v>39</v>
      </c>
      <c r="AF65" s="65">
        <v>152</v>
      </c>
      <c r="AG65" s="70">
        <v>37</v>
      </c>
      <c r="AH65" s="70">
        <v>40</v>
      </c>
      <c r="AI65" s="70">
        <v>38</v>
      </c>
      <c r="AJ65" s="70">
        <f>AK65-AI65-AH65-AG65</f>
        <v>39</v>
      </c>
      <c r="AK65" s="65">
        <v>154</v>
      </c>
      <c r="AL65" s="70">
        <v>35</v>
      </c>
      <c r="AM65" s="70">
        <v>41</v>
      </c>
      <c r="AN65" s="70">
        <v>47</v>
      </c>
      <c r="AO65" s="70">
        <v>44</v>
      </c>
      <c r="AP65" s="65">
        <v>167</v>
      </c>
      <c r="AQ65" s="70">
        <v>42</v>
      </c>
      <c r="AR65" s="70">
        <v>39</v>
      </c>
      <c r="AS65" s="70">
        <v>42</v>
      </c>
      <c r="AT65" s="70">
        <v>41</v>
      </c>
      <c r="AU65" s="65">
        <v>164</v>
      </c>
      <c r="AV65" s="70">
        <v>42</v>
      </c>
      <c r="AW65" s="70">
        <v>39</v>
      </c>
      <c r="AX65" s="70">
        <v>38</v>
      </c>
      <c r="AY65" s="70">
        <v>37</v>
      </c>
      <c r="AZ65" s="65">
        <v>156</v>
      </c>
    </row>
    <row r="66" spans="1:52" ht="10.5" customHeight="1">
      <c r="A66" s="71" t="s">
        <v>7</v>
      </c>
      <c r="B66" s="24"/>
      <c r="C66" s="95"/>
      <c r="D66" s="95"/>
      <c r="E66" s="95"/>
      <c r="F66" s="95"/>
      <c r="G66" s="24"/>
      <c r="H66" s="95"/>
      <c r="I66" s="95"/>
      <c r="J66" s="95"/>
      <c r="K66" s="95"/>
      <c r="L66" s="24"/>
      <c r="M66" s="95"/>
      <c r="N66" s="95"/>
      <c r="O66" s="95"/>
      <c r="P66" s="95"/>
      <c r="Q66" s="24"/>
      <c r="R66" s="72"/>
      <c r="S66" s="72">
        <f>S65/R65-1</f>
        <v>-0.2142857142857143</v>
      </c>
      <c r="T66" s="72">
        <f>T65/S65-1</f>
        <v>0.1212121212121211</v>
      </c>
      <c r="U66" s="72">
        <f>U65/T65-1</f>
        <v>-0.18918918918918914</v>
      </c>
      <c r="V66" s="24"/>
      <c r="W66" s="72">
        <f>W65/U65-1</f>
        <v>0.26666666666666661</v>
      </c>
      <c r="X66" s="72">
        <f>X65/W65-1</f>
        <v>2.6315789473684292E-2</v>
      </c>
      <c r="Y66" s="72">
        <f>Y65/X65-1</f>
        <v>0.12820512820512819</v>
      </c>
      <c r="Z66" s="72">
        <f>Z65/Y65-1</f>
        <v>-6.8181818181818232E-2</v>
      </c>
      <c r="AA66" s="24"/>
      <c r="AB66" s="72">
        <f>AB65/Z65-1</f>
        <v>-9.7560975609756073E-2</v>
      </c>
      <c r="AC66" s="72">
        <f>AC65/AB65-1</f>
        <v>2.7027027027026973E-2</v>
      </c>
      <c r="AD66" s="72">
        <f>AD65/AC65-1</f>
        <v>0</v>
      </c>
      <c r="AE66" s="72">
        <f>AE65/AD65-1</f>
        <v>2.6315789473684292E-2</v>
      </c>
      <c r="AF66" s="24"/>
      <c r="AG66" s="72">
        <f>AG65/AE65-1</f>
        <v>-5.1282051282051322E-2</v>
      </c>
      <c r="AH66" s="72">
        <f>AH65/AG65-1</f>
        <v>8.1081081081081141E-2</v>
      </c>
      <c r="AI66" s="72">
        <f>AI65/AH65-1</f>
        <v>-5.0000000000000044E-2</v>
      </c>
      <c r="AJ66" s="72">
        <f>AJ65/AI65-1</f>
        <v>2.6315789473684292E-2</v>
      </c>
      <c r="AK66" s="24"/>
      <c r="AL66" s="72">
        <v>-0.10256410256410253</v>
      </c>
      <c r="AM66" s="72">
        <v>0.17142857142857149</v>
      </c>
      <c r="AN66" s="72">
        <v>0.14634146341463405</v>
      </c>
      <c r="AO66" s="72">
        <v>-6.3829787234042534E-2</v>
      </c>
      <c r="AP66" s="24"/>
      <c r="AQ66" s="72">
        <v>-4.5454545454545414E-2</v>
      </c>
      <c r="AR66" s="72">
        <v>-7.1428571428571397E-2</v>
      </c>
      <c r="AS66" s="72">
        <v>7.6923076923076872E-2</v>
      </c>
      <c r="AT66" s="72">
        <v>-2.3809523809523836E-2</v>
      </c>
      <c r="AU66" s="24"/>
      <c r="AV66" s="72">
        <v>2.4390243902439046E-2</v>
      </c>
      <c r="AW66" s="72">
        <v>-7.1428571428571397E-2</v>
      </c>
      <c r="AX66" s="72">
        <v>-2.5641025641025661E-2</v>
      </c>
      <c r="AY66" s="72">
        <v>-2.6315789473684181E-2</v>
      </c>
      <c r="AZ66" s="24"/>
    </row>
    <row r="67" spans="1:52" ht="14.1" customHeight="1">
      <c r="A67" s="71" t="s">
        <v>8</v>
      </c>
      <c r="B67" s="24"/>
      <c r="C67" s="95"/>
      <c r="D67" s="95"/>
      <c r="E67" s="95"/>
      <c r="F67" s="95"/>
      <c r="G67" s="24"/>
      <c r="H67" s="95"/>
      <c r="I67" s="95"/>
      <c r="J67" s="95"/>
      <c r="K67" s="95"/>
      <c r="L67" s="24"/>
      <c r="M67" s="95"/>
      <c r="N67" s="95"/>
      <c r="O67" s="95"/>
      <c r="P67" s="95"/>
      <c r="Q67" s="24">
        <f>Q65/L65-1</f>
        <v>6.2146892655367214E-2</v>
      </c>
      <c r="R67" s="73"/>
      <c r="S67" s="73"/>
      <c r="T67" s="73"/>
      <c r="U67" s="73"/>
      <c r="V67" s="24">
        <f t="shared" ref="V67:AD67" si="94">V65/Q65-1</f>
        <v>-0.24468085106382975</v>
      </c>
      <c r="W67" s="73">
        <f t="shared" si="94"/>
        <v>-9.5238095238095233E-2</v>
      </c>
      <c r="X67" s="73">
        <f t="shared" si="94"/>
        <v>0.18181818181818188</v>
      </c>
      <c r="Y67" s="73">
        <f t="shared" si="94"/>
        <v>0.18918918918918926</v>
      </c>
      <c r="Z67" s="73">
        <f t="shared" si="94"/>
        <v>0.3666666666666667</v>
      </c>
      <c r="AA67" s="24">
        <f t="shared" si="94"/>
        <v>0.14084507042253525</v>
      </c>
      <c r="AB67" s="73">
        <f t="shared" si="94"/>
        <v>-2.6315789473684181E-2</v>
      </c>
      <c r="AC67" s="73">
        <f t="shared" si="94"/>
        <v>-2.5641025641025661E-2</v>
      </c>
      <c r="AD67" s="73">
        <f t="shared" si="94"/>
        <v>-0.13636363636363635</v>
      </c>
      <c r="AE67" s="73">
        <f t="shared" ref="AE67:AN67" si="95">AE65/Z65-1</f>
        <v>-4.8780487804878092E-2</v>
      </c>
      <c r="AF67" s="24">
        <f t="shared" si="95"/>
        <v>-6.1728395061728447E-2</v>
      </c>
      <c r="AG67" s="73">
        <f t="shared" si="95"/>
        <v>0</v>
      </c>
      <c r="AH67" s="73">
        <f t="shared" si="95"/>
        <v>5.2631578947368363E-2</v>
      </c>
      <c r="AI67" s="73">
        <f t="shared" si="95"/>
        <v>0</v>
      </c>
      <c r="AJ67" s="73">
        <f t="shared" si="95"/>
        <v>0</v>
      </c>
      <c r="AK67" s="24">
        <v>1.3157894736842035E-2</v>
      </c>
      <c r="AL67" s="73">
        <v>-5.4054054054054057E-2</v>
      </c>
      <c r="AM67" s="73">
        <v>2.4999999999999911E-2</v>
      </c>
      <c r="AN67" s="73">
        <v>0.23684210526315796</v>
      </c>
      <c r="AO67" s="73">
        <v>0.12820512820512819</v>
      </c>
      <c r="AP67" s="24">
        <v>8.4415584415584499E-2</v>
      </c>
      <c r="AQ67" s="73">
        <v>0.19999999999999996</v>
      </c>
      <c r="AR67" s="73">
        <v>-4.8780487804878092E-2</v>
      </c>
      <c r="AS67" s="73">
        <v>-0.1063829787234043</v>
      </c>
      <c r="AT67" s="73">
        <v>-6.8181818181818232E-2</v>
      </c>
      <c r="AU67" s="24">
        <v>-1.7964071856287456E-2</v>
      </c>
      <c r="AV67" s="73">
        <v>0</v>
      </c>
      <c r="AW67" s="73">
        <v>0</v>
      </c>
      <c r="AX67" s="73">
        <v>-9.5238095238095233E-2</v>
      </c>
      <c r="AY67" s="73">
        <v>-9.7560975609756073E-2</v>
      </c>
      <c r="AZ67" s="24">
        <v>-4.8780487804878092E-2</v>
      </c>
    </row>
    <row r="68" spans="1:52" ht="13.5" customHeight="1">
      <c r="A68" s="69" t="s">
        <v>222</v>
      </c>
      <c r="B68" s="123" t="s">
        <v>45</v>
      </c>
      <c r="C68" s="80" t="s">
        <v>53</v>
      </c>
      <c r="D68" s="80" t="s">
        <v>53</v>
      </c>
      <c r="E68" s="80" t="s">
        <v>53</v>
      </c>
      <c r="F68" s="80" t="s">
        <v>53</v>
      </c>
      <c r="G68" s="123" t="s">
        <v>45</v>
      </c>
      <c r="H68" s="80" t="s">
        <v>53</v>
      </c>
      <c r="I68" s="80" t="s">
        <v>53</v>
      </c>
      <c r="J68" s="80" t="s">
        <v>53</v>
      </c>
      <c r="K68" s="80" t="s">
        <v>53</v>
      </c>
      <c r="L68" s="65">
        <v>151</v>
      </c>
      <c r="M68" s="80" t="s">
        <v>53</v>
      </c>
      <c r="N68" s="80" t="s">
        <v>53</v>
      </c>
      <c r="O68" s="80" t="s">
        <v>53</v>
      </c>
      <c r="P68" s="80" t="s">
        <v>53</v>
      </c>
      <c r="Q68" s="65">
        <v>156</v>
      </c>
      <c r="R68" s="70">
        <v>33</v>
      </c>
      <c r="S68" s="70">
        <v>32</v>
      </c>
      <c r="T68" s="70">
        <v>30</v>
      </c>
      <c r="U68" s="70">
        <f>V68-T68-S68-R68</f>
        <v>28</v>
      </c>
      <c r="V68" s="65">
        <v>123</v>
      </c>
      <c r="W68" s="70">
        <v>24</v>
      </c>
      <c r="X68" s="70">
        <v>24</v>
      </c>
      <c r="Y68" s="70">
        <v>21</v>
      </c>
      <c r="Z68" s="70">
        <f>AA68-Y68-X68-W68</f>
        <v>34</v>
      </c>
      <c r="AA68" s="65">
        <v>103</v>
      </c>
      <c r="AB68" s="70">
        <v>17</v>
      </c>
      <c r="AC68" s="70">
        <v>17</v>
      </c>
      <c r="AD68" s="70">
        <v>16</v>
      </c>
      <c r="AE68" s="70">
        <f>AF68-AD68-AC68-AB68</f>
        <v>15</v>
      </c>
      <c r="AF68" s="65">
        <v>65</v>
      </c>
      <c r="AG68" s="70">
        <v>15</v>
      </c>
      <c r="AH68" s="70">
        <v>15</v>
      </c>
      <c r="AI68" s="70">
        <v>15</v>
      </c>
      <c r="AJ68" s="70">
        <f>AK68-AI68-AH68-AG68</f>
        <v>13</v>
      </c>
      <c r="AK68" s="65">
        <v>58</v>
      </c>
      <c r="AL68" s="70">
        <v>13</v>
      </c>
      <c r="AM68" s="70">
        <v>144</v>
      </c>
      <c r="AN68" s="70">
        <v>147</v>
      </c>
      <c r="AO68" s="70">
        <v>154</v>
      </c>
      <c r="AP68" s="65">
        <v>458</v>
      </c>
      <c r="AQ68" s="70">
        <v>154</v>
      </c>
      <c r="AR68" s="70">
        <v>147</v>
      </c>
      <c r="AS68" s="70">
        <v>165</v>
      </c>
      <c r="AT68" s="70">
        <v>163</v>
      </c>
      <c r="AU68" s="65">
        <v>629</v>
      </c>
      <c r="AV68" s="70">
        <v>161</v>
      </c>
      <c r="AW68" s="70">
        <v>162</v>
      </c>
      <c r="AX68" s="70">
        <v>158</v>
      </c>
      <c r="AY68" s="70">
        <v>155</v>
      </c>
      <c r="AZ68" s="65">
        <v>636</v>
      </c>
    </row>
    <row r="69" spans="1:52" ht="9.6" customHeight="1">
      <c r="A69" s="71" t="s">
        <v>7</v>
      </c>
      <c r="B69" s="24"/>
      <c r="C69" s="95"/>
      <c r="D69" s="95"/>
      <c r="E69" s="95"/>
      <c r="F69" s="95"/>
      <c r="G69" s="24"/>
      <c r="H69" s="95"/>
      <c r="I69" s="95"/>
      <c r="J69" s="95"/>
      <c r="K69" s="95"/>
      <c r="L69" s="24"/>
      <c r="M69" s="95"/>
      <c r="N69" s="95"/>
      <c r="O69" s="95"/>
      <c r="P69" s="95"/>
      <c r="Q69" s="24"/>
      <c r="R69" s="72"/>
      <c r="S69" s="72">
        <f>S68/R68-1</f>
        <v>-3.0303030303030276E-2</v>
      </c>
      <c r="T69" s="72">
        <f>T68/S68-1</f>
        <v>-6.25E-2</v>
      </c>
      <c r="U69" s="72">
        <f>U68/T68-1</f>
        <v>-6.6666666666666652E-2</v>
      </c>
      <c r="V69" s="24"/>
      <c r="W69" s="72">
        <f>W68/U68-1</f>
        <v>-0.1428571428571429</v>
      </c>
      <c r="X69" s="72">
        <f>X68/W68-1</f>
        <v>0</v>
      </c>
      <c r="Y69" s="72">
        <f>Y68/X68-1</f>
        <v>-0.125</v>
      </c>
      <c r="Z69" s="72">
        <f>Z68/Y68-1</f>
        <v>0.61904761904761907</v>
      </c>
      <c r="AA69" s="24"/>
      <c r="AB69" s="72">
        <f>AB68/Z68-1</f>
        <v>-0.5</v>
      </c>
      <c r="AC69" s="72">
        <f>AC68/AB68-1</f>
        <v>0</v>
      </c>
      <c r="AD69" s="72">
        <f>AD68/AC68-1</f>
        <v>-5.8823529411764719E-2</v>
      </c>
      <c r="AE69" s="72">
        <f>AE68/AD68-1</f>
        <v>-6.25E-2</v>
      </c>
      <c r="AF69" s="24"/>
      <c r="AG69" s="72">
        <f>AG68/AE68-1</f>
        <v>0</v>
      </c>
      <c r="AH69" s="72">
        <f>AH68/AG68-1</f>
        <v>0</v>
      </c>
      <c r="AI69" s="72">
        <f>AI68/AH68-1</f>
        <v>0</v>
      </c>
      <c r="AJ69" s="72">
        <f>AJ68/AI68-1</f>
        <v>-0.1333333333333333</v>
      </c>
      <c r="AK69" s="24"/>
      <c r="AL69" s="72">
        <v>0</v>
      </c>
      <c r="AM69" s="85" t="s">
        <v>44</v>
      </c>
      <c r="AN69" s="72">
        <v>2.0833333333333259E-2</v>
      </c>
      <c r="AO69" s="72">
        <v>4.7619047619047672E-2</v>
      </c>
      <c r="AP69" s="24"/>
      <c r="AQ69" s="72">
        <v>0</v>
      </c>
      <c r="AR69" s="72">
        <v>-4.5454545454545414E-2</v>
      </c>
      <c r="AS69" s="72">
        <v>0.12244897959183665</v>
      </c>
      <c r="AT69" s="72">
        <v>-1.2121212121212088E-2</v>
      </c>
      <c r="AU69" s="24"/>
      <c r="AV69" s="72">
        <v>-1.2269938650306789E-2</v>
      </c>
      <c r="AW69" s="72">
        <v>6.2111801242235032E-3</v>
      </c>
      <c r="AX69" s="72">
        <v>-2.4691358024691357E-2</v>
      </c>
      <c r="AY69" s="72">
        <v>-1.8987341772151889E-2</v>
      </c>
      <c r="AZ69" s="24"/>
    </row>
    <row r="70" spans="1:52" ht="13.05" customHeight="1">
      <c r="A70" s="71" t="s">
        <v>8</v>
      </c>
      <c r="B70" s="24"/>
      <c r="C70" s="95"/>
      <c r="D70" s="95"/>
      <c r="E70" s="95"/>
      <c r="F70" s="95"/>
      <c r="G70" s="24"/>
      <c r="H70" s="95"/>
      <c r="I70" s="95"/>
      <c r="J70" s="95"/>
      <c r="K70" s="95"/>
      <c r="L70" s="24"/>
      <c r="M70" s="95"/>
      <c r="N70" s="95"/>
      <c r="O70" s="95"/>
      <c r="P70" s="95"/>
      <c r="Q70" s="24">
        <f>Q68/L68-1</f>
        <v>3.3112582781456901E-2</v>
      </c>
      <c r="R70" s="73"/>
      <c r="S70" s="73"/>
      <c r="T70" s="73"/>
      <c r="U70" s="73"/>
      <c r="V70" s="24">
        <f t="shared" ref="V70:AL70" si="96">V68/Q68-1</f>
        <v>-0.21153846153846156</v>
      </c>
      <c r="W70" s="73">
        <f t="shared" si="96"/>
        <v>-0.27272727272727271</v>
      </c>
      <c r="X70" s="73">
        <f t="shared" si="96"/>
        <v>-0.25</v>
      </c>
      <c r="Y70" s="73">
        <f t="shared" si="96"/>
        <v>-0.30000000000000004</v>
      </c>
      <c r="Z70" s="73">
        <f t="shared" si="96"/>
        <v>0.21428571428571419</v>
      </c>
      <c r="AA70" s="24">
        <f t="shared" si="96"/>
        <v>-0.16260162601626016</v>
      </c>
      <c r="AB70" s="73">
        <f t="shared" si="96"/>
        <v>-0.29166666666666663</v>
      </c>
      <c r="AC70" s="73">
        <f t="shared" si="96"/>
        <v>-0.29166666666666663</v>
      </c>
      <c r="AD70" s="73">
        <f t="shared" si="96"/>
        <v>-0.23809523809523814</v>
      </c>
      <c r="AE70" s="73">
        <f t="shared" si="96"/>
        <v>-0.55882352941176472</v>
      </c>
      <c r="AF70" s="24">
        <f t="shared" si="96"/>
        <v>-0.3689320388349514</v>
      </c>
      <c r="AG70" s="73">
        <f t="shared" si="96"/>
        <v>-0.11764705882352944</v>
      </c>
      <c r="AH70" s="73">
        <f t="shared" si="96"/>
        <v>-0.11764705882352944</v>
      </c>
      <c r="AI70" s="73">
        <f t="shared" si="96"/>
        <v>-6.25E-2</v>
      </c>
      <c r="AJ70" s="73">
        <f t="shared" si="96"/>
        <v>-0.1333333333333333</v>
      </c>
      <c r="AK70" s="24">
        <v>-0.10769230769230764</v>
      </c>
      <c r="AL70" s="73">
        <v>-0.1333333333333333</v>
      </c>
      <c r="AM70" s="85" t="s">
        <v>44</v>
      </c>
      <c r="AN70" s="85" t="s">
        <v>44</v>
      </c>
      <c r="AO70" s="85" t="s">
        <v>44</v>
      </c>
      <c r="AP70" s="24">
        <v>6.8965517241379306</v>
      </c>
      <c r="AQ70" s="85" t="s">
        <v>44</v>
      </c>
      <c r="AR70" s="73">
        <v>2.0833333333333259E-2</v>
      </c>
      <c r="AS70" s="73">
        <v>0.12244897959183665</v>
      </c>
      <c r="AT70" s="85" t="s">
        <v>44</v>
      </c>
      <c r="AU70" s="24">
        <v>0.3733624454148472</v>
      </c>
      <c r="AV70" s="73">
        <v>4.5454545454545414E-2</v>
      </c>
      <c r="AW70" s="73">
        <v>0.1020408163265305</v>
      </c>
      <c r="AX70" s="73">
        <v>-4.2424242424242475E-2</v>
      </c>
      <c r="AY70" s="73">
        <v>-4.9079754601227044E-2</v>
      </c>
      <c r="AZ70" s="24">
        <v>1.11287758346581E-2</v>
      </c>
    </row>
    <row r="71" spans="1:52" ht="13.05" hidden="1" customHeight="1">
      <c r="A71" s="69" t="s">
        <v>151</v>
      </c>
      <c r="B71" s="123" t="s">
        <v>45</v>
      </c>
      <c r="C71" s="80" t="s">
        <v>53</v>
      </c>
      <c r="D71" s="80" t="s">
        <v>53</v>
      </c>
      <c r="E71" s="80" t="s">
        <v>53</v>
      </c>
      <c r="F71" s="80" t="s">
        <v>53</v>
      </c>
      <c r="G71" s="123" t="s">
        <v>45</v>
      </c>
      <c r="H71" s="80" t="s">
        <v>53</v>
      </c>
      <c r="I71" s="80" t="s">
        <v>53</v>
      </c>
      <c r="J71" s="80" t="s">
        <v>53</v>
      </c>
      <c r="K71" s="80" t="s">
        <v>53</v>
      </c>
      <c r="L71" s="65">
        <v>127</v>
      </c>
      <c r="M71" s="80" t="s">
        <v>53</v>
      </c>
      <c r="N71" s="80" t="s">
        <v>53</v>
      </c>
      <c r="O71" s="80" t="s">
        <v>53</v>
      </c>
      <c r="P71" s="80" t="s">
        <v>53</v>
      </c>
      <c r="Q71" s="65">
        <v>130</v>
      </c>
      <c r="R71" s="70">
        <v>41</v>
      </c>
      <c r="S71" s="70">
        <v>40</v>
      </c>
      <c r="T71" s="70">
        <v>40</v>
      </c>
      <c r="U71" s="70">
        <f>V71-T71-S71-R71</f>
        <v>39</v>
      </c>
      <c r="V71" s="65">
        <v>160</v>
      </c>
      <c r="W71" s="70">
        <v>52</v>
      </c>
      <c r="X71" s="70">
        <v>47</v>
      </c>
      <c r="Y71" s="70">
        <v>24</v>
      </c>
      <c r="Z71" s="70">
        <f>AA71-Y71-X71-W71</f>
        <v>25</v>
      </c>
      <c r="AA71" s="65">
        <v>148</v>
      </c>
      <c r="AB71" s="70">
        <v>14</v>
      </c>
      <c r="AC71" s="70">
        <v>12</v>
      </c>
      <c r="AD71" s="70">
        <v>13</v>
      </c>
      <c r="AE71" s="70">
        <f>AF71-AD71-AC71-AB71</f>
        <v>12</v>
      </c>
      <c r="AF71" s="65">
        <v>51</v>
      </c>
      <c r="AG71" s="70">
        <v>0</v>
      </c>
      <c r="AH71" s="70">
        <v>0</v>
      </c>
      <c r="AI71" s="70">
        <v>0</v>
      </c>
      <c r="AJ71" s="70">
        <v>0</v>
      </c>
      <c r="AK71" s="65">
        <v>0</v>
      </c>
      <c r="AL71" s="70">
        <v>0</v>
      </c>
      <c r="AM71" s="70"/>
      <c r="AN71" s="70"/>
      <c r="AO71" s="70">
        <v>0</v>
      </c>
      <c r="AP71" s="65">
        <v>0</v>
      </c>
      <c r="AQ71" s="70">
        <v>0</v>
      </c>
      <c r="AR71" s="70"/>
      <c r="AS71" s="70"/>
      <c r="AT71" s="70">
        <v>0</v>
      </c>
      <c r="AU71" s="65">
        <v>0</v>
      </c>
      <c r="AV71" s="70">
        <v>0</v>
      </c>
      <c r="AW71" s="70">
        <v>0</v>
      </c>
      <c r="AX71" s="70">
        <v>0</v>
      </c>
      <c r="AY71" s="70">
        <v>0</v>
      </c>
      <c r="AZ71" s="65">
        <v>0</v>
      </c>
    </row>
    <row r="72" spans="1:52" ht="13.05" hidden="1" customHeight="1">
      <c r="A72" s="71" t="s">
        <v>7</v>
      </c>
      <c r="B72" s="24"/>
      <c r="C72" s="95"/>
      <c r="D72" s="95"/>
      <c r="E72" s="95"/>
      <c r="F72" s="95"/>
      <c r="G72" s="24"/>
      <c r="H72" s="95"/>
      <c r="I72" s="95"/>
      <c r="J72" s="95"/>
      <c r="K72" s="95"/>
      <c r="L72" s="24"/>
      <c r="M72" s="95"/>
      <c r="N72" s="95"/>
      <c r="O72" s="95"/>
      <c r="P72" s="95"/>
      <c r="Q72" s="24"/>
      <c r="R72" s="72"/>
      <c r="S72" s="72">
        <f>S71/R71-1</f>
        <v>-2.4390243902439046E-2</v>
      </c>
      <c r="T72" s="72">
        <f>T71/S71-1</f>
        <v>0</v>
      </c>
      <c r="U72" s="72">
        <f>U71/T71-1</f>
        <v>-2.5000000000000022E-2</v>
      </c>
      <c r="V72" s="24"/>
      <c r="W72" s="72">
        <f>W71/U71-1</f>
        <v>0.33333333333333326</v>
      </c>
      <c r="X72" s="72">
        <f>X71/W71-1</f>
        <v>-9.6153846153846145E-2</v>
      </c>
      <c r="Y72" s="72">
        <f>Y71/X71-1</f>
        <v>-0.48936170212765961</v>
      </c>
      <c r="Z72" s="72">
        <f>Z71/Y71-1</f>
        <v>4.1666666666666741E-2</v>
      </c>
      <c r="AA72" s="24"/>
      <c r="AB72" s="72">
        <f>AB71/Z71-1</f>
        <v>-0.43999999999999995</v>
      </c>
      <c r="AC72" s="72">
        <f>AC71/AB71-1</f>
        <v>-0.1428571428571429</v>
      </c>
      <c r="AD72" s="72">
        <f>AD71/AC71-1</f>
        <v>8.3333333333333259E-2</v>
      </c>
      <c r="AE72" s="72">
        <f>AE71/AD71-1</f>
        <v>-7.6923076923076872E-2</v>
      </c>
      <c r="AF72" s="24"/>
      <c r="AG72" s="85" t="s">
        <v>45</v>
      </c>
      <c r="AH72" s="85" t="s">
        <v>45</v>
      </c>
      <c r="AI72" s="85" t="s">
        <v>45</v>
      </c>
      <c r="AJ72" s="85" t="s">
        <v>45</v>
      </c>
      <c r="AK72" s="24"/>
      <c r="AL72" s="85" t="s">
        <v>45</v>
      </c>
      <c r="AM72" s="85" t="s">
        <v>45</v>
      </c>
      <c r="AN72" s="85" t="s">
        <v>45</v>
      </c>
      <c r="AO72" s="85" t="s">
        <v>45</v>
      </c>
      <c r="AP72" s="24"/>
      <c r="AQ72" s="85" t="s">
        <v>45</v>
      </c>
      <c r="AR72" s="85" t="s">
        <v>45</v>
      </c>
      <c r="AS72" s="85" t="s">
        <v>45</v>
      </c>
      <c r="AT72" s="85" t="s">
        <v>45</v>
      </c>
      <c r="AU72" s="24"/>
      <c r="AV72" s="85" t="s">
        <v>45</v>
      </c>
      <c r="AW72" s="85" t="s">
        <v>45</v>
      </c>
      <c r="AX72" s="85" t="s">
        <v>45</v>
      </c>
      <c r="AY72" s="85" t="s">
        <v>45</v>
      </c>
      <c r="AZ72" s="24"/>
    </row>
    <row r="73" spans="1:52" ht="13.05" hidden="1" customHeight="1">
      <c r="A73" s="71" t="s">
        <v>8</v>
      </c>
      <c r="B73" s="24"/>
      <c r="C73" s="95"/>
      <c r="D73" s="95"/>
      <c r="E73" s="95"/>
      <c r="F73" s="95"/>
      <c r="G73" s="24"/>
      <c r="H73" s="95"/>
      <c r="I73" s="95"/>
      <c r="J73" s="95"/>
      <c r="K73" s="95"/>
      <c r="L73" s="24"/>
      <c r="M73" s="95"/>
      <c r="N73" s="95"/>
      <c r="O73" s="95"/>
      <c r="P73" s="95"/>
      <c r="Q73" s="24">
        <f>Q71/L71-1</f>
        <v>2.3622047244094446E-2</v>
      </c>
      <c r="R73" s="73"/>
      <c r="S73" s="73"/>
      <c r="T73" s="73"/>
      <c r="U73" s="73"/>
      <c r="V73" s="24">
        <f t="shared" ref="V73:AD73" si="97">V71/Q71-1</f>
        <v>0.23076923076923084</v>
      </c>
      <c r="W73" s="73">
        <f t="shared" si="97"/>
        <v>0.26829268292682928</v>
      </c>
      <c r="X73" s="73">
        <f t="shared" si="97"/>
        <v>0.17500000000000004</v>
      </c>
      <c r="Y73" s="73">
        <f t="shared" si="97"/>
        <v>-0.4</v>
      </c>
      <c r="Z73" s="73">
        <f t="shared" si="97"/>
        <v>-0.35897435897435892</v>
      </c>
      <c r="AA73" s="24">
        <f t="shared" si="97"/>
        <v>-7.4999999999999956E-2</v>
      </c>
      <c r="AB73" s="73">
        <f t="shared" si="97"/>
        <v>-0.73076923076923084</v>
      </c>
      <c r="AC73" s="73">
        <f t="shared" si="97"/>
        <v>-0.74468085106382986</v>
      </c>
      <c r="AD73" s="73">
        <f t="shared" si="97"/>
        <v>-0.45833333333333337</v>
      </c>
      <c r="AE73" s="73">
        <f>AE71/Z71-1</f>
        <v>-0.52</v>
      </c>
      <c r="AF73" s="24">
        <f>AF71/AA71-1</f>
        <v>-0.65540540540540548</v>
      </c>
      <c r="AG73" s="85" t="s">
        <v>45</v>
      </c>
      <c r="AH73" s="85" t="s">
        <v>45</v>
      </c>
      <c r="AI73" s="85" t="s">
        <v>45</v>
      </c>
      <c r="AJ73" s="85" t="s">
        <v>45</v>
      </c>
      <c r="AK73" s="92" t="s">
        <v>45</v>
      </c>
      <c r="AL73" s="85" t="s">
        <v>45</v>
      </c>
      <c r="AM73" s="85" t="s">
        <v>45</v>
      </c>
      <c r="AN73" s="85" t="s">
        <v>45</v>
      </c>
      <c r="AO73" s="85" t="s">
        <v>45</v>
      </c>
      <c r="AP73" s="92" t="s">
        <v>45</v>
      </c>
      <c r="AQ73" s="85" t="s">
        <v>45</v>
      </c>
      <c r="AR73" s="85" t="s">
        <v>45</v>
      </c>
      <c r="AS73" s="85" t="s">
        <v>45</v>
      </c>
      <c r="AT73" s="85" t="s">
        <v>45</v>
      </c>
      <c r="AU73" s="92" t="s">
        <v>45</v>
      </c>
      <c r="AV73" s="85" t="s">
        <v>45</v>
      </c>
      <c r="AW73" s="85" t="s">
        <v>45</v>
      </c>
      <c r="AX73" s="85" t="s">
        <v>45</v>
      </c>
      <c r="AY73" s="85" t="s">
        <v>45</v>
      </c>
      <c r="AZ73" s="92" t="s">
        <v>45</v>
      </c>
    </row>
    <row r="74" spans="1:52" ht="3.6" customHeight="1">
      <c r="A74" s="44"/>
      <c r="B74" s="44"/>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row>
    <row r="75" spans="1:52" ht="13.5" customHeight="1">
      <c r="A75" s="95" t="s">
        <v>161</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row>
    <row r="76" spans="1:52" ht="3.6" customHeight="1">
      <c r="A76" s="44"/>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row>
    <row r="77" spans="1:52" ht="18" customHeight="1">
      <c r="A77" s="35" t="s">
        <v>104</v>
      </c>
      <c r="B77" s="35"/>
      <c r="C77" s="27"/>
      <c r="D77" s="27"/>
      <c r="E77" s="27"/>
      <c r="F77" s="27"/>
      <c r="G77" s="27"/>
      <c r="H77" s="27"/>
      <c r="I77" s="27"/>
      <c r="J77" s="27"/>
      <c r="K77" s="27"/>
      <c r="L77" s="27"/>
      <c r="M77" s="27"/>
      <c r="N77" s="27"/>
      <c r="O77" s="27"/>
      <c r="P77" s="27"/>
      <c r="Q77" s="27"/>
      <c r="R77" s="27"/>
      <c r="S77" s="27"/>
      <c r="T77" s="27"/>
      <c r="U77" s="21"/>
      <c r="V77" s="21"/>
      <c r="W77" s="27"/>
      <c r="X77" s="27"/>
      <c r="Y77" s="27"/>
      <c r="Z77" s="21"/>
      <c r="AA77" s="21"/>
      <c r="AB77" s="21"/>
      <c r="AC77" s="27"/>
      <c r="AD77" s="27"/>
      <c r="AE77" s="21"/>
      <c r="AF77" s="21"/>
      <c r="AG77" s="21"/>
      <c r="AH77" s="27"/>
      <c r="AI77" s="27"/>
      <c r="AJ77" s="21"/>
      <c r="AK77" s="21"/>
      <c r="AL77" s="21"/>
      <c r="AM77" s="27"/>
      <c r="AN77" s="27"/>
      <c r="AO77" s="21"/>
      <c r="AP77" s="21"/>
      <c r="AQ77" s="21"/>
      <c r="AR77" s="27"/>
      <c r="AS77" s="27"/>
      <c r="AT77" s="21"/>
      <c r="AU77" s="21"/>
      <c r="AV77" s="21"/>
      <c r="AW77" s="21"/>
      <c r="AX77" s="21"/>
      <c r="AY77" s="21"/>
      <c r="AZ77" s="21"/>
    </row>
    <row r="78" spans="1:52" ht="6" customHeight="1">
      <c r="A78" s="61"/>
      <c r="B78" s="61"/>
      <c r="C78" s="62"/>
      <c r="D78" s="62"/>
      <c r="E78" s="62"/>
      <c r="F78" s="62"/>
      <c r="G78" s="62"/>
      <c r="H78" s="62"/>
      <c r="I78" s="62"/>
      <c r="J78" s="62"/>
      <c r="K78" s="62"/>
      <c r="L78" s="62"/>
      <c r="M78" s="62"/>
      <c r="N78" s="62"/>
      <c r="O78" s="62"/>
      <c r="P78" s="62"/>
      <c r="Q78" s="62"/>
      <c r="R78" s="62"/>
      <c r="S78" s="62"/>
      <c r="T78" s="62"/>
      <c r="U78" s="61"/>
      <c r="V78" s="61"/>
      <c r="W78" s="62"/>
      <c r="X78" s="62"/>
      <c r="Y78" s="62"/>
      <c r="Z78" s="61"/>
      <c r="AA78" s="61"/>
      <c r="AB78" s="61"/>
      <c r="AC78" s="62"/>
      <c r="AD78" s="62"/>
      <c r="AE78" s="61"/>
      <c r="AF78" s="61"/>
      <c r="AG78" s="61"/>
      <c r="AH78" s="62"/>
      <c r="AI78" s="62"/>
      <c r="AJ78" s="61"/>
      <c r="AK78" s="61"/>
      <c r="AL78" s="61"/>
      <c r="AM78" s="62"/>
      <c r="AN78" s="62"/>
      <c r="AO78" s="61"/>
      <c r="AP78" s="61"/>
      <c r="AQ78" s="61"/>
      <c r="AR78" s="62"/>
      <c r="AS78" s="62"/>
      <c r="AT78" s="61"/>
      <c r="AU78" s="61"/>
      <c r="AV78" s="61"/>
      <c r="AW78" s="61"/>
      <c r="AX78" s="61"/>
      <c r="AY78" s="61"/>
      <c r="AZ78" s="61"/>
    </row>
    <row r="79" spans="1:52" ht="13.5" customHeight="1">
      <c r="A79" s="40" t="s">
        <v>26</v>
      </c>
      <c r="B79" s="41"/>
      <c r="C79" s="49"/>
      <c r="D79" s="49"/>
      <c r="E79" s="49"/>
      <c r="F79" s="49"/>
      <c r="G79" s="41"/>
      <c r="H79" s="49"/>
      <c r="I79" s="49"/>
      <c r="J79" s="49"/>
      <c r="K79" s="49"/>
      <c r="L79" s="41"/>
      <c r="M79" s="49"/>
      <c r="N79" s="49"/>
      <c r="O79" s="49"/>
      <c r="P79" s="49"/>
      <c r="Q79" s="41"/>
      <c r="R79" s="49"/>
      <c r="S79" s="49"/>
      <c r="T79" s="49"/>
      <c r="U79" s="49"/>
      <c r="V79" s="41"/>
      <c r="W79" s="49"/>
      <c r="X79" s="49"/>
      <c r="Y79" s="49"/>
      <c r="Z79" s="49"/>
      <c r="AA79" s="41"/>
      <c r="AB79" s="49"/>
      <c r="AC79" s="49"/>
      <c r="AD79" s="49"/>
      <c r="AE79" s="49"/>
      <c r="AF79" s="41"/>
      <c r="AG79" s="49"/>
      <c r="AH79" s="49"/>
      <c r="AI79" s="49"/>
      <c r="AJ79" s="49"/>
      <c r="AK79" s="41"/>
      <c r="AL79" s="49"/>
      <c r="AM79" s="49"/>
      <c r="AN79" s="49"/>
      <c r="AO79" s="49"/>
      <c r="AP79" s="41"/>
      <c r="AQ79" s="49"/>
      <c r="AR79" s="49"/>
      <c r="AS79" s="49"/>
      <c r="AT79" s="49"/>
      <c r="AU79" s="41"/>
      <c r="AV79" s="49"/>
      <c r="AW79" s="49"/>
      <c r="AX79" s="49"/>
      <c r="AY79" s="49"/>
      <c r="AZ79" s="41"/>
    </row>
    <row r="80" spans="1:52" ht="13.5" customHeight="1">
      <c r="A80" s="69" t="s">
        <v>67</v>
      </c>
      <c r="B80" s="37">
        <f>2947-B453</f>
        <v>2697.125</v>
      </c>
      <c r="C80" s="70">
        <f>618-C453</f>
        <v>533.9</v>
      </c>
      <c r="D80" s="70">
        <f>759-D453</f>
        <v>726.63</v>
      </c>
      <c r="E80" s="70">
        <f>1212-E453</f>
        <v>1114.7670000000001</v>
      </c>
      <c r="F80" s="70">
        <f>G80-E80-D80-C80</f>
        <v>692.67600000000004</v>
      </c>
      <c r="G80" s="37">
        <f>3415-G453</f>
        <v>3067.973</v>
      </c>
      <c r="H80" s="70">
        <f>1225-H453</f>
        <v>1134.3150000000001</v>
      </c>
      <c r="I80" s="70">
        <f>808-I453</f>
        <v>714.62400000000002</v>
      </c>
      <c r="J80" s="70">
        <v>1021</v>
      </c>
      <c r="K80" s="70">
        <f>L80-J80-I80-H80</f>
        <v>785.06099999999992</v>
      </c>
      <c r="L80" s="37">
        <f>3915-260</f>
        <v>3655</v>
      </c>
      <c r="M80" s="70">
        <v>806</v>
      </c>
      <c r="N80" s="70">
        <v>976</v>
      </c>
      <c r="O80" s="70">
        <v>1166</v>
      </c>
      <c r="P80" s="70">
        <f>Q80-O80-N80-M80</f>
        <v>748</v>
      </c>
      <c r="Q80" s="37">
        <v>3696</v>
      </c>
      <c r="R80" s="70">
        <v>775</v>
      </c>
      <c r="S80" s="70">
        <v>670</v>
      </c>
      <c r="T80" s="70">
        <v>882</v>
      </c>
      <c r="U80" s="70">
        <f>V80-T80-S80-R80</f>
        <v>859</v>
      </c>
      <c r="V80" s="37">
        <v>3186</v>
      </c>
      <c r="W80" s="70">
        <v>998</v>
      </c>
      <c r="X80" s="70">
        <v>990</v>
      </c>
      <c r="Y80" s="70">
        <v>1024</v>
      </c>
      <c r="Z80" s="70">
        <f>AA80-Y80-X80-W80</f>
        <v>1002</v>
      </c>
      <c r="AA80" s="37">
        <v>4014</v>
      </c>
      <c r="AB80" s="70">
        <v>972</v>
      </c>
      <c r="AC80" s="70">
        <v>1102</v>
      </c>
      <c r="AD80" s="70">
        <v>1143</v>
      </c>
      <c r="AE80" s="70">
        <f>AF80-AD80-AC80-AB80</f>
        <v>935</v>
      </c>
      <c r="AF80" s="37">
        <v>4152</v>
      </c>
      <c r="AG80" s="70">
        <v>1043</v>
      </c>
      <c r="AH80" s="70">
        <v>1064</v>
      </c>
      <c r="AI80" s="70">
        <v>950</v>
      </c>
      <c r="AJ80" s="70">
        <f>AK80-AI80-AH80-AG80</f>
        <v>739</v>
      </c>
      <c r="AK80" s="37">
        <v>3796</v>
      </c>
      <c r="AL80" s="70">
        <v>961</v>
      </c>
      <c r="AM80" s="70">
        <v>840</v>
      </c>
      <c r="AN80" s="70">
        <v>1050</v>
      </c>
      <c r="AO80" s="70">
        <v>889</v>
      </c>
      <c r="AP80" s="37">
        <v>3740</v>
      </c>
      <c r="AQ80" s="70">
        <v>922</v>
      </c>
      <c r="AR80" s="70">
        <v>870</v>
      </c>
      <c r="AS80" s="70">
        <v>902</v>
      </c>
      <c r="AT80" s="70">
        <v>832</v>
      </c>
      <c r="AU80" s="37">
        <v>3526</v>
      </c>
      <c r="AV80" s="70">
        <v>826</v>
      </c>
      <c r="AW80" s="70">
        <v>875</v>
      </c>
      <c r="AX80" s="70">
        <v>982</v>
      </c>
      <c r="AY80" s="70">
        <v>842</v>
      </c>
      <c r="AZ80" s="37">
        <v>3525</v>
      </c>
    </row>
    <row r="81" spans="1:53" ht="13.5" customHeight="1">
      <c r="A81" s="71" t="s">
        <v>7</v>
      </c>
      <c r="B81" s="24"/>
      <c r="C81" s="72"/>
      <c r="D81" s="72">
        <f>D80/C80-1</f>
        <v>0.36098520322157723</v>
      </c>
      <c r="E81" s="72">
        <f>E80/D80-1</f>
        <v>0.5341604392882211</v>
      </c>
      <c r="F81" s="72">
        <f>F80/E80-1</f>
        <v>-0.37863607372661734</v>
      </c>
      <c r="G81" s="24"/>
      <c r="H81" s="72">
        <f>H80/F80-1</f>
        <v>0.63758380541551896</v>
      </c>
      <c r="I81" s="72">
        <f>I80/H80-1</f>
        <v>-0.36999510717922268</v>
      </c>
      <c r="J81" s="72">
        <f>J80/I80-1</f>
        <v>0.42872335661830552</v>
      </c>
      <c r="K81" s="72">
        <f>K80/J80-1</f>
        <v>-0.23108619000979436</v>
      </c>
      <c r="L81" s="24"/>
      <c r="M81" s="72">
        <f>M80/K80-1</f>
        <v>2.6671812763594316E-2</v>
      </c>
      <c r="N81" s="72">
        <f>N80/M80-1</f>
        <v>0.2109181141439207</v>
      </c>
      <c r="O81" s="72">
        <f>O80/N80-1</f>
        <v>0.19467213114754101</v>
      </c>
      <c r="P81" s="72">
        <f>P80/O80-1</f>
        <v>-0.35849056603773588</v>
      </c>
      <c r="Q81" s="24"/>
      <c r="R81" s="72">
        <f>R80/P80-1</f>
        <v>3.6096256684492012E-2</v>
      </c>
      <c r="S81" s="72">
        <f>S80/R80-1</f>
        <v>-0.13548387096774195</v>
      </c>
      <c r="T81" s="72">
        <f>T80/S80-1</f>
        <v>0.31641791044776113</v>
      </c>
      <c r="U81" s="72">
        <f>U80/T80-1</f>
        <v>-2.6077097505668889E-2</v>
      </c>
      <c r="V81" s="24"/>
      <c r="W81" s="72">
        <f>W80/U80-1</f>
        <v>0.16181606519208391</v>
      </c>
      <c r="X81" s="72">
        <f>X80/W80-1</f>
        <v>-8.0160320641282645E-3</v>
      </c>
      <c r="Y81" s="72">
        <f>Y80/X80-1</f>
        <v>3.4343434343434343E-2</v>
      </c>
      <c r="Z81" s="72">
        <f>Z80/Y80-1</f>
        <v>-2.1484375E-2</v>
      </c>
      <c r="AA81" s="24"/>
      <c r="AB81" s="72">
        <f>AB80/Z80-1</f>
        <v>-2.9940119760479056E-2</v>
      </c>
      <c r="AC81" s="72">
        <f>AC80/AB80-1</f>
        <v>0.13374485596707819</v>
      </c>
      <c r="AD81" s="72">
        <f>AD80/AC80-1</f>
        <v>3.7205081669691387E-2</v>
      </c>
      <c r="AE81" s="72">
        <f>AE80/AD80-1</f>
        <v>-0.18197725284339461</v>
      </c>
      <c r="AF81" s="24"/>
      <c r="AG81" s="72">
        <f>AG80/AE80-1</f>
        <v>0.1155080213903743</v>
      </c>
      <c r="AH81" s="72">
        <f>AH80/AG80-1</f>
        <v>2.0134228187919545E-2</v>
      </c>
      <c r="AI81" s="72">
        <f>AI80/AH80-1</f>
        <v>-0.1071428571428571</v>
      </c>
      <c r="AJ81" s="72">
        <f>AJ80/AI80-1</f>
        <v>-0.22210526315789469</v>
      </c>
      <c r="AK81" s="24"/>
      <c r="AL81" s="72">
        <v>0.30040595399188086</v>
      </c>
      <c r="AM81" s="72">
        <v>-0.12591050988553587</v>
      </c>
      <c r="AN81" s="72">
        <v>0.25</v>
      </c>
      <c r="AO81" s="72">
        <v>-0.15333333333333332</v>
      </c>
      <c r="AP81" s="24"/>
      <c r="AQ81" s="72">
        <v>3.7120359955005622E-2</v>
      </c>
      <c r="AR81" s="72">
        <v>-5.6399132321041212E-2</v>
      </c>
      <c r="AS81" s="72">
        <v>3.6781609195402298E-2</v>
      </c>
      <c r="AT81" s="72">
        <v>-7.7605321507760561E-2</v>
      </c>
      <c r="AU81" s="24"/>
      <c r="AV81" s="72">
        <v>-7.2115384615384359E-3</v>
      </c>
      <c r="AW81" s="72">
        <v>5.9322033898305149E-2</v>
      </c>
      <c r="AX81" s="72">
        <v>0.12228571428571433</v>
      </c>
      <c r="AY81" s="72">
        <v>-0.14256619144602856</v>
      </c>
      <c r="AZ81" s="24"/>
    </row>
    <row r="82" spans="1:53" ht="13.5" customHeight="1">
      <c r="A82" s="71" t="s">
        <v>8</v>
      </c>
      <c r="B82" s="24"/>
      <c r="C82" s="73"/>
      <c r="D82" s="73"/>
      <c r="E82" s="73"/>
      <c r="F82" s="73"/>
      <c r="G82" s="24">
        <f t="shared" ref="G82:N82" si="98">G80/B80-1</f>
        <v>0.13749752050794828</v>
      </c>
      <c r="H82" s="73">
        <f t="shared" si="98"/>
        <v>1.1245832552912534</v>
      </c>
      <c r="I82" s="73">
        <f t="shared" si="98"/>
        <v>-1.6522852070517291E-2</v>
      </c>
      <c r="J82" s="73">
        <f t="shared" si="98"/>
        <v>-8.4113541215339205E-2</v>
      </c>
      <c r="K82" s="73">
        <f t="shared" si="98"/>
        <v>0.13337404500805561</v>
      </c>
      <c r="L82" s="24">
        <f t="shared" si="98"/>
        <v>0.19134034100039354</v>
      </c>
      <c r="M82" s="73">
        <f t="shared" si="98"/>
        <v>-0.28943900063033645</v>
      </c>
      <c r="N82" s="73">
        <f t="shared" si="98"/>
        <v>0.36575317929428608</v>
      </c>
      <c r="O82" s="73">
        <f t="shared" ref="O82:Y82" si="99">O80/J80-1</f>
        <v>0.14201762977473065</v>
      </c>
      <c r="P82" s="73">
        <f t="shared" si="99"/>
        <v>-4.7207796591602347E-2</v>
      </c>
      <c r="Q82" s="24">
        <f t="shared" si="99"/>
        <v>1.1217510259917907E-2</v>
      </c>
      <c r="R82" s="73">
        <f t="shared" si="99"/>
        <v>-3.8461538461538436E-2</v>
      </c>
      <c r="S82" s="73">
        <f t="shared" si="99"/>
        <v>-0.31352459016393441</v>
      </c>
      <c r="T82" s="73">
        <f t="shared" si="99"/>
        <v>-0.24356775300171529</v>
      </c>
      <c r="U82" s="73">
        <f t="shared" si="99"/>
        <v>0.14839572192513373</v>
      </c>
      <c r="V82" s="24">
        <f t="shared" si="99"/>
        <v>-0.13798701298701299</v>
      </c>
      <c r="W82" s="73">
        <f t="shared" si="99"/>
        <v>0.28774193548387106</v>
      </c>
      <c r="X82" s="73">
        <f t="shared" si="99"/>
        <v>0.47761194029850751</v>
      </c>
      <c r="Y82" s="73">
        <f t="shared" si="99"/>
        <v>0.16099773242630389</v>
      </c>
      <c r="Z82" s="73">
        <f t="shared" ref="Z82:AI82" si="100">Z80/U80-1</f>
        <v>0.16647264260768346</v>
      </c>
      <c r="AA82" s="24">
        <f t="shared" si="100"/>
        <v>0.25988700564971756</v>
      </c>
      <c r="AB82" s="73">
        <f t="shared" si="100"/>
        <v>-2.605210420841686E-2</v>
      </c>
      <c r="AC82" s="73">
        <f t="shared" si="100"/>
        <v>0.11313131313131319</v>
      </c>
      <c r="AD82" s="73">
        <f t="shared" si="100"/>
        <v>0.1162109375</v>
      </c>
      <c r="AE82" s="73">
        <f t="shared" si="100"/>
        <v>-6.6866267465069851E-2</v>
      </c>
      <c r="AF82" s="24">
        <f t="shared" si="100"/>
        <v>3.4379671150971625E-2</v>
      </c>
      <c r="AG82" s="73">
        <f t="shared" si="100"/>
        <v>7.3045267489711962E-2</v>
      </c>
      <c r="AH82" s="73">
        <f t="shared" si="100"/>
        <v>-3.4482758620689613E-2</v>
      </c>
      <c r="AI82" s="73">
        <f t="shared" si="100"/>
        <v>-0.1688538932633421</v>
      </c>
      <c r="AJ82" s="73">
        <f t="shared" ref="AJ82:AS82" si="101">AJ80/AE80-1</f>
        <v>-0.20962566844919783</v>
      </c>
      <c r="AK82" s="24">
        <v>-8.574181117533719E-2</v>
      </c>
      <c r="AL82" s="73">
        <v>-7.8619367209971203E-2</v>
      </c>
      <c r="AM82" s="73">
        <v>-0.21052631578947367</v>
      </c>
      <c r="AN82" s="73">
        <v>0.10526315789473695</v>
      </c>
      <c r="AO82" s="73">
        <v>0.20297699594046015</v>
      </c>
      <c r="AP82" s="24">
        <v>-1.475237091675452E-2</v>
      </c>
      <c r="AQ82" s="73">
        <v>-4.0582726326742979E-2</v>
      </c>
      <c r="AR82" s="73">
        <v>3.5714285714285809E-2</v>
      </c>
      <c r="AS82" s="73">
        <v>-0.14095238095238094</v>
      </c>
      <c r="AT82" s="73">
        <v>-6.4116985376827862E-2</v>
      </c>
      <c r="AU82" s="24">
        <v>-5.7219251336898425E-2</v>
      </c>
      <c r="AV82" s="73">
        <v>-0.10412147505422997</v>
      </c>
      <c r="AW82" s="73">
        <v>5.7471264367816577E-3</v>
      </c>
      <c r="AX82" s="73">
        <v>8.8691796008869117E-2</v>
      </c>
      <c r="AY82" s="73">
        <v>1.2019230769230838E-2</v>
      </c>
      <c r="AZ82" s="24">
        <v>-2.8360748723765816E-4</v>
      </c>
    </row>
    <row r="83" spans="1:53" ht="13.5" hidden="1" customHeight="1">
      <c r="A83" s="69" t="s">
        <v>50</v>
      </c>
      <c r="B83" s="37">
        <f>1385-B456</f>
        <v>1086</v>
      </c>
      <c r="C83" s="70">
        <f>333-C456</f>
        <v>263</v>
      </c>
      <c r="D83" s="70">
        <f>615-D456</f>
        <v>563</v>
      </c>
      <c r="E83" s="70">
        <f>374-E456</f>
        <v>297</v>
      </c>
      <c r="F83" s="70">
        <f>G83-E83-D83-C83</f>
        <v>509</v>
      </c>
      <c r="G83" s="37">
        <f>1897-G456</f>
        <v>1632</v>
      </c>
      <c r="H83" s="70">
        <f>415-H456</f>
        <v>395</v>
      </c>
      <c r="I83" s="70">
        <f>470-I456</f>
        <v>399</v>
      </c>
      <c r="J83" s="70">
        <f>404-78</f>
        <v>326</v>
      </c>
      <c r="K83" s="70">
        <f>L83-J83-I83-H83</f>
        <v>385</v>
      </c>
      <c r="L83" s="37">
        <f>1673-168</f>
        <v>1505</v>
      </c>
      <c r="M83" s="70">
        <v>360</v>
      </c>
      <c r="N83" s="70">
        <v>427</v>
      </c>
      <c r="O83" s="70">
        <v>381</v>
      </c>
      <c r="P83" s="70">
        <v>478</v>
      </c>
      <c r="Q83" s="37">
        <v>1645</v>
      </c>
      <c r="R83" s="70">
        <v>513</v>
      </c>
      <c r="S83" s="70">
        <v>495</v>
      </c>
      <c r="T83" s="70">
        <v>437</v>
      </c>
      <c r="U83" s="70">
        <f>V83-T83-S83-R83</f>
        <v>494</v>
      </c>
      <c r="V83" s="37">
        <v>1939</v>
      </c>
      <c r="W83" s="70">
        <v>475</v>
      </c>
      <c r="X83" s="70">
        <v>383</v>
      </c>
      <c r="Y83" s="70">
        <v>347</v>
      </c>
      <c r="Z83" s="70">
        <v>338</v>
      </c>
      <c r="AA83" s="37">
        <f>Z83+Y83+X83+W83</f>
        <v>1543</v>
      </c>
      <c r="AB83" s="70">
        <v>254</v>
      </c>
      <c r="AC83" s="70">
        <v>331</v>
      </c>
      <c r="AD83" s="70">
        <v>305</v>
      </c>
      <c r="AE83" s="70">
        <v>347</v>
      </c>
      <c r="AF83" s="37">
        <f>AE83+AD83+AC83+AB83</f>
        <v>1237</v>
      </c>
      <c r="AG83" s="70">
        <v>318</v>
      </c>
      <c r="AH83" s="70">
        <v>338</v>
      </c>
      <c r="AI83" s="70">
        <v>317</v>
      </c>
      <c r="AJ83" s="70">
        <f>AK83-AI83-AH83-AG83</f>
        <v>328</v>
      </c>
      <c r="AK83" s="37">
        <v>1301</v>
      </c>
      <c r="AL83" s="70">
        <v>392</v>
      </c>
      <c r="AM83" s="70">
        <v>490</v>
      </c>
      <c r="AN83" s="70">
        <v>381</v>
      </c>
      <c r="AO83" s="70">
        <v>354</v>
      </c>
      <c r="AP83" s="37">
        <v>1617</v>
      </c>
      <c r="AQ83" s="70">
        <v>398</v>
      </c>
      <c r="AR83" s="70">
        <v>362</v>
      </c>
      <c r="AS83" s="70">
        <v>338</v>
      </c>
      <c r="AT83" s="70"/>
      <c r="AU83" s="37"/>
      <c r="AV83" s="70">
        <v>398</v>
      </c>
      <c r="AW83" s="70">
        <v>398</v>
      </c>
      <c r="AX83" s="70">
        <v>398</v>
      </c>
      <c r="AY83" s="70"/>
      <c r="AZ83" s="37"/>
    </row>
    <row r="84" spans="1:53" ht="13.5" hidden="1" customHeight="1">
      <c r="A84" s="71" t="s">
        <v>7</v>
      </c>
      <c r="B84" s="24"/>
      <c r="C84" s="72"/>
      <c r="D84" s="72">
        <f>D83/C83-1</f>
        <v>1.1406844106463878</v>
      </c>
      <c r="E84" s="72">
        <f>E83/D83-1</f>
        <v>-0.47246891651865008</v>
      </c>
      <c r="F84" s="72">
        <f>F83/E83-1</f>
        <v>0.71380471380471389</v>
      </c>
      <c r="G84" s="24"/>
      <c r="H84" s="72">
        <f>H83/F83-1</f>
        <v>-0.22396856581532421</v>
      </c>
      <c r="I84" s="72">
        <f>I83/H83-1</f>
        <v>1.0126582278481067E-2</v>
      </c>
      <c r="J84" s="72">
        <f>J83/I83-1</f>
        <v>-0.18295739348370932</v>
      </c>
      <c r="K84" s="72">
        <f>K83/J83-1</f>
        <v>0.18098159509202461</v>
      </c>
      <c r="L84" s="24"/>
      <c r="M84" s="72">
        <f>M83/K83-1</f>
        <v>-6.4935064935064957E-2</v>
      </c>
      <c r="N84" s="72">
        <f>N83/M83-1</f>
        <v>0.18611111111111112</v>
      </c>
      <c r="O84" s="72">
        <f>O83/N83-1</f>
        <v>-0.10772833723653397</v>
      </c>
      <c r="P84" s="72">
        <f>P83/O83-1</f>
        <v>0.25459317585301844</v>
      </c>
      <c r="Q84" s="24"/>
      <c r="R84" s="72">
        <f>R83/P83-1</f>
        <v>7.322175732217584E-2</v>
      </c>
      <c r="S84" s="72">
        <f>S83/R83-1</f>
        <v>-3.5087719298245612E-2</v>
      </c>
      <c r="T84" s="72">
        <f>T83/S83-1</f>
        <v>-0.11717171717171715</v>
      </c>
      <c r="U84" s="72">
        <f>U83/T83-1</f>
        <v>0.13043478260869557</v>
      </c>
      <c r="V84" s="24"/>
      <c r="W84" s="72">
        <f>W83/U83-1</f>
        <v>-3.8461538461538436E-2</v>
      </c>
      <c r="X84" s="72">
        <f>X83/W83-1</f>
        <v>-0.19368421052631579</v>
      </c>
      <c r="Y84" s="72">
        <f>Y83/X83-1</f>
        <v>-9.3994778067885143E-2</v>
      </c>
      <c r="Z84" s="72">
        <f>Z83/Y83-1</f>
        <v>-2.5936599423631135E-2</v>
      </c>
      <c r="AA84" s="24"/>
      <c r="AB84" s="72">
        <f>AB83/Z83-1</f>
        <v>-0.24852071005917165</v>
      </c>
      <c r="AC84" s="72">
        <f>AC83/AB83-1</f>
        <v>0.3031496062992125</v>
      </c>
      <c r="AD84" s="72">
        <f>AD83/AC83-1</f>
        <v>-7.8549848942598199E-2</v>
      </c>
      <c r="AE84" s="72">
        <f>AE83/AD83-1</f>
        <v>0.13770491803278695</v>
      </c>
      <c r="AF84" s="24"/>
      <c r="AG84" s="72">
        <f>AG83/AE83-1</f>
        <v>-8.3573487031700311E-2</v>
      </c>
      <c r="AH84" s="72">
        <f>AH83/AG83-1</f>
        <v>6.2893081761006275E-2</v>
      </c>
      <c r="AI84" s="72">
        <f>AI83/AH83-1</f>
        <v>-6.2130177514792884E-2</v>
      </c>
      <c r="AJ84" s="72">
        <f>AJ83/AI83-1</f>
        <v>3.4700315457413256E-2</v>
      </c>
      <c r="AK84" s="24"/>
      <c r="AL84" s="72">
        <v>0.19512195121951215</v>
      </c>
      <c r="AM84" s="72">
        <v>0.25</v>
      </c>
      <c r="AN84" s="72">
        <v>-0.22244897959183674</v>
      </c>
      <c r="AO84" s="72">
        <v>-7.086614173228345E-2</v>
      </c>
      <c r="AP84" s="24"/>
      <c r="AQ84" s="72">
        <v>0.12429378531073443</v>
      </c>
      <c r="AR84" s="72">
        <v>-9.0452261306532611E-2</v>
      </c>
      <c r="AS84" s="72">
        <v>-6.6298342541436517E-2</v>
      </c>
      <c r="AT84" s="72"/>
      <c r="AU84" s="24"/>
      <c r="AV84" s="72" t="e">
        <v>#DIV/0!</v>
      </c>
      <c r="AW84" s="72" t="e">
        <v>#DIV/0!</v>
      </c>
      <c r="AX84" s="72">
        <v>0</v>
      </c>
      <c r="AY84" s="72"/>
      <c r="AZ84" s="24"/>
    </row>
    <row r="85" spans="1:53" ht="13.5" hidden="1" customHeight="1">
      <c r="A85" s="71" t="s">
        <v>8</v>
      </c>
      <c r="B85" s="24"/>
      <c r="C85" s="73"/>
      <c r="D85" s="73"/>
      <c r="E85" s="73"/>
      <c r="F85" s="73"/>
      <c r="G85" s="24">
        <f t="shared" ref="G85:N85" si="102">G83/B83-1</f>
        <v>0.50276243093922646</v>
      </c>
      <c r="H85" s="73">
        <f t="shared" si="102"/>
        <v>0.50190114068441072</v>
      </c>
      <c r="I85" s="73">
        <f t="shared" si="102"/>
        <v>-0.29129662522202482</v>
      </c>
      <c r="J85" s="73">
        <f t="shared" si="102"/>
        <v>9.7643097643097754E-2</v>
      </c>
      <c r="K85" s="73">
        <f t="shared" si="102"/>
        <v>-0.24361493123772104</v>
      </c>
      <c r="L85" s="24">
        <f t="shared" si="102"/>
        <v>-7.7818627450980338E-2</v>
      </c>
      <c r="M85" s="73">
        <f t="shared" si="102"/>
        <v>-8.8607594936708889E-2</v>
      </c>
      <c r="N85" s="73">
        <f t="shared" si="102"/>
        <v>7.0175438596491224E-2</v>
      </c>
      <c r="O85" s="73">
        <f t="shared" ref="O85:Y85" si="103">O83/J83-1</f>
        <v>0.16871165644171771</v>
      </c>
      <c r="P85" s="73">
        <f t="shared" si="103"/>
        <v>0.24155844155844153</v>
      </c>
      <c r="Q85" s="24">
        <f t="shared" si="103"/>
        <v>9.3023255813953432E-2</v>
      </c>
      <c r="R85" s="73">
        <f t="shared" si="103"/>
        <v>0.42500000000000004</v>
      </c>
      <c r="S85" s="73">
        <f t="shared" si="103"/>
        <v>0.15925058548009363</v>
      </c>
      <c r="T85" s="73">
        <f t="shared" si="103"/>
        <v>0.14698162729658804</v>
      </c>
      <c r="U85" s="73">
        <f t="shared" si="103"/>
        <v>3.3472803347280422E-2</v>
      </c>
      <c r="V85" s="24">
        <f t="shared" si="103"/>
        <v>0.17872340425531918</v>
      </c>
      <c r="W85" s="73">
        <f t="shared" si="103"/>
        <v>-7.407407407407407E-2</v>
      </c>
      <c r="X85" s="73">
        <f t="shared" si="103"/>
        <v>-0.22626262626262628</v>
      </c>
      <c r="Y85" s="73">
        <f t="shared" si="103"/>
        <v>-0.20594965675057209</v>
      </c>
      <c r="Z85" s="73">
        <f t="shared" ref="Z85:AI85" si="104">Z83/U83-1</f>
        <v>-0.31578947368421051</v>
      </c>
      <c r="AA85" s="24">
        <f t="shared" si="104"/>
        <v>-0.20422898401237755</v>
      </c>
      <c r="AB85" s="73">
        <f t="shared" si="104"/>
        <v>-0.46526315789473682</v>
      </c>
      <c r="AC85" s="73">
        <f t="shared" si="104"/>
        <v>-0.13577023498694518</v>
      </c>
      <c r="AD85" s="73">
        <f t="shared" si="104"/>
        <v>-0.12103746397694526</v>
      </c>
      <c r="AE85" s="73">
        <f t="shared" si="104"/>
        <v>2.6627218934911268E-2</v>
      </c>
      <c r="AF85" s="24">
        <f t="shared" si="104"/>
        <v>-0.19831497083603367</v>
      </c>
      <c r="AG85" s="73">
        <f t="shared" si="104"/>
        <v>0.25196850393700787</v>
      </c>
      <c r="AH85" s="73">
        <f t="shared" si="104"/>
        <v>2.114803625377637E-2</v>
      </c>
      <c r="AI85" s="73">
        <f t="shared" si="104"/>
        <v>3.9344262295081922E-2</v>
      </c>
      <c r="AJ85" s="73">
        <f t="shared" ref="AJ85:AS85" si="105">AJ83/AE83-1</f>
        <v>-5.4755043227665667E-2</v>
      </c>
      <c r="AK85" s="24">
        <v>5.1738075990299004E-2</v>
      </c>
      <c r="AL85" s="73">
        <v>0.23270440251572322</v>
      </c>
      <c r="AM85" s="73">
        <v>0.4497041420118344</v>
      </c>
      <c r="AN85" s="73">
        <v>0.20189274447949535</v>
      </c>
      <c r="AO85" s="73">
        <v>7.92682926829269E-2</v>
      </c>
      <c r="AP85" s="24">
        <v>0.24289008455034589</v>
      </c>
      <c r="AQ85" s="73">
        <v>1.5306122448979664E-2</v>
      </c>
      <c r="AR85" s="73">
        <v>-0.26122448979591839</v>
      </c>
      <c r="AS85" s="73">
        <v>-0.11286089238845143</v>
      </c>
      <c r="AT85" s="73"/>
      <c r="AU85" s="24"/>
      <c r="AV85" s="73">
        <v>0</v>
      </c>
      <c r="AW85" s="73">
        <v>9.9447513812154664E-2</v>
      </c>
      <c r="AX85" s="73">
        <v>0.1775147928994083</v>
      </c>
      <c r="AY85" s="73"/>
      <c r="AZ85" s="24"/>
    </row>
    <row r="86" spans="1:53" ht="13.5" customHeight="1">
      <c r="A86" s="69" t="s">
        <v>51</v>
      </c>
      <c r="B86" s="37">
        <f>(273+973)-B459</f>
        <v>991.45</v>
      </c>
      <c r="C86" s="70">
        <f>59+307-C459</f>
        <v>286.60000000000002</v>
      </c>
      <c r="D86" s="70">
        <f>310+76-D459</f>
        <v>346.44600000000003</v>
      </c>
      <c r="E86" s="70">
        <f>250+345-E459</f>
        <v>539.15</v>
      </c>
      <c r="F86" s="70">
        <f>G86-E86-D86-C86</f>
        <v>359.26300000000003</v>
      </c>
      <c r="G86" s="37">
        <f>469+1300-G459</f>
        <v>1531.4590000000001</v>
      </c>
      <c r="H86" s="70">
        <f>63+408-H459</f>
        <v>409.56400000000002</v>
      </c>
      <c r="I86" s="70">
        <f>93+348-I459</f>
        <v>381.08800000000002</v>
      </c>
      <c r="J86" s="70">
        <f>404-20</f>
        <v>384</v>
      </c>
      <c r="K86" s="70">
        <f>L86-J86-I86-H86</f>
        <v>360.34800000000001</v>
      </c>
      <c r="L86" s="37">
        <f>(349+1363)-177</f>
        <v>1535</v>
      </c>
      <c r="M86" s="70">
        <f>88+281</f>
        <v>369</v>
      </c>
      <c r="N86" s="70">
        <f>326+70</f>
        <v>396</v>
      </c>
      <c r="O86" s="70">
        <f>76+300</f>
        <v>376</v>
      </c>
      <c r="P86" s="70">
        <f>Q86-O86-N86-M86</f>
        <v>481</v>
      </c>
      <c r="Q86" s="37">
        <f>343+1279</f>
        <v>1622</v>
      </c>
      <c r="R86" s="70">
        <f>78+422</f>
        <v>500</v>
      </c>
      <c r="S86" s="70">
        <f>80+375</f>
        <v>455</v>
      </c>
      <c r="T86" s="70">
        <f>86+393</f>
        <v>479</v>
      </c>
      <c r="U86" s="70">
        <f>V86-T86-S86-R86</f>
        <v>469</v>
      </c>
      <c r="V86" s="37">
        <f>355+1548</f>
        <v>1903</v>
      </c>
      <c r="W86" s="70">
        <f>75+385</f>
        <v>460</v>
      </c>
      <c r="X86" s="70">
        <f>67+315</f>
        <v>382</v>
      </c>
      <c r="Y86" s="70">
        <f>58+309</f>
        <v>367</v>
      </c>
      <c r="Z86" s="70">
        <f>AA86-Y86-X86-W86</f>
        <v>331</v>
      </c>
      <c r="AA86" s="37">
        <f>269+1271</f>
        <v>1540</v>
      </c>
      <c r="AB86" s="70">
        <f>44+245</f>
        <v>289</v>
      </c>
      <c r="AC86" s="70">
        <f>49+252</f>
        <v>301</v>
      </c>
      <c r="AD86" s="70">
        <f>270+50</f>
        <v>320</v>
      </c>
      <c r="AE86" s="70">
        <f>AF86-AD86-AC86-AB86</f>
        <v>318</v>
      </c>
      <c r="AF86" s="37">
        <f>186+1042</f>
        <v>1228</v>
      </c>
      <c r="AG86" s="70">
        <f>48+267</f>
        <v>315</v>
      </c>
      <c r="AH86" s="70">
        <f>42+281</f>
        <v>323</v>
      </c>
      <c r="AI86" s="70">
        <f>50+272</f>
        <v>322</v>
      </c>
      <c r="AJ86" s="70">
        <f>AK86-AI86-AH86-AG86</f>
        <v>315</v>
      </c>
      <c r="AK86" s="37">
        <v>1275</v>
      </c>
      <c r="AL86" s="70">
        <v>368</v>
      </c>
      <c r="AM86" s="70">
        <v>511</v>
      </c>
      <c r="AN86" s="70">
        <v>427</v>
      </c>
      <c r="AO86" s="70">
        <v>329</v>
      </c>
      <c r="AP86" s="37">
        <v>1635</v>
      </c>
      <c r="AQ86" s="70">
        <v>345</v>
      </c>
      <c r="AR86" s="70">
        <v>387</v>
      </c>
      <c r="AS86" s="70">
        <v>349</v>
      </c>
      <c r="AT86" s="70">
        <v>335</v>
      </c>
      <c r="AU86" s="37">
        <v>1416</v>
      </c>
      <c r="AV86" s="70">
        <v>380</v>
      </c>
      <c r="AW86" s="70">
        <v>406</v>
      </c>
      <c r="AX86" s="70">
        <v>353</v>
      </c>
      <c r="AY86" s="70">
        <v>391</v>
      </c>
      <c r="AZ86" s="37">
        <v>1530</v>
      </c>
    </row>
    <row r="87" spans="1:53" ht="13.5" customHeight="1">
      <c r="A87" s="71" t="s">
        <v>7</v>
      </c>
      <c r="B87" s="24"/>
      <c r="C87" s="72"/>
      <c r="D87" s="72">
        <f>D86/C86-1</f>
        <v>0.2088136775994418</v>
      </c>
      <c r="E87" s="72">
        <f>E86/D86-1</f>
        <v>0.55623098549268835</v>
      </c>
      <c r="F87" s="72">
        <f>F86/E86-1</f>
        <v>-0.33364926272836859</v>
      </c>
      <c r="G87" s="24"/>
      <c r="H87" s="72">
        <f>H86/F86-1</f>
        <v>0.14001163493039903</v>
      </c>
      <c r="I87" s="72">
        <f>I86/H86-1</f>
        <v>-6.952759519879681E-2</v>
      </c>
      <c r="J87" s="72">
        <f>J86/I86-1</f>
        <v>7.6412797044251857E-3</v>
      </c>
      <c r="K87" s="72">
        <f>K86/J86-1</f>
        <v>-6.1593750000000003E-2</v>
      </c>
      <c r="L87" s="24"/>
      <c r="M87" s="72">
        <f>M86/K86-1</f>
        <v>2.4010123547237638E-2</v>
      </c>
      <c r="N87" s="72">
        <f>N86/M86-1</f>
        <v>7.3170731707317138E-2</v>
      </c>
      <c r="O87" s="72">
        <f>O86/N86-1</f>
        <v>-5.0505050505050497E-2</v>
      </c>
      <c r="P87" s="72">
        <f>P86/O86-1</f>
        <v>0.2792553191489362</v>
      </c>
      <c r="Q87" s="24"/>
      <c r="R87" s="72">
        <f>R86/P86-1</f>
        <v>3.9501039501039559E-2</v>
      </c>
      <c r="S87" s="72">
        <f>S86/R86-1</f>
        <v>-8.9999999999999969E-2</v>
      </c>
      <c r="T87" s="72">
        <f>T86/S86-1</f>
        <v>5.2747252747252782E-2</v>
      </c>
      <c r="U87" s="72">
        <f>U86/T86-1</f>
        <v>-2.087682672233826E-2</v>
      </c>
      <c r="V87" s="24"/>
      <c r="W87" s="72">
        <f>W86/U86-1</f>
        <v>-1.9189765458422214E-2</v>
      </c>
      <c r="X87" s="72">
        <f>X86/W86-1</f>
        <v>-0.16956521739130437</v>
      </c>
      <c r="Y87" s="72">
        <f>Y86/X86-1</f>
        <v>-3.9267015706806241E-2</v>
      </c>
      <c r="Z87" s="72">
        <f>Z86/Y86-1</f>
        <v>-9.8092643051771122E-2</v>
      </c>
      <c r="AA87" s="24"/>
      <c r="AB87" s="72">
        <f>AB86/Z86-1</f>
        <v>-0.12688821752265866</v>
      </c>
      <c r="AC87" s="72">
        <f>AC86/AB86-1</f>
        <v>4.1522491349480939E-2</v>
      </c>
      <c r="AD87" s="72">
        <f>AD86/AC86-1</f>
        <v>6.3122923588039948E-2</v>
      </c>
      <c r="AE87" s="72">
        <f>AE86/AD86-1</f>
        <v>-6.2499999999999778E-3</v>
      </c>
      <c r="AF87" s="24"/>
      <c r="AG87" s="72">
        <f>AG86/AE86-1</f>
        <v>-9.4339622641509413E-3</v>
      </c>
      <c r="AH87" s="72">
        <f>AH86/AG86-1</f>
        <v>2.5396825396825307E-2</v>
      </c>
      <c r="AI87" s="72">
        <f>AI86/AH86-1</f>
        <v>-3.0959752321981782E-3</v>
      </c>
      <c r="AJ87" s="72">
        <f>AJ86/AI86-1</f>
        <v>-2.1739130434782594E-2</v>
      </c>
      <c r="AK87" s="24"/>
      <c r="AL87" s="72">
        <v>0.16825396825396832</v>
      </c>
      <c r="AM87" s="72">
        <v>0.38858695652173902</v>
      </c>
      <c r="AN87" s="72">
        <v>-0.16438356164383561</v>
      </c>
      <c r="AO87" s="72">
        <v>-0.22950819672131151</v>
      </c>
      <c r="AP87" s="24"/>
      <c r="AQ87" s="72">
        <v>4.8632218844984809E-2</v>
      </c>
      <c r="AR87" s="72">
        <v>0.12173913043478257</v>
      </c>
      <c r="AS87" s="72">
        <v>-9.8191214470284227E-2</v>
      </c>
      <c r="AT87" s="72">
        <v>-4.011461318051579E-2</v>
      </c>
      <c r="AU87" s="24"/>
      <c r="AV87" s="72">
        <v>0.13432835820895517</v>
      </c>
      <c r="AW87" s="72">
        <v>6.8421052631578938E-2</v>
      </c>
      <c r="AX87" s="72">
        <v>-0.13054187192118227</v>
      </c>
      <c r="AY87" s="72">
        <v>0.10764872521246449</v>
      </c>
      <c r="AZ87" s="24"/>
    </row>
    <row r="88" spans="1:53" ht="13.5" customHeight="1">
      <c r="A88" s="71" t="s">
        <v>8</v>
      </c>
      <c r="B88" s="24"/>
      <c r="C88" s="73"/>
      <c r="D88" s="73"/>
      <c r="E88" s="73"/>
      <c r="F88" s="73"/>
      <c r="G88" s="24">
        <f t="shared" ref="G88:N88" si="106">G86/B86-1</f>
        <v>0.54466589338847138</v>
      </c>
      <c r="H88" s="73">
        <f t="shared" si="106"/>
        <v>0.42904396371249121</v>
      </c>
      <c r="I88" s="73">
        <f t="shared" si="106"/>
        <v>9.9992495222920752E-2</v>
      </c>
      <c r="J88" s="73">
        <f t="shared" si="106"/>
        <v>-0.28776778262079195</v>
      </c>
      <c r="K88" s="73">
        <f t="shared" si="106"/>
        <v>3.0200716466766142E-3</v>
      </c>
      <c r="L88" s="24">
        <f t="shared" si="106"/>
        <v>2.3121742077325536E-3</v>
      </c>
      <c r="M88" s="73">
        <f t="shared" si="106"/>
        <v>-9.9041907980193633E-2</v>
      </c>
      <c r="N88" s="73">
        <f t="shared" si="106"/>
        <v>3.9130069695188396E-2</v>
      </c>
      <c r="O88" s="73">
        <f t="shared" ref="O88:Y88" si="107">O86/J86-1</f>
        <v>-2.083333333333337E-2</v>
      </c>
      <c r="P88" s="73">
        <f t="shared" si="107"/>
        <v>0.33482078435290319</v>
      </c>
      <c r="Q88" s="24">
        <f t="shared" si="107"/>
        <v>5.6677524429967319E-2</v>
      </c>
      <c r="R88" s="73">
        <f t="shared" si="107"/>
        <v>0.3550135501355014</v>
      </c>
      <c r="S88" s="73">
        <f t="shared" si="107"/>
        <v>0.14898989898989901</v>
      </c>
      <c r="T88" s="73">
        <f t="shared" si="107"/>
        <v>0.27393617021276606</v>
      </c>
      <c r="U88" s="73">
        <f t="shared" si="107"/>
        <v>-2.4948024948024949E-2</v>
      </c>
      <c r="V88" s="24">
        <f t="shared" si="107"/>
        <v>0.17324290998766956</v>
      </c>
      <c r="W88" s="73">
        <f t="shared" si="107"/>
        <v>-7.999999999999996E-2</v>
      </c>
      <c r="X88" s="73">
        <f t="shared" si="107"/>
        <v>-0.16043956043956042</v>
      </c>
      <c r="Y88" s="73">
        <f t="shared" si="107"/>
        <v>-0.23382045929018791</v>
      </c>
      <c r="Z88" s="73">
        <f t="shared" ref="Z88:AI88" si="108">Z86/U86-1</f>
        <v>-0.29424307036247332</v>
      </c>
      <c r="AA88" s="24">
        <f t="shared" si="108"/>
        <v>-0.19075144508670516</v>
      </c>
      <c r="AB88" s="73">
        <f t="shared" si="108"/>
        <v>-0.37173913043478257</v>
      </c>
      <c r="AC88" s="73">
        <f t="shared" si="108"/>
        <v>-0.2120418848167539</v>
      </c>
      <c r="AD88" s="73">
        <f t="shared" si="108"/>
        <v>-0.12806539509536785</v>
      </c>
      <c r="AE88" s="73">
        <f t="shared" si="108"/>
        <v>-3.92749244712991E-2</v>
      </c>
      <c r="AF88" s="24">
        <f t="shared" si="108"/>
        <v>-0.20259740259740255</v>
      </c>
      <c r="AG88" s="73">
        <f t="shared" si="108"/>
        <v>8.9965397923875479E-2</v>
      </c>
      <c r="AH88" s="73">
        <f t="shared" si="108"/>
        <v>7.3089700996677776E-2</v>
      </c>
      <c r="AI88" s="73">
        <f t="shared" si="108"/>
        <v>6.2500000000000888E-3</v>
      </c>
      <c r="AJ88" s="73">
        <f t="shared" ref="AJ88:AS88" si="109">AJ86/AE86-1</f>
        <v>-9.4339622641509413E-3</v>
      </c>
      <c r="AK88" s="24">
        <v>3.8273615635179059E-2</v>
      </c>
      <c r="AL88" s="73">
        <v>0.16825396825396832</v>
      </c>
      <c r="AM88" s="73">
        <v>0.58204334365325083</v>
      </c>
      <c r="AN88" s="73">
        <v>0.32608695652173902</v>
      </c>
      <c r="AO88" s="73">
        <v>4.4444444444444509E-2</v>
      </c>
      <c r="AP88" s="24">
        <v>0.2823529411764707</v>
      </c>
      <c r="AQ88" s="73">
        <v>-6.25E-2</v>
      </c>
      <c r="AR88" s="73">
        <v>-0.24266144814090018</v>
      </c>
      <c r="AS88" s="73">
        <v>-0.18266978922716626</v>
      </c>
      <c r="AT88" s="73">
        <v>1.8237082066869359E-2</v>
      </c>
      <c r="AU88" s="24">
        <v>-0.13394495412844032</v>
      </c>
      <c r="AV88" s="73">
        <v>0.10144927536231885</v>
      </c>
      <c r="AW88" s="73">
        <v>4.9095607235142058E-2</v>
      </c>
      <c r="AX88" s="73">
        <v>1.1461318051575908E-2</v>
      </c>
      <c r="AY88" s="73">
        <v>0.16716417910447756</v>
      </c>
      <c r="AZ88" s="24">
        <v>8.0508474576271194E-2</v>
      </c>
    </row>
    <row r="89" spans="1:53" ht="13.5" customHeight="1">
      <c r="A89" s="69" t="s">
        <v>263</v>
      </c>
      <c r="B89" s="37">
        <v>177</v>
      </c>
      <c r="C89" s="70">
        <v>61</v>
      </c>
      <c r="D89" s="70">
        <v>26</v>
      </c>
      <c r="E89" s="70">
        <v>14</v>
      </c>
      <c r="F89" s="70">
        <f>G89-E89-D89-C89</f>
        <v>46</v>
      </c>
      <c r="G89" s="37">
        <v>147</v>
      </c>
      <c r="H89" s="70">
        <v>51</v>
      </c>
      <c r="I89" s="70">
        <v>11</v>
      </c>
      <c r="J89" s="70">
        <v>20</v>
      </c>
      <c r="K89" s="70">
        <f>L89-J89-I89-H89</f>
        <v>8</v>
      </c>
      <c r="L89" s="37">
        <v>90</v>
      </c>
      <c r="M89" s="70">
        <v>15</v>
      </c>
      <c r="N89" s="70">
        <v>26</v>
      </c>
      <c r="O89" s="70">
        <v>48</v>
      </c>
      <c r="P89" s="70">
        <f>Q89-O89-N89-M89</f>
        <v>44</v>
      </c>
      <c r="Q89" s="37">
        <v>133</v>
      </c>
      <c r="R89" s="70">
        <v>187</v>
      </c>
      <c r="S89" s="70">
        <v>49</v>
      </c>
      <c r="T89" s="70">
        <v>105</v>
      </c>
      <c r="U89" s="70">
        <f>V89-T89-S89-R89</f>
        <v>-75</v>
      </c>
      <c r="V89" s="37">
        <v>266</v>
      </c>
      <c r="W89" s="70">
        <v>47</v>
      </c>
      <c r="X89" s="70">
        <v>22</v>
      </c>
      <c r="Y89" s="70">
        <v>97</v>
      </c>
      <c r="Z89" s="70">
        <f>AA89-Y89-X89-W89</f>
        <v>139</v>
      </c>
      <c r="AA89" s="37">
        <v>305</v>
      </c>
      <c r="AB89" s="70">
        <v>43</v>
      </c>
      <c r="AC89" s="70">
        <v>123</v>
      </c>
      <c r="AD89" s="70">
        <v>53</v>
      </c>
      <c r="AE89" s="70">
        <f>AF89-AD89-AC89-AB89</f>
        <v>93</v>
      </c>
      <c r="AF89" s="37">
        <v>312</v>
      </c>
      <c r="AG89" s="70">
        <v>29</v>
      </c>
      <c r="AH89" s="70">
        <v>46</v>
      </c>
      <c r="AI89" s="70">
        <v>72</v>
      </c>
      <c r="AJ89" s="70">
        <f>AK89-AI89-AH89-AG89</f>
        <v>83</v>
      </c>
      <c r="AK89" s="37">
        <v>230</v>
      </c>
      <c r="AL89" s="70">
        <v>13</v>
      </c>
      <c r="AM89" s="70">
        <v>84</v>
      </c>
      <c r="AN89" s="70">
        <v>22</v>
      </c>
      <c r="AO89" s="70">
        <v>32</v>
      </c>
      <c r="AP89" s="37">
        <v>151</v>
      </c>
      <c r="AQ89" s="70">
        <v>42</v>
      </c>
      <c r="AR89" s="70">
        <v>56</v>
      </c>
      <c r="AS89" s="70">
        <v>24</v>
      </c>
      <c r="AT89" s="70">
        <v>16</v>
      </c>
      <c r="AU89" s="37">
        <v>138</v>
      </c>
      <c r="AV89" s="70">
        <v>10</v>
      </c>
      <c r="AW89" s="70">
        <v>18</v>
      </c>
      <c r="AX89" s="70">
        <v>48</v>
      </c>
      <c r="AY89" s="70">
        <v>22</v>
      </c>
      <c r="AZ89" s="37">
        <v>98</v>
      </c>
      <c r="BA89" s="70"/>
    </row>
    <row r="90" spans="1:53" ht="13.5" customHeight="1">
      <c r="A90" s="71" t="s">
        <v>7</v>
      </c>
      <c r="B90" s="24"/>
      <c r="C90" s="72"/>
      <c r="D90" s="72">
        <f>D89/C89-1</f>
        <v>-0.57377049180327866</v>
      </c>
      <c r="E90" s="72">
        <f>E89/D89-1</f>
        <v>-0.46153846153846156</v>
      </c>
      <c r="F90" s="72">
        <f>F89/E89-1</f>
        <v>2.2857142857142856</v>
      </c>
      <c r="G90" s="24"/>
      <c r="H90" s="72">
        <f>H89/F89-1</f>
        <v>0.10869565217391308</v>
      </c>
      <c r="I90" s="72">
        <f>I89/H89-1</f>
        <v>-0.78431372549019607</v>
      </c>
      <c r="J90" s="72">
        <f>J89/I89-1</f>
        <v>0.81818181818181812</v>
      </c>
      <c r="K90" s="72">
        <f>K89/J89-1</f>
        <v>-0.6</v>
      </c>
      <c r="L90" s="24"/>
      <c r="M90" s="72">
        <f>M89/K89-1</f>
        <v>0.875</v>
      </c>
      <c r="N90" s="72">
        <f>N89/M89-1</f>
        <v>0.73333333333333339</v>
      </c>
      <c r="O90" s="72">
        <f>O89/N89-1</f>
        <v>0.84615384615384626</v>
      </c>
      <c r="P90" s="72">
        <f>P89/O89-1</f>
        <v>-8.333333333333337E-2</v>
      </c>
      <c r="Q90" s="24"/>
      <c r="R90" s="72">
        <f>R89/P89-1</f>
        <v>3.25</v>
      </c>
      <c r="S90" s="72">
        <f>S89/R89-1</f>
        <v>-0.73796791443850274</v>
      </c>
      <c r="T90" s="72">
        <f>T89/S89-1</f>
        <v>1.1428571428571428</v>
      </c>
      <c r="U90" s="72">
        <f>U89/T89-1</f>
        <v>-1.7142857142857144</v>
      </c>
      <c r="V90" s="24"/>
      <c r="W90" s="72">
        <f>W89/U89-1</f>
        <v>-1.6266666666666667</v>
      </c>
      <c r="X90" s="72">
        <f>X89/W89-1</f>
        <v>-0.53191489361702127</v>
      </c>
      <c r="Y90" s="72">
        <f>Y89/X89-1</f>
        <v>3.4090909090909092</v>
      </c>
      <c r="Z90" s="72">
        <f>Z89/Y89-1</f>
        <v>0.4329896907216495</v>
      </c>
      <c r="AA90" s="24"/>
      <c r="AB90" s="72">
        <f>AB89/Z89-1</f>
        <v>-0.69064748201438841</v>
      </c>
      <c r="AC90" s="72">
        <f>AC89/AB89-1</f>
        <v>1.86046511627907</v>
      </c>
      <c r="AD90" s="72">
        <f>AD89/AC89-1</f>
        <v>-0.56910569105691056</v>
      </c>
      <c r="AE90" s="72">
        <f>AE89/AD89-1</f>
        <v>0.75471698113207553</v>
      </c>
      <c r="AF90" s="24"/>
      <c r="AG90" s="72">
        <f>AG89/AE89-1</f>
        <v>-0.68817204301075274</v>
      </c>
      <c r="AH90" s="72">
        <f>AH89/AG89-1</f>
        <v>0.5862068965517242</v>
      </c>
      <c r="AI90" s="72">
        <f>AI89/AH89-1</f>
        <v>0.56521739130434789</v>
      </c>
      <c r="AJ90" s="72">
        <f>AJ89/AI89-1</f>
        <v>0.15277777777777768</v>
      </c>
      <c r="AK90" s="24"/>
      <c r="AL90" s="72">
        <v>-0.84337349397590367</v>
      </c>
      <c r="AM90" s="72">
        <v>5.4615384615384617</v>
      </c>
      <c r="AN90" s="72">
        <v>-0.73809523809523814</v>
      </c>
      <c r="AO90" s="72">
        <v>0.45454545454545459</v>
      </c>
      <c r="AP90" s="24"/>
      <c r="AQ90" s="72">
        <v>0.3125</v>
      </c>
      <c r="AR90" s="72">
        <v>0.33333333333333326</v>
      </c>
      <c r="AS90" s="72">
        <v>-0.5714285714285714</v>
      </c>
      <c r="AT90" s="72">
        <v>-0.33333333333333337</v>
      </c>
      <c r="AU90" s="24"/>
      <c r="AV90" s="72">
        <v>-0.375</v>
      </c>
      <c r="AW90" s="72">
        <v>0.8</v>
      </c>
      <c r="AX90" s="72">
        <v>1.6666666666666665</v>
      </c>
      <c r="AY90" s="72">
        <v>-0.54166666666666674</v>
      </c>
      <c r="AZ90" s="24"/>
    </row>
    <row r="91" spans="1:53" ht="13.5" customHeight="1">
      <c r="A91" s="71" t="s">
        <v>8</v>
      </c>
      <c r="B91" s="24"/>
      <c r="C91" s="73"/>
      <c r="D91" s="73"/>
      <c r="E91" s="73"/>
      <c r="F91" s="73"/>
      <c r="G91" s="24">
        <f t="shared" ref="G91" si="110">G89/B89-1</f>
        <v>-0.16949152542372881</v>
      </c>
      <c r="H91" s="73">
        <f t="shared" ref="H91" si="111">H89/C89-1</f>
        <v>-0.16393442622950816</v>
      </c>
      <c r="I91" s="73">
        <f t="shared" ref="I91" si="112">I89/D89-1</f>
        <v>-0.57692307692307687</v>
      </c>
      <c r="J91" s="73">
        <f t="shared" ref="J91" si="113">J89/E89-1</f>
        <v>0.4285714285714286</v>
      </c>
      <c r="K91" s="73">
        <f t="shared" ref="K91" si="114">K89/F89-1</f>
        <v>-0.82608695652173914</v>
      </c>
      <c r="L91" s="24">
        <f t="shared" ref="L91" si="115">L89/G89-1</f>
        <v>-0.38775510204081631</v>
      </c>
      <c r="M91" s="73">
        <f t="shared" ref="M91" si="116">M89/H89-1</f>
        <v>-0.70588235294117641</v>
      </c>
      <c r="N91" s="73">
        <f t="shared" ref="N91" si="117">N89/I89-1</f>
        <v>1.3636363636363638</v>
      </c>
      <c r="O91" s="73">
        <f t="shared" ref="O91" si="118">O89/J89-1</f>
        <v>1.4</v>
      </c>
      <c r="P91" s="73">
        <f t="shared" ref="P91" si="119">P89/K89-1</f>
        <v>4.5</v>
      </c>
      <c r="Q91" s="24">
        <f t="shared" ref="Q91" si="120">Q89/L89-1</f>
        <v>0.47777777777777786</v>
      </c>
      <c r="R91" s="73">
        <f t="shared" ref="R91" si="121">R89/M89-1</f>
        <v>11.466666666666667</v>
      </c>
      <c r="S91" s="73">
        <f t="shared" ref="S91" si="122">S89/N89-1</f>
        <v>0.88461538461538458</v>
      </c>
      <c r="T91" s="73">
        <f t="shared" ref="T91" si="123">T89/O89-1</f>
        <v>1.1875</v>
      </c>
      <c r="U91" s="73">
        <f t="shared" ref="U91" si="124">U89/P89-1</f>
        <v>-2.7045454545454546</v>
      </c>
      <c r="V91" s="24">
        <f t="shared" ref="V91" si="125">V89/Q89-1</f>
        <v>1</v>
      </c>
      <c r="W91" s="73">
        <f t="shared" ref="W91" si="126">W89/R89-1</f>
        <v>-0.74866310160427807</v>
      </c>
      <c r="X91" s="73">
        <f t="shared" ref="X91" si="127">X89/S89-1</f>
        <v>-0.55102040816326525</v>
      </c>
      <c r="Y91" s="73">
        <f t="shared" ref="Y91" si="128">Y89/T89-1</f>
        <v>-7.6190476190476142E-2</v>
      </c>
      <c r="Z91" s="73">
        <f t="shared" ref="Z91" si="129">Z89/U89-1</f>
        <v>-2.8533333333333335</v>
      </c>
      <c r="AA91" s="24">
        <f t="shared" ref="AA91" si="130">AA89/V89-1</f>
        <v>0.14661654135338353</v>
      </c>
      <c r="AB91" s="73">
        <f t="shared" ref="AB91" si="131">AB89/W89-1</f>
        <v>-8.5106382978723416E-2</v>
      </c>
      <c r="AC91" s="73">
        <f t="shared" ref="AC91" si="132">AC89/X89-1</f>
        <v>4.5909090909090908</v>
      </c>
      <c r="AD91" s="73">
        <f t="shared" ref="AD91" si="133">AD89/Y89-1</f>
        <v>-0.45360824742268047</v>
      </c>
      <c r="AE91" s="73">
        <f t="shared" ref="AE91" si="134">AE89/Z89-1</f>
        <v>-0.3309352517985612</v>
      </c>
      <c r="AF91" s="24">
        <f t="shared" ref="AF91" si="135">AF89/AA89-1</f>
        <v>2.2950819672131084E-2</v>
      </c>
      <c r="AG91" s="73">
        <f t="shared" ref="AG91" si="136">AG89/AB89-1</f>
        <v>-0.32558139534883723</v>
      </c>
      <c r="AH91" s="73">
        <f t="shared" ref="AH91" si="137">AH89/AC89-1</f>
        <v>-0.62601626016260159</v>
      </c>
      <c r="AI91" s="73">
        <f t="shared" ref="AI91" si="138">AI89/AD89-1</f>
        <v>0.35849056603773577</v>
      </c>
      <c r="AJ91" s="73">
        <f t="shared" ref="AJ91" si="139">AJ89/AE89-1</f>
        <v>-0.10752688172043012</v>
      </c>
      <c r="AK91" s="24">
        <v>-0.26282051282051277</v>
      </c>
      <c r="AL91" s="73">
        <v>-0.55172413793103448</v>
      </c>
      <c r="AM91" s="73">
        <v>0.82608695652173902</v>
      </c>
      <c r="AN91" s="73">
        <v>-0.69444444444444442</v>
      </c>
      <c r="AO91" s="73">
        <v>-0.61445783132530118</v>
      </c>
      <c r="AP91" s="24">
        <v>-0.34347826086956523</v>
      </c>
      <c r="AQ91" s="73">
        <v>2.2307692307692308</v>
      </c>
      <c r="AR91" s="73">
        <v>-0.33333333333333337</v>
      </c>
      <c r="AS91" s="73">
        <v>9.0909090909090828E-2</v>
      </c>
      <c r="AT91" s="73">
        <v>-0.5</v>
      </c>
      <c r="AU91" s="24">
        <v>-8.6092715231788075E-2</v>
      </c>
      <c r="AV91" s="73">
        <v>-0.76190476190476186</v>
      </c>
      <c r="AW91" s="73">
        <v>-0.6785714285714286</v>
      </c>
      <c r="AX91" s="73">
        <v>1</v>
      </c>
      <c r="AY91" s="73">
        <v>0.375</v>
      </c>
      <c r="AZ91" s="24">
        <v>-0.28985507246376807</v>
      </c>
    </row>
    <row r="92" spans="1:53" ht="13.5" customHeight="1">
      <c r="A92" s="69" t="s">
        <v>221</v>
      </c>
      <c r="B92" s="37">
        <f>B86-B89</f>
        <v>814.45</v>
      </c>
      <c r="C92" s="70">
        <f>C86-C89</f>
        <v>225.60000000000002</v>
      </c>
      <c r="D92" s="70">
        <f>D86-D89</f>
        <v>320.44600000000003</v>
      </c>
      <c r="E92" s="70">
        <f>E86-E89</f>
        <v>525.15</v>
      </c>
      <c r="F92" s="70">
        <f>G92-E92-D92-C92</f>
        <v>313.26300000000003</v>
      </c>
      <c r="G92" s="37">
        <f>G86-147</f>
        <v>1384.4590000000001</v>
      </c>
      <c r="H92" s="70">
        <f>H86-H89</f>
        <v>358.56400000000002</v>
      </c>
      <c r="I92" s="70">
        <f>I86-I89</f>
        <v>370.08800000000002</v>
      </c>
      <c r="J92" s="70">
        <f>J86-J89</f>
        <v>364</v>
      </c>
      <c r="K92" s="70">
        <f>L92-J92-I92-H92</f>
        <v>352.34800000000001</v>
      </c>
      <c r="L92" s="37">
        <f>L86-L89</f>
        <v>1445</v>
      </c>
      <c r="M92" s="70">
        <f>M86-M89</f>
        <v>354</v>
      </c>
      <c r="N92" s="70">
        <f>N86-N89</f>
        <v>370</v>
      </c>
      <c r="O92" s="70">
        <f>O86-O89</f>
        <v>328</v>
      </c>
      <c r="P92" s="70">
        <f>Q92-O92-N92-M92</f>
        <v>437</v>
      </c>
      <c r="Q92" s="37">
        <f>Q86-Q89</f>
        <v>1489</v>
      </c>
      <c r="R92" s="70">
        <f>R86-R89</f>
        <v>313</v>
      </c>
      <c r="S92" s="70">
        <f>S86-S89</f>
        <v>406</v>
      </c>
      <c r="T92" s="70">
        <f>T86-T89</f>
        <v>374</v>
      </c>
      <c r="U92" s="70">
        <f>V92-T92-S92-R92</f>
        <v>544</v>
      </c>
      <c r="V92" s="37">
        <f>V86-266</f>
        <v>1637</v>
      </c>
      <c r="W92" s="70">
        <f>W86-W89</f>
        <v>413</v>
      </c>
      <c r="X92" s="70">
        <f>X86-X89</f>
        <v>360</v>
      </c>
      <c r="Y92" s="70">
        <f>Y86-Y89</f>
        <v>270</v>
      </c>
      <c r="Z92" s="70">
        <f>AA92-Y92-X92-W92</f>
        <v>192</v>
      </c>
      <c r="AA92" s="37">
        <f>AA86-305</f>
        <v>1235</v>
      </c>
      <c r="AB92" s="70">
        <f>AB86-AB89</f>
        <v>246</v>
      </c>
      <c r="AC92" s="70">
        <f>AC86-AC89</f>
        <v>178</v>
      </c>
      <c r="AD92" s="70">
        <f>AD86-AD89</f>
        <v>267</v>
      </c>
      <c r="AE92" s="70">
        <f>AF92-AD92-AC92-AB92</f>
        <v>225</v>
      </c>
      <c r="AF92" s="37">
        <f>AF86-AF89</f>
        <v>916</v>
      </c>
      <c r="AG92" s="70">
        <f>AG86-AG89</f>
        <v>286</v>
      </c>
      <c r="AH92" s="70">
        <f>AH86-AH89</f>
        <v>277</v>
      </c>
      <c r="AI92" s="70">
        <f>AI86-AI89</f>
        <v>250</v>
      </c>
      <c r="AJ92" s="70">
        <f>AK92-AI92-AH92-AG92</f>
        <v>232</v>
      </c>
      <c r="AK92" s="37">
        <v>1045</v>
      </c>
      <c r="AL92" s="70">
        <v>355</v>
      </c>
      <c r="AM92" s="70">
        <v>427</v>
      </c>
      <c r="AN92" s="70">
        <v>405</v>
      </c>
      <c r="AO92" s="70">
        <v>297</v>
      </c>
      <c r="AP92" s="37">
        <v>1484</v>
      </c>
      <c r="AQ92" s="70">
        <v>303</v>
      </c>
      <c r="AR92" s="70">
        <v>331</v>
      </c>
      <c r="AS92" s="70">
        <v>325</v>
      </c>
      <c r="AT92" s="70">
        <v>319</v>
      </c>
      <c r="AU92" s="37">
        <v>1278</v>
      </c>
      <c r="AV92" s="70">
        <v>370</v>
      </c>
      <c r="AW92" s="70">
        <v>388</v>
      </c>
      <c r="AX92" s="70">
        <v>305</v>
      </c>
      <c r="AY92" s="70">
        <v>369</v>
      </c>
      <c r="AZ92" s="37">
        <v>1432</v>
      </c>
    </row>
    <row r="93" spans="1:53" ht="13.5" customHeight="1">
      <c r="A93" s="71" t="s">
        <v>7</v>
      </c>
      <c r="B93" s="24"/>
      <c r="C93" s="72"/>
      <c r="D93" s="72">
        <f>D92/C92-1</f>
        <v>0.42041666666666666</v>
      </c>
      <c r="E93" s="72">
        <f>E92/D92-1</f>
        <v>0.63880965903771592</v>
      </c>
      <c r="F93" s="72">
        <f>F92/E92-1</f>
        <v>-0.40347900599828612</v>
      </c>
      <c r="G93" s="24"/>
      <c r="H93" s="72">
        <f>H92/F92-1</f>
        <v>0.14461011993117601</v>
      </c>
      <c r="I93" s="72">
        <f>I92/H92-1</f>
        <v>3.2139311252663338E-2</v>
      </c>
      <c r="J93" s="72">
        <f>J92/I92-1</f>
        <v>-1.6450141587946665E-2</v>
      </c>
      <c r="K93" s="72">
        <f>K92/J92-1</f>
        <v>-3.2010989010988977E-2</v>
      </c>
      <c r="L93" s="24"/>
      <c r="M93" s="72">
        <f>M92/K92-1</f>
        <v>4.6885465505692725E-3</v>
      </c>
      <c r="N93" s="72">
        <f>N92/M92-1</f>
        <v>4.5197740112994378E-2</v>
      </c>
      <c r="O93" s="72">
        <f>O92/N92-1</f>
        <v>-0.11351351351351346</v>
      </c>
      <c r="P93" s="72">
        <f>P92/O92-1</f>
        <v>0.33231707317073167</v>
      </c>
      <c r="Q93" s="24"/>
      <c r="R93" s="72">
        <f>R92/P92-1</f>
        <v>-0.28375286041189929</v>
      </c>
      <c r="S93" s="72">
        <f>S92/R92-1</f>
        <v>0.29712460063897761</v>
      </c>
      <c r="T93" s="72">
        <f>T92/S92-1</f>
        <v>-7.8817733990147798E-2</v>
      </c>
      <c r="U93" s="72">
        <f>U92/T92-1</f>
        <v>0.45454545454545459</v>
      </c>
      <c r="V93" s="24"/>
      <c r="W93" s="72">
        <f>W92/U92-1</f>
        <v>-0.2408088235294118</v>
      </c>
      <c r="X93" s="72">
        <f>X92/W92-1</f>
        <v>-0.12832929782082325</v>
      </c>
      <c r="Y93" s="72">
        <f>Y92/X92-1</f>
        <v>-0.25</v>
      </c>
      <c r="Z93" s="72">
        <f>Z92/Y92-1</f>
        <v>-0.28888888888888886</v>
      </c>
      <c r="AA93" s="24"/>
      <c r="AB93" s="72">
        <f>AB92/Z92-1</f>
        <v>0.28125</v>
      </c>
      <c r="AC93" s="72">
        <f>AC92/AB92-1</f>
        <v>-0.27642276422764223</v>
      </c>
      <c r="AD93" s="72">
        <f>AD92/AC92-1</f>
        <v>0.5</v>
      </c>
      <c r="AE93" s="72">
        <f>AE92/AD92-1</f>
        <v>-0.15730337078651691</v>
      </c>
      <c r="AF93" s="24"/>
      <c r="AG93" s="72">
        <f>AG92/AE92-1</f>
        <v>0.27111111111111108</v>
      </c>
      <c r="AH93" s="72">
        <f>AH92/AG92-1</f>
        <v>-3.1468531468531458E-2</v>
      </c>
      <c r="AI93" s="72">
        <f>AI92/AH92-1</f>
        <v>-9.7472924187725685E-2</v>
      </c>
      <c r="AJ93" s="72">
        <f>AJ92/AI92-1</f>
        <v>-7.1999999999999953E-2</v>
      </c>
      <c r="AK93" s="24"/>
      <c r="AL93" s="72">
        <v>0.53017241379310343</v>
      </c>
      <c r="AM93" s="72">
        <v>0.20281690140845066</v>
      </c>
      <c r="AN93" s="72">
        <v>-5.1522248243559665E-2</v>
      </c>
      <c r="AO93" s="72">
        <v>-0.26666666666666672</v>
      </c>
      <c r="AP93" s="24"/>
      <c r="AQ93" s="72">
        <v>2.020202020202011E-2</v>
      </c>
      <c r="AR93" s="72">
        <v>9.2409240924092417E-2</v>
      </c>
      <c r="AS93" s="72">
        <v>-1.8126888217522619E-2</v>
      </c>
      <c r="AT93" s="72">
        <v>-1.8461538461538418E-2</v>
      </c>
      <c r="AU93" s="24"/>
      <c r="AV93" s="72">
        <v>0.15987460815047028</v>
      </c>
      <c r="AW93" s="72">
        <v>4.8648648648648596E-2</v>
      </c>
      <c r="AX93" s="72">
        <v>-0.21391752577319589</v>
      </c>
      <c r="AY93" s="72">
        <v>0.20983606557377055</v>
      </c>
      <c r="AZ93" s="24"/>
    </row>
    <row r="94" spans="1:53" ht="13.5" customHeight="1">
      <c r="A94" s="71" t="s">
        <v>8</v>
      </c>
      <c r="B94" s="24"/>
      <c r="C94" s="73"/>
      <c r="D94" s="73"/>
      <c r="E94" s="73"/>
      <c r="F94" s="73"/>
      <c r="G94" s="24">
        <f t="shared" ref="G94:N94" si="140">G92/B92-1</f>
        <v>0.69986985081957154</v>
      </c>
      <c r="H94" s="73">
        <f t="shared" si="140"/>
        <v>0.58937943262411352</v>
      </c>
      <c r="I94" s="73">
        <f t="shared" si="140"/>
        <v>0.15491533674940539</v>
      </c>
      <c r="J94" s="73">
        <f t="shared" si="140"/>
        <v>-0.30686470532228882</v>
      </c>
      <c r="K94" s="73">
        <f t="shared" si="140"/>
        <v>0.1247673679943051</v>
      </c>
      <c r="L94" s="24">
        <f t="shared" si="140"/>
        <v>4.3728994502545637E-2</v>
      </c>
      <c r="M94" s="73">
        <f t="shared" si="140"/>
        <v>-1.2728550551644902E-2</v>
      </c>
      <c r="N94" s="73">
        <f t="shared" si="140"/>
        <v>-2.3778128445128832E-4</v>
      </c>
      <c r="O94" s="73">
        <f t="shared" ref="O94:Y94" si="141">O92/J92-1</f>
        <v>-9.8901098901098883E-2</v>
      </c>
      <c r="P94" s="73">
        <f t="shared" si="141"/>
        <v>0.24025111537457278</v>
      </c>
      <c r="Q94" s="24">
        <f t="shared" si="141"/>
        <v>3.04498269896194E-2</v>
      </c>
      <c r="R94" s="73">
        <f t="shared" si="141"/>
        <v>-0.11581920903954801</v>
      </c>
      <c r="S94" s="73">
        <f t="shared" si="141"/>
        <v>9.7297297297297192E-2</v>
      </c>
      <c r="T94" s="73">
        <f t="shared" si="141"/>
        <v>0.14024390243902429</v>
      </c>
      <c r="U94" s="73">
        <f t="shared" si="141"/>
        <v>0.24485125858123569</v>
      </c>
      <c r="V94" s="24">
        <f t="shared" si="141"/>
        <v>9.9395567494963144E-2</v>
      </c>
      <c r="W94" s="73">
        <f t="shared" si="141"/>
        <v>0.31948881789137373</v>
      </c>
      <c r="X94" s="73">
        <f t="shared" si="141"/>
        <v>-0.11330049261083741</v>
      </c>
      <c r="Y94" s="73">
        <f t="shared" si="141"/>
        <v>-0.27807486631016043</v>
      </c>
      <c r="Z94" s="73">
        <f t="shared" ref="Z94:AI94" si="142">Z92/U92-1</f>
        <v>-0.64705882352941169</v>
      </c>
      <c r="AA94" s="24">
        <f t="shared" si="142"/>
        <v>-0.2455711667684789</v>
      </c>
      <c r="AB94" s="73">
        <f t="shared" si="142"/>
        <v>-0.40435835351089588</v>
      </c>
      <c r="AC94" s="73">
        <f t="shared" si="142"/>
        <v>-0.50555555555555554</v>
      </c>
      <c r="AD94" s="73">
        <f t="shared" si="142"/>
        <v>-1.1111111111111072E-2</v>
      </c>
      <c r="AE94" s="73">
        <f t="shared" si="142"/>
        <v>0.171875</v>
      </c>
      <c r="AF94" s="24">
        <f t="shared" si="142"/>
        <v>-0.25829959514170042</v>
      </c>
      <c r="AG94" s="73">
        <f t="shared" si="142"/>
        <v>0.16260162601626016</v>
      </c>
      <c r="AH94" s="73">
        <f t="shared" si="142"/>
        <v>0.55617977528089879</v>
      </c>
      <c r="AI94" s="73">
        <f t="shared" si="142"/>
        <v>-6.3670411985018771E-2</v>
      </c>
      <c r="AJ94" s="73">
        <f t="shared" ref="AJ94:AS94" si="143">AJ92/AE92-1</f>
        <v>3.1111111111111089E-2</v>
      </c>
      <c r="AK94" s="24">
        <v>0.14082969432314418</v>
      </c>
      <c r="AL94" s="73">
        <v>0.24125874125874125</v>
      </c>
      <c r="AM94" s="73">
        <v>0.54151624548736454</v>
      </c>
      <c r="AN94" s="73">
        <v>0.62000000000000011</v>
      </c>
      <c r="AO94" s="73">
        <v>0.28017241379310343</v>
      </c>
      <c r="AP94" s="24">
        <v>0.4200956937799043</v>
      </c>
      <c r="AQ94" s="73">
        <v>-0.14647887323943665</v>
      </c>
      <c r="AR94" s="73">
        <v>-0.22482435597189698</v>
      </c>
      <c r="AS94" s="73">
        <v>-0.19753086419753085</v>
      </c>
      <c r="AT94" s="73">
        <v>7.4074074074074181E-2</v>
      </c>
      <c r="AU94" s="24">
        <v>-0.13881401617250677</v>
      </c>
      <c r="AV94" s="73">
        <v>0.22112211221122102</v>
      </c>
      <c r="AW94" s="73">
        <v>0.17220543806646527</v>
      </c>
      <c r="AX94" s="73">
        <v>-6.1538461538461542E-2</v>
      </c>
      <c r="AY94" s="73">
        <v>0.15673981191222564</v>
      </c>
      <c r="AZ94" s="24">
        <v>0.12050078247261342</v>
      </c>
    </row>
    <row r="95" spans="1:53" ht="13.5" customHeight="1">
      <c r="A95" s="69" t="s">
        <v>55</v>
      </c>
      <c r="B95" s="37">
        <f>B80-B92</f>
        <v>1882.675</v>
      </c>
      <c r="C95" s="77">
        <f>C80-C92</f>
        <v>308.29999999999995</v>
      </c>
      <c r="D95" s="77">
        <f>D80-D92</f>
        <v>406.18399999999997</v>
      </c>
      <c r="E95" s="77">
        <f>E80-E92</f>
        <v>589.61700000000008</v>
      </c>
      <c r="F95" s="70">
        <f>G95-E95-D95-C95</f>
        <v>379.41300000000001</v>
      </c>
      <c r="G95" s="37">
        <f>G80-G92</f>
        <v>1683.5139999999999</v>
      </c>
      <c r="H95" s="77">
        <f>H80-H92</f>
        <v>775.75099999999998</v>
      </c>
      <c r="I95" s="77">
        <f>I80-I92</f>
        <v>344.536</v>
      </c>
      <c r="J95" s="77">
        <f>J80-J92</f>
        <v>657</v>
      </c>
      <c r="K95" s="70">
        <f>L95-J95-I95-H95</f>
        <v>432.71299999999997</v>
      </c>
      <c r="L95" s="37">
        <f>L80-L92</f>
        <v>2210</v>
      </c>
      <c r="M95" s="77">
        <f>M80-M92</f>
        <v>452</v>
      </c>
      <c r="N95" s="77">
        <f>N80-N92</f>
        <v>606</v>
      </c>
      <c r="O95" s="77">
        <f>O80-O92</f>
        <v>838</v>
      </c>
      <c r="P95" s="70">
        <f>Q95-O95-N95-M95</f>
        <v>311</v>
      </c>
      <c r="Q95" s="37">
        <f>Q80-Q92</f>
        <v>2207</v>
      </c>
      <c r="R95" s="77">
        <f>R80-R92</f>
        <v>462</v>
      </c>
      <c r="S95" s="77">
        <f>S80-S92</f>
        <v>264</v>
      </c>
      <c r="T95" s="77">
        <f>T80-T92</f>
        <v>508</v>
      </c>
      <c r="U95" s="70">
        <f>V95-T95-S95-R95</f>
        <v>315</v>
      </c>
      <c r="V95" s="37">
        <f>V80-V92</f>
        <v>1549</v>
      </c>
      <c r="W95" s="77">
        <f>W80-W92</f>
        <v>585</v>
      </c>
      <c r="X95" s="77">
        <f>X80-X92</f>
        <v>630</v>
      </c>
      <c r="Y95" s="77">
        <f>Y80-Y92</f>
        <v>754</v>
      </c>
      <c r="Z95" s="70">
        <f>AA95-Y95-X95-W95</f>
        <v>810</v>
      </c>
      <c r="AA95" s="37">
        <f>AA80-AA92</f>
        <v>2779</v>
      </c>
      <c r="AB95" s="77">
        <f>AB80-AB92</f>
        <v>726</v>
      </c>
      <c r="AC95" s="77">
        <f>AC80-AC92</f>
        <v>924</v>
      </c>
      <c r="AD95" s="77">
        <f>AD80-AD92</f>
        <v>876</v>
      </c>
      <c r="AE95" s="70">
        <f>AF95-AD95-AC95-AB95</f>
        <v>710</v>
      </c>
      <c r="AF95" s="37">
        <f>AF80-AF92</f>
        <v>3236</v>
      </c>
      <c r="AG95" s="77">
        <f>AG80-AG92</f>
        <v>757</v>
      </c>
      <c r="AH95" s="77">
        <f>AH80-AH92</f>
        <v>787</v>
      </c>
      <c r="AI95" s="77">
        <f>AI80-AI92</f>
        <v>700</v>
      </c>
      <c r="AJ95" s="70">
        <f>AK95-AI95-AH95-AG95</f>
        <v>507</v>
      </c>
      <c r="AK95" s="37">
        <v>2751</v>
      </c>
      <c r="AL95" s="77">
        <v>606</v>
      </c>
      <c r="AM95" s="77">
        <v>413</v>
      </c>
      <c r="AN95" s="77">
        <v>645</v>
      </c>
      <c r="AO95" s="70">
        <v>592</v>
      </c>
      <c r="AP95" s="37">
        <v>2256</v>
      </c>
      <c r="AQ95" s="77">
        <v>619</v>
      </c>
      <c r="AR95" s="77">
        <v>539</v>
      </c>
      <c r="AS95" s="77">
        <v>577</v>
      </c>
      <c r="AT95" s="70">
        <v>513</v>
      </c>
      <c r="AU95" s="37">
        <v>2248</v>
      </c>
      <c r="AV95" s="77">
        <v>456</v>
      </c>
      <c r="AW95" s="77">
        <v>487</v>
      </c>
      <c r="AX95" s="77">
        <v>677</v>
      </c>
      <c r="AY95" s="70">
        <v>473</v>
      </c>
      <c r="AZ95" s="37">
        <v>2093</v>
      </c>
    </row>
    <row r="96" spans="1:53" ht="13.5" customHeight="1">
      <c r="A96" s="71" t="s">
        <v>7</v>
      </c>
      <c r="B96" s="24"/>
      <c r="C96" s="72"/>
      <c r="D96" s="72">
        <f>D95/C95-1</f>
        <v>0.3174959455076225</v>
      </c>
      <c r="E96" s="72">
        <f>E95/D95-1</f>
        <v>0.45160075236838515</v>
      </c>
      <c r="F96" s="72">
        <f>F95/E95-1</f>
        <v>-0.35650939508189217</v>
      </c>
      <c r="G96" s="24"/>
      <c r="H96" s="72">
        <f>H95/F95-1</f>
        <v>1.0446083818951908</v>
      </c>
      <c r="I96" s="72">
        <f>I95/H95-1</f>
        <v>-0.55586779778562967</v>
      </c>
      <c r="J96" s="72">
        <f>J95/I95-1</f>
        <v>0.90691248519748302</v>
      </c>
      <c r="K96" s="72">
        <f>K95/J95-1</f>
        <v>-0.34138051750380527</v>
      </c>
      <c r="L96" s="24"/>
      <c r="M96" s="72">
        <f>M95/K95-1</f>
        <v>4.4572268455073116E-2</v>
      </c>
      <c r="N96" s="72">
        <f>N95/M95-1</f>
        <v>0.34070796460176989</v>
      </c>
      <c r="O96" s="72">
        <f>O95/N95-1</f>
        <v>0.38283828382838281</v>
      </c>
      <c r="P96" s="72">
        <f>P95/O95-1</f>
        <v>-0.62887828162291171</v>
      </c>
      <c r="Q96" s="24"/>
      <c r="R96" s="72">
        <f>R95/P95-1</f>
        <v>0.48553054662379425</v>
      </c>
      <c r="S96" s="72">
        <f>S95/R95-1</f>
        <v>-0.4285714285714286</v>
      </c>
      <c r="T96" s="72">
        <f>T95/S95-1</f>
        <v>0.92424242424242431</v>
      </c>
      <c r="U96" s="72">
        <f>U95/T95-1</f>
        <v>-0.37992125984251968</v>
      </c>
      <c r="V96" s="24"/>
      <c r="W96" s="72">
        <f>W95/U95-1</f>
        <v>0.85714285714285721</v>
      </c>
      <c r="X96" s="72">
        <f>X95/W95-1</f>
        <v>7.6923076923076872E-2</v>
      </c>
      <c r="Y96" s="72">
        <f>Y95/X95-1</f>
        <v>0.19682539682539679</v>
      </c>
      <c r="Z96" s="72">
        <f>Z95/Y95-1</f>
        <v>7.4270557029177731E-2</v>
      </c>
      <c r="AA96" s="24"/>
      <c r="AB96" s="72">
        <f>AB95/Z95-1</f>
        <v>-0.10370370370370374</v>
      </c>
      <c r="AC96" s="72">
        <f>AC95/AB95-1</f>
        <v>0.27272727272727271</v>
      </c>
      <c r="AD96" s="72">
        <f>AD95/AC95-1</f>
        <v>-5.1948051948051965E-2</v>
      </c>
      <c r="AE96" s="72">
        <f>AE95/AD95-1</f>
        <v>-0.18949771689497719</v>
      </c>
      <c r="AF96" s="24"/>
      <c r="AG96" s="72">
        <f>AG95/AE95-1</f>
        <v>6.6197183098591461E-2</v>
      </c>
      <c r="AH96" s="72">
        <f>AH95/AG95-1</f>
        <v>3.9630118890356725E-2</v>
      </c>
      <c r="AI96" s="72">
        <f>AI95/AH95-1</f>
        <v>-0.11054637865311312</v>
      </c>
      <c r="AJ96" s="72">
        <f>AJ95/AI95-1</f>
        <v>-0.27571428571428569</v>
      </c>
      <c r="AK96" s="24"/>
      <c r="AL96" s="72">
        <v>0.19526627218934922</v>
      </c>
      <c r="AM96" s="72">
        <v>-0.31848184818481851</v>
      </c>
      <c r="AN96" s="72">
        <v>0.56174334140435844</v>
      </c>
      <c r="AO96" s="72">
        <v>-8.2170542635658927E-2</v>
      </c>
      <c r="AP96" s="24"/>
      <c r="AQ96" s="72">
        <v>4.5608108108108114E-2</v>
      </c>
      <c r="AR96" s="72">
        <v>-0.12924071082390953</v>
      </c>
      <c r="AS96" s="72">
        <v>7.0500927643784683E-2</v>
      </c>
      <c r="AT96" s="72">
        <v>-0.1109185441941074</v>
      </c>
      <c r="AU96" s="24"/>
      <c r="AV96" s="72">
        <v>-0.11111111111111116</v>
      </c>
      <c r="AW96" s="72">
        <v>6.7982456140350811E-2</v>
      </c>
      <c r="AX96" s="72">
        <v>0.39014373716632433</v>
      </c>
      <c r="AY96" s="72">
        <v>-0.30132939438700146</v>
      </c>
      <c r="AZ96" s="24"/>
    </row>
    <row r="97" spans="1:52" ht="13.5" customHeight="1">
      <c r="A97" s="71" t="s">
        <v>8</v>
      </c>
      <c r="B97" s="24"/>
      <c r="C97" s="73"/>
      <c r="D97" s="73"/>
      <c r="E97" s="73"/>
      <c r="F97" s="73"/>
      <c r="G97" s="24">
        <f t="shared" ref="G97:N97" si="144">G95/B95-1</f>
        <v>-0.10578618189544131</v>
      </c>
      <c r="H97" s="73">
        <f t="shared" si="144"/>
        <v>1.5162212131041195</v>
      </c>
      <c r="I97" s="73">
        <f t="shared" si="144"/>
        <v>-0.15177358044630018</v>
      </c>
      <c r="J97" s="73">
        <f t="shared" si="144"/>
        <v>0.11428266145650468</v>
      </c>
      <c r="K97" s="73">
        <f t="shared" si="144"/>
        <v>0.14048016277776454</v>
      </c>
      <c r="L97" s="24">
        <f t="shared" si="144"/>
        <v>0.31273039606442254</v>
      </c>
      <c r="M97" s="73">
        <f t="shared" si="144"/>
        <v>-0.41733881103601544</v>
      </c>
      <c r="N97" s="73">
        <f t="shared" si="144"/>
        <v>0.75888731511366014</v>
      </c>
      <c r="O97" s="73">
        <f t="shared" ref="O97:Y97" si="145">O95/J95-1</f>
        <v>0.27549467275494677</v>
      </c>
      <c r="P97" s="73">
        <f t="shared" si="145"/>
        <v>-0.2812788152886555</v>
      </c>
      <c r="Q97" s="24">
        <f t="shared" si="145"/>
        <v>-1.3574660633484115E-3</v>
      </c>
      <c r="R97" s="73">
        <f t="shared" si="145"/>
        <v>2.2123893805309658E-2</v>
      </c>
      <c r="S97" s="73">
        <f t="shared" si="145"/>
        <v>-0.56435643564356441</v>
      </c>
      <c r="T97" s="73">
        <f t="shared" si="145"/>
        <v>-0.39379474940334125</v>
      </c>
      <c r="U97" s="73">
        <f t="shared" si="145"/>
        <v>1.2861736334405238E-2</v>
      </c>
      <c r="V97" s="24">
        <f t="shared" si="145"/>
        <v>-0.29814227458087905</v>
      </c>
      <c r="W97" s="73">
        <f t="shared" si="145"/>
        <v>0.26623376623376616</v>
      </c>
      <c r="X97" s="73">
        <f t="shared" si="145"/>
        <v>1.3863636363636362</v>
      </c>
      <c r="Y97" s="73">
        <f t="shared" si="145"/>
        <v>0.48425196850393704</v>
      </c>
      <c r="Z97" s="73">
        <f t="shared" ref="Z97:AI97" si="146">Z95/U95-1</f>
        <v>1.5714285714285716</v>
      </c>
      <c r="AA97" s="24">
        <f t="shared" si="146"/>
        <v>0.79406068431245957</v>
      </c>
      <c r="AB97" s="73">
        <f t="shared" si="146"/>
        <v>0.24102564102564106</v>
      </c>
      <c r="AC97" s="73">
        <f t="shared" si="146"/>
        <v>0.46666666666666656</v>
      </c>
      <c r="AD97" s="73">
        <f t="shared" si="146"/>
        <v>0.16180371352785139</v>
      </c>
      <c r="AE97" s="73">
        <f t="shared" si="146"/>
        <v>-0.12345679012345678</v>
      </c>
      <c r="AF97" s="24">
        <f t="shared" si="146"/>
        <v>0.16444764303706361</v>
      </c>
      <c r="AG97" s="73">
        <f t="shared" si="146"/>
        <v>4.2699724517906379E-2</v>
      </c>
      <c r="AH97" s="73">
        <f t="shared" si="146"/>
        <v>-0.14826839826839822</v>
      </c>
      <c r="AI97" s="73">
        <f t="shared" si="146"/>
        <v>-0.20091324200913241</v>
      </c>
      <c r="AJ97" s="73">
        <f t="shared" ref="AJ97:AS97" si="147">AJ95/AE95-1</f>
        <v>-0.28591549295774643</v>
      </c>
      <c r="AK97" s="24">
        <v>-0.14987639060568603</v>
      </c>
      <c r="AL97" s="73">
        <v>-0.19947159841479523</v>
      </c>
      <c r="AM97" s="73">
        <v>-0.47522236340533675</v>
      </c>
      <c r="AN97" s="73">
        <v>-7.8571428571428625E-2</v>
      </c>
      <c r="AO97" s="73">
        <v>0.16765285996055224</v>
      </c>
      <c r="AP97" s="24">
        <v>-0.17993456924754636</v>
      </c>
      <c r="AQ97" s="73">
        <v>2.1452145214521545E-2</v>
      </c>
      <c r="AR97" s="73">
        <v>0.30508474576271194</v>
      </c>
      <c r="AS97" s="73">
        <v>-0.10542635658914734</v>
      </c>
      <c r="AT97" s="73">
        <v>-0.13344594594594594</v>
      </c>
      <c r="AU97" s="24">
        <v>-3.5460992907800915E-3</v>
      </c>
      <c r="AV97" s="73">
        <v>-0.26332794830371564</v>
      </c>
      <c r="AW97" s="73">
        <v>-9.6474953617810777E-2</v>
      </c>
      <c r="AX97" s="73">
        <v>0.17331022530329299</v>
      </c>
      <c r="AY97" s="73">
        <v>-7.7972709551656916E-2</v>
      </c>
      <c r="AZ97" s="24">
        <v>-6.8950177935943047E-2</v>
      </c>
    </row>
    <row r="98" spans="1:52" ht="13.5" customHeight="1">
      <c r="A98" s="40" t="s">
        <v>261</v>
      </c>
      <c r="B98" s="41"/>
      <c r="C98" s="49"/>
      <c r="D98" s="49"/>
      <c r="E98" s="49"/>
      <c r="F98" s="49"/>
      <c r="G98" s="41"/>
      <c r="H98" s="49"/>
      <c r="I98" s="49"/>
      <c r="J98" s="49"/>
      <c r="K98" s="49"/>
      <c r="L98" s="41"/>
      <c r="M98" s="49"/>
      <c r="N98" s="49"/>
      <c r="O98" s="49"/>
      <c r="P98" s="49"/>
      <c r="Q98" s="41"/>
      <c r="R98" s="49"/>
      <c r="S98" s="49"/>
      <c r="T98" s="49"/>
      <c r="U98" s="49"/>
      <c r="V98" s="41"/>
      <c r="W98" s="49"/>
      <c r="X98" s="49"/>
      <c r="Y98" s="49"/>
      <c r="Z98" s="49"/>
      <c r="AA98" s="41"/>
      <c r="AB98" s="49"/>
      <c r="AC98" s="49"/>
      <c r="AD98" s="49"/>
      <c r="AE98" s="49"/>
      <c r="AF98" s="41"/>
      <c r="AG98" s="49"/>
      <c r="AH98" s="49"/>
      <c r="AI98" s="49"/>
      <c r="AJ98" s="49"/>
      <c r="AK98" s="41"/>
      <c r="AL98" s="49"/>
      <c r="AM98" s="49"/>
      <c r="AN98" s="49"/>
      <c r="AO98" s="49"/>
      <c r="AP98" s="41"/>
      <c r="AQ98" s="49"/>
      <c r="AR98" s="49"/>
      <c r="AS98" s="49"/>
      <c r="AT98" s="49"/>
      <c r="AU98" s="41"/>
      <c r="AV98" s="49"/>
      <c r="AW98" s="49"/>
      <c r="AX98" s="49"/>
      <c r="AY98" s="49"/>
      <c r="AZ98" s="41"/>
    </row>
    <row r="99" spans="1:52" ht="13.5" customHeight="1">
      <c r="A99" s="69" t="s">
        <v>180</v>
      </c>
      <c r="B99" s="123" t="s">
        <v>45</v>
      </c>
      <c r="C99" s="80" t="s">
        <v>53</v>
      </c>
      <c r="D99" s="80" t="s">
        <v>53</v>
      </c>
      <c r="E99" s="80" t="s">
        <v>53</v>
      </c>
      <c r="F99" s="80" t="s">
        <v>53</v>
      </c>
      <c r="G99" s="123" t="s">
        <v>45</v>
      </c>
      <c r="H99" s="80" t="s">
        <v>53</v>
      </c>
      <c r="I99" s="80" t="s">
        <v>53</v>
      </c>
      <c r="J99" s="80" t="s">
        <v>53</v>
      </c>
      <c r="K99" s="80" t="s">
        <v>53</v>
      </c>
      <c r="L99" s="123" t="s">
        <v>45</v>
      </c>
      <c r="M99" s="80" t="s">
        <v>53</v>
      </c>
      <c r="N99" s="80" t="s">
        <v>53</v>
      </c>
      <c r="O99" s="80" t="s">
        <v>53</v>
      </c>
      <c r="P99" s="80" t="s">
        <v>53</v>
      </c>
      <c r="Q99" s="171">
        <v>-300</v>
      </c>
      <c r="R99" s="80" t="s">
        <v>53</v>
      </c>
      <c r="S99" s="80" t="s">
        <v>53</v>
      </c>
      <c r="T99" s="80" t="s">
        <v>53</v>
      </c>
      <c r="U99" s="80" t="s">
        <v>53</v>
      </c>
      <c r="V99" s="171">
        <v>-756</v>
      </c>
      <c r="W99" s="80" t="s">
        <v>53</v>
      </c>
      <c r="X99" s="80" t="s">
        <v>53</v>
      </c>
      <c r="Y99" s="80" t="s">
        <v>53</v>
      </c>
      <c r="Z99" s="80" t="s">
        <v>53</v>
      </c>
      <c r="AA99" s="171">
        <v>505</v>
      </c>
      <c r="AB99" s="80" t="s">
        <v>53</v>
      </c>
      <c r="AC99" s="80" t="s">
        <v>53</v>
      </c>
      <c r="AD99" s="80" t="s">
        <v>53</v>
      </c>
      <c r="AE99" s="80" t="s">
        <v>53</v>
      </c>
      <c r="AF99" s="171">
        <v>646</v>
      </c>
      <c r="AG99" s="80" t="s">
        <v>53</v>
      </c>
      <c r="AH99" s="80" t="s">
        <v>53</v>
      </c>
      <c r="AI99" s="80" t="s">
        <v>53</v>
      </c>
      <c r="AJ99" s="80" t="s">
        <v>53</v>
      </c>
      <c r="AK99" s="171">
        <v>549</v>
      </c>
      <c r="AL99" s="152">
        <v>84</v>
      </c>
      <c r="AM99" s="152">
        <v>61</v>
      </c>
      <c r="AN99" s="152">
        <v>51</v>
      </c>
      <c r="AO99" s="152">
        <v>126</v>
      </c>
      <c r="AP99" s="171">
        <v>322</v>
      </c>
      <c r="AQ99" s="152">
        <v>-12</v>
      </c>
      <c r="AR99" s="152">
        <v>75</v>
      </c>
      <c r="AS99" s="152">
        <v>53</v>
      </c>
      <c r="AT99" s="152">
        <v>-10</v>
      </c>
      <c r="AU99" s="171">
        <v>106</v>
      </c>
      <c r="AV99" s="152">
        <v>-7</v>
      </c>
      <c r="AW99" s="152">
        <v>23</v>
      </c>
      <c r="AX99" s="152">
        <v>105</v>
      </c>
      <c r="AY99" s="152">
        <v>72</v>
      </c>
      <c r="AZ99" s="171">
        <v>193</v>
      </c>
    </row>
    <row r="100" spans="1:52" ht="13.5" customHeight="1">
      <c r="B100" s="65"/>
      <c r="C100" s="80"/>
      <c r="D100" s="80"/>
      <c r="E100" s="80"/>
      <c r="F100" s="80"/>
      <c r="G100" s="65"/>
      <c r="H100" s="80"/>
      <c r="I100" s="80"/>
      <c r="J100" s="80"/>
      <c r="K100" s="80"/>
      <c r="L100" s="65"/>
      <c r="M100" s="80"/>
      <c r="N100" s="80"/>
      <c r="O100" s="80"/>
      <c r="P100" s="80"/>
      <c r="Q100" s="65"/>
      <c r="R100" s="80"/>
      <c r="S100" s="80"/>
      <c r="T100" s="80"/>
      <c r="U100" s="80"/>
      <c r="V100" s="65"/>
      <c r="W100" s="80"/>
      <c r="X100" s="80"/>
      <c r="Y100" s="80"/>
      <c r="Z100" s="80"/>
      <c r="AA100" s="65"/>
      <c r="AB100" s="80"/>
      <c r="AC100" s="80"/>
      <c r="AD100" s="80"/>
      <c r="AE100" s="80"/>
      <c r="AF100" s="65"/>
      <c r="AG100" s="80"/>
      <c r="AH100" s="80"/>
      <c r="AI100" s="80"/>
      <c r="AJ100" s="80"/>
      <c r="AK100" s="65"/>
      <c r="AL100" s="70"/>
      <c r="AM100" s="70"/>
      <c r="AN100" s="70"/>
      <c r="AO100" s="70"/>
      <c r="AP100" s="65"/>
      <c r="AQ100" s="70"/>
      <c r="AR100" s="70"/>
      <c r="AS100" s="70"/>
      <c r="AT100" s="70"/>
      <c r="AU100" s="65"/>
      <c r="AV100" s="70"/>
      <c r="AW100" s="70"/>
      <c r="AX100" s="70"/>
      <c r="AY100" s="70"/>
      <c r="AZ100" s="65"/>
    </row>
    <row r="101" spans="1:52" ht="13.5" customHeight="1">
      <c r="A101" s="69" t="s">
        <v>181</v>
      </c>
      <c r="B101" s="123" t="s">
        <v>45</v>
      </c>
      <c r="C101" s="80" t="s">
        <v>53</v>
      </c>
      <c r="D101" s="80" t="s">
        <v>53</v>
      </c>
      <c r="E101" s="80" t="s">
        <v>53</v>
      </c>
      <c r="F101" s="80" t="s">
        <v>53</v>
      </c>
      <c r="G101" s="123" t="s">
        <v>45</v>
      </c>
      <c r="H101" s="80" t="s">
        <v>53</v>
      </c>
      <c r="I101" s="80" t="s">
        <v>53</v>
      </c>
      <c r="J101" s="80" t="s">
        <v>53</v>
      </c>
      <c r="K101" s="80" t="s">
        <v>53</v>
      </c>
      <c r="L101" s="123" t="s">
        <v>45</v>
      </c>
      <c r="M101" s="80" t="s">
        <v>53</v>
      </c>
      <c r="N101" s="80" t="s">
        <v>53</v>
      </c>
      <c r="O101" s="80" t="s">
        <v>53</v>
      </c>
      <c r="P101" s="80" t="s">
        <v>53</v>
      </c>
      <c r="Q101" s="171">
        <v>84</v>
      </c>
      <c r="R101" s="80" t="s">
        <v>53</v>
      </c>
      <c r="S101" s="80" t="s">
        <v>53</v>
      </c>
      <c r="T101" s="80" t="s">
        <v>53</v>
      </c>
      <c r="U101" s="80" t="s">
        <v>53</v>
      </c>
      <c r="V101" s="171">
        <v>-33</v>
      </c>
      <c r="W101" s="80" t="s">
        <v>53</v>
      </c>
      <c r="X101" s="80" t="s">
        <v>53</v>
      </c>
      <c r="Y101" s="80" t="s">
        <v>53</v>
      </c>
      <c r="Z101" s="80" t="s">
        <v>53</v>
      </c>
      <c r="AA101" s="171">
        <v>74</v>
      </c>
      <c r="AB101" s="80" t="s">
        <v>53</v>
      </c>
      <c r="AC101" s="80" t="s">
        <v>53</v>
      </c>
      <c r="AD101" s="80" t="s">
        <v>53</v>
      </c>
      <c r="AE101" s="80" t="s">
        <v>53</v>
      </c>
      <c r="AF101" s="171">
        <v>9</v>
      </c>
      <c r="AG101" s="80" t="s">
        <v>53</v>
      </c>
      <c r="AH101" s="80" t="s">
        <v>53</v>
      </c>
      <c r="AI101" s="80" t="s">
        <v>53</v>
      </c>
      <c r="AJ101" s="80" t="s">
        <v>53</v>
      </c>
      <c r="AK101" s="171">
        <v>28</v>
      </c>
      <c r="AL101" s="152">
        <v>9</v>
      </c>
      <c r="AM101" s="152">
        <v>-9</v>
      </c>
      <c r="AN101" s="152">
        <v>6</v>
      </c>
      <c r="AO101" s="152">
        <v>-26</v>
      </c>
      <c r="AP101" s="171">
        <v>-20</v>
      </c>
      <c r="AQ101" s="152">
        <v>-9</v>
      </c>
      <c r="AR101" s="152">
        <v>14</v>
      </c>
      <c r="AS101" s="152">
        <v>2</v>
      </c>
      <c r="AT101" s="152">
        <v>-27</v>
      </c>
      <c r="AU101" s="171">
        <v>-20</v>
      </c>
      <c r="AV101" s="152">
        <v>-20</v>
      </c>
      <c r="AW101" s="152">
        <v>8</v>
      </c>
      <c r="AX101" s="152">
        <v>2</v>
      </c>
      <c r="AY101" s="152">
        <v>-25</v>
      </c>
      <c r="AZ101" s="171">
        <v>-35</v>
      </c>
    </row>
    <row r="102" spans="1:52" ht="13.5" customHeight="1">
      <c r="A102" s="71"/>
      <c r="B102" s="171"/>
      <c r="C102" s="80"/>
      <c r="D102" s="80"/>
      <c r="E102" s="80"/>
      <c r="F102" s="80"/>
      <c r="G102" s="171"/>
      <c r="H102" s="80"/>
      <c r="I102" s="80"/>
      <c r="J102" s="80"/>
      <c r="K102" s="80"/>
      <c r="L102" s="171"/>
      <c r="M102" s="80"/>
      <c r="N102" s="80"/>
      <c r="O102" s="80"/>
      <c r="P102" s="80"/>
      <c r="Q102" s="171"/>
      <c r="R102" s="80"/>
      <c r="S102" s="80"/>
      <c r="T102" s="80"/>
      <c r="U102" s="80"/>
      <c r="V102" s="171"/>
      <c r="W102" s="80"/>
      <c r="X102" s="80"/>
      <c r="Y102" s="80"/>
      <c r="Z102" s="80"/>
      <c r="AA102" s="171"/>
      <c r="AB102" s="80"/>
      <c r="AC102" s="80"/>
      <c r="AD102" s="80"/>
      <c r="AE102" s="80"/>
      <c r="AF102" s="171"/>
      <c r="AG102" s="80"/>
      <c r="AH102" s="80"/>
      <c r="AI102" s="80"/>
      <c r="AJ102" s="80"/>
      <c r="AK102" s="171"/>
      <c r="AL102" s="152"/>
      <c r="AM102" s="152"/>
      <c r="AN102" s="152"/>
      <c r="AO102" s="152"/>
      <c r="AP102" s="171"/>
      <c r="AQ102" s="152"/>
      <c r="AR102" s="152"/>
      <c r="AS102" s="152"/>
      <c r="AT102" s="152"/>
      <c r="AU102" s="171"/>
      <c r="AV102" s="152"/>
      <c r="AW102" s="152"/>
      <c r="AX102" s="152"/>
      <c r="AY102" s="152"/>
      <c r="AZ102" s="171"/>
    </row>
    <row r="103" spans="1:52" ht="13.5" customHeight="1">
      <c r="A103" s="69" t="s">
        <v>182</v>
      </c>
      <c r="B103" s="123" t="s">
        <v>45</v>
      </c>
      <c r="C103" s="80" t="s">
        <v>53</v>
      </c>
      <c r="D103" s="80" t="s">
        <v>53</v>
      </c>
      <c r="E103" s="80" t="s">
        <v>53</v>
      </c>
      <c r="F103" s="80" t="s">
        <v>53</v>
      </c>
      <c r="G103" s="123" t="s">
        <v>45</v>
      </c>
      <c r="H103" s="80" t="s">
        <v>53</v>
      </c>
      <c r="I103" s="80" t="s">
        <v>53</v>
      </c>
      <c r="J103" s="80" t="s">
        <v>53</v>
      </c>
      <c r="K103" s="80" t="s">
        <v>53</v>
      </c>
      <c r="L103" s="123" t="s">
        <v>45</v>
      </c>
      <c r="M103" s="80" t="s">
        <v>53</v>
      </c>
      <c r="N103" s="80" t="s">
        <v>53</v>
      </c>
      <c r="O103" s="80" t="s">
        <v>53</v>
      </c>
      <c r="P103" s="80" t="s">
        <v>53</v>
      </c>
      <c r="Q103" s="171">
        <v>-21</v>
      </c>
      <c r="R103" s="80" t="s">
        <v>53</v>
      </c>
      <c r="S103" s="80" t="s">
        <v>53</v>
      </c>
      <c r="T103" s="80" t="s">
        <v>53</v>
      </c>
      <c r="U103" s="80" t="s">
        <v>53</v>
      </c>
      <c r="V103" s="171">
        <v>-131</v>
      </c>
      <c r="W103" s="80" t="s">
        <v>53</v>
      </c>
      <c r="X103" s="80" t="s">
        <v>53</v>
      </c>
      <c r="Y103" s="80" t="s">
        <v>53</v>
      </c>
      <c r="Z103" s="80" t="s">
        <v>53</v>
      </c>
      <c r="AA103" s="171">
        <v>-233</v>
      </c>
      <c r="AB103" s="80" t="s">
        <v>53</v>
      </c>
      <c r="AC103" s="80" t="s">
        <v>53</v>
      </c>
      <c r="AD103" s="80" t="s">
        <v>53</v>
      </c>
      <c r="AE103" s="80" t="s">
        <v>53</v>
      </c>
      <c r="AF103" s="171">
        <v>27</v>
      </c>
      <c r="AG103" s="80" t="s">
        <v>53</v>
      </c>
      <c r="AH103" s="80" t="s">
        <v>53</v>
      </c>
      <c r="AI103" s="80" t="s">
        <v>53</v>
      </c>
      <c r="AJ103" s="80" t="s">
        <v>53</v>
      </c>
      <c r="AK103" s="171">
        <v>-39</v>
      </c>
      <c r="AL103" s="152">
        <v>-45</v>
      </c>
      <c r="AM103" s="152">
        <v>-150</v>
      </c>
      <c r="AN103" s="152">
        <v>21</v>
      </c>
      <c r="AO103" s="152">
        <v>-97</v>
      </c>
      <c r="AP103" s="171">
        <v>-271</v>
      </c>
      <c r="AQ103" s="152">
        <v>39</v>
      </c>
      <c r="AR103" s="152">
        <v>-137</v>
      </c>
      <c r="AS103" s="152">
        <v>-12</v>
      </c>
      <c r="AT103" s="152">
        <v>86</v>
      </c>
      <c r="AU103" s="171">
        <v>-24</v>
      </c>
      <c r="AV103" s="152">
        <v>-24</v>
      </c>
      <c r="AW103" s="152">
        <v>-15</v>
      </c>
      <c r="AX103" s="152">
        <v>103</v>
      </c>
      <c r="AY103" s="152">
        <v>-54</v>
      </c>
      <c r="AZ103" s="171">
        <v>10</v>
      </c>
    </row>
    <row r="104" spans="1:52" ht="13.5" customHeight="1">
      <c r="A104" s="71"/>
      <c r="B104" s="171"/>
      <c r="C104" s="80"/>
      <c r="D104" s="80"/>
      <c r="E104" s="80"/>
      <c r="F104" s="80"/>
      <c r="G104" s="171"/>
      <c r="H104" s="80"/>
      <c r="I104" s="80"/>
      <c r="J104" s="80"/>
      <c r="K104" s="80"/>
      <c r="L104" s="171"/>
      <c r="M104" s="80"/>
      <c r="N104" s="80"/>
      <c r="O104" s="80"/>
      <c r="P104" s="80"/>
      <c r="Q104" s="171"/>
      <c r="R104" s="80"/>
      <c r="S104" s="80"/>
      <c r="T104" s="80"/>
      <c r="U104" s="80"/>
      <c r="V104" s="171"/>
      <c r="W104" s="80"/>
      <c r="X104" s="80"/>
      <c r="Y104" s="80"/>
      <c r="Z104" s="80"/>
      <c r="AA104" s="171"/>
      <c r="AB104" s="80"/>
      <c r="AC104" s="80"/>
      <c r="AD104" s="80"/>
      <c r="AE104" s="80"/>
      <c r="AF104" s="171"/>
      <c r="AG104" s="80"/>
      <c r="AH104" s="80"/>
      <c r="AI104" s="80"/>
      <c r="AJ104" s="80"/>
      <c r="AK104" s="171"/>
      <c r="AL104" s="152"/>
      <c r="AM104" s="152"/>
      <c r="AN104" s="152"/>
      <c r="AO104" s="152"/>
      <c r="AP104" s="171"/>
      <c r="AQ104" s="152"/>
      <c r="AR104" s="152"/>
      <c r="AS104" s="152"/>
      <c r="AT104" s="152"/>
      <c r="AU104" s="171"/>
      <c r="AV104" s="152"/>
      <c r="AW104" s="152"/>
      <c r="AX104" s="152"/>
      <c r="AY104" s="152"/>
      <c r="AZ104" s="171"/>
    </row>
    <row r="105" spans="1:52" ht="15" customHeight="1">
      <c r="A105" s="69" t="s">
        <v>183</v>
      </c>
      <c r="B105" s="123" t="s">
        <v>45</v>
      </c>
      <c r="C105" s="80" t="s">
        <v>53</v>
      </c>
      <c r="D105" s="80" t="s">
        <v>53</v>
      </c>
      <c r="E105" s="80" t="s">
        <v>53</v>
      </c>
      <c r="F105" s="80" t="s">
        <v>53</v>
      </c>
      <c r="G105" s="123" t="s">
        <v>45</v>
      </c>
      <c r="H105" s="80" t="s">
        <v>53</v>
      </c>
      <c r="I105" s="80" t="s">
        <v>53</v>
      </c>
      <c r="J105" s="80" t="s">
        <v>53</v>
      </c>
      <c r="K105" s="80" t="s">
        <v>53</v>
      </c>
      <c r="L105" s="123" t="s">
        <v>45</v>
      </c>
      <c r="M105" s="80" t="s">
        <v>53</v>
      </c>
      <c r="N105" s="80" t="s">
        <v>53</v>
      </c>
      <c r="O105" s="80" t="s">
        <v>53</v>
      </c>
      <c r="P105" s="80" t="s">
        <v>53</v>
      </c>
      <c r="Q105" s="153">
        <v>-136</v>
      </c>
      <c r="R105" s="80" t="s">
        <v>53</v>
      </c>
      <c r="S105" s="80" t="s">
        <v>53</v>
      </c>
      <c r="T105" s="80" t="s">
        <v>53</v>
      </c>
      <c r="U105" s="80" t="s">
        <v>53</v>
      </c>
      <c r="V105" s="153">
        <v>-64</v>
      </c>
      <c r="W105" s="80" t="s">
        <v>53</v>
      </c>
      <c r="X105" s="80" t="s">
        <v>53</v>
      </c>
      <c r="Y105" s="80" t="s">
        <v>53</v>
      </c>
      <c r="Z105" s="80" t="s">
        <v>53</v>
      </c>
      <c r="AA105" s="153">
        <v>-34</v>
      </c>
      <c r="AB105" s="80" t="s">
        <v>53</v>
      </c>
      <c r="AC105" s="80" t="s">
        <v>53</v>
      </c>
      <c r="AD105" s="80" t="s">
        <v>53</v>
      </c>
      <c r="AE105" s="80" t="s">
        <v>53</v>
      </c>
      <c r="AF105" s="153">
        <v>-29</v>
      </c>
      <c r="AG105" s="80" t="s">
        <v>53</v>
      </c>
      <c r="AH105" s="80" t="s">
        <v>53</v>
      </c>
      <c r="AI105" s="80" t="s">
        <v>53</v>
      </c>
      <c r="AJ105" s="80" t="s">
        <v>53</v>
      </c>
      <c r="AK105" s="153">
        <v>-63</v>
      </c>
      <c r="AL105" s="152">
        <v>3</v>
      </c>
      <c r="AM105" s="152">
        <v>6</v>
      </c>
      <c r="AN105" s="152">
        <v>-3</v>
      </c>
      <c r="AO105" s="152">
        <v>12</v>
      </c>
      <c r="AP105" s="171">
        <v>18</v>
      </c>
      <c r="AQ105" s="151">
        <v>-12</v>
      </c>
      <c r="AR105" s="152">
        <v>3</v>
      </c>
      <c r="AS105" s="152">
        <v>-3</v>
      </c>
      <c r="AT105" s="152">
        <v>-7</v>
      </c>
      <c r="AU105" s="171">
        <v>-19</v>
      </c>
      <c r="AV105" s="151">
        <v>1</v>
      </c>
      <c r="AW105" s="151">
        <v>-2</v>
      </c>
      <c r="AX105" s="151">
        <v>16</v>
      </c>
      <c r="AY105" s="152">
        <v>0</v>
      </c>
      <c r="AZ105" s="171">
        <v>15</v>
      </c>
    </row>
    <row r="106" spans="1:52" ht="13.5" customHeight="1">
      <c r="A106" s="69"/>
      <c r="B106" s="171"/>
      <c r="C106" s="80"/>
      <c r="D106" s="80"/>
      <c r="E106" s="80"/>
      <c r="F106" s="80"/>
      <c r="G106" s="171"/>
      <c r="H106" s="80"/>
      <c r="I106" s="80"/>
      <c r="J106" s="80"/>
      <c r="K106" s="80"/>
      <c r="L106" s="171"/>
      <c r="M106" s="80"/>
      <c r="N106" s="80"/>
      <c r="O106" s="80"/>
      <c r="P106" s="80"/>
      <c r="Q106" s="171"/>
      <c r="R106" s="80"/>
      <c r="S106" s="80"/>
      <c r="T106" s="80"/>
      <c r="U106" s="80"/>
      <c r="V106" s="171"/>
      <c r="W106" s="80"/>
      <c r="X106" s="80"/>
      <c r="Y106" s="80"/>
      <c r="Z106" s="80"/>
      <c r="AA106" s="171"/>
      <c r="AB106" s="80"/>
      <c r="AC106" s="80"/>
      <c r="AD106" s="80"/>
      <c r="AE106" s="80"/>
      <c r="AF106" s="171"/>
      <c r="AG106" s="80"/>
      <c r="AH106" s="80"/>
      <c r="AI106" s="80"/>
      <c r="AJ106" s="80"/>
      <c r="AK106" s="171"/>
      <c r="AL106" s="152"/>
      <c r="AM106" s="152"/>
      <c r="AN106" s="152"/>
      <c r="AO106" s="152"/>
      <c r="AP106" s="171"/>
      <c r="AQ106" s="152"/>
      <c r="AR106" s="152"/>
      <c r="AS106" s="152"/>
      <c r="AT106" s="152"/>
      <c r="AU106" s="171"/>
      <c r="AV106" s="152"/>
      <c r="AW106" s="152"/>
      <c r="AX106" s="152"/>
      <c r="AY106" s="152"/>
      <c r="AZ106" s="171"/>
    </row>
    <row r="107" spans="1:52" ht="13.5" customHeight="1">
      <c r="A107" s="69" t="s">
        <v>184</v>
      </c>
      <c r="B107" s="123" t="s">
        <v>45</v>
      </c>
      <c r="C107" s="80" t="s">
        <v>53</v>
      </c>
      <c r="D107" s="80" t="s">
        <v>53</v>
      </c>
      <c r="E107" s="80" t="s">
        <v>53</v>
      </c>
      <c r="F107" s="80" t="s">
        <v>53</v>
      </c>
      <c r="G107" s="123" t="s">
        <v>45</v>
      </c>
      <c r="H107" s="80" t="s">
        <v>53</v>
      </c>
      <c r="I107" s="80" t="s">
        <v>53</v>
      </c>
      <c r="J107" s="80" t="s">
        <v>53</v>
      </c>
      <c r="K107" s="80" t="s">
        <v>53</v>
      </c>
      <c r="L107" s="123" t="s">
        <v>45</v>
      </c>
      <c r="M107" s="80" t="s">
        <v>53</v>
      </c>
      <c r="N107" s="80" t="s">
        <v>53</v>
      </c>
      <c r="O107" s="80" t="s">
        <v>53</v>
      </c>
      <c r="P107" s="80" t="s">
        <v>53</v>
      </c>
      <c r="Q107" s="153">
        <v>-215</v>
      </c>
      <c r="R107" s="80" t="s">
        <v>53</v>
      </c>
      <c r="S107" s="80" t="s">
        <v>53</v>
      </c>
      <c r="T107" s="80" t="s">
        <v>53</v>
      </c>
      <c r="U107" s="80" t="s">
        <v>53</v>
      </c>
      <c r="V107" s="153">
        <v>82</v>
      </c>
      <c r="W107" s="80" t="s">
        <v>53</v>
      </c>
      <c r="X107" s="80" t="s">
        <v>53</v>
      </c>
      <c r="Y107" s="80" t="s">
        <v>53</v>
      </c>
      <c r="Z107" s="80" t="s">
        <v>53</v>
      </c>
      <c r="AA107" s="171">
        <v>-140</v>
      </c>
      <c r="AB107" s="80" t="s">
        <v>53</v>
      </c>
      <c r="AC107" s="80" t="s">
        <v>53</v>
      </c>
      <c r="AD107" s="80" t="s">
        <v>53</v>
      </c>
      <c r="AE107" s="80" t="s">
        <v>53</v>
      </c>
      <c r="AF107" s="153">
        <v>2</v>
      </c>
      <c r="AG107" s="80" t="s">
        <v>53</v>
      </c>
      <c r="AH107" s="80" t="s">
        <v>53</v>
      </c>
      <c r="AI107" s="80" t="s">
        <v>53</v>
      </c>
      <c r="AJ107" s="80" t="s">
        <v>53</v>
      </c>
      <c r="AK107" s="171">
        <v>3</v>
      </c>
      <c r="AL107" s="152">
        <v>4</v>
      </c>
      <c r="AM107" s="152">
        <v>-3</v>
      </c>
      <c r="AN107" s="152">
        <v>-1</v>
      </c>
      <c r="AO107" s="152">
        <v>110</v>
      </c>
      <c r="AP107" s="171">
        <v>110</v>
      </c>
      <c r="AQ107" s="36">
        <v>1</v>
      </c>
      <c r="AR107" s="152">
        <v>-9</v>
      </c>
      <c r="AS107" s="152">
        <v>-92</v>
      </c>
      <c r="AT107" s="152">
        <v>35</v>
      </c>
      <c r="AU107" s="171">
        <v>-65</v>
      </c>
      <c r="AV107" s="152">
        <v>-6</v>
      </c>
      <c r="AW107" s="152">
        <v>9</v>
      </c>
      <c r="AX107" s="152">
        <v>-65</v>
      </c>
      <c r="AY107" s="152">
        <v>29</v>
      </c>
      <c r="AZ107" s="171">
        <v>-33</v>
      </c>
    </row>
    <row r="108" spans="1:52" ht="13.5" customHeight="1">
      <c r="A108" s="69"/>
      <c r="B108" s="171"/>
      <c r="C108" s="80"/>
      <c r="D108" s="80"/>
      <c r="E108" s="80"/>
      <c r="F108" s="80"/>
      <c r="G108" s="171"/>
      <c r="H108" s="80"/>
      <c r="I108" s="80"/>
      <c r="J108" s="80"/>
      <c r="K108" s="80"/>
      <c r="L108" s="171"/>
      <c r="M108" s="80"/>
      <c r="N108" s="80"/>
      <c r="O108" s="80"/>
      <c r="P108" s="80"/>
      <c r="Q108" s="171"/>
      <c r="R108" s="80"/>
      <c r="S108" s="80"/>
      <c r="T108" s="80"/>
      <c r="U108" s="80"/>
      <c r="V108" s="171"/>
      <c r="W108" s="80"/>
      <c r="X108" s="80"/>
      <c r="Y108" s="80"/>
      <c r="Z108" s="80"/>
      <c r="AA108" s="171"/>
      <c r="AB108" s="80"/>
      <c r="AC108" s="80"/>
      <c r="AD108" s="80"/>
      <c r="AE108" s="80"/>
      <c r="AF108" s="171"/>
      <c r="AG108" s="80"/>
      <c r="AH108" s="80"/>
      <c r="AI108" s="80"/>
      <c r="AJ108" s="80"/>
      <c r="AK108" s="171"/>
      <c r="AL108" s="152"/>
      <c r="AM108" s="152"/>
      <c r="AN108" s="152"/>
      <c r="AO108" s="152"/>
      <c r="AP108" s="171"/>
      <c r="AQ108" s="152"/>
      <c r="AR108" s="152"/>
      <c r="AS108" s="152"/>
      <c r="AT108" s="152"/>
      <c r="AU108" s="171"/>
      <c r="AV108" s="152"/>
      <c r="AW108" s="152"/>
      <c r="AX108" s="152"/>
      <c r="AY108" s="152"/>
      <c r="AZ108" s="171"/>
    </row>
    <row r="109" spans="1:52" ht="24.75" customHeight="1">
      <c r="A109" s="89" t="s">
        <v>216</v>
      </c>
      <c r="B109" s="123" t="s">
        <v>45</v>
      </c>
      <c r="C109" s="80" t="s">
        <v>53</v>
      </c>
      <c r="D109" s="80" t="s">
        <v>53</v>
      </c>
      <c r="E109" s="80" t="s">
        <v>53</v>
      </c>
      <c r="F109" s="80" t="s">
        <v>53</v>
      </c>
      <c r="G109" s="123" t="s">
        <v>45</v>
      </c>
      <c r="H109" s="80" t="s">
        <v>53</v>
      </c>
      <c r="I109" s="80" t="s">
        <v>53</v>
      </c>
      <c r="J109" s="80" t="s">
        <v>53</v>
      </c>
      <c r="K109" s="80" t="s">
        <v>53</v>
      </c>
      <c r="L109" s="123" t="s">
        <v>45</v>
      </c>
      <c r="M109" s="80" t="s">
        <v>53</v>
      </c>
      <c r="N109" s="80" t="s">
        <v>53</v>
      </c>
      <c r="O109" s="80" t="s">
        <v>53</v>
      </c>
      <c r="P109" s="80" t="s">
        <v>53</v>
      </c>
      <c r="Q109" s="123" t="s">
        <v>45</v>
      </c>
      <c r="R109" s="80" t="s">
        <v>53</v>
      </c>
      <c r="S109" s="80" t="s">
        <v>53</v>
      </c>
      <c r="T109" s="80" t="s">
        <v>53</v>
      </c>
      <c r="U109" s="80" t="s">
        <v>53</v>
      </c>
      <c r="V109" s="171">
        <v>50</v>
      </c>
      <c r="W109" s="80" t="s">
        <v>53</v>
      </c>
      <c r="X109" s="80" t="s">
        <v>53</v>
      </c>
      <c r="Y109" s="80" t="s">
        <v>53</v>
      </c>
      <c r="Z109" s="80" t="s">
        <v>53</v>
      </c>
      <c r="AA109" s="171">
        <v>-31</v>
      </c>
      <c r="AB109" s="80" t="s">
        <v>53</v>
      </c>
      <c r="AC109" s="80" t="s">
        <v>53</v>
      </c>
      <c r="AD109" s="80" t="s">
        <v>53</v>
      </c>
      <c r="AE109" s="80" t="s">
        <v>53</v>
      </c>
      <c r="AF109" s="171">
        <v>11</v>
      </c>
      <c r="AG109" s="80" t="s">
        <v>53</v>
      </c>
      <c r="AH109" s="80" t="s">
        <v>53</v>
      </c>
      <c r="AI109" s="80" t="s">
        <v>53</v>
      </c>
      <c r="AJ109" s="80" t="s">
        <v>53</v>
      </c>
      <c r="AK109" s="171">
        <v>4</v>
      </c>
      <c r="AL109" s="152">
        <v>-1</v>
      </c>
      <c r="AM109" s="152">
        <v>-15</v>
      </c>
      <c r="AN109" s="152">
        <v>8</v>
      </c>
      <c r="AO109" s="152">
        <v>-1</v>
      </c>
      <c r="AP109" s="171">
        <v>-9</v>
      </c>
      <c r="AQ109" s="152">
        <v>-3</v>
      </c>
      <c r="AR109" s="152">
        <v>-5</v>
      </c>
      <c r="AS109" s="152">
        <v>16</v>
      </c>
      <c r="AT109" s="152">
        <v>15</v>
      </c>
      <c r="AU109" s="171">
        <v>23</v>
      </c>
      <c r="AV109" s="152">
        <v>-9</v>
      </c>
      <c r="AW109" s="152">
        <v>-25</v>
      </c>
      <c r="AX109" s="152">
        <v>4</v>
      </c>
      <c r="AY109" s="152">
        <v>-4</v>
      </c>
      <c r="AZ109" s="171">
        <v>-34</v>
      </c>
    </row>
    <row r="110" spans="1:52" ht="13.5" customHeight="1">
      <c r="A110" s="172" t="s">
        <v>179</v>
      </c>
      <c r="B110" s="173"/>
      <c r="C110" s="174"/>
      <c r="D110" s="174"/>
      <c r="E110" s="174"/>
      <c r="F110" s="174"/>
      <c r="G110" s="173"/>
      <c r="H110" s="174"/>
      <c r="I110" s="174"/>
      <c r="J110" s="174"/>
      <c r="K110" s="174"/>
      <c r="L110" s="173"/>
      <c r="M110" s="174"/>
      <c r="N110" s="174"/>
      <c r="O110" s="174"/>
      <c r="P110" s="174"/>
      <c r="Q110" s="173">
        <f>SUM(Q99:Q109)</f>
        <v>-588</v>
      </c>
      <c r="R110" s="174"/>
      <c r="S110" s="174"/>
      <c r="T110" s="174"/>
      <c r="U110" s="174"/>
      <c r="V110" s="173">
        <f>SUM(V99:V109)</f>
        <v>-852</v>
      </c>
      <c r="W110" s="175"/>
      <c r="X110" s="175"/>
      <c r="Y110" s="175"/>
      <c r="Z110" s="175"/>
      <c r="AA110" s="173">
        <f>SUM(AA99:AA109)</f>
        <v>141</v>
      </c>
      <c r="AB110" s="176"/>
      <c r="AC110" s="176"/>
      <c r="AD110" s="176"/>
      <c r="AE110" s="176"/>
      <c r="AF110" s="173">
        <f>SUM(AF99:AF109)</f>
        <v>666</v>
      </c>
      <c r="AG110" s="173"/>
      <c r="AH110" s="173"/>
      <c r="AI110" s="173"/>
      <c r="AJ110" s="173"/>
      <c r="AK110" s="173">
        <v>482</v>
      </c>
      <c r="AL110" s="173">
        <v>54</v>
      </c>
      <c r="AM110" s="173">
        <v>-110</v>
      </c>
      <c r="AN110" s="173">
        <v>82</v>
      </c>
      <c r="AO110" s="173">
        <v>124</v>
      </c>
      <c r="AP110" s="173">
        <v>150</v>
      </c>
      <c r="AQ110" s="173">
        <v>4</v>
      </c>
      <c r="AR110" s="173">
        <v>-59</v>
      </c>
      <c r="AS110" s="173">
        <v>-36</v>
      </c>
      <c r="AT110" s="173">
        <v>92</v>
      </c>
      <c r="AU110" s="173">
        <v>1</v>
      </c>
      <c r="AV110" s="173">
        <v>-65</v>
      </c>
      <c r="AW110" s="173">
        <v>-2</v>
      </c>
      <c r="AX110" s="173">
        <v>165</v>
      </c>
      <c r="AY110" s="173">
        <v>18</v>
      </c>
      <c r="AZ110" s="173">
        <v>116</v>
      </c>
    </row>
    <row r="111" spans="1:52" ht="13.5" customHeight="1">
      <c r="A111" s="69"/>
      <c r="B111" s="171"/>
      <c r="C111" s="80"/>
      <c r="D111" s="80"/>
      <c r="E111" s="80"/>
      <c r="F111" s="80"/>
      <c r="G111" s="171"/>
      <c r="H111" s="80"/>
      <c r="I111" s="80"/>
      <c r="J111" s="80"/>
      <c r="K111" s="80"/>
      <c r="L111" s="171"/>
      <c r="M111" s="80"/>
      <c r="N111" s="80"/>
      <c r="O111" s="80"/>
      <c r="P111" s="80"/>
      <c r="Q111" s="171"/>
      <c r="R111" s="80"/>
      <c r="S111" s="80"/>
      <c r="T111" s="80"/>
      <c r="U111" s="80"/>
      <c r="V111" s="171"/>
      <c r="W111" s="70"/>
      <c r="X111" s="70"/>
      <c r="Y111" s="70"/>
      <c r="Z111" s="70"/>
      <c r="AA111" s="171"/>
      <c r="AB111" s="70"/>
      <c r="AC111" s="70"/>
      <c r="AD111" s="70"/>
      <c r="AE111" s="70"/>
      <c r="AF111" s="171"/>
      <c r="AG111" s="152"/>
      <c r="AH111" s="152"/>
      <c r="AI111" s="152"/>
      <c r="AJ111" s="152"/>
      <c r="AK111" s="171"/>
      <c r="AL111" s="152"/>
      <c r="AM111" s="152"/>
      <c r="AN111" s="152"/>
      <c r="AO111" s="152"/>
      <c r="AP111" s="171"/>
      <c r="AQ111" s="152"/>
      <c r="AR111" s="152"/>
      <c r="AS111" s="152"/>
      <c r="AT111" s="152"/>
      <c r="AU111" s="171"/>
      <c r="AV111" s="152"/>
      <c r="AW111" s="152"/>
      <c r="AX111" s="152"/>
      <c r="AY111" s="152"/>
      <c r="AZ111" s="171"/>
    </row>
    <row r="112" spans="1:52" ht="13.5" customHeight="1">
      <c r="A112" s="69" t="s">
        <v>185</v>
      </c>
      <c r="B112" s="123" t="s">
        <v>45</v>
      </c>
      <c r="C112" s="80" t="s">
        <v>53</v>
      </c>
      <c r="D112" s="80" t="s">
        <v>53</v>
      </c>
      <c r="E112" s="80" t="s">
        <v>53</v>
      </c>
      <c r="F112" s="80" t="s">
        <v>53</v>
      </c>
      <c r="G112" s="123" t="s">
        <v>45</v>
      </c>
      <c r="H112" s="80" t="s">
        <v>53</v>
      </c>
      <c r="I112" s="80" t="s">
        <v>53</v>
      </c>
      <c r="J112" s="80" t="s">
        <v>53</v>
      </c>
      <c r="K112" s="80" t="s">
        <v>53</v>
      </c>
      <c r="L112" s="123" t="s">
        <v>45</v>
      </c>
      <c r="M112" s="80" t="s">
        <v>53</v>
      </c>
      <c r="N112" s="80" t="s">
        <v>53</v>
      </c>
      <c r="O112" s="80" t="s">
        <v>53</v>
      </c>
      <c r="P112" s="80" t="s">
        <v>53</v>
      </c>
      <c r="Q112" s="171">
        <v>690</v>
      </c>
      <c r="R112" s="80" t="s">
        <v>53</v>
      </c>
      <c r="S112" s="80" t="s">
        <v>53</v>
      </c>
      <c r="T112" s="80" t="s">
        <v>53</v>
      </c>
      <c r="U112" s="80" t="s">
        <v>53</v>
      </c>
      <c r="V112" s="171">
        <v>649</v>
      </c>
      <c r="W112" s="80" t="s">
        <v>53</v>
      </c>
      <c r="X112" s="80" t="s">
        <v>53</v>
      </c>
      <c r="Y112" s="80" t="s">
        <v>53</v>
      </c>
      <c r="Z112" s="80" t="s">
        <v>53</v>
      </c>
      <c r="AA112" s="171">
        <v>662</v>
      </c>
      <c r="AB112" s="80" t="s">
        <v>53</v>
      </c>
      <c r="AC112" s="80" t="s">
        <v>53</v>
      </c>
      <c r="AD112" s="80" t="s">
        <v>53</v>
      </c>
      <c r="AE112" s="80" t="s">
        <v>53</v>
      </c>
      <c r="AF112" s="171">
        <v>625</v>
      </c>
      <c r="AG112" s="80" t="s">
        <v>53</v>
      </c>
      <c r="AH112" s="80" t="s">
        <v>53</v>
      </c>
      <c r="AI112" s="80" t="s">
        <v>53</v>
      </c>
      <c r="AJ112" s="80" t="s">
        <v>53</v>
      </c>
      <c r="AK112" s="171">
        <v>527</v>
      </c>
      <c r="AL112" s="152">
        <v>53</v>
      </c>
      <c r="AM112" s="152">
        <v>154</v>
      </c>
      <c r="AN112" s="152">
        <v>130</v>
      </c>
      <c r="AO112" s="152">
        <v>125</v>
      </c>
      <c r="AP112" s="171">
        <v>462</v>
      </c>
      <c r="AQ112" s="152">
        <v>105</v>
      </c>
      <c r="AR112" s="152">
        <v>100</v>
      </c>
      <c r="AS112" s="152">
        <v>92</v>
      </c>
      <c r="AT112" s="152">
        <v>158</v>
      </c>
      <c r="AU112" s="171">
        <v>455</v>
      </c>
      <c r="AV112" s="152">
        <v>106</v>
      </c>
      <c r="AW112" s="152">
        <v>122</v>
      </c>
      <c r="AX112" s="152">
        <v>118</v>
      </c>
      <c r="AY112" s="152">
        <v>100</v>
      </c>
      <c r="AZ112" s="171">
        <v>446</v>
      </c>
    </row>
    <row r="113" spans="1:52" ht="13.5" customHeight="1">
      <c r="A113" s="69"/>
      <c r="B113" s="171"/>
      <c r="C113" s="80"/>
      <c r="D113" s="80"/>
      <c r="E113" s="80"/>
      <c r="F113" s="80"/>
      <c r="G113" s="171"/>
      <c r="H113" s="80"/>
      <c r="I113" s="80"/>
      <c r="J113" s="80"/>
      <c r="K113" s="80"/>
      <c r="L113" s="171"/>
      <c r="M113" s="80"/>
      <c r="N113" s="80"/>
      <c r="O113" s="80"/>
      <c r="P113" s="80"/>
      <c r="Q113" s="171"/>
      <c r="R113" s="80"/>
      <c r="S113" s="80"/>
      <c r="T113" s="80"/>
      <c r="U113" s="80"/>
      <c r="V113" s="171"/>
      <c r="W113" s="80"/>
      <c r="X113" s="80"/>
      <c r="Y113" s="80"/>
      <c r="Z113" s="80"/>
      <c r="AA113" s="171"/>
      <c r="AB113" s="80"/>
      <c r="AC113" s="80"/>
      <c r="AD113" s="80"/>
      <c r="AE113" s="80"/>
      <c r="AF113" s="171"/>
      <c r="AG113" s="152"/>
      <c r="AH113" s="152"/>
      <c r="AI113" s="152"/>
      <c r="AJ113" s="152"/>
      <c r="AK113" s="171"/>
      <c r="AL113" s="152"/>
      <c r="AM113" s="152"/>
      <c r="AN113" s="152"/>
      <c r="AO113" s="152"/>
      <c r="AP113" s="171"/>
      <c r="AQ113" s="152"/>
      <c r="AR113" s="152"/>
      <c r="AS113" s="152"/>
      <c r="AT113" s="152"/>
      <c r="AU113" s="171"/>
      <c r="AV113" s="152"/>
      <c r="AW113" s="152"/>
      <c r="AX113" s="152"/>
      <c r="AY113" s="152"/>
      <c r="AZ113" s="171"/>
    </row>
    <row r="114" spans="1:52" ht="13.5" customHeight="1">
      <c r="A114" s="69" t="s">
        <v>186</v>
      </c>
      <c r="B114" s="123" t="s">
        <v>45</v>
      </c>
      <c r="C114" s="80" t="s">
        <v>53</v>
      </c>
      <c r="D114" s="80" t="s">
        <v>53</v>
      </c>
      <c r="E114" s="80" t="s">
        <v>53</v>
      </c>
      <c r="F114" s="80" t="s">
        <v>53</v>
      </c>
      <c r="G114" s="123" t="s">
        <v>45</v>
      </c>
      <c r="H114" s="80" t="s">
        <v>53</v>
      </c>
      <c r="I114" s="80" t="s">
        <v>53</v>
      </c>
      <c r="J114" s="80" t="s">
        <v>53</v>
      </c>
      <c r="K114" s="80" t="s">
        <v>53</v>
      </c>
      <c r="L114" s="123" t="s">
        <v>45</v>
      </c>
      <c r="M114" s="80" t="s">
        <v>53</v>
      </c>
      <c r="N114" s="80" t="s">
        <v>53</v>
      </c>
      <c r="O114" s="80" t="s">
        <v>53</v>
      </c>
      <c r="P114" s="80" t="s">
        <v>53</v>
      </c>
      <c r="Q114" s="171">
        <v>237</v>
      </c>
      <c r="R114" s="80" t="s">
        <v>53</v>
      </c>
      <c r="S114" s="80" t="s">
        <v>53</v>
      </c>
      <c r="T114" s="80" t="s">
        <v>53</v>
      </c>
      <c r="U114" s="80" t="s">
        <v>53</v>
      </c>
      <c r="V114" s="171">
        <v>377</v>
      </c>
      <c r="W114" s="80" t="s">
        <v>53</v>
      </c>
      <c r="X114" s="80" t="s">
        <v>53</v>
      </c>
      <c r="Y114" s="80" t="s">
        <v>53</v>
      </c>
      <c r="Z114" s="80" t="s">
        <v>53</v>
      </c>
      <c r="AA114" s="171">
        <v>464</v>
      </c>
      <c r="AB114" s="80" t="s">
        <v>53</v>
      </c>
      <c r="AC114" s="80" t="s">
        <v>53</v>
      </c>
      <c r="AD114" s="80" t="s">
        <v>53</v>
      </c>
      <c r="AE114" s="80" t="s">
        <v>53</v>
      </c>
      <c r="AF114" s="171">
        <v>453</v>
      </c>
      <c r="AG114" s="80" t="s">
        <v>53</v>
      </c>
      <c r="AH114" s="80" t="s">
        <v>53</v>
      </c>
      <c r="AI114" s="80" t="s">
        <v>53</v>
      </c>
      <c r="AJ114" s="80" t="s">
        <v>53</v>
      </c>
      <c r="AK114" s="171">
        <v>431</v>
      </c>
      <c r="AL114" s="152">
        <v>20</v>
      </c>
      <c r="AM114" s="152">
        <v>223</v>
      </c>
      <c r="AN114" s="152">
        <v>41</v>
      </c>
      <c r="AO114" s="152">
        <v>210</v>
      </c>
      <c r="AP114" s="171">
        <v>494</v>
      </c>
      <c r="AQ114" s="152">
        <v>32</v>
      </c>
      <c r="AR114" s="152">
        <v>192</v>
      </c>
      <c r="AS114" s="152">
        <v>32</v>
      </c>
      <c r="AT114" s="152">
        <v>202</v>
      </c>
      <c r="AU114" s="171">
        <v>458</v>
      </c>
      <c r="AV114" s="152">
        <v>22</v>
      </c>
      <c r="AW114" s="152">
        <v>177</v>
      </c>
      <c r="AX114" s="152">
        <v>18</v>
      </c>
      <c r="AY114" s="152">
        <v>198</v>
      </c>
      <c r="AZ114" s="171">
        <v>415</v>
      </c>
    </row>
    <row r="115" spans="1:52" ht="13.5" customHeight="1">
      <c r="A115" s="69"/>
      <c r="B115" s="123"/>
      <c r="C115" s="80"/>
      <c r="D115" s="80"/>
      <c r="E115" s="80"/>
      <c r="F115" s="80"/>
      <c r="G115" s="123"/>
      <c r="H115" s="80"/>
      <c r="I115" s="80"/>
      <c r="J115" s="80"/>
      <c r="K115" s="80"/>
      <c r="L115" s="123"/>
      <c r="M115" s="80"/>
      <c r="N115" s="80"/>
      <c r="O115" s="80"/>
      <c r="P115" s="80"/>
      <c r="Q115" s="171"/>
      <c r="R115" s="80"/>
      <c r="S115" s="80"/>
      <c r="T115" s="80"/>
      <c r="U115" s="80"/>
      <c r="V115" s="171"/>
      <c r="W115" s="80"/>
      <c r="X115" s="80"/>
      <c r="Y115" s="80"/>
      <c r="Z115" s="80"/>
      <c r="AA115" s="171"/>
      <c r="AB115" s="80"/>
      <c r="AC115" s="80"/>
      <c r="AD115" s="80"/>
      <c r="AE115" s="80"/>
      <c r="AF115" s="171"/>
      <c r="AG115" s="80"/>
      <c r="AH115" s="80"/>
      <c r="AI115" s="80"/>
      <c r="AJ115" s="80"/>
      <c r="AK115" s="171"/>
      <c r="AL115" s="152"/>
      <c r="AM115" s="152"/>
      <c r="AN115" s="152"/>
      <c r="AO115" s="152"/>
      <c r="AP115" s="171"/>
      <c r="AQ115" s="152"/>
      <c r="AR115" s="152"/>
      <c r="AS115" s="152"/>
      <c r="AT115" s="152"/>
      <c r="AU115" s="171"/>
      <c r="AV115" s="152"/>
      <c r="AW115" s="152"/>
      <c r="AX115" s="152"/>
      <c r="AY115" s="152"/>
      <c r="AZ115" s="171"/>
    </row>
    <row r="116" spans="1:52" ht="3" customHeight="1">
      <c r="A116" s="44"/>
      <c r="B116" s="44"/>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row>
    <row r="117" spans="1:52" ht="3" customHeight="1">
      <c r="A117" s="44"/>
      <c r="B117" s="44"/>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row>
    <row r="118" spans="1:52" ht="18" customHeight="1">
      <c r="A118" s="35" t="s">
        <v>104</v>
      </c>
      <c r="B118" s="35"/>
      <c r="C118" s="27"/>
      <c r="D118" s="27"/>
      <c r="E118" s="27"/>
      <c r="F118" s="27"/>
      <c r="G118" s="27"/>
      <c r="H118" s="27"/>
      <c r="I118" s="27"/>
      <c r="J118" s="27"/>
      <c r="K118" s="27"/>
      <c r="L118" s="27"/>
      <c r="M118" s="27"/>
      <c r="N118" s="27"/>
      <c r="O118" s="27"/>
      <c r="P118" s="27"/>
      <c r="Q118" s="27"/>
      <c r="R118" s="27"/>
      <c r="S118" s="27"/>
      <c r="T118" s="27"/>
      <c r="U118" s="21"/>
      <c r="V118" s="21"/>
      <c r="W118" s="27"/>
      <c r="X118" s="27"/>
      <c r="Y118" s="27"/>
      <c r="Z118" s="21"/>
      <c r="AA118" s="21"/>
      <c r="AB118" s="21"/>
      <c r="AC118" s="27"/>
      <c r="AD118" s="27"/>
      <c r="AE118" s="21"/>
      <c r="AF118" s="21"/>
      <c r="AG118" s="21"/>
      <c r="AH118" s="27"/>
      <c r="AI118" s="27"/>
      <c r="AJ118" s="21"/>
      <c r="AK118" s="21"/>
      <c r="AL118" s="21"/>
      <c r="AM118" s="27"/>
      <c r="AN118" s="27"/>
      <c r="AO118" s="21"/>
      <c r="AP118" s="21"/>
      <c r="AQ118" s="21"/>
      <c r="AR118" s="27"/>
      <c r="AS118" s="27"/>
      <c r="AT118" s="21"/>
      <c r="AU118" s="21"/>
      <c r="AV118" s="21"/>
      <c r="AW118" s="21"/>
      <c r="AX118" s="21"/>
      <c r="AY118" s="21"/>
      <c r="AZ118" s="21"/>
    </row>
    <row r="119" spans="1:52" ht="3.6" customHeight="1">
      <c r="A119" s="61"/>
      <c r="B119" s="61"/>
      <c r="C119" s="62"/>
      <c r="D119" s="62"/>
      <c r="E119" s="62"/>
      <c r="F119" s="62"/>
      <c r="G119" s="62"/>
      <c r="H119" s="62"/>
      <c r="I119" s="62"/>
      <c r="J119" s="62"/>
      <c r="K119" s="62"/>
      <c r="L119" s="62"/>
      <c r="M119" s="62"/>
      <c r="N119" s="62"/>
      <c r="O119" s="62"/>
      <c r="P119" s="62"/>
      <c r="Q119" s="62"/>
      <c r="R119" s="62"/>
      <c r="S119" s="62"/>
      <c r="T119" s="62"/>
      <c r="U119" s="61"/>
      <c r="V119" s="61"/>
      <c r="W119" s="62"/>
      <c r="X119" s="62"/>
      <c r="Y119" s="62"/>
      <c r="Z119" s="61"/>
      <c r="AA119" s="61"/>
      <c r="AB119" s="61"/>
      <c r="AC119" s="62"/>
      <c r="AD119" s="62"/>
      <c r="AE119" s="61"/>
      <c r="AF119" s="61"/>
      <c r="AG119" s="61"/>
      <c r="AH119" s="62"/>
      <c r="AI119" s="62"/>
      <c r="AJ119" s="61"/>
      <c r="AK119" s="61"/>
      <c r="AL119" s="61"/>
      <c r="AM119" s="62"/>
      <c r="AN119" s="62"/>
      <c r="AO119" s="61"/>
      <c r="AP119" s="61"/>
      <c r="AQ119" s="61"/>
      <c r="AR119" s="62"/>
      <c r="AS119" s="62"/>
      <c r="AT119" s="61"/>
      <c r="AU119" s="61"/>
      <c r="AV119" s="61"/>
      <c r="AW119" s="61"/>
      <c r="AX119" s="61"/>
      <c r="AY119" s="61"/>
      <c r="AZ119" s="61"/>
    </row>
    <row r="120" spans="1:52" ht="15" customHeight="1">
      <c r="A120" s="40" t="s">
        <v>262</v>
      </c>
      <c r="B120" s="41"/>
      <c r="C120" s="49"/>
      <c r="D120" s="49"/>
      <c r="E120" s="49"/>
      <c r="F120" s="49"/>
      <c r="G120" s="41"/>
      <c r="H120" s="49"/>
      <c r="I120" s="49"/>
      <c r="J120" s="49"/>
      <c r="K120" s="49"/>
      <c r="L120" s="41"/>
      <c r="M120" s="49"/>
      <c r="N120" s="49"/>
      <c r="O120" s="49"/>
      <c r="P120" s="49"/>
      <c r="Q120" s="41"/>
      <c r="R120" s="49"/>
      <c r="S120" s="49"/>
      <c r="T120" s="49"/>
      <c r="U120" s="49"/>
      <c r="V120" s="41"/>
      <c r="W120" s="49"/>
      <c r="X120" s="49"/>
      <c r="Y120" s="49"/>
      <c r="Z120" s="49"/>
      <c r="AA120" s="41"/>
      <c r="AB120" s="49"/>
      <c r="AC120" s="49"/>
      <c r="AD120" s="49"/>
      <c r="AE120" s="49"/>
      <c r="AF120" s="41"/>
      <c r="AG120" s="49"/>
      <c r="AH120" s="49"/>
      <c r="AI120" s="49"/>
      <c r="AJ120" s="49"/>
      <c r="AK120" s="41"/>
      <c r="AL120" s="49"/>
      <c r="AM120" s="49"/>
      <c r="AN120" s="49"/>
      <c r="AO120" s="49"/>
      <c r="AP120" s="41"/>
      <c r="AQ120" s="49"/>
      <c r="AR120" s="49"/>
      <c r="AS120" s="49"/>
      <c r="AT120" s="49"/>
      <c r="AU120" s="41"/>
      <c r="AV120" s="49"/>
      <c r="AW120" s="49"/>
      <c r="AX120" s="49"/>
      <c r="AY120" s="49"/>
      <c r="AZ120" s="41"/>
    </row>
    <row r="121" spans="1:52" ht="15" customHeight="1">
      <c r="A121" s="69" t="s">
        <v>233</v>
      </c>
      <c r="B121" s="123" t="s">
        <v>45</v>
      </c>
      <c r="C121" s="80" t="s">
        <v>53</v>
      </c>
      <c r="D121" s="80" t="s">
        <v>53</v>
      </c>
      <c r="E121" s="80" t="s">
        <v>53</v>
      </c>
      <c r="F121" s="80" t="s">
        <v>53</v>
      </c>
      <c r="G121" s="123" t="s">
        <v>45</v>
      </c>
      <c r="H121" s="80" t="s">
        <v>53</v>
      </c>
      <c r="I121" s="80" t="s">
        <v>53</v>
      </c>
      <c r="J121" s="80" t="s">
        <v>53</v>
      </c>
      <c r="K121" s="80" t="s">
        <v>53</v>
      </c>
      <c r="L121" s="123" t="s">
        <v>45</v>
      </c>
      <c r="M121" s="80" t="s">
        <v>53</v>
      </c>
      <c r="N121" s="80" t="s">
        <v>53</v>
      </c>
      <c r="O121" s="80" t="s">
        <v>53</v>
      </c>
      <c r="P121" s="80" t="s">
        <v>53</v>
      </c>
      <c r="Q121" s="123" t="s">
        <v>45</v>
      </c>
      <c r="R121" s="80" t="s">
        <v>53</v>
      </c>
      <c r="S121" s="80" t="s">
        <v>53</v>
      </c>
      <c r="T121" s="80" t="s">
        <v>53</v>
      </c>
      <c r="U121" s="80" t="s">
        <v>53</v>
      </c>
      <c r="V121" s="123" t="s">
        <v>45</v>
      </c>
      <c r="W121" s="80" t="s">
        <v>53</v>
      </c>
      <c r="X121" s="80" t="s">
        <v>53</v>
      </c>
      <c r="Y121" s="80" t="s">
        <v>53</v>
      </c>
      <c r="Z121" s="80" t="s">
        <v>53</v>
      </c>
      <c r="AA121" s="123" t="s">
        <v>45</v>
      </c>
      <c r="AB121" s="80" t="s">
        <v>53</v>
      </c>
      <c r="AC121" s="80" t="s">
        <v>53</v>
      </c>
      <c r="AD121" s="80" t="s">
        <v>53</v>
      </c>
      <c r="AE121" s="80" t="s">
        <v>53</v>
      </c>
      <c r="AF121" s="123" t="s">
        <v>45</v>
      </c>
      <c r="AG121" s="80" t="s">
        <v>53</v>
      </c>
      <c r="AH121" s="80" t="s">
        <v>53</v>
      </c>
      <c r="AI121" s="80" t="s">
        <v>53</v>
      </c>
      <c r="AJ121" s="80" t="s">
        <v>53</v>
      </c>
      <c r="AK121" s="123" t="s">
        <v>45</v>
      </c>
      <c r="AL121" s="80" t="s">
        <v>53</v>
      </c>
      <c r="AM121" s="80" t="s">
        <v>53</v>
      </c>
      <c r="AN121" s="80" t="s">
        <v>53</v>
      </c>
      <c r="AO121" s="80" t="s">
        <v>53</v>
      </c>
      <c r="AP121" s="171">
        <v>555</v>
      </c>
      <c r="AQ121" s="152">
        <v>1221</v>
      </c>
      <c r="AR121" s="152">
        <v>1338</v>
      </c>
      <c r="AS121" s="152">
        <v>938</v>
      </c>
      <c r="AT121" s="152">
        <v>648</v>
      </c>
      <c r="AU121" s="171">
        <v>648</v>
      </c>
      <c r="AV121" s="152">
        <v>792</v>
      </c>
      <c r="AW121" s="152">
        <v>1854</v>
      </c>
      <c r="AX121" s="152">
        <v>2471</v>
      </c>
      <c r="AY121" s="152">
        <v>2181</v>
      </c>
      <c r="AZ121" s="171">
        <v>2181</v>
      </c>
    </row>
    <row r="122" spans="1:52" ht="15" customHeight="1">
      <c r="A122" s="69" t="s">
        <v>234</v>
      </c>
      <c r="B122" s="123" t="s">
        <v>45</v>
      </c>
      <c r="C122" s="80" t="s">
        <v>53</v>
      </c>
      <c r="D122" s="80" t="s">
        <v>53</v>
      </c>
      <c r="E122" s="80" t="s">
        <v>53</v>
      </c>
      <c r="F122" s="80" t="s">
        <v>53</v>
      </c>
      <c r="G122" s="123" t="s">
        <v>45</v>
      </c>
      <c r="H122" s="80" t="s">
        <v>53</v>
      </c>
      <c r="I122" s="80" t="s">
        <v>53</v>
      </c>
      <c r="J122" s="80" t="s">
        <v>53</v>
      </c>
      <c r="K122" s="80" t="s">
        <v>53</v>
      </c>
      <c r="L122" s="123" t="s">
        <v>45</v>
      </c>
      <c r="M122" s="80" t="s">
        <v>53</v>
      </c>
      <c r="N122" s="80" t="s">
        <v>53</v>
      </c>
      <c r="O122" s="80" t="s">
        <v>53</v>
      </c>
      <c r="P122" s="80" t="s">
        <v>53</v>
      </c>
      <c r="Q122" s="123" t="s">
        <v>45</v>
      </c>
      <c r="R122" s="80" t="s">
        <v>53</v>
      </c>
      <c r="S122" s="80" t="s">
        <v>53</v>
      </c>
      <c r="T122" s="80" t="s">
        <v>53</v>
      </c>
      <c r="U122" s="80" t="s">
        <v>53</v>
      </c>
      <c r="V122" s="123" t="s">
        <v>45</v>
      </c>
      <c r="W122" s="80" t="s">
        <v>53</v>
      </c>
      <c r="X122" s="80" t="s">
        <v>53</v>
      </c>
      <c r="Y122" s="80" t="s">
        <v>53</v>
      </c>
      <c r="Z122" s="80" t="s">
        <v>53</v>
      </c>
      <c r="AA122" s="123" t="s">
        <v>45</v>
      </c>
      <c r="AB122" s="80" t="s">
        <v>53</v>
      </c>
      <c r="AC122" s="80" t="s">
        <v>53</v>
      </c>
      <c r="AD122" s="80" t="s">
        <v>53</v>
      </c>
      <c r="AE122" s="80" t="s">
        <v>53</v>
      </c>
      <c r="AF122" s="123" t="s">
        <v>45</v>
      </c>
      <c r="AG122" s="80" t="s">
        <v>53</v>
      </c>
      <c r="AH122" s="80" t="s">
        <v>53</v>
      </c>
      <c r="AI122" s="80" t="s">
        <v>53</v>
      </c>
      <c r="AJ122" s="80" t="s">
        <v>53</v>
      </c>
      <c r="AK122" s="123" t="s">
        <v>45</v>
      </c>
      <c r="AL122" s="80" t="s">
        <v>53</v>
      </c>
      <c r="AM122" s="80" t="s">
        <v>53</v>
      </c>
      <c r="AN122" s="80" t="s">
        <v>53</v>
      </c>
      <c r="AO122" s="80" t="s">
        <v>53</v>
      </c>
      <c r="AP122" s="171">
        <v>762</v>
      </c>
      <c r="AQ122" s="152">
        <v>556</v>
      </c>
      <c r="AR122" s="152">
        <v>912</v>
      </c>
      <c r="AS122" s="152">
        <v>908</v>
      </c>
      <c r="AT122" s="152">
        <v>586</v>
      </c>
      <c r="AU122" s="171">
        <v>586</v>
      </c>
      <c r="AV122" s="152">
        <v>578</v>
      </c>
      <c r="AW122" s="152">
        <v>19</v>
      </c>
      <c r="AX122" s="152">
        <v>94</v>
      </c>
      <c r="AY122" s="152">
        <v>289</v>
      </c>
      <c r="AZ122" s="171">
        <v>289</v>
      </c>
    </row>
    <row r="123" spans="1:52" ht="15" customHeight="1">
      <c r="A123" s="69" t="s">
        <v>235</v>
      </c>
      <c r="B123" s="123" t="s">
        <v>45</v>
      </c>
      <c r="C123" s="80" t="s">
        <v>53</v>
      </c>
      <c r="D123" s="80" t="s">
        <v>53</v>
      </c>
      <c r="E123" s="80" t="s">
        <v>53</v>
      </c>
      <c r="F123" s="80" t="s">
        <v>53</v>
      </c>
      <c r="G123" s="123" t="s">
        <v>45</v>
      </c>
      <c r="H123" s="80" t="s">
        <v>53</v>
      </c>
      <c r="I123" s="80" t="s">
        <v>53</v>
      </c>
      <c r="J123" s="80" t="s">
        <v>53</v>
      </c>
      <c r="K123" s="80" t="s">
        <v>53</v>
      </c>
      <c r="L123" s="123" t="s">
        <v>45</v>
      </c>
      <c r="M123" s="80" t="s">
        <v>53</v>
      </c>
      <c r="N123" s="80" t="s">
        <v>53</v>
      </c>
      <c r="O123" s="80" t="s">
        <v>53</v>
      </c>
      <c r="P123" s="80" t="s">
        <v>53</v>
      </c>
      <c r="Q123" s="123" t="s">
        <v>45</v>
      </c>
      <c r="R123" s="80" t="s">
        <v>53</v>
      </c>
      <c r="S123" s="80" t="s">
        <v>53</v>
      </c>
      <c r="T123" s="80" t="s">
        <v>53</v>
      </c>
      <c r="U123" s="80" t="s">
        <v>53</v>
      </c>
      <c r="V123" s="123" t="s">
        <v>45</v>
      </c>
      <c r="W123" s="80" t="s">
        <v>53</v>
      </c>
      <c r="X123" s="80" t="s">
        <v>53</v>
      </c>
      <c r="Y123" s="80" t="s">
        <v>53</v>
      </c>
      <c r="Z123" s="80" t="s">
        <v>53</v>
      </c>
      <c r="AA123" s="123" t="s">
        <v>45</v>
      </c>
      <c r="AB123" s="80" t="s">
        <v>53</v>
      </c>
      <c r="AC123" s="80" t="s">
        <v>53</v>
      </c>
      <c r="AD123" s="80" t="s">
        <v>53</v>
      </c>
      <c r="AE123" s="80" t="s">
        <v>53</v>
      </c>
      <c r="AF123" s="123" t="s">
        <v>45</v>
      </c>
      <c r="AG123" s="80" t="s">
        <v>53</v>
      </c>
      <c r="AH123" s="80" t="s">
        <v>53</v>
      </c>
      <c r="AI123" s="80" t="s">
        <v>53</v>
      </c>
      <c r="AJ123" s="80" t="s">
        <v>53</v>
      </c>
      <c r="AK123" s="123" t="s">
        <v>45</v>
      </c>
      <c r="AL123" s="80" t="s">
        <v>53</v>
      </c>
      <c r="AM123" s="80" t="s">
        <v>53</v>
      </c>
      <c r="AN123" s="80" t="s">
        <v>53</v>
      </c>
      <c r="AO123" s="80" t="s">
        <v>53</v>
      </c>
      <c r="AP123" s="171">
        <v>2058</v>
      </c>
      <c r="AQ123" s="152">
        <v>2042</v>
      </c>
      <c r="AR123" s="152">
        <v>2029</v>
      </c>
      <c r="AS123" s="152">
        <v>1998</v>
      </c>
      <c r="AT123" s="152">
        <v>2000</v>
      </c>
      <c r="AU123" s="171">
        <v>2000</v>
      </c>
      <c r="AV123" s="152">
        <v>1976</v>
      </c>
      <c r="AW123" s="152">
        <v>1991</v>
      </c>
      <c r="AX123" s="152">
        <v>1948</v>
      </c>
      <c r="AY123" s="152">
        <v>1915</v>
      </c>
      <c r="AZ123" s="171">
        <v>1915</v>
      </c>
    </row>
    <row r="124" spans="1:52" ht="15" customHeight="1">
      <c r="A124" s="69" t="s">
        <v>236</v>
      </c>
      <c r="B124" s="123" t="s">
        <v>45</v>
      </c>
      <c r="C124" s="80" t="s">
        <v>53</v>
      </c>
      <c r="D124" s="80" t="s">
        <v>53</v>
      </c>
      <c r="E124" s="80" t="s">
        <v>53</v>
      </c>
      <c r="F124" s="80" t="s">
        <v>53</v>
      </c>
      <c r="G124" s="123" t="s">
        <v>45</v>
      </c>
      <c r="H124" s="80" t="s">
        <v>53</v>
      </c>
      <c r="I124" s="80" t="s">
        <v>53</v>
      </c>
      <c r="J124" s="80" t="s">
        <v>53</v>
      </c>
      <c r="K124" s="80" t="s">
        <v>53</v>
      </c>
      <c r="L124" s="123" t="s">
        <v>45</v>
      </c>
      <c r="M124" s="80" t="s">
        <v>53</v>
      </c>
      <c r="N124" s="80" t="s">
        <v>53</v>
      </c>
      <c r="O124" s="80" t="s">
        <v>53</v>
      </c>
      <c r="P124" s="80" t="s">
        <v>53</v>
      </c>
      <c r="Q124" s="123" t="s">
        <v>45</v>
      </c>
      <c r="R124" s="80" t="s">
        <v>53</v>
      </c>
      <c r="S124" s="80" t="s">
        <v>53</v>
      </c>
      <c r="T124" s="80" t="s">
        <v>53</v>
      </c>
      <c r="U124" s="80" t="s">
        <v>53</v>
      </c>
      <c r="V124" s="123" t="s">
        <v>45</v>
      </c>
      <c r="W124" s="80" t="s">
        <v>53</v>
      </c>
      <c r="X124" s="80" t="s">
        <v>53</v>
      </c>
      <c r="Y124" s="80" t="s">
        <v>53</v>
      </c>
      <c r="Z124" s="80" t="s">
        <v>53</v>
      </c>
      <c r="AA124" s="123" t="s">
        <v>45</v>
      </c>
      <c r="AB124" s="80" t="s">
        <v>53</v>
      </c>
      <c r="AC124" s="80" t="s">
        <v>53</v>
      </c>
      <c r="AD124" s="80" t="s">
        <v>53</v>
      </c>
      <c r="AE124" s="80" t="s">
        <v>53</v>
      </c>
      <c r="AF124" s="123" t="s">
        <v>45</v>
      </c>
      <c r="AG124" s="80" t="s">
        <v>53</v>
      </c>
      <c r="AH124" s="80" t="s">
        <v>53</v>
      </c>
      <c r="AI124" s="80" t="s">
        <v>53</v>
      </c>
      <c r="AJ124" s="80" t="s">
        <v>53</v>
      </c>
      <c r="AK124" s="123" t="s">
        <v>45</v>
      </c>
      <c r="AL124" s="80" t="s">
        <v>53</v>
      </c>
      <c r="AM124" s="80" t="s">
        <v>53</v>
      </c>
      <c r="AN124" s="80" t="s">
        <v>53</v>
      </c>
      <c r="AO124" s="80" t="s">
        <v>53</v>
      </c>
      <c r="AP124" s="171">
        <v>269</v>
      </c>
      <c r="AQ124" s="152">
        <v>299</v>
      </c>
      <c r="AR124" s="152">
        <v>205</v>
      </c>
      <c r="AS124" s="152">
        <v>191</v>
      </c>
      <c r="AT124" s="152">
        <v>219</v>
      </c>
      <c r="AU124" s="171">
        <v>219</v>
      </c>
      <c r="AV124" s="152">
        <v>332</v>
      </c>
      <c r="AW124" s="152">
        <v>347</v>
      </c>
      <c r="AX124" s="152">
        <v>294</v>
      </c>
      <c r="AY124" s="152">
        <v>270</v>
      </c>
      <c r="AZ124" s="171">
        <v>270</v>
      </c>
    </row>
    <row r="125" spans="1:52" ht="15" customHeight="1">
      <c r="A125" s="69" t="s">
        <v>237</v>
      </c>
      <c r="B125" s="123" t="s">
        <v>45</v>
      </c>
      <c r="C125" s="80" t="s">
        <v>53</v>
      </c>
      <c r="D125" s="80" t="s">
        <v>53</v>
      </c>
      <c r="E125" s="80" t="s">
        <v>53</v>
      </c>
      <c r="F125" s="80" t="s">
        <v>53</v>
      </c>
      <c r="G125" s="123" t="s">
        <v>45</v>
      </c>
      <c r="H125" s="80" t="s">
        <v>53</v>
      </c>
      <c r="I125" s="80" t="s">
        <v>53</v>
      </c>
      <c r="J125" s="80" t="s">
        <v>53</v>
      </c>
      <c r="K125" s="80" t="s">
        <v>53</v>
      </c>
      <c r="L125" s="123" t="s">
        <v>45</v>
      </c>
      <c r="M125" s="80" t="s">
        <v>53</v>
      </c>
      <c r="N125" s="80" t="s">
        <v>53</v>
      </c>
      <c r="O125" s="80" t="s">
        <v>53</v>
      </c>
      <c r="P125" s="80" t="s">
        <v>53</v>
      </c>
      <c r="Q125" s="123" t="s">
        <v>45</v>
      </c>
      <c r="R125" s="80" t="s">
        <v>53</v>
      </c>
      <c r="S125" s="80" t="s">
        <v>53</v>
      </c>
      <c r="T125" s="80" t="s">
        <v>53</v>
      </c>
      <c r="U125" s="80" t="s">
        <v>53</v>
      </c>
      <c r="V125" s="123" t="s">
        <v>45</v>
      </c>
      <c r="W125" s="80" t="s">
        <v>53</v>
      </c>
      <c r="X125" s="80" t="s">
        <v>53</v>
      </c>
      <c r="Y125" s="80" t="s">
        <v>53</v>
      </c>
      <c r="Z125" s="80" t="s">
        <v>53</v>
      </c>
      <c r="AA125" s="123" t="s">
        <v>45</v>
      </c>
      <c r="AB125" s="80" t="s">
        <v>53</v>
      </c>
      <c r="AC125" s="80" t="s">
        <v>53</v>
      </c>
      <c r="AD125" s="80" t="s">
        <v>53</v>
      </c>
      <c r="AE125" s="80" t="s">
        <v>53</v>
      </c>
      <c r="AF125" s="123" t="s">
        <v>45</v>
      </c>
      <c r="AG125" s="80" t="s">
        <v>53</v>
      </c>
      <c r="AH125" s="80" t="s">
        <v>53</v>
      </c>
      <c r="AI125" s="80" t="s">
        <v>53</v>
      </c>
      <c r="AJ125" s="80" t="s">
        <v>53</v>
      </c>
      <c r="AK125" s="123" t="s">
        <v>45</v>
      </c>
      <c r="AL125" s="80" t="s">
        <v>53</v>
      </c>
      <c r="AM125" s="80" t="s">
        <v>53</v>
      </c>
      <c r="AN125" s="80" t="s">
        <v>53</v>
      </c>
      <c r="AO125" s="80" t="s">
        <v>53</v>
      </c>
      <c r="AP125" s="216" t="s">
        <v>154</v>
      </c>
      <c r="AQ125" s="151" t="s">
        <v>154</v>
      </c>
      <c r="AR125" s="152">
        <v>29</v>
      </c>
      <c r="AS125" s="152">
        <v>29</v>
      </c>
      <c r="AT125" s="151" t="s">
        <v>154</v>
      </c>
      <c r="AU125" s="216" t="s">
        <v>154</v>
      </c>
      <c r="AV125" s="151" t="s">
        <v>154</v>
      </c>
      <c r="AW125" s="152">
        <v>56</v>
      </c>
      <c r="AX125" s="152">
        <v>43</v>
      </c>
      <c r="AY125" s="152">
        <v>43</v>
      </c>
      <c r="AZ125" s="171">
        <v>43</v>
      </c>
    </row>
    <row r="126" spans="1:52" ht="15" customHeight="1">
      <c r="A126" s="69" t="s">
        <v>238</v>
      </c>
      <c r="B126" s="123" t="s">
        <v>45</v>
      </c>
      <c r="C126" s="80" t="s">
        <v>53</v>
      </c>
      <c r="D126" s="80" t="s">
        <v>53</v>
      </c>
      <c r="E126" s="80" t="s">
        <v>53</v>
      </c>
      <c r="F126" s="80" t="s">
        <v>53</v>
      </c>
      <c r="G126" s="123" t="s">
        <v>45</v>
      </c>
      <c r="H126" s="80" t="s">
        <v>53</v>
      </c>
      <c r="I126" s="80" t="s">
        <v>53</v>
      </c>
      <c r="J126" s="80" t="s">
        <v>53</v>
      </c>
      <c r="K126" s="80" t="s">
        <v>53</v>
      </c>
      <c r="L126" s="123" t="s">
        <v>45</v>
      </c>
      <c r="M126" s="80" t="s">
        <v>53</v>
      </c>
      <c r="N126" s="80" t="s">
        <v>53</v>
      </c>
      <c r="O126" s="80" t="s">
        <v>53</v>
      </c>
      <c r="P126" s="80" t="s">
        <v>53</v>
      </c>
      <c r="Q126" s="123" t="s">
        <v>45</v>
      </c>
      <c r="R126" s="80" t="s">
        <v>53</v>
      </c>
      <c r="S126" s="80" t="s">
        <v>53</v>
      </c>
      <c r="T126" s="80" t="s">
        <v>53</v>
      </c>
      <c r="U126" s="80" t="s">
        <v>53</v>
      </c>
      <c r="V126" s="123" t="s">
        <v>45</v>
      </c>
      <c r="W126" s="80" t="s">
        <v>53</v>
      </c>
      <c r="X126" s="80" t="s">
        <v>53</v>
      </c>
      <c r="Y126" s="80" t="s">
        <v>53</v>
      </c>
      <c r="Z126" s="80" t="s">
        <v>53</v>
      </c>
      <c r="AA126" s="123" t="s">
        <v>45</v>
      </c>
      <c r="AB126" s="80" t="s">
        <v>53</v>
      </c>
      <c r="AC126" s="80" t="s">
        <v>53</v>
      </c>
      <c r="AD126" s="80" t="s">
        <v>53</v>
      </c>
      <c r="AE126" s="80" t="s">
        <v>53</v>
      </c>
      <c r="AF126" s="123" t="s">
        <v>45</v>
      </c>
      <c r="AG126" s="80" t="s">
        <v>53</v>
      </c>
      <c r="AH126" s="80" t="s">
        <v>53</v>
      </c>
      <c r="AI126" s="80" t="s">
        <v>53</v>
      </c>
      <c r="AJ126" s="80" t="s">
        <v>53</v>
      </c>
      <c r="AK126" s="123" t="s">
        <v>45</v>
      </c>
      <c r="AL126" s="80" t="s">
        <v>53</v>
      </c>
      <c r="AM126" s="80" t="s">
        <v>53</v>
      </c>
      <c r="AN126" s="80" t="s">
        <v>53</v>
      </c>
      <c r="AO126" s="80" t="s">
        <v>53</v>
      </c>
      <c r="AP126" s="171">
        <v>115</v>
      </c>
      <c r="AQ126" s="152">
        <v>123</v>
      </c>
      <c r="AR126" s="152">
        <v>109</v>
      </c>
      <c r="AS126" s="152">
        <v>96</v>
      </c>
      <c r="AT126" s="152">
        <v>106</v>
      </c>
      <c r="AU126" s="171">
        <v>106</v>
      </c>
      <c r="AV126" s="152">
        <v>114</v>
      </c>
      <c r="AW126" s="152">
        <v>105</v>
      </c>
      <c r="AX126" s="152">
        <v>101</v>
      </c>
      <c r="AY126" s="152">
        <v>125</v>
      </c>
      <c r="AZ126" s="171">
        <v>125</v>
      </c>
    </row>
    <row r="127" spans="1:52" ht="15" customHeight="1">
      <c r="A127" s="40" t="s">
        <v>239</v>
      </c>
      <c r="B127" s="40"/>
      <c r="C127" s="215"/>
      <c r="D127" s="215"/>
      <c r="E127" s="215"/>
      <c r="F127" s="215"/>
      <c r="G127" s="40"/>
      <c r="H127" s="215"/>
      <c r="I127" s="215"/>
      <c r="J127" s="215"/>
      <c r="K127" s="215"/>
      <c r="L127" s="40"/>
      <c r="M127" s="215"/>
      <c r="N127" s="215"/>
      <c r="O127" s="215"/>
      <c r="P127" s="215"/>
      <c r="Q127" s="40"/>
      <c r="R127" s="215"/>
      <c r="S127" s="215"/>
      <c r="T127" s="215"/>
      <c r="U127" s="215"/>
      <c r="V127" s="40"/>
      <c r="W127" s="215"/>
      <c r="X127" s="215"/>
      <c r="Y127" s="215"/>
      <c r="Z127" s="215"/>
      <c r="AA127" s="40"/>
      <c r="AB127" s="215"/>
      <c r="AC127" s="215"/>
      <c r="AD127" s="215"/>
      <c r="AE127" s="215"/>
      <c r="AF127" s="40"/>
      <c r="AG127" s="215"/>
      <c r="AH127" s="215"/>
      <c r="AI127" s="215"/>
      <c r="AJ127" s="215"/>
      <c r="AK127" s="215"/>
      <c r="AL127" s="215"/>
      <c r="AM127" s="215"/>
      <c r="AN127" s="215"/>
      <c r="AO127" s="215"/>
      <c r="AP127" s="215">
        <v>3759</v>
      </c>
      <c r="AQ127" s="215">
        <v>4241</v>
      </c>
      <c r="AR127" s="215">
        <v>4622</v>
      </c>
      <c r="AS127" s="215">
        <v>4160</v>
      </c>
      <c r="AT127" s="215">
        <v>3559</v>
      </c>
      <c r="AU127" s="215">
        <v>3559</v>
      </c>
      <c r="AV127" s="215">
        <v>3792</v>
      </c>
      <c r="AW127" s="215">
        <v>4372</v>
      </c>
      <c r="AX127" s="215">
        <v>4951</v>
      </c>
      <c r="AY127" s="215">
        <v>4823</v>
      </c>
      <c r="AZ127" s="215">
        <v>4823</v>
      </c>
    </row>
    <row r="128" spans="1:52" ht="15" customHeight="1">
      <c r="A128" s="69" t="s">
        <v>240</v>
      </c>
      <c r="B128" s="123" t="s">
        <v>45</v>
      </c>
      <c r="C128" s="80" t="s">
        <v>53</v>
      </c>
      <c r="D128" s="80" t="s">
        <v>53</v>
      </c>
      <c r="E128" s="80" t="s">
        <v>53</v>
      </c>
      <c r="F128" s="80" t="s">
        <v>53</v>
      </c>
      <c r="G128" s="123" t="s">
        <v>45</v>
      </c>
      <c r="H128" s="80" t="s">
        <v>53</v>
      </c>
      <c r="I128" s="80" t="s">
        <v>53</v>
      </c>
      <c r="J128" s="80" t="s">
        <v>53</v>
      </c>
      <c r="K128" s="80" t="s">
        <v>53</v>
      </c>
      <c r="L128" s="123" t="s">
        <v>45</v>
      </c>
      <c r="M128" s="80" t="s">
        <v>53</v>
      </c>
      <c r="N128" s="80" t="s">
        <v>53</v>
      </c>
      <c r="O128" s="80" t="s">
        <v>53</v>
      </c>
      <c r="P128" s="80" t="s">
        <v>53</v>
      </c>
      <c r="Q128" s="123" t="s">
        <v>45</v>
      </c>
      <c r="R128" s="80" t="s">
        <v>53</v>
      </c>
      <c r="S128" s="80" t="s">
        <v>53</v>
      </c>
      <c r="T128" s="80" t="s">
        <v>53</v>
      </c>
      <c r="U128" s="80" t="s">
        <v>53</v>
      </c>
      <c r="V128" s="123" t="s">
        <v>45</v>
      </c>
      <c r="W128" s="80" t="s">
        <v>53</v>
      </c>
      <c r="X128" s="80" t="s">
        <v>53</v>
      </c>
      <c r="Y128" s="80" t="s">
        <v>53</v>
      </c>
      <c r="Z128" s="80" t="s">
        <v>53</v>
      </c>
      <c r="AA128" s="123" t="s">
        <v>45</v>
      </c>
      <c r="AB128" s="80" t="s">
        <v>53</v>
      </c>
      <c r="AC128" s="80" t="s">
        <v>53</v>
      </c>
      <c r="AD128" s="80" t="s">
        <v>53</v>
      </c>
      <c r="AE128" s="80" t="s">
        <v>53</v>
      </c>
      <c r="AF128" s="123" t="s">
        <v>45</v>
      </c>
      <c r="AG128" s="80" t="s">
        <v>53</v>
      </c>
      <c r="AH128" s="80" t="s">
        <v>53</v>
      </c>
      <c r="AI128" s="80" t="s">
        <v>53</v>
      </c>
      <c r="AJ128" s="80" t="s">
        <v>53</v>
      </c>
      <c r="AK128" s="123" t="s">
        <v>45</v>
      </c>
      <c r="AL128" s="80" t="s">
        <v>53</v>
      </c>
      <c r="AM128" s="80" t="s">
        <v>53</v>
      </c>
      <c r="AN128" s="80" t="s">
        <v>53</v>
      </c>
      <c r="AO128" s="80" t="s">
        <v>53</v>
      </c>
      <c r="AP128" s="171">
        <v>674</v>
      </c>
      <c r="AQ128" s="152">
        <v>662</v>
      </c>
      <c r="AR128" s="152">
        <v>647</v>
      </c>
      <c r="AS128" s="152">
        <v>641</v>
      </c>
      <c r="AT128" s="152">
        <v>644</v>
      </c>
      <c r="AU128" s="171">
        <v>644</v>
      </c>
      <c r="AV128" s="152">
        <v>595</v>
      </c>
      <c r="AW128" s="152">
        <v>507</v>
      </c>
      <c r="AX128" s="152">
        <v>520</v>
      </c>
      <c r="AY128" s="152">
        <v>493</v>
      </c>
      <c r="AZ128" s="171">
        <v>493</v>
      </c>
    </row>
    <row r="129" spans="1:52" ht="15" customHeight="1">
      <c r="A129" s="69" t="s">
        <v>241</v>
      </c>
      <c r="B129" s="123" t="s">
        <v>45</v>
      </c>
      <c r="C129" s="80" t="s">
        <v>53</v>
      </c>
      <c r="D129" s="80" t="s">
        <v>53</v>
      </c>
      <c r="E129" s="80" t="s">
        <v>53</v>
      </c>
      <c r="F129" s="80" t="s">
        <v>53</v>
      </c>
      <c r="G129" s="123" t="s">
        <v>45</v>
      </c>
      <c r="H129" s="80" t="s">
        <v>53</v>
      </c>
      <c r="I129" s="80" t="s">
        <v>53</v>
      </c>
      <c r="J129" s="80" t="s">
        <v>53</v>
      </c>
      <c r="K129" s="80" t="s">
        <v>53</v>
      </c>
      <c r="L129" s="123" t="s">
        <v>45</v>
      </c>
      <c r="M129" s="80" t="s">
        <v>53</v>
      </c>
      <c r="N129" s="80" t="s">
        <v>53</v>
      </c>
      <c r="O129" s="80" t="s">
        <v>53</v>
      </c>
      <c r="P129" s="80" t="s">
        <v>53</v>
      </c>
      <c r="Q129" s="123" t="s">
        <v>45</v>
      </c>
      <c r="R129" s="80" t="s">
        <v>53</v>
      </c>
      <c r="S129" s="80" t="s">
        <v>53</v>
      </c>
      <c r="T129" s="80" t="s">
        <v>53</v>
      </c>
      <c r="U129" s="80" t="s">
        <v>53</v>
      </c>
      <c r="V129" s="123" t="s">
        <v>45</v>
      </c>
      <c r="W129" s="80" t="s">
        <v>53</v>
      </c>
      <c r="X129" s="80" t="s">
        <v>53</v>
      </c>
      <c r="Y129" s="80" t="s">
        <v>53</v>
      </c>
      <c r="Z129" s="80" t="s">
        <v>53</v>
      </c>
      <c r="AA129" s="123" t="s">
        <v>45</v>
      </c>
      <c r="AB129" s="80" t="s">
        <v>53</v>
      </c>
      <c r="AC129" s="80" t="s">
        <v>53</v>
      </c>
      <c r="AD129" s="80" t="s">
        <v>53</v>
      </c>
      <c r="AE129" s="80" t="s">
        <v>53</v>
      </c>
      <c r="AF129" s="123" t="s">
        <v>45</v>
      </c>
      <c r="AG129" s="80" t="s">
        <v>53</v>
      </c>
      <c r="AH129" s="80" t="s">
        <v>53</v>
      </c>
      <c r="AI129" s="80" t="s">
        <v>53</v>
      </c>
      <c r="AJ129" s="80" t="s">
        <v>53</v>
      </c>
      <c r="AK129" s="123" t="s">
        <v>45</v>
      </c>
      <c r="AL129" s="80" t="s">
        <v>53</v>
      </c>
      <c r="AM129" s="80" t="s">
        <v>53</v>
      </c>
      <c r="AN129" s="80" t="s">
        <v>53</v>
      </c>
      <c r="AO129" s="80" t="s">
        <v>53</v>
      </c>
      <c r="AP129" s="171">
        <v>456</v>
      </c>
      <c r="AQ129" s="152">
        <v>456</v>
      </c>
      <c r="AR129" s="152">
        <v>455</v>
      </c>
      <c r="AS129" s="152">
        <v>450</v>
      </c>
      <c r="AT129" s="152">
        <v>432</v>
      </c>
      <c r="AU129" s="171">
        <v>432</v>
      </c>
      <c r="AV129" s="152">
        <v>438</v>
      </c>
      <c r="AW129" s="152">
        <v>456</v>
      </c>
      <c r="AX129" s="152">
        <v>457</v>
      </c>
      <c r="AY129" s="152">
        <v>454</v>
      </c>
      <c r="AZ129" s="171">
        <v>454</v>
      </c>
    </row>
    <row r="130" spans="1:52" ht="15" customHeight="1">
      <c r="A130" s="69" t="s">
        <v>242</v>
      </c>
      <c r="B130" s="123" t="s">
        <v>45</v>
      </c>
      <c r="C130" s="80" t="s">
        <v>53</v>
      </c>
      <c r="D130" s="80" t="s">
        <v>53</v>
      </c>
      <c r="E130" s="80" t="s">
        <v>53</v>
      </c>
      <c r="F130" s="80" t="s">
        <v>53</v>
      </c>
      <c r="G130" s="123" t="s">
        <v>45</v>
      </c>
      <c r="H130" s="80" t="s">
        <v>53</v>
      </c>
      <c r="I130" s="80" t="s">
        <v>53</v>
      </c>
      <c r="J130" s="80" t="s">
        <v>53</v>
      </c>
      <c r="K130" s="80" t="s">
        <v>53</v>
      </c>
      <c r="L130" s="123" t="s">
        <v>45</v>
      </c>
      <c r="M130" s="80" t="s">
        <v>53</v>
      </c>
      <c r="N130" s="80" t="s">
        <v>53</v>
      </c>
      <c r="O130" s="80" t="s">
        <v>53</v>
      </c>
      <c r="P130" s="80" t="s">
        <v>53</v>
      </c>
      <c r="Q130" s="123" t="s">
        <v>45</v>
      </c>
      <c r="R130" s="80" t="s">
        <v>53</v>
      </c>
      <c r="S130" s="80" t="s">
        <v>53</v>
      </c>
      <c r="T130" s="80" t="s">
        <v>53</v>
      </c>
      <c r="U130" s="80" t="s">
        <v>53</v>
      </c>
      <c r="V130" s="123" t="s">
        <v>45</v>
      </c>
      <c r="W130" s="80" t="s">
        <v>53</v>
      </c>
      <c r="X130" s="80" t="s">
        <v>53</v>
      </c>
      <c r="Y130" s="80" t="s">
        <v>53</v>
      </c>
      <c r="Z130" s="80" t="s">
        <v>53</v>
      </c>
      <c r="AA130" s="123" t="s">
        <v>45</v>
      </c>
      <c r="AB130" s="80" t="s">
        <v>53</v>
      </c>
      <c r="AC130" s="80" t="s">
        <v>53</v>
      </c>
      <c r="AD130" s="80" t="s">
        <v>53</v>
      </c>
      <c r="AE130" s="80" t="s">
        <v>53</v>
      </c>
      <c r="AF130" s="123" t="s">
        <v>45</v>
      </c>
      <c r="AG130" s="80" t="s">
        <v>53</v>
      </c>
      <c r="AH130" s="80" t="s">
        <v>53</v>
      </c>
      <c r="AI130" s="80" t="s">
        <v>53</v>
      </c>
      <c r="AJ130" s="80" t="s">
        <v>53</v>
      </c>
      <c r="AK130" s="123" t="s">
        <v>45</v>
      </c>
      <c r="AL130" s="80" t="s">
        <v>53</v>
      </c>
      <c r="AM130" s="80" t="s">
        <v>53</v>
      </c>
      <c r="AN130" s="80" t="s">
        <v>53</v>
      </c>
      <c r="AO130" s="80" t="s">
        <v>53</v>
      </c>
      <c r="AP130" s="171">
        <v>6894</v>
      </c>
      <c r="AQ130" s="152">
        <v>6902</v>
      </c>
      <c r="AR130" s="152">
        <v>6872</v>
      </c>
      <c r="AS130" s="152">
        <v>6840</v>
      </c>
      <c r="AT130" s="152">
        <v>6876</v>
      </c>
      <c r="AU130" s="171">
        <v>6876</v>
      </c>
      <c r="AV130" s="152">
        <v>6886</v>
      </c>
      <c r="AW130" s="152">
        <v>6868</v>
      </c>
      <c r="AX130" s="152">
        <v>6817</v>
      </c>
      <c r="AY130" s="152">
        <v>6798</v>
      </c>
      <c r="AZ130" s="171">
        <v>6798</v>
      </c>
    </row>
    <row r="131" spans="1:52" ht="15" customHeight="1">
      <c r="A131" s="69" t="s">
        <v>243</v>
      </c>
      <c r="B131" s="123" t="s">
        <v>45</v>
      </c>
      <c r="C131" s="80" t="s">
        <v>53</v>
      </c>
      <c r="D131" s="80" t="s">
        <v>53</v>
      </c>
      <c r="E131" s="80" t="s">
        <v>53</v>
      </c>
      <c r="F131" s="80" t="s">
        <v>53</v>
      </c>
      <c r="G131" s="123" t="s">
        <v>45</v>
      </c>
      <c r="H131" s="80" t="s">
        <v>53</v>
      </c>
      <c r="I131" s="80" t="s">
        <v>53</v>
      </c>
      <c r="J131" s="80" t="s">
        <v>53</v>
      </c>
      <c r="K131" s="80" t="s">
        <v>53</v>
      </c>
      <c r="L131" s="123" t="s">
        <v>45</v>
      </c>
      <c r="M131" s="80" t="s">
        <v>53</v>
      </c>
      <c r="N131" s="80" t="s">
        <v>53</v>
      </c>
      <c r="O131" s="80" t="s">
        <v>53</v>
      </c>
      <c r="P131" s="80" t="s">
        <v>53</v>
      </c>
      <c r="Q131" s="123" t="s">
        <v>45</v>
      </c>
      <c r="R131" s="80" t="s">
        <v>53</v>
      </c>
      <c r="S131" s="80" t="s">
        <v>53</v>
      </c>
      <c r="T131" s="80" t="s">
        <v>53</v>
      </c>
      <c r="U131" s="80" t="s">
        <v>53</v>
      </c>
      <c r="V131" s="123" t="s">
        <v>45</v>
      </c>
      <c r="W131" s="80" t="s">
        <v>53</v>
      </c>
      <c r="X131" s="80" t="s">
        <v>53</v>
      </c>
      <c r="Y131" s="80" t="s">
        <v>53</v>
      </c>
      <c r="Z131" s="80" t="s">
        <v>53</v>
      </c>
      <c r="AA131" s="123" t="s">
        <v>45</v>
      </c>
      <c r="AB131" s="80" t="s">
        <v>53</v>
      </c>
      <c r="AC131" s="80" t="s">
        <v>53</v>
      </c>
      <c r="AD131" s="80" t="s">
        <v>53</v>
      </c>
      <c r="AE131" s="80" t="s">
        <v>53</v>
      </c>
      <c r="AF131" s="123" t="s">
        <v>45</v>
      </c>
      <c r="AG131" s="80" t="s">
        <v>53</v>
      </c>
      <c r="AH131" s="80" t="s">
        <v>53</v>
      </c>
      <c r="AI131" s="80" t="s">
        <v>53</v>
      </c>
      <c r="AJ131" s="80" t="s">
        <v>53</v>
      </c>
      <c r="AK131" s="123" t="s">
        <v>45</v>
      </c>
      <c r="AL131" s="80" t="s">
        <v>53</v>
      </c>
      <c r="AM131" s="80" t="s">
        <v>53</v>
      </c>
      <c r="AN131" s="80" t="s">
        <v>53</v>
      </c>
      <c r="AO131" s="80" t="s">
        <v>53</v>
      </c>
      <c r="AP131" s="171">
        <v>3332</v>
      </c>
      <c r="AQ131" s="152">
        <v>3260</v>
      </c>
      <c r="AR131" s="152">
        <v>3195</v>
      </c>
      <c r="AS131" s="152">
        <v>3121</v>
      </c>
      <c r="AT131" s="152">
        <v>3047</v>
      </c>
      <c r="AU131" s="171">
        <v>3047</v>
      </c>
      <c r="AV131" s="152">
        <v>2986</v>
      </c>
      <c r="AW131" s="152">
        <v>2943</v>
      </c>
      <c r="AX131" s="152">
        <v>2894</v>
      </c>
      <c r="AY131" s="152">
        <v>2768</v>
      </c>
      <c r="AZ131" s="171">
        <v>2768</v>
      </c>
    </row>
    <row r="132" spans="1:52" ht="15" customHeight="1">
      <c r="A132" s="69" t="s">
        <v>244</v>
      </c>
      <c r="B132" s="123" t="s">
        <v>45</v>
      </c>
      <c r="C132" s="80" t="s">
        <v>53</v>
      </c>
      <c r="D132" s="80" t="s">
        <v>53</v>
      </c>
      <c r="E132" s="80" t="s">
        <v>53</v>
      </c>
      <c r="F132" s="80" t="s">
        <v>53</v>
      </c>
      <c r="G132" s="123" t="s">
        <v>45</v>
      </c>
      <c r="H132" s="80" t="s">
        <v>53</v>
      </c>
      <c r="I132" s="80" t="s">
        <v>53</v>
      </c>
      <c r="J132" s="80" t="s">
        <v>53</v>
      </c>
      <c r="K132" s="80" t="s">
        <v>53</v>
      </c>
      <c r="L132" s="123" t="s">
        <v>45</v>
      </c>
      <c r="M132" s="80" t="s">
        <v>53</v>
      </c>
      <c r="N132" s="80" t="s">
        <v>53</v>
      </c>
      <c r="O132" s="80" t="s">
        <v>53</v>
      </c>
      <c r="P132" s="80" t="s">
        <v>53</v>
      </c>
      <c r="Q132" s="123" t="s">
        <v>45</v>
      </c>
      <c r="R132" s="80" t="s">
        <v>53</v>
      </c>
      <c r="S132" s="80" t="s">
        <v>53</v>
      </c>
      <c r="T132" s="80" t="s">
        <v>53</v>
      </c>
      <c r="U132" s="80" t="s">
        <v>53</v>
      </c>
      <c r="V132" s="123" t="s">
        <v>45</v>
      </c>
      <c r="W132" s="80" t="s">
        <v>53</v>
      </c>
      <c r="X132" s="80" t="s">
        <v>53</v>
      </c>
      <c r="Y132" s="80" t="s">
        <v>53</v>
      </c>
      <c r="Z132" s="80" t="s">
        <v>53</v>
      </c>
      <c r="AA132" s="123" t="s">
        <v>45</v>
      </c>
      <c r="AB132" s="80" t="s">
        <v>53</v>
      </c>
      <c r="AC132" s="80" t="s">
        <v>53</v>
      </c>
      <c r="AD132" s="80" t="s">
        <v>53</v>
      </c>
      <c r="AE132" s="80" t="s">
        <v>53</v>
      </c>
      <c r="AF132" s="123" t="s">
        <v>45</v>
      </c>
      <c r="AG132" s="80" t="s">
        <v>53</v>
      </c>
      <c r="AH132" s="80" t="s">
        <v>53</v>
      </c>
      <c r="AI132" s="80" t="s">
        <v>53</v>
      </c>
      <c r="AJ132" s="80" t="s">
        <v>53</v>
      </c>
      <c r="AK132" s="123" t="s">
        <v>45</v>
      </c>
      <c r="AL132" s="80" t="s">
        <v>53</v>
      </c>
      <c r="AM132" s="80" t="s">
        <v>53</v>
      </c>
      <c r="AN132" s="80" t="s">
        <v>53</v>
      </c>
      <c r="AO132" s="80" t="s">
        <v>53</v>
      </c>
      <c r="AP132" s="171">
        <v>1178</v>
      </c>
      <c r="AQ132" s="152">
        <v>1105</v>
      </c>
      <c r="AR132" s="152">
        <v>1099</v>
      </c>
      <c r="AS132" s="152">
        <v>1103</v>
      </c>
      <c r="AT132" s="152">
        <v>1007</v>
      </c>
      <c r="AU132" s="171">
        <v>1007</v>
      </c>
      <c r="AV132" s="152">
        <v>1008</v>
      </c>
      <c r="AW132" s="152">
        <v>1015</v>
      </c>
      <c r="AX132" s="152">
        <v>1014</v>
      </c>
      <c r="AY132" s="152">
        <v>1019</v>
      </c>
      <c r="AZ132" s="171">
        <v>1019</v>
      </c>
    </row>
    <row r="133" spans="1:52" ht="15" customHeight="1">
      <c r="A133" s="69" t="s">
        <v>245</v>
      </c>
      <c r="B133" s="123" t="s">
        <v>45</v>
      </c>
      <c r="C133" s="80" t="s">
        <v>53</v>
      </c>
      <c r="D133" s="80" t="s">
        <v>53</v>
      </c>
      <c r="E133" s="80" t="s">
        <v>53</v>
      </c>
      <c r="F133" s="80" t="s">
        <v>53</v>
      </c>
      <c r="G133" s="123" t="s">
        <v>45</v>
      </c>
      <c r="H133" s="80" t="s">
        <v>53</v>
      </c>
      <c r="I133" s="80" t="s">
        <v>53</v>
      </c>
      <c r="J133" s="80" t="s">
        <v>53</v>
      </c>
      <c r="K133" s="80" t="s">
        <v>53</v>
      </c>
      <c r="L133" s="123" t="s">
        <v>45</v>
      </c>
      <c r="M133" s="80" t="s">
        <v>53</v>
      </c>
      <c r="N133" s="80" t="s">
        <v>53</v>
      </c>
      <c r="O133" s="80" t="s">
        <v>53</v>
      </c>
      <c r="P133" s="80" t="s">
        <v>53</v>
      </c>
      <c r="Q133" s="123" t="s">
        <v>45</v>
      </c>
      <c r="R133" s="80" t="s">
        <v>53</v>
      </c>
      <c r="S133" s="80" t="s">
        <v>53</v>
      </c>
      <c r="T133" s="80" t="s">
        <v>53</v>
      </c>
      <c r="U133" s="80" t="s">
        <v>53</v>
      </c>
      <c r="V133" s="123" t="s">
        <v>45</v>
      </c>
      <c r="W133" s="80" t="s">
        <v>53</v>
      </c>
      <c r="X133" s="80" t="s">
        <v>53</v>
      </c>
      <c r="Y133" s="80" t="s">
        <v>53</v>
      </c>
      <c r="Z133" s="80" t="s">
        <v>53</v>
      </c>
      <c r="AA133" s="123" t="s">
        <v>45</v>
      </c>
      <c r="AB133" s="80" t="s">
        <v>53</v>
      </c>
      <c r="AC133" s="80" t="s">
        <v>53</v>
      </c>
      <c r="AD133" s="80" t="s">
        <v>53</v>
      </c>
      <c r="AE133" s="80" t="s">
        <v>53</v>
      </c>
      <c r="AF133" s="123" t="s">
        <v>45</v>
      </c>
      <c r="AG133" s="80" t="s">
        <v>53</v>
      </c>
      <c r="AH133" s="80" t="s">
        <v>53</v>
      </c>
      <c r="AI133" s="80" t="s">
        <v>53</v>
      </c>
      <c r="AJ133" s="80" t="s">
        <v>53</v>
      </c>
      <c r="AK133" s="123" t="s">
        <v>45</v>
      </c>
      <c r="AL133" s="80" t="s">
        <v>53</v>
      </c>
      <c r="AM133" s="80" t="s">
        <v>53</v>
      </c>
      <c r="AN133" s="80" t="s">
        <v>53</v>
      </c>
      <c r="AO133" s="80" t="s">
        <v>53</v>
      </c>
      <c r="AP133" s="171">
        <v>386</v>
      </c>
      <c r="AQ133" s="152">
        <v>407</v>
      </c>
      <c r="AR133" s="152">
        <v>397</v>
      </c>
      <c r="AS133" s="152">
        <v>388</v>
      </c>
      <c r="AT133" s="152">
        <v>382</v>
      </c>
      <c r="AU133" s="171">
        <v>382</v>
      </c>
      <c r="AV133" s="152">
        <v>429</v>
      </c>
      <c r="AW133" s="152">
        <v>457</v>
      </c>
      <c r="AX133" s="152">
        <v>489</v>
      </c>
      <c r="AY133" s="152">
        <v>494</v>
      </c>
      <c r="AZ133" s="171">
        <v>494</v>
      </c>
    </row>
    <row r="134" spans="1:52" ht="15" customHeight="1">
      <c r="A134" s="40" t="s">
        <v>246</v>
      </c>
      <c r="B134" s="40"/>
      <c r="C134" s="215"/>
      <c r="D134" s="215"/>
      <c r="E134" s="215"/>
      <c r="F134" s="215"/>
      <c r="G134" s="40"/>
      <c r="H134" s="215"/>
      <c r="I134" s="215"/>
      <c r="J134" s="215"/>
      <c r="K134" s="215"/>
      <c r="L134" s="40"/>
      <c r="M134" s="215"/>
      <c r="N134" s="215"/>
      <c r="O134" s="215"/>
      <c r="P134" s="215"/>
      <c r="Q134" s="40"/>
      <c r="R134" s="215"/>
      <c r="S134" s="215"/>
      <c r="T134" s="215"/>
      <c r="U134" s="215"/>
      <c r="V134" s="40"/>
      <c r="W134" s="215"/>
      <c r="X134" s="215"/>
      <c r="Y134" s="215"/>
      <c r="Z134" s="215"/>
      <c r="AA134" s="40"/>
      <c r="AB134" s="215"/>
      <c r="AC134" s="215"/>
      <c r="AD134" s="215"/>
      <c r="AE134" s="215"/>
      <c r="AF134" s="40"/>
      <c r="AG134" s="215"/>
      <c r="AH134" s="215"/>
      <c r="AI134" s="215"/>
      <c r="AJ134" s="215"/>
      <c r="AK134" s="40"/>
      <c r="AL134" s="215"/>
      <c r="AM134" s="215"/>
      <c r="AN134" s="215"/>
      <c r="AO134" s="215"/>
      <c r="AP134" s="215">
        <v>12920</v>
      </c>
      <c r="AQ134" s="215">
        <v>12792</v>
      </c>
      <c r="AR134" s="215">
        <v>12665</v>
      </c>
      <c r="AS134" s="215">
        <v>12543</v>
      </c>
      <c r="AT134" s="215">
        <v>12388</v>
      </c>
      <c r="AU134" s="215">
        <v>12388</v>
      </c>
      <c r="AV134" s="215">
        <v>12342</v>
      </c>
      <c r="AW134" s="215">
        <v>12246</v>
      </c>
      <c r="AX134" s="215">
        <v>12191</v>
      </c>
      <c r="AY134" s="215">
        <v>12026</v>
      </c>
      <c r="AZ134" s="215">
        <v>12026</v>
      </c>
    </row>
    <row r="135" spans="1:52" ht="15" customHeight="1">
      <c r="A135" s="40" t="s">
        <v>247</v>
      </c>
      <c r="B135" s="40"/>
      <c r="C135" s="215"/>
      <c r="D135" s="215"/>
      <c r="E135" s="215"/>
      <c r="F135" s="215"/>
      <c r="G135" s="40"/>
      <c r="H135" s="215"/>
      <c r="I135" s="215"/>
      <c r="J135" s="215"/>
      <c r="K135" s="215"/>
      <c r="L135" s="40"/>
      <c r="M135" s="215"/>
      <c r="N135" s="215"/>
      <c r="O135" s="215"/>
      <c r="P135" s="215"/>
      <c r="Q135" s="40"/>
      <c r="R135" s="215"/>
      <c r="S135" s="215"/>
      <c r="T135" s="215"/>
      <c r="U135" s="215"/>
      <c r="V135" s="40"/>
      <c r="W135" s="215"/>
      <c r="X135" s="215"/>
      <c r="Y135" s="215"/>
      <c r="Z135" s="215"/>
      <c r="AA135" s="40"/>
      <c r="AB135" s="215"/>
      <c r="AC135" s="215"/>
      <c r="AD135" s="215"/>
      <c r="AE135" s="215"/>
      <c r="AF135" s="40"/>
      <c r="AG135" s="215"/>
      <c r="AH135" s="215"/>
      <c r="AI135" s="215"/>
      <c r="AJ135" s="215"/>
      <c r="AK135" s="40"/>
      <c r="AL135" s="215"/>
      <c r="AM135" s="215"/>
      <c r="AN135" s="215"/>
      <c r="AO135" s="215"/>
      <c r="AP135" s="215">
        <v>16679</v>
      </c>
      <c r="AQ135" s="215">
        <v>17033</v>
      </c>
      <c r="AR135" s="215">
        <v>17287</v>
      </c>
      <c r="AS135" s="215">
        <v>16703</v>
      </c>
      <c r="AT135" s="215">
        <v>15947</v>
      </c>
      <c r="AU135" s="215">
        <v>15947</v>
      </c>
      <c r="AV135" s="215">
        <v>16134</v>
      </c>
      <c r="AW135" s="215">
        <v>16618</v>
      </c>
      <c r="AX135" s="215">
        <v>17142</v>
      </c>
      <c r="AY135" s="215">
        <v>16849</v>
      </c>
      <c r="AZ135" s="215">
        <v>16849</v>
      </c>
    </row>
    <row r="136" spans="1:52" ht="15" customHeight="1">
      <c r="A136" s="69" t="s">
        <v>248</v>
      </c>
      <c r="B136" s="123" t="s">
        <v>45</v>
      </c>
      <c r="C136" s="80" t="s">
        <v>53</v>
      </c>
      <c r="D136" s="80" t="s">
        <v>53</v>
      </c>
      <c r="E136" s="80" t="s">
        <v>53</v>
      </c>
      <c r="F136" s="80" t="s">
        <v>53</v>
      </c>
      <c r="G136" s="123" t="s">
        <v>45</v>
      </c>
      <c r="H136" s="80" t="s">
        <v>53</v>
      </c>
      <c r="I136" s="80" t="s">
        <v>53</v>
      </c>
      <c r="J136" s="80" t="s">
        <v>53</v>
      </c>
      <c r="K136" s="80" t="s">
        <v>53</v>
      </c>
      <c r="L136" s="123" t="s">
        <v>45</v>
      </c>
      <c r="M136" s="80" t="s">
        <v>53</v>
      </c>
      <c r="N136" s="80" t="s">
        <v>53</v>
      </c>
      <c r="O136" s="80" t="s">
        <v>53</v>
      </c>
      <c r="P136" s="80" t="s">
        <v>53</v>
      </c>
      <c r="Q136" s="123" t="s">
        <v>45</v>
      </c>
      <c r="R136" s="80" t="s">
        <v>53</v>
      </c>
      <c r="S136" s="80" t="s">
        <v>53</v>
      </c>
      <c r="T136" s="80" t="s">
        <v>53</v>
      </c>
      <c r="U136" s="80" t="s">
        <v>53</v>
      </c>
      <c r="V136" s="123" t="s">
        <v>45</v>
      </c>
      <c r="W136" s="80" t="s">
        <v>53</v>
      </c>
      <c r="X136" s="80" t="s">
        <v>53</v>
      </c>
      <c r="Y136" s="80" t="s">
        <v>53</v>
      </c>
      <c r="Z136" s="80" t="s">
        <v>53</v>
      </c>
      <c r="AA136" s="123" t="s">
        <v>45</v>
      </c>
      <c r="AB136" s="80" t="s">
        <v>53</v>
      </c>
      <c r="AC136" s="80" t="s">
        <v>53</v>
      </c>
      <c r="AD136" s="80" t="s">
        <v>53</v>
      </c>
      <c r="AE136" s="80" t="s">
        <v>53</v>
      </c>
      <c r="AF136" s="123" t="s">
        <v>45</v>
      </c>
      <c r="AG136" s="80" t="s">
        <v>53</v>
      </c>
      <c r="AH136" s="80" t="s">
        <v>53</v>
      </c>
      <c r="AI136" s="80" t="s">
        <v>53</v>
      </c>
      <c r="AJ136" s="80" t="s">
        <v>53</v>
      </c>
      <c r="AK136" s="123" t="s">
        <v>45</v>
      </c>
      <c r="AL136" s="80" t="s">
        <v>53</v>
      </c>
      <c r="AM136" s="80" t="s">
        <v>53</v>
      </c>
      <c r="AN136" s="80" t="s">
        <v>53</v>
      </c>
      <c r="AO136" s="80" t="s">
        <v>53</v>
      </c>
      <c r="AP136" s="171">
        <v>1913</v>
      </c>
      <c r="AQ136" s="152">
        <v>2073</v>
      </c>
      <c r="AR136" s="152">
        <v>1958</v>
      </c>
      <c r="AS136" s="152">
        <v>2135</v>
      </c>
      <c r="AT136" s="152">
        <v>1825</v>
      </c>
      <c r="AU136" s="171">
        <v>1825</v>
      </c>
      <c r="AV136" s="152">
        <v>1594</v>
      </c>
      <c r="AW136" s="152">
        <v>958</v>
      </c>
      <c r="AX136" s="152">
        <v>555</v>
      </c>
      <c r="AY136" s="152">
        <v>1632</v>
      </c>
      <c r="AZ136" s="171">
        <v>1632</v>
      </c>
    </row>
    <row r="137" spans="1:52" ht="15" customHeight="1">
      <c r="A137" s="69" t="s">
        <v>249</v>
      </c>
      <c r="B137" s="123" t="s">
        <v>45</v>
      </c>
      <c r="C137" s="80" t="s">
        <v>53</v>
      </c>
      <c r="D137" s="80" t="s">
        <v>53</v>
      </c>
      <c r="E137" s="80" t="s">
        <v>53</v>
      </c>
      <c r="F137" s="80" t="s">
        <v>53</v>
      </c>
      <c r="G137" s="123" t="s">
        <v>45</v>
      </c>
      <c r="H137" s="80" t="s">
        <v>53</v>
      </c>
      <c r="I137" s="80" t="s">
        <v>53</v>
      </c>
      <c r="J137" s="80" t="s">
        <v>53</v>
      </c>
      <c r="K137" s="80" t="s">
        <v>53</v>
      </c>
      <c r="L137" s="123" t="s">
        <v>45</v>
      </c>
      <c r="M137" s="80" t="s">
        <v>53</v>
      </c>
      <c r="N137" s="80" t="s">
        <v>53</v>
      </c>
      <c r="O137" s="80" t="s">
        <v>53</v>
      </c>
      <c r="P137" s="80" t="s">
        <v>53</v>
      </c>
      <c r="Q137" s="123" t="s">
        <v>45</v>
      </c>
      <c r="R137" s="80" t="s">
        <v>53</v>
      </c>
      <c r="S137" s="80" t="s">
        <v>53</v>
      </c>
      <c r="T137" s="80" t="s">
        <v>53</v>
      </c>
      <c r="U137" s="80" t="s">
        <v>53</v>
      </c>
      <c r="V137" s="123" t="s">
        <v>45</v>
      </c>
      <c r="W137" s="80" t="s">
        <v>53</v>
      </c>
      <c r="X137" s="80" t="s">
        <v>53</v>
      </c>
      <c r="Y137" s="80" t="s">
        <v>53</v>
      </c>
      <c r="Z137" s="80" t="s">
        <v>53</v>
      </c>
      <c r="AA137" s="123" t="s">
        <v>45</v>
      </c>
      <c r="AB137" s="80" t="s">
        <v>53</v>
      </c>
      <c r="AC137" s="80" t="s">
        <v>53</v>
      </c>
      <c r="AD137" s="80" t="s">
        <v>53</v>
      </c>
      <c r="AE137" s="80" t="s">
        <v>53</v>
      </c>
      <c r="AF137" s="123" t="s">
        <v>45</v>
      </c>
      <c r="AG137" s="80" t="s">
        <v>53</v>
      </c>
      <c r="AH137" s="80" t="s">
        <v>53</v>
      </c>
      <c r="AI137" s="80" t="s">
        <v>53</v>
      </c>
      <c r="AJ137" s="80" t="s">
        <v>53</v>
      </c>
      <c r="AK137" s="123" t="s">
        <v>45</v>
      </c>
      <c r="AL137" s="80" t="s">
        <v>53</v>
      </c>
      <c r="AM137" s="80" t="s">
        <v>53</v>
      </c>
      <c r="AN137" s="80" t="s">
        <v>53</v>
      </c>
      <c r="AO137" s="80" t="s">
        <v>53</v>
      </c>
      <c r="AP137" s="171">
        <v>1657</v>
      </c>
      <c r="AQ137" s="152">
        <v>1843</v>
      </c>
      <c r="AR137" s="152">
        <v>1576</v>
      </c>
      <c r="AS137" s="152">
        <v>1599</v>
      </c>
      <c r="AT137" s="152">
        <v>1610</v>
      </c>
      <c r="AU137" s="171">
        <v>1610</v>
      </c>
      <c r="AV137" s="152">
        <v>1705</v>
      </c>
      <c r="AW137" s="152">
        <v>1608</v>
      </c>
      <c r="AX137" s="152">
        <v>1807</v>
      </c>
      <c r="AY137" s="152">
        <v>1699</v>
      </c>
      <c r="AZ137" s="171">
        <v>1699</v>
      </c>
    </row>
    <row r="138" spans="1:52" ht="15" customHeight="1">
      <c r="A138" s="69" t="s">
        <v>250</v>
      </c>
      <c r="B138" s="123" t="s">
        <v>45</v>
      </c>
      <c r="C138" s="80" t="s">
        <v>53</v>
      </c>
      <c r="D138" s="80" t="s">
        <v>53</v>
      </c>
      <c r="E138" s="80" t="s">
        <v>53</v>
      </c>
      <c r="F138" s="80" t="s">
        <v>53</v>
      </c>
      <c r="G138" s="123" t="s">
        <v>45</v>
      </c>
      <c r="H138" s="80" t="s">
        <v>53</v>
      </c>
      <c r="I138" s="80" t="s">
        <v>53</v>
      </c>
      <c r="J138" s="80" t="s">
        <v>53</v>
      </c>
      <c r="K138" s="80" t="s">
        <v>53</v>
      </c>
      <c r="L138" s="123" t="s">
        <v>45</v>
      </c>
      <c r="M138" s="80" t="s">
        <v>53</v>
      </c>
      <c r="N138" s="80" t="s">
        <v>53</v>
      </c>
      <c r="O138" s="80" t="s">
        <v>53</v>
      </c>
      <c r="P138" s="80" t="s">
        <v>53</v>
      </c>
      <c r="Q138" s="123" t="s">
        <v>45</v>
      </c>
      <c r="R138" s="80" t="s">
        <v>53</v>
      </c>
      <c r="S138" s="80" t="s">
        <v>53</v>
      </c>
      <c r="T138" s="80" t="s">
        <v>53</v>
      </c>
      <c r="U138" s="80" t="s">
        <v>53</v>
      </c>
      <c r="V138" s="123" t="s">
        <v>45</v>
      </c>
      <c r="W138" s="80" t="s">
        <v>53</v>
      </c>
      <c r="X138" s="80" t="s">
        <v>53</v>
      </c>
      <c r="Y138" s="80" t="s">
        <v>53</v>
      </c>
      <c r="Z138" s="80" t="s">
        <v>53</v>
      </c>
      <c r="AA138" s="123" t="s">
        <v>45</v>
      </c>
      <c r="AB138" s="80" t="s">
        <v>53</v>
      </c>
      <c r="AC138" s="80" t="s">
        <v>53</v>
      </c>
      <c r="AD138" s="80" t="s">
        <v>53</v>
      </c>
      <c r="AE138" s="80" t="s">
        <v>53</v>
      </c>
      <c r="AF138" s="123" t="s">
        <v>45</v>
      </c>
      <c r="AG138" s="80" t="s">
        <v>53</v>
      </c>
      <c r="AH138" s="80" t="s">
        <v>53</v>
      </c>
      <c r="AI138" s="80" t="s">
        <v>53</v>
      </c>
      <c r="AJ138" s="80" t="s">
        <v>53</v>
      </c>
      <c r="AK138" s="123" t="s">
        <v>45</v>
      </c>
      <c r="AL138" s="80" t="s">
        <v>53</v>
      </c>
      <c r="AM138" s="80" t="s">
        <v>53</v>
      </c>
      <c r="AN138" s="80" t="s">
        <v>53</v>
      </c>
      <c r="AO138" s="80" t="s">
        <v>53</v>
      </c>
      <c r="AP138" s="171">
        <v>624</v>
      </c>
      <c r="AQ138" s="152">
        <v>622</v>
      </c>
      <c r="AR138" s="152">
        <v>628</v>
      </c>
      <c r="AS138" s="152">
        <v>171</v>
      </c>
      <c r="AT138" s="152">
        <v>104</v>
      </c>
      <c r="AU138" s="171">
        <v>104</v>
      </c>
      <c r="AV138" s="152">
        <v>112</v>
      </c>
      <c r="AW138" s="152">
        <v>112</v>
      </c>
      <c r="AX138" s="152">
        <v>118</v>
      </c>
      <c r="AY138" s="152">
        <v>152</v>
      </c>
      <c r="AZ138" s="171">
        <v>152</v>
      </c>
    </row>
    <row r="139" spans="1:52" ht="15" customHeight="1">
      <c r="A139" s="69" t="s">
        <v>251</v>
      </c>
      <c r="B139" s="123" t="s">
        <v>45</v>
      </c>
      <c r="C139" s="80" t="s">
        <v>53</v>
      </c>
      <c r="D139" s="80" t="s">
        <v>53</v>
      </c>
      <c r="E139" s="80" t="s">
        <v>53</v>
      </c>
      <c r="F139" s="80" t="s">
        <v>53</v>
      </c>
      <c r="G139" s="123" t="s">
        <v>45</v>
      </c>
      <c r="H139" s="80" t="s">
        <v>53</v>
      </c>
      <c r="I139" s="80" t="s">
        <v>53</v>
      </c>
      <c r="J139" s="80" t="s">
        <v>53</v>
      </c>
      <c r="K139" s="80" t="s">
        <v>53</v>
      </c>
      <c r="L139" s="123" t="s">
        <v>45</v>
      </c>
      <c r="M139" s="80" t="s">
        <v>53</v>
      </c>
      <c r="N139" s="80" t="s">
        <v>53</v>
      </c>
      <c r="O139" s="80" t="s">
        <v>53</v>
      </c>
      <c r="P139" s="80" t="s">
        <v>53</v>
      </c>
      <c r="Q139" s="123" t="s">
        <v>45</v>
      </c>
      <c r="R139" s="80" t="s">
        <v>53</v>
      </c>
      <c r="S139" s="80" t="s">
        <v>53</v>
      </c>
      <c r="T139" s="80" t="s">
        <v>53</v>
      </c>
      <c r="U139" s="80" t="s">
        <v>53</v>
      </c>
      <c r="V139" s="123" t="s">
        <v>45</v>
      </c>
      <c r="W139" s="80" t="s">
        <v>53</v>
      </c>
      <c r="X139" s="80" t="s">
        <v>53</v>
      </c>
      <c r="Y139" s="80" t="s">
        <v>53</v>
      </c>
      <c r="Z139" s="80" t="s">
        <v>53</v>
      </c>
      <c r="AA139" s="123" t="s">
        <v>45</v>
      </c>
      <c r="AB139" s="80" t="s">
        <v>53</v>
      </c>
      <c r="AC139" s="80" t="s">
        <v>53</v>
      </c>
      <c r="AD139" s="80" t="s">
        <v>53</v>
      </c>
      <c r="AE139" s="80" t="s">
        <v>53</v>
      </c>
      <c r="AF139" s="123" t="s">
        <v>45</v>
      </c>
      <c r="AG139" s="80" t="s">
        <v>53</v>
      </c>
      <c r="AH139" s="80" t="s">
        <v>53</v>
      </c>
      <c r="AI139" s="80" t="s">
        <v>53</v>
      </c>
      <c r="AJ139" s="80" t="s">
        <v>53</v>
      </c>
      <c r="AK139" s="123" t="s">
        <v>45</v>
      </c>
      <c r="AL139" s="80" t="s">
        <v>53</v>
      </c>
      <c r="AM139" s="80" t="s">
        <v>53</v>
      </c>
      <c r="AN139" s="80" t="s">
        <v>53</v>
      </c>
      <c r="AO139" s="80" t="s">
        <v>53</v>
      </c>
      <c r="AP139" s="171">
        <v>233</v>
      </c>
      <c r="AQ139" s="152">
        <v>206</v>
      </c>
      <c r="AR139" s="152">
        <v>208</v>
      </c>
      <c r="AS139" s="152">
        <v>6</v>
      </c>
      <c r="AT139" s="152">
        <v>32</v>
      </c>
      <c r="AU139" s="171">
        <v>32</v>
      </c>
      <c r="AV139" s="152">
        <v>6</v>
      </c>
      <c r="AW139" s="151" t="s">
        <v>154</v>
      </c>
      <c r="AX139" s="151" t="s">
        <v>154</v>
      </c>
      <c r="AY139" s="151" t="s">
        <v>154</v>
      </c>
      <c r="AZ139" s="216" t="s">
        <v>154</v>
      </c>
    </row>
    <row r="140" spans="1:52" ht="15" customHeight="1">
      <c r="A140" s="69" t="s">
        <v>252</v>
      </c>
      <c r="B140" s="123" t="s">
        <v>45</v>
      </c>
      <c r="C140" s="80" t="s">
        <v>53</v>
      </c>
      <c r="D140" s="80" t="s">
        <v>53</v>
      </c>
      <c r="E140" s="80" t="s">
        <v>53</v>
      </c>
      <c r="F140" s="80" t="s">
        <v>53</v>
      </c>
      <c r="G140" s="123" t="s">
        <v>45</v>
      </c>
      <c r="H140" s="80" t="s">
        <v>53</v>
      </c>
      <c r="I140" s="80" t="s">
        <v>53</v>
      </c>
      <c r="J140" s="80" t="s">
        <v>53</v>
      </c>
      <c r="K140" s="80" t="s">
        <v>53</v>
      </c>
      <c r="L140" s="123" t="s">
        <v>45</v>
      </c>
      <c r="M140" s="80" t="s">
        <v>53</v>
      </c>
      <c r="N140" s="80" t="s">
        <v>53</v>
      </c>
      <c r="O140" s="80" t="s">
        <v>53</v>
      </c>
      <c r="P140" s="80" t="s">
        <v>53</v>
      </c>
      <c r="Q140" s="123" t="s">
        <v>45</v>
      </c>
      <c r="R140" s="80" t="s">
        <v>53</v>
      </c>
      <c r="S140" s="80" t="s">
        <v>53</v>
      </c>
      <c r="T140" s="80" t="s">
        <v>53</v>
      </c>
      <c r="U140" s="80" t="s">
        <v>53</v>
      </c>
      <c r="V140" s="123" t="s">
        <v>45</v>
      </c>
      <c r="W140" s="80" t="s">
        <v>53</v>
      </c>
      <c r="X140" s="80" t="s">
        <v>53</v>
      </c>
      <c r="Y140" s="80" t="s">
        <v>53</v>
      </c>
      <c r="Z140" s="80" t="s">
        <v>53</v>
      </c>
      <c r="AA140" s="123" t="s">
        <v>45</v>
      </c>
      <c r="AB140" s="80" t="s">
        <v>53</v>
      </c>
      <c r="AC140" s="80" t="s">
        <v>53</v>
      </c>
      <c r="AD140" s="80" t="s">
        <v>53</v>
      </c>
      <c r="AE140" s="80" t="s">
        <v>53</v>
      </c>
      <c r="AF140" s="123" t="s">
        <v>45</v>
      </c>
      <c r="AG140" s="80" t="s">
        <v>53</v>
      </c>
      <c r="AH140" s="80" t="s">
        <v>53</v>
      </c>
      <c r="AI140" s="80" t="s">
        <v>53</v>
      </c>
      <c r="AJ140" s="80" t="s">
        <v>53</v>
      </c>
      <c r="AK140" s="123" t="s">
        <v>45</v>
      </c>
      <c r="AL140" s="80" t="s">
        <v>53</v>
      </c>
      <c r="AM140" s="80" t="s">
        <v>53</v>
      </c>
      <c r="AN140" s="80" t="s">
        <v>53</v>
      </c>
      <c r="AO140" s="80" t="s">
        <v>53</v>
      </c>
      <c r="AP140" s="171">
        <v>378</v>
      </c>
      <c r="AQ140" s="152">
        <v>380</v>
      </c>
      <c r="AR140" s="152">
        <v>370</v>
      </c>
      <c r="AS140" s="152">
        <v>280</v>
      </c>
      <c r="AT140" s="152">
        <v>315</v>
      </c>
      <c r="AU140" s="171">
        <v>315</v>
      </c>
      <c r="AV140" s="152">
        <v>308</v>
      </c>
      <c r="AW140" s="152">
        <v>318</v>
      </c>
      <c r="AX140" s="152">
        <v>251</v>
      </c>
      <c r="AY140" s="152">
        <v>280</v>
      </c>
      <c r="AZ140" s="171">
        <v>280</v>
      </c>
    </row>
    <row r="141" spans="1:52" ht="15" customHeight="1">
      <c r="A141" s="69" t="s">
        <v>253</v>
      </c>
      <c r="B141" s="123" t="s">
        <v>45</v>
      </c>
      <c r="C141" s="80" t="s">
        <v>53</v>
      </c>
      <c r="D141" s="80" t="s">
        <v>53</v>
      </c>
      <c r="E141" s="80" t="s">
        <v>53</v>
      </c>
      <c r="F141" s="80" t="s">
        <v>53</v>
      </c>
      <c r="G141" s="123" t="s">
        <v>45</v>
      </c>
      <c r="H141" s="80" t="s">
        <v>53</v>
      </c>
      <c r="I141" s="80" t="s">
        <v>53</v>
      </c>
      <c r="J141" s="80" t="s">
        <v>53</v>
      </c>
      <c r="K141" s="80" t="s">
        <v>53</v>
      </c>
      <c r="L141" s="123" t="s">
        <v>45</v>
      </c>
      <c r="M141" s="80" t="s">
        <v>53</v>
      </c>
      <c r="N141" s="80" t="s">
        <v>53</v>
      </c>
      <c r="O141" s="80" t="s">
        <v>53</v>
      </c>
      <c r="P141" s="80" t="s">
        <v>53</v>
      </c>
      <c r="Q141" s="123" t="s">
        <v>45</v>
      </c>
      <c r="R141" s="80" t="s">
        <v>53</v>
      </c>
      <c r="S141" s="80" t="s">
        <v>53</v>
      </c>
      <c r="T141" s="80" t="s">
        <v>53</v>
      </c>
      <c r="U141" s="80" t="s">
        <v>53</v>
      </c>
      <c r="V141" s="123" t="s">
        <v>45</v>
      </c>
      <c r="W141" s="80" t="s">
        <v>53</v>
      </c>
      <c r="X141" s="80" t="s">
        <v>53</v>
      </c>
      <c r="Y141" s="80" t="s">
        <v>53</v>
      </c>
      <c r="Z141" s="80" t="s">
        <v>53</v>
      </c>
      <c r="AA141" s="123" t="s">
        <v>45</v>
      </c>
      <c r="AB141" s="80" t="s">
        <v>53</v>
      </c>
      <c r="AC141" s="80" t="s">
        <v>53</v>
      </c>
      <c r="AD141" s="80" t="s">
        <v>53</v>
      </c>
      <c r="AE141" s="80" t="s">
        <v>53</v>
      </c>
      <c r="AF141" s="123" t="s">
        <v>45</v>
      </c>
      <c r="AG141" s="80" t="s">
        <v>53</v>
      </c>
      <c r="AH141" s="80" t="s">
        <v>53</v>
      </c>
      <c r="AI141" s="80" t="s">
        <v>53</v>
      </c>
      <c r="AJ141" s="80" t="s">
        <v>53</v>
      </c>
      <c r="AK141" s="123" t="s">
        <v>45</v>
      </c>
      <c r="AL141" s="80" t="s">
        <v>53</v>
      </c>
      <c r="AM141" s="80" t="s">
        <v>53</v>
      </c>
      <c r="AN141" s="80" t="s">
        <v>53</v>
      </c>
      <c r="AO141" s="80" t="s">
        <v>53</v>
      </c>
      <c r="AP141" s="171">
        <v>100</v>
      </c>
      <c r="AQ141" s="152">
        <v>88</v>
      </c>
      <c r="AR141" s="152">
        <v>90</v>
      </c>
      <c r="AS141" s="152">
        <v>87</v>
      </c>
      <c r="AT141" s="152">
        <v>80</v>
      </c>
      <c r="AU141" s="171">
        <v>80</v>
      </c>
      <c r="AV141" s="152">
        <v>81</v>
      </c>
      <c r="AW141" s="152">
        <v>79</v>
      </c>
      <c r="AX141" s="152">
        <v>94</v>
      </c>
      <c r="AY141" s="152">
        <v>94</v>
      </c>
      <c r="AZ141" s="171">
        <v>94</v>
      </c>
    </row>
    <row r="142" spans="1:52" ht="15" customHeight="1">
      <c r="A142" s="69" t="s">
        <v>254</v>
      </c>
      <c r="B142" s="123" t="s">
        <v>45</v>
      </c>
      <c r="C142" s="80" t="s">
        <v>53</v>
      </c>
      <c r="D142" s="80" t="s">
        <v>53</v>
      </c>
      <c r="E142" s="80" t="s">
        <v>53</v>
      </c>
      <c r="F142" s="80" t="s">
        <v>53</v>
      </c>
      <c r="G142" s="123" t="s">
        <v>45</v>
      </c>
      <c r="H142" s="80" t="s">
        <v>53</v>
      </c>
      <c r="I142" s="80" t="s">
        <v>53</v>
      </c>
      <c r="J142" s="80" t="s">
        <v>53</v>
      </c>
      <c r="K142" s="80" t="s">
        <v>53</v>
      </c>
      <c r="L142" s="123" t="s">
        <v>45</v>
      </c>
      <c r="M142" s="80" t="s">
        <v>53</v>
      </c>
      <c r="N142" s="80" t="s">
        <v>53</v>
      </c>
      <c r="O142" s="80" t="s">
        <v>53</v>
      </c>
      <c r="P142" s="80" t="s">
        <v>53</v>
      </c>
      <c r="Q142" s="123" t="s">
        <v>45</v>
      </c>
      <c r="R142" s="80" t="s">
        <v>53</v>
      </c>
      <c r="S142" s="80" t="s">
        <v>53</v>
      </c>
      <c r="T142" s="80" t="s">
        <v>53</v>
      </c>
      <c r="U142" s="80" t="s">
        <v>53</v>
      </c>
      <c r="V142" s="123" t="s">
        <v>45</v>
      </c>
      <c r="W142" s="80" t="s">
        <v>53</v>
      </c>
      <c r="X142" s="80" t="s">
        <v>53</v>
      </c>
      <c r="Y142" s="80" t="s">
        <v>53</v>
      </c>
      <c r="Z142" s="80" t="s">
        <v>53</v>
      </c>
      <c r="AA142" s="123" t="s">
        <v>45</v>
      </c>
      <c r="AB142" s="80" t="s">
        <v>53</v>
      </c>
      <c r="AC142" s="80" t="s">
        <v>53</v>
      </c>
      <c r="AD142" s="80" t="s">
        <v>53</v>
      </c>
      <c r="AE142" s="80" t="s">
        <v>53</v>
      </c>
      <c r="AF142" s="123" t="s">
        <v>45</v>
      </c>
      <c r="AG142" s="80" t="s">
        <v>53</v>
      </c>
      <c r="AH142" s="80" t="s">
        <v>53</v>
      </c>
      <c r="AI142" s="80" t="s">
        <v>53</v>
      </c>
      <c r="AJ142" s="80" t="s">
        <v>53</v>
      </c>
      <c r="AK142" s="123" t="s">
        <v>45</v>
      </c>
      <c r="AL142" s="80" t="s">
        <v>53</v>
      </c>
      <c r="AM142" s="80" t="s">
        <v>53</v>
      </c>
      <c r="AN142" s="80" t="s">
        <v>53</v>
      </c>
      <c r="AO142" s="80" t="s">
        <v>53</v>
      </c>
      <c r="AP142" s="216" t="s">
        <v>154</v>
      </c>
      <c r="AQ142" s="151" t="s">
        <v>154</v>
      </c>
      <c r="AR142" s="151" t="s">
        <v>154</v>
      </c>
      <c r="AS142" s="152">
        <v>665</v>
      </c>
      <c r="AT142" s="151" t="s">
        <v>154</v>
      </c>
      <c r="AU142" s="216" t="s">
        <v>154</v>
      </c>
      <c r="AV142" s="151" t="s">
        <v>154</v>
      </c>
      <c r="AW142" s="151" t="s">
        <v>154</v>
      </c>
      <c r="AX142" s="152">
        <v>708</v>
      </c>
      <c r="AY142" s="151" t="s">
        <v>154</v>
      </c>
      <c r="AZ142" s="216" t="s">
        <v>154</v>
      </c>
    </row>
    <row r="143" spans="1:52" ht="15" customHeight="1">
      <c r="A143" s="40" t="s">
        <v>255</v>
      </c>
      <c r="B143" s="40"/>
      <c r="C143" s="215"/>
      <c r="D143" s="215"/>
      <c r="E143" s="215"/>
      <c r="F143" s="215"/>
      <c r="G143" s="40"/>
      <c r="H143" s="215"/>
      <c r="I143" s="215"/>
      <c r="J143" s="215"/>
      <c r="K143" s="215"/>
      <c r="L143" s="40"/>
      <c r="M143" s="215"/>
      <c r="N143" s="215"/>
      <c r="O143" s="215"/>
      <c r="P143" s="215"/>
      <c r="Q143" s="40"/>
      <c r="R143" s="215"/>
      <c r="S143" s="215"/>
      <c r="T143" s="215"/>
      <c r="U143" s="215"/>
      <c r="V143" s="40"/>
      <c r="W143" s="215"/>
      <c r="X143" s="215"/>
      <c r="Y143" s="215"/>
      <c r="Z143" s="215"/>
      <c r="AA143" s="40"/>
      <c r="AB143" s="215"/>
      <c r="AC143" s="215"/>
      <c r="AD143" s="215"/>
      <c r="AE143" s="215"/>
      <c r="AF143" s="40"/>
      <c r="AG143" s="215"/>
      <c r="AH143" s="215"/>
      <c r="AI143" s="215"/>
      <c r="AJ143" s="215"/>
      <c r="AK143" s="40"/>
      <c r="AL143" s="215"/>
      <c r="AM143" s="215"/>
      <c r="AN143" s="215"/>
      <c r="AO143" s="215"/>
      <c r="AP143" s="40"/>
      <c r="AQ143" s="215">
        <v>5212</v>
      </c>
      <c r="AR143" s="215">
        <v>4830</v>
      </c>
      <c r="AS143" s="215">
        <v>4943</v>
      </c>
      <c r="AT143" s="215">
        <v>3966</v>
      </c>
      <c r="AU143" s="215">
        <v>3966</v>
      </c>
      <c r="AV143" s="215">
        <v>3806</v>
      </c>
      <c r="AW143" s="215">
        <v>3075</v>
      </c>
      <c r="AX143" s="215">
        <v>3533</v>
      </c>
      <c r="AY143" s="215">
        <v>3857</v>
      </c>
      <c r="AZ143" s="215">
        <v>3857</v>
      </c>
    </row>
    <row r="144" spans="1:52" ht="15" customHeight="1">
      <c r="A144" s="69" t="s">
        <v>258</v>
      </c>
      <c r="B144" s="123" t="s">
        <v>45</v>
      </c>
      <c r="C144" s="80" t="s">
        <v>53</v>
      </c>
      <c r="D144" s="80" t="s">
        <v>53</v>
      </c>
      <c r="E144" s="80" t="s">
        <v>53</v>
      </c>
      <c r="F144" s="80" t="s">
        <v>53</v>
      </c>
      <c r="G144" s="123" t="s">
        <v>45</v>
      </c>
      <c r="H144" s="80" t="s">
        <v>53</v>
      </c>
      <c r="I144" s="80" t="s">
        <v>53</v>
      </c>
      <c r="J144" s="80" t="s">
        <v>53</v>
      </c>
      <c r="K144" s="80" t="s">
        <v>53</v>
      </c>
      <c r="L144" s="123" t="s">
        <v>45</v>
      </c>
      <c r="M144" s="80" t="s">
        <v>53</v>
      </c>
      <c r="N144" s="80" t="s">
        <v>53</v>
      </c>
      <c r="O144" s="80" t="s">
        <v>53</v>
      </c>
      <c r="P144" s="80" t="s">
        <v>53</v>
      </c>
      <c r="Q144" s="123" t="s">
        <v>45</v>
      </c>
      <c r="R144" s="80" t="s">
        <v>53</v>
      </c>
      <c r="S144" s="80" t="s">
        <v>53</v>
      </c>
      <c r="T144" s="80" t="s">
        <v>53</v>
      </c>
      <c r="U144" s="80" t="s">
        <v>53</v>
      </c>
      <c r="V144" s="123" t="s">
        <v>45</v>
      </c>
      <c r="W144" s="80" t="s">
        <v>53</v>
      </c>
      <c r="X144" s="80" t="s">
        <v>53</v>
      </c>
      <c r="Y144" s="80" t="s">
        <v>53</v>
      </c>
      <c r="Z144" s="80" t="s">
        <v>53</v>
      </c>
      <c r="AA144" s="123" t="s">
        <v>45</v>
      </c>
      <c r="AB144" s="80" t="s">
        <v>53</v>
      </c>
      <c r="AC144" s="80" t="s">
        <v>53</v>
      </c>
      <c r="AD144" s="80" t="s">
        <v>53</v>
      </c>
      <c r="AE144" s="80" t="s">
        <v>53</v>
      </c>
      <c r="AF144" s="123" t="s">
        <v>45</v>
      </c>
      <c r="AG144" s="80" t="s">
        <v>53</v>
      </c>
      <c r="AH144" s="80" t="s">
        <v>53</v>
      </c>
      <c r="AI144" s="80" t="s">
        <v>53</v>
      </c>
      <c r="AJ144" s="80" t="s">
        <v>53</v>
      </c>
      <c r="AK144" s="123" t="s">
        <v>45</v>
      </c>
      <c r="AL144" s="80" t="s">
        <v>53</v>
      </c>
      <c r="AM144" s="80" t="s">
        <v>53</v>
      </c>
      <c r="AN144" s="80" t="s">
        <v>53</v>
      </c>
      <c r="AO144" s="80" t="s">
        <v>53</v>
      </c>
      <c r="AP144" s="171">
        <v>8800</v>
      </c>
      <c r="AQ144" s="152">
        <v>8532</v>
      </c>
      <c r="AR144" s="152">
        <v>9546</v>
      </c>
      <c r="AS144" s="152">
        <v>9111</v>
      </c>
      <c r="AT144" s="152">
        <v>9128</v>
      </c>
      <c r="AU144" s="171">
        <v>9128</v>
      </c>
      <c r="AV144" s="152">
        <v>9109</v>
      </c>
      <c r="AW144" s="152">
        <v>10561</v>
      </c>
      <c r="AX144" s="152">
        <v>10978</v>
      </c>
      <c r="AY144" s="152">
        <v>10229</v>
      </c>
      <c r="AZ144" s="171">
        <v>10229</v>
      </c>
    </row>
    <row r="145" spans="1:16384" ht="15" customHeight="1">
      <c r="A145" s="69" t="s">
        <v>252</v>
      </c>
      <c r="B145" s="123" t="s">
        <v>45</v>
      </c>
      <c r="C145" s="80" t="s">
        <v>53</v>
      </c>
      <c r="D145" s="80" t="s">
        <v>53</v>
      </c>
      <c r="E145" s="80" t="s">
        <v>53</v>
      </c>
      <c r="F145" s="80" t="s">
        <v>53</v>
      </c>
      <c r="G145" s="123" t="s">
        <v>45</v>
      </c>
      <c r="H145" s="80" t="s">
        <v>53</v>
      </c>
      <c r="I145" s="80" t="s">
        <v>53</v>
      </c>
      <c r="J145" s="80" t="s">
        <v>53</v>
      </c>
      <c r="K145" s="80" t="s">
        <v>53</v>
      </c>
      <c r="L145" s="123" t="s">
        <v>45</v>
      </c>
      <c r="M145" s="80" t="s">
        <v>53</v>
      </c>
      <c r="N145" s="80" t="s">
        <v>53</v>
      </c>
      <c r="O145" s="80" t="s">
        <v>53</v>
      </c>
      <c r="P145" s="80" t="s">
        <v>53</v>
      </c>
      <c r="Q145" s="123" t="s">
        <v>45</v>
      </c>
      <c r="R145" s="80" t="s">
        <v>53</v>
      </c>
      <c r="S145" s="80" t="s">
        <v>53</v>
      </c>
      <c r="T145" s="80" t="s">
        <v>53</v>
      </c>
      <c r="U145" s="80" t="s">
        <v>53</v>
      </c>
      <c r="V145" s="123" t="s">
        <v>45</v>
      </c>
      <c r="W145" s="80" t="s">
        <v>53</v>
      </c>
      <c r="X145" s="80" t="s">
        <v>53</v>
      </c>
      <c r="Y145" s="80" t="s">
        <v>53</v>
      </c>
      <c r="Z145" s="80" t="s">
        <v>53</v>
      </c>
      <c r="AA145" s="123" t="s">
        <v>45</v>
      </c>
      <c r="AB145" s="80" t="s">
        <v>53</v>
      </c>
      <c r="AC145" s="80" t="s">
        <v>53</v>
      </c>
      <c r="AD145" s="80" t="s">
        <v>53</v>
      </c>
      <c r="AE145" s="80" t="s">
        <v>53</v>
      </c>
      <c r="AF145" s="123" t="s">
        <v>45</v>
      </c>
      <c r="AG145" s="80" t="s">
        <v>53</v>
      </c>
      <c r="AH145" s="80" t="s">
        <v>53</v>
      </c>
      <c r="AI145" s="80" t="s">
        <v>53</v>
      </c>
      <c r="AJ145" s="80" t="s">
        <v>53</v>
      </c>
      <c r="AK145" s="123" t="s">
        <v>45</v>
      </c>
      <c r="AL145" s="80" t="s">
        <v>53</v>
      </c>
      <c r="AM145" s="80" t="s">
        <v>53</v>
      </c>
      <c r="AN145" s="80" t="s">
        <v>53</v>
      </c>
      <c r="AO145" s="80" t="s">
        <v>53</v>
      </c>
      <c r="AP145" s="171">
        <v>240</v>
      </c>
      <c r="AQ145" s="152">
        <v>238</v>
      </c>
      <c r="AR145" s="152">
        <v>239</v>
      </c>
      <c r="AS145" s="152">
        <v>237</v>
      </c>
      <c r="AT145" s="152">
        <v>258</v>
      </c>
      <c r="AU145" s="171">
        <v>258</v>
      </c>
      <c r="AV145" s="152">
        <v>260</v>
      </c>
      <c r="AW145" s="152">
        <v>259</v>
      </c>
      <c r="AX145" s="152">
        <v>260</v>
      </c>
      <c r="AY145" s="152">
        <v>272</v>
      </c>
      <c r="AZ145" s="171">
        <v>272</v>
      </c>
    </row>
    <row r="146" spans="1:16384" ht="15" customHeight="1">
      <c r="A146" s="69" t="s">
        <v>259</v>
      </c>
      <c r="B146" s="123" t="s">
        <v>45</v>
      </c>
      <c r="C146" s="80" t="s">
        <v>53</v>
      </c>
      <c r="D146" s="80" t="s">
        <v>53</v>
      </c>
      <c r="E146" s="80" t="s">
        <v>53</v>
      </c>
      <c r="F146" s="80" t="s">
        <v>53</v>
      </c>
      <c r="G146" s="123" t="s">
        <v>45</v>
      </c>
      <c r="H146" s="80" t="s">
        <v>53</v>
      </c>
      <c r="I146" s="80" t="s">
        <v>53</v>
      </c>
      <c r="J146" s="80" t="s">
        <v>53</v>
      </c>
      <c r="K146" s="80" t="s">
        <v>53</v>
      </c>
      <c r="L146" s="123" t="s">
        <v>45</v>
      </c>
      <c r="M146" s="80" t="s">
        <v>53</v>
      </c>
      <c r="N146" s="80" t="s">
        <v>53</v>
      </c>
      <c r="O146" s="80" t="s">
        <v>53</v>
      </c>
      <c r="P146" s="80" t="s">
        <v>53</v>
      </c>
      <c r="Q146" s="123" t="s">
        <v>45</v>
      </c>
      <c r="R146" s="80" t="s">
        <v>53</v>
      </c>
      <c r="S146" s="80" t="s">
        <v>53</v>
      </c>
      <c r="T146" s="80" t="s">
        <v>53</v>
      </c>
      <c r="U146" s="80" t="s">
        <v>53</v>
      </c>
      <c r="V146" s="123" t="s">
        <v>45</v>
      </c>
      <c r="W146" s="80" t="s">
        <v>53</v>
      </c>
      <c r="X146" s="80" t="s">
        <v>53</v>
      </c>
      <c r="Y146" s="80" t="s">
        <v>53</v>
      </c>
      <c r="Z146" s="80" t="s">
        <v>53</v>
      </c>
      <c r="AA146" s="123" t="s">
        <v>45</v>
      </c>
      <c r="AB146" s="80" t="s">
        <v>53</v>
      </c>
      <c r="AC146" s="80" t="s">
        <v>53</v>
      </c>
      <c r="AD146" s="80" t="s">
        <v>53</v>
      </c>
      <c r="AE146" s="80" t="s">
        <v>53</v>
      </c>
      <c r="AF146" s="123" t="s">
        <v>45</v>
      </c>
      <c r="AG146" s="80" t="s">
        <v>53</v>
      </c>
      <c r="AH146" s="80" t="s">
        <v>53</v>
      </c>
      <c r="AI146" s="80" t="s">
        <v>53</v>
      </c>
      <c r="AJ146" s="80" t="s">
        <v>53</v>
      </c>
      <c r="AK146" s="123" t="s">
        <v>45</v>
      </c>
      <c r="AL146" s="80" t="s">
        <v>53</v>
      </c>
      <c r="AM146" s="80" t="s">
        <v>53</v>
      </c>
      <c r="AN146" s="80" t="s">
        <v>53</v>
      </c>
      <c r="AO146" s="80" t="s">
        <v>53</v>
      </c>
      <c r="AP146" s="171">
        <v>226</v>
      </c>
      <c r="AQ146" s="152">
        <v>262</v>
      </c>
      <c r="AR146" s="152">
        <v>252</v>
      </c>
      <c r="AS146" s="152">
        <v>257</v>
      </c>
      <c r="AT146" s="152">
        <v>244</v>
      </c>
      <c r="AU146" s="171">
        <v>244</v>
      </c>
      <c r="AV146" s="152">
        <v>250</v>
      </c>
      <c r="AW146" s="152">
        <v>251</v>
      </c>
      <c r="AX146" s="152">
        <v>292</v>
      </c>
      <c r="AY146" s="152">
        <v>234</v>
      </c>
      <c r="AZ146" s="171">
        <v>234</v>
      </c>
    </row>
    <row r="147" spans="1:16384" ht="15" customHeight="1">
      <c r="A147" s="69" t="s">
        <v>260</v>
      </c>
      <c r="B147" s="123" t="s">
        <v>45</v>
      </c>
      <c r="C147" s="80" t="s">
        <v>53</v>
      </c>
      <c r="D147" s="80" t="s">
        <v>53</v>
      </c>
      <c r="E147" s="80" t="s">
        <v>53</v>
      </c>
      <c r="F147" s="80" t="s">
        <v>53</v>
      </c>
      <c r="G147" s="123" t="s">
        <v>45</v>
      </c>
      <c r="H147" s="80" t="s">
        <v>53</v>
      </c>
      <c r="I147" s="80" t="s">
        <v>53</v>
      </c>
      <c r="J147" s="80" t="s">
        <v>53</v>
      </c>
      <c r="K147" s="80" t="s">
        <v>53</v>
      </c>
      <c r="L147" s="123" t="s">
        <v>45</v>
      </c>
      <c r="M147" s="80" t="s">
        <v>53</v>
      </c>
      <c r="N147" s="80" t="s">
        <v>53</v>
      </c>
      <c r="O147" s="80" t="s">
        <v>53</v>
      </c>
      <c r="P147" s="80" t="s">
        <v>53</v>
      </c>
      <c r="Q147" s="123" t="s">
        <v>45</v>
      </c>
      <c r="R147" s="80" t="s">
        <v>53</v>
      </c>
      <c r="S147" s="80" t="s">
        <v>53</v>
      </c>
      <c r="T147" s="80" t="s">
        <v>53</v>
      </c>
      <c r="U147" s="80" t="s">
        <v>53</v>
      </c>
      <c r="V147" s="123" t="s">
        <v>45</v>
      </c>
      <c r="W147" s="80" t="s">
        <v>53</v>
      </c>
      <c r="X147" s="80" t="s">
        <v>53</v>
      </c>
      <c r="Y147" s="80" t="s">
        <v>53</v>
      </c>
      <c r="Z147" s="80" t="s">
        <v>53</v>
      </c>
      <c r="AA147" s="123" t="s">
        <v>45</v>
      </c>
      <c r="AB147" s="80" t="s">
        <v>53</v>
      </c>
      <c r="AC147" s="80" t="s">
        <v>53</v>
      </c>
      <c r="AD147" s="80" t="s">
        <v>53</v>
      </c>
      <c r="AE147" s="80" t="s">
        <v>53</v>
      </c>
      <c r="AF147" s="123" t="s">
        <v>45</v>
      </c>
      <c r="AG147" s="80" t="s">
        <v>53</v>
      </c>
      <c r="AH147" s="80" t="s">
        <v>53</v>
      </c>
      <c r="AI147" s="80" t="s">
        <v>53</v>
      </c>
      <c r="AJ147" s="80" t="s">
        <v>53</v>
      </c>
      <c r="AK147" s="123" t="s">
        <v>45</v>
      </c>
      <c r="AL147" s="80" t="s">
        <v>53</v>
      </c>
      <c r="AM147" s="80" t="s">
        <v>53</v>
      </c>
      <c r="AN147" s="80" t="s">
        <v>53</v>
      </c>
      <c r="AO147" s="80" t="s">
        <v>53</v>
      </c>
      <c r="AP147" s="171">
        <v>51</v>
      </c>
      <c r="AQ147" s="152">
        <v>50</v>
      </c>
      <c r="AR147" s="152">
        <v>75</v>
      </c>
      <c r="AS147" s="152">
        <v>81</v>
      </c>
      <c r="AT147" s="152">
        <v>101</v>
      </c>
      <c r="AU147" s="171">
        <v>101</v>
      </c>
      <c r="AV147" s="152">
        <v>103</v>
      </c>
      <c r="AW147" s="152">
        <v>99</v>
      </c>
      <c r="AX147" s="152">
        <v>104</v>
      </c>
      <c r="AY147" s="152">
        <v>73</v>
      </c>
      <c r="AZ147" s="171">
        <v>73</v>
      </c>
    </row>
    <row r="148" spans="1:16384" ht="15" customHeight="1">
      <c r="A148" s="69" t="s">
        <v>253</v>
      </c>
      <c r="B148" s="123" t="s">
        <v>45</v>
      </c>
      <c r="C148" s="80" t="s">
        <v>53</v>
      </c>
      <c r="D148" s="80" t="s">
        <v>53</v>
      </c>
      <c r="E148" s="80" t="s">
        <v>53</v>
      </c>
      <c r="F148" s="80" t="s">
        <v>53</v>
      </c>
      <c r="G148" s="123" t="s">
        <v>45</v>
      </c>
      <c r="H148" s="80" t="s">
        <v>53</v>
      </c>
      <c r="I148" s="80" t="s">
        <v>53</v>
      </c>
      <c r="J148" s="80" t="s">
        <v>53</v>
      </c>
      <c r="K148" s="80" t="s">
        <v>53</v>
      </c>
      <c r="L148" s="123" t="s">
        <v>45</v>
      </c>
      <c r="M148" s="80" t="s">
        <v>53</v>
      </c>
      <c r="N148" s="80" t="s">
        <v>53</v>
      </c>
      <c r="O148" s="80" t="s">
        <v>53</v>
      </c>
      <c r="P148" s="80" t="s">
        <v>53</v>
      </c>
      <c r="Q148" s="123" t="s">
        <v>45</v>
      </c>
      <c r="R148" s="80" t="s">
        <v>53</v>
      </c>
      <c r="S148" s="80" t="s">
        <v>53</v>
      </c>
      <c r="T148" s="80" t="s">
        <v>53</v>
      </c>
      <c r="U148" s="80" t="s">
        <v>53</v>
      </c>
      <c r="V148" s="123" t="s">
        <v>45</v>
      </c>
      <c r="W148" s="80" t="s">
        <v>53</v>
      </c>
      <c r="X148" s="80" t="s">
        <v>53</v>
      </c>
      <c r="Y148" s="80" t="s">
        <v>53</v>
      </c>
      <c r="Z148" s="80" t="s">
        <v>53</v>
      </c>
      <c r="AA148" s="123" t="s">
        <v>45</v>
      </c>
      <c r="AB148" s="80" t="s">
        <v>53</v>
      </c>
      <c r="AC148" s="80" t="s">
        <v>53</v>
      </c>
      <c r="AD148" s="80" t="s">
        <v>53</v>
      </c>
      <c r="AE148" s="80" t="s">
        <v>53</v>
      </c>
      <c r="AF148" s="123" t="s">
        <v>45</v>
      </c>
      <c r="AG148" s="80" t="s">
        <v>53</v>
      </c>
      <c r="AH148" s="80" t="s">
        <v>53</v>
      </c>
      <c r="AI148" s="80" t="s">
        <v>53</v>
      </c>
      <c r="AJ148" s="80" t="s">
        <v>53</v>
      </c>
      <c r="AK148" s="123" t="s">
        <v>45</v>
      </c>
      <c r="AL148" s="80" t="s">
        <v>53</v>
      </c>
      <c r="AM148" s="80" t="s">
        <v>53</v>
      </c>
      <c r="AN148" s="80" t="s">
        <v>53</v>
      </c>
      <c r="AO148" s="80" t="s">
        <v>53</v>
      </c>
      <c r="AP148" s="171">
        <v>46</v>
      </c>
      <c r="AQ148" s="152">
        <v>46</v>
      </c>
      <c r="AR148" s="152">
        <v>46</v>
      </c>
      <c r="AS148" s="152">
        <v>47</v>
      </c>
      <c r="AT148" s="152">
        <v>47</v>
      </c>
      <c r="AU148" s="171">
        <v>47</v>
      </c>
      <c r="AV148" s="152">
        <v>47</v>
      </c>
      <c r="AW148" s="152">
        <v>48</v>
      </c>
      <c r="AX148" s="152">
        <v>48</v>
      </c>
      <c r="AY148" s="152">
        <v>40</v>
      </c>
      <c r="AZ148" s="171">
        <v>40</v>
      </c>
    </row>
    <row r="149" spans="1:16384" ht="15" customHeight="1">
      <c r="A149" s="40" t="s">
        <v>256</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215"/>
      <c r="AM149" s="215"/>
      <c r="AN149" s="215"/>
      <c r="AO149" s="215"/>
      <c r="AP149" s="215">
        <v>9363</v>
      </c>
      <c r="AQ149" s="215">
        <v>9128</v>
      </c>
      <c r="AR149" s="215">
        <v>10158</v>
      </c>
      <c r="AS149" s="215">
        <v>9733</v>
      </c>
      <c r="AT149" s="215">
        <v>9778</v>
      </c>
      <c r="AU149" s="215">
        <v>9778</v>
      </c>
      <c r="AV149" s="215">
        <v>9769</v>
      </c>
      <c r="AW149" s="215">
        <v>11218</v>
      </c>
      <c r="AX149" s="215">
        <v>11682</v>
      </c>
      <c r="AY149" s="215">
        <v>10848</v>
      </c>
      <c r="AZ149" s="215">
        <v>10848</v>
      </c>
    </row>
    <row r="150" spans="1:16384" ht="15" customHeight="1">
      <c r="A150" s="40" t="s">
        <v>257</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215"/>
      <c r="AM150" s="215"/>
      <c r="AN150" s="215"/>
      <c r="AO150" s="215"/>
      <c r="AP150" s="220">
        <v>2411</v>
      </c>
      <c r="AQ150" s="215">
        <v>2693</v>
      </c>
      <c r="AR150" s="215">
        <v>2299</v>
      </c>
      <c r="AS150" s="215">
        <v>2027</v>
      </c>
      <c r="AT150" s="215">
        <v>2203</v>
      </c>
      <c r="AU150" s="215">
        <v>2203</v>
      </c>
      <c r="AV150" s="215">
        <v>2559</v>
      </c>
      <c r="AW150" s="215">
        <v>2325</v>
      </c>
      <c r="AX150" s="215">
        <v>1927</v>
      </c>
      <c r="AY150" s="215">
        <v>2144</v>
      </c>
      <c r="AZ150" s="215">
        <v>2144</v>
      </c>
    </row>
    <row r="151" spans="1:16384" ht="15" customHeight="1">
      <c r="C151"/>
      <c r="D151"/>
      <c r="E151"/>
      <c r="F151"/>
      <c r="G151"/>
      <c r="H151"/>
      <c r="I151"/>
      <c r="J151"/>
      <c r="K151"/>
      <c r="L151"/>
      <c r="M151"/>
      <c r="N151"/>
      <c r="O151"/>
      <c r="P151"/>
      <c r="Q151" s="217"/>
      <c r="R151"/>
      <c r="S151"/>
      <c r="T151"/>
      <c r="U151"/>
      <c r="V151" s="217"/>
      <c r="W151"/>
      <c r="X151"/>
      <c r="Y151"/>
      <c r="Z151"/>
      <c r="AA151" s="217"/>
      <c r="AB151"/>
      <c r="AC151"/>
      <c r="AD151"/>
      <c r="AE151"/>
      <c r="AF151" s="217"/>
      <c r="AG151"/>
      <c r="AH151"/>
      <c r="AI151"/>
      <c r="AJ151"/>
      <c r="AK151" s="217"/>
      <c r="AL151"/>
      <c r="AM151"/>
      <c r="AN151"/>
      <c r="AO151"/>
      <c r="AP151" s="217"/>
      <c r="AQ151"/>
      <c r="AR151"/>
      <c r="AS151"/>
      <c r="AT151"/>
      <c r="AU151" s="217"/>
      <c r="AV151"/>
      <c r="AW151"/>
      <c r="AX151"/>
      <c r="AY151"/>
      <c r="AZ151" s="217"/>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c r="AML151"/>
      <c r="AMM151"/>
      <c r="AMN151"/>
      <c r="AMO151"/>
      <c r="AMP151"/>
      <c r="AMQ151"/>
      <c r="AMR151"/>
      <c r="AMS151"/>
      <c r="AMT151"/>
      <c r="AMU151"/>
      <c r="AMV151"/>
      <c r="AMW151"/>
      <c r="AMX151"/>
      <c r="AMY151"/>
      <c r="AMZ151"/>
      <c r="ANA151"/>
      <c r="ANB151"/>
      <c r="ANC151"/>
      <c r="AND151"/>
      <c r="ANE151"/>
      <c r="ANF151"/>
      <c r="ANG151"/>
      <c r="ANH151"/>
      <c r="ANI151"/>
      <c r="ANJ151"/>
      <c r="ANK151"/>
      <c r="ANL151"/>
      <c r="ANM151"/>
      <c r="ANN151"/>
      <c r="ANO151"/>
      <c r="ANP151"/>
      <c r="ANQ151"/>
      <c r="ANR151"/>
      <c r="ANS151"/>
      <c r="ANT151"/>
      <c r="ANU151"/>
      <c r="ANV151"/>
      <c r="ANW151"/>
      <c r="ANX151"/>
      <c r="ANY151"/>
      <c r="ANZ151"/>
      <c r="AOA151"/>
      <c r="AOB151"/>
      <c r="AOC151"/>
      <c r="AOD151"/>
      <c r="AOE151"/>
      <c r="AOF151"/>
      <c r="AOG151"/>
      <c r="AOH151"/>
      <c r="AOI151"/>
      <c r="AOJ151"/>
      <c r="AOK151"/>
      <c r="AOL151"/>
      <c r="AOM151"/>
      <c r="AON151"/>
      <c r="AOO151"/>
      <c r="AOP151"/>
      <c r="AOQ151"/>
      <c r="AOR151"/>
      <c r="AOS151"/>
      <c r="AOT151"/>
      <c r="AOU151"/>
      <c r="AOV151"/>
      <c r="AOW151"/>
      <c r="AOX151"/>
      <c r="AOY151"/>
      <c r="AOZ151"/>
      <c r="APA151"/>
      <c r="APB151"/>
      <c r="APC151"/>
      <c r="APD151"/>
      <c r="APE151"/>
      <c r="APF151"/>
      <c r="APG151"/>
      <c r="APH151"/>
      <c r="API151"/>
      <c r="APJ151"/>
      <c r="APK151"/>
      <c r="APL151"/>
      <c r="APM151"/>
      <c r="APN151"/>
      <c r="APO151"/>
      <c r="APP151"/>
      <c r="APQ151"/>
      <c r="APR151"/>
      <c r="APS151"/>
      <c r="APT151"/>
      <c r="APU151"/>
      <c r="APV151"/>
      <c r="APW151"/>
      <c r="APX151"/>
      <c r="APY151"/>
      <c r="APZ151"/>
      <c r="AQA151"/>
      <c r="AQB151"/>
      <c r="AQC151"/>
      <c r="AQD151"/>
      <c r="AQE151"/>
      <c r="AQF151"/>
      <c r="AQG151"/>
      <c r="AQH151"/>
      <c r="AQI151"/>
      <c r="AQJ151"/>
      <c r="AQK151"/>
      <c r="AQL151"/>
      <c r="AQM151"/>
      <c r="AQN151"/>
      <c r="AQO151"/>
      <c r="AQP151"/>
      <c r="AQQ151"/>
      <c r="AQR151"/>
      <c r="AQS151"/>
      <c r="AQT151"/>
      <c r="AQU151"/>
      <c r="AQV151"/>
      <c r="AQW151"/>
      <c r="AQX151"/>
      <c r="AQY151"/>
      <c r="AQZ151"/>
      <c r="ARA151"/>
      <c r="ARB151"/>
      <c r="ARC151"/>
      <c r="ARD151"/>
      <c r="ARE151"/>
      <c r="ARF151"/>
      <c r="ARG151"/>
      <c r="ARH151"/>
      <c r="ARI151"/>
      <c r="ARJ151"/>
      <c r="ARK151"/>
      <c r="ARL151"/>
      <c r="ARM151"/>
      <c r="ARN151"/>
      <c r="ARO151"/>
      <c r="ARP151"/>
      <c r="ARQ151"/>
      <c r="ARR151"/>
      <c r="ARS151"/>
      <c r="ART151"/>
      <c r="ARU151"/>
      <c r="ARV151"/>
      <c r="ARW151"/>
      <c r="ARX151"/>
      <c r="ARY151"/>
      <c r="ARZ151"/>
      <c r="ASA151"/>
      <c r="ASB151"/>
      <c r="ASC151"/>
      <c r="ASD151"/>
      <c r="ASE151"/>
      <c r="ASF151"/>
      <c r="ASG151"/>
      <c r="ASH151"/>
      <c r="ASI151"/>
      <c r="ASJ151"/>
      <c r="ASK151"/>
      <c r="ASL151"/>
      <c r="ASM151"/>
      <c r="ASN151"/>
      <c r="ASO151"/>
      <c r="ASP151"/>
      <c r="ASQ151"/>
      <c r="ASR151"/>
      <c r="ASS151"/>
      <c r="AST151"/>
      <c r="ASU151"/>
      <c r="ASV151"/>
      <c r="ASW151"/>
      <c r="ASX151"/>
      <c r="ASY151"/>
      <c r="ASZ151"/>
      <c r="ATA151"/>
      <c r="ATB151"/>
      <c r="ATC151"/>
      <c r="ATD151"/>
      <c r="ATE151"/>
      <c r="ATF151"/>
      <c r="ATG151"/>
      <c r="ATH151"/>
      <c r="ATI151"/>
      <c r="ATJ151"/>
      <c r="ATK151"/>
      <c r="ATL151"/>
      <c r="ATM151"/>
      <c r="ATN151"/>
      <c r="ATO151"/>
      <c r="ATP151"/>
      <c r="ATQ151"/>
      <c r="ATR151"/>
      <c r="ATS151"/>
      <c r="ATT151"/>
      <c r="ATU151"/>
      <c r="ATV151"/>
      <c r="ATW151"/>
      <c r="ATX151"/>
      <c r="ATY151"/>
      <c r="ATZ151"/>
      <c r="AUA151"/>
      <c r="AUB151"/>
      <c r="AUC151"/>
      <c r="AUD151"/>
      <c r="AUE151"/>
      <c r="AUF151"/>
      <c r="AUG151"/>
      <c r="AUH151"/>
      <c r="AUI151"/>
      <c r="AUJ151"/>
      <c r="AUK151"/>
      <c r="AUL151"/>
      <c r="AUM151"/>
      <c r="AUN151"/>
      <c r="AUO151"/>
      <c r="AUP151"/>
      <c r="AUQ151"/>
      <c r="AUR151"/>
      <c r="AUS151"/>
      <c r="AUT151"/>
      <c r="AUU151"/>
      <c r="AUV151"/>
      <c r="AUW151"/>
      <c r="AUX151"/>
      <c r="AUY151"/>
      <c r="AUZ151"/>
      <c r="AVA151"/>
      <c r="AVB151"/>
      <c r="AVC151"/>
      <c r="AVD151"/>
      <c r="AVE151"/>
      <c r="AVF151"/>
      <c r="AVG151"/>
      <c r="AVH151"/>
      <c r="AVI151"/>
      <c r="AVJ151"/>
      <c r="AVK151"/>
      <c r="AVL151"/>
      <c r="AVM151"/>
      <c r="AVN151"/>
      <c r="AVO151"/>
      <c r="AVP151"/>
      <c r="AVQ151"/>
      <c r="AVR151"/>
      <c r="AVS151"/>
      <c r="AVT151"/>
      <c r="AVU151"/>
      <c r="AVV151"/>
      <c r="AVW151"/>
      <c r="AVX151"/>
      <c r="AVY151"/>
      <c r="AVZ151"/>
      <c r="AWA151"/>
      <c r="AWB151"/>
      <c r="AWC151"/>
      <c r="AWD151"/>
      <c r="AWE151"/>
      <c r="AWF151"/>
      <c r="AWG151"/>
      <c r="AWH151"/>
      <c r="AWI151"/>
      <c r="AWJ151"/>
      <c r="AWK151"/>
      <c r="AWL151"/>
      <c r="AWM151"/>
      <c r="AWN151"/>
      <c r="AWO151"/>
      <c r="AWP151"/>
      <c r="AWQ151"/>
      <c r="AWR151"/>
      <c r="AWS151"/>
      <c r="AWT151"/>
      <c r="AWU151"/>
      <c r="AWV151"/>
      <c r="AWW151"/>
      <c r="AWX151"/>
      <c r="AWY151"/>
      <c r="AWZ151"/>
      <c r="AXA151"/>
      <c r="AXB151"/>
      <c r="AXC151"/>
      <c r="AXD151"/>
      <c r="AXE151"/>
      <c r="AXF151"/>
      <c r="AXG151"/>
      <c r="AXH151"/>
      <c r="AXI151"/>
      <c r="AXJ151"/>
      <c r="AXK151"/>
      <c r="AXL151"/>
      <c r="AXM151"/>
      <c r="AXN151"/>
      <c r="AXO151"/>
      <c r="AXP151"/>
      <c r="AXQ151"/>
      <c r="AXR151"/>
      <c r="AXS151"/>
      <c r="AXT151"/>
      <c r="AXU151"/>
      <c r="AXV151"/>
      <c r="AXW151"/>
      <c r="AXX151"/>
      <c r="AXY151"/>
      <c r="AXZ151"/>
      <c r="AYA151"/>
      <c r="AYB151"/>
      <c r="AYC151"/>
      <c r="AYD151"/>
      <c r="AYE151"/>
      <c r="AYF151"/>
      <c r="AYG151"/>
      <c r="AYH151"/>
      <c r="AYI151"/>
      <c r="AYJ151"/>
      <c r="AYK151"/>
      <c r="AYL151"/>
      <c r="AYM151"/>
      <c r="AYN151"/>
      <c r="AYO151"/>
      <c r="AYP151"/>
      <c r="AYQ151"/>
      <c r="AYR151"/>
      <c r="AYS151"/>
      <c r="AYT151"/>
      <c r="AYU151"/>
      <c r="AYV151"/>
      <c r="AYW151"/>
      <c r="AYX151"/>
      <c r="AYY151"/>
      <c r="AYZ151"/>
      <c r="AZA151"/>
      <c r="AZB151"/>
      <c r="AZC151"/>
      <c r="AZD151"/>
      <c r="AZE151"/>
      <c r="AZF151"/>
      <c r="AZG151"/>
      <c r="AZH151"/>
      <c r="AZI151"/>
      <c r="AZJ151"/>
      <c r="AZK151"/>
      <c r="AZL151"/>
      <c r="AZM151"/>
      <c r="AZN151"/>
      <c r="AZO151"/>
      <c r="AZP151"/>
      <c r="AZQ151"/>
      <c r="AZR151"/>
      <c r="AZS151"/>
      <c r="AZT151"/>
      <c r="AZU151"/>
      <c r="AZV151"/>
      <c r="AZW151"/>
      <c r="AZX151"/>
      <c r="AZY151"/>
      <c r="AZZ151"/>
      <c r="BAA151"/>
      <c r="BAB151"/>
      <c r="BAC151"/>
      <c r="BAD151"/>
      <c r="BAE151"/>
      <c r="BAF151"/>
      <c r="BAG151"/>
      <c r="BAH151"/>
      <c r="BAI151"/>
      <c r="BAJ151"/>
      <c r="BAK151"/>
      <c r="BAL151"/>
      <c r="BAM151"/>
      <c r="BAN151"/>
      <c r="BAO151"/>
      <c r="BAP151"/>
      <c r="BAQ151"/>
      <c r="BAR151"/>
      <c r="BAS151"/>
      <c r="BAT151"/>
      <c r="BAU151"/>
      <c r="BAV151"/>
      <c r="BAW151"/>
      <c r="BAX151"/>
      <c r="BAY151"/>
      <c r="BAZ151"/>
      <c r="BBA151"/>
      <c r="BBB151"/>
      <c r="BBC151"/>
      <c r="BBD151"/>
      <c r="BBE151"/>
      <c r="BBF151"/>
      <c r="BBG151"/>
      <c r="BBH151"/>
      <c r="BBI151"/>
      <c r="BBJ151"/>
      <c r="BBK151"/>
      <c r="BBL151"/>
      <c r="BBM151"/>
      <c r="BBN151"/>
      <c r="BBO151"/>
      <c r="BBP151"/>
      <c r="BBQ151"/>
      <c r="BBR151"/>
      <c r="BBS151"/>
      <c r="BBT151"/>
      <c r="BBU151"/>
      <c r="BBV151"/>
      <c r="BBW151"/>
      <c r="BBX151"/>
      <c r="BBY151"/>
      <c r="BBZ151"/>
      <c r="BCA151"/>
      <c r="BCB151"/>
      <c r="BCC151"/>
      <c r="BCD151"/>
      <c r="BCE151"/>
      <c r="BCF151"/>
      <c r="BCG151"/>
      <c r="BCH151"/>
      <c r="BCI151"/>
      <c r="BCJ151"/>
      <c r="BCK151"/>
      <c r="BCL151"/>
      <c r="BCM151"/>
      <c r="BCN151"/>
      <c r="BCO151"/>
      <c r="BCP151"/>
      <c r="BCQ151"/>
      <c r="BCR151"/>
      <c r="BCS151"/>
      <c r="BCT151"/>
      <c r="BCU151"/>
      <c r="BCV151"/>
      <c r="BCW151"/>
      <c r="BCX151"/>
      <c r="BCY151"/>
      <c r="BCZ151"/>
      <c r="BDA151"/>
      <c r="BDB151"/>
      <c r="BDC151"/>
      <c r="BDD151"/>
      <c r="BDE151"/>
      <c r="BDF151"/>
      <c r="BDG151"/>
      <c r="BDH151"/>
      <c r="BDI151"/>
      <c r="BDJ151"/>
      <c r="BDK151"/>
      <c r="BDL151"/>
      <c r="BDM151"/>
      <c r="BDN151"/>
      <c r="BDO151"/>
      <c r="BDP151"/>
      <c r="BDQ151"/>
      <c r="BDR151"/>
      <c r="BDS151"/>
      <c r="BDT151"/>
      <c r="BDU151"/>
      <c r="BDV151"/>
      <c r="BDW151"/>
      <c r="BDX151"/>
      <c r="BDY151"/>
      <c r="BDZ151"/>
      <c r="BEA151"/>
      <c r="BEB151"/>
      <c r="BEC151"/>
      <c r="BED151"/>
      <c r="BEE151"/>
      <c r="BEF151"/>
      <c r="BEG151"/>
      <c r="BEH151"/>
      <c r="BEI151"/>
      <c r="BEJ151"/>
      <c r="BEK151"/>
      <c r="BEL151"/>
      <c r="BEM151"/>
      <c r="BEN151"/>
      <c r="BEO151"/>
      <c r="BEP151"/>
      <c r="BEQ151"/>
      <c r="BER151"/>
      <c r="BES151"/>
      <c r="BET151"/>
      <c r="BEU151"/>
      <c r="BEV151"/>
      <c r="BEW151"/>
      <c r="BEX151"/>
      <c r="BEY151"/>
      <c r="BEZ151"/>
      <c r="BFA151"/>
      <c r="BFB151"/>
      <c r="BFC151"/>
      <c r="BFD151"/>
      <c r="BFE151"/>
      <c r="BFF151"/>
      <c r="BFG151"/>
      <c r="BFH151"/>
      <c r="BFI151"/>
      <c r="BFJ151"/>
      <c r="BFK151"/>
      <c r="BFL151"/>
      <c r="BFM151"/>
      <c r="BFN151"/>
      <c r="BFO151"/>
      <c r="BFP151"/>
      <c r="BFQ151"/>
      <c r="BFR151"/>
      <c r="BFS151"/>
      <c r="BFT151"/>
      <c r="BFU151"/>
      <c r="BFV151"/>
      <c r="BFW151"/>
      <c r="BFX151"/>
      <c r="BFY151"/>
      <c r="BFZ151"/>
      <c r="BGA151"/>
      <c r="BGB151"/>
      <c r="BGC151"/>
      <c r="BGD151"/>
      <c r="BGE151"/>
      <c r="BGF151"/>
      <c r="BGG151"/>
      <c r="BGH151"/>
      <c r="BGI151"/>
      <c r="BGJ151"/>
      <c r="BGK151"/>
      <c r="BGL151"/>
      <c r="BGM151"/>
      <c r="BGN151"/>
      <c r="BGO151"/>
      <c r="BGP151"/>
      <c r="BGQ151"/>
      <c r="BGR151"/>
      <c r="BGS151"/>
      <c r="BGT151"/>
      <c r="BGU151"/>
      <c r="BGV151"/>
      <c r="BGW151"/>
      <c r="BGX151"/>
      <c r="BGY151"/>
      <c r="BGZ151"/>
      <c r="BHA151"/>
      <c r="BHB151"/>
      <c r="BHC151"/>
      <c r="BHD151"/>
      <c r="BHE151"/>
      <c r="BHF151"/>
      <c r="BHG151"/>
      <c r="BHH151"/>
      <c r="BHI151"/>
      <c r="BHJ151"/>
      <c r="BHK151"/>
      <c r="BHL151"/>
      <c r="BHM151"/>
      <c r="BHN151"/>
      <c r="BHO151"/>
      <c r="BHP151"/>
      <c r="BHQ151"/>
      <c r="BHR151"/>
      <c r="BHS151"/>
      <c r="BHT151"/>
      <c r="BHU151"/>
      <c r="BHV151"/>
      <c r="BHW151"/>
      <c r="BHX151"/>
      <c r="BHY151"/>
      <c r="BHZ151"/>
      <c r="BIA151"/>
      <c r="BIB151"/>
      <c r="BIC151"/>
      <c r="BID151"/>
      <c r="BIE151"/>
      <c r="BIF151"/>
      <c r="BIG151"/>
      <c r="BIH151"/>
      <c r="BII151"/>
      <c r="BIJ151"/>
      <c r="BIK151"/>
      <c r="BIL151"/>
      <c r="BIM151"/>
      <c r="BIN151"/>
      <c r="BIO151"/>
      <c r="BIP151"/>
      <c r="BIQ151"/>
      <c r="BIR151"/>
      <c r="BIS151"/>
      <c r="BIT151"/>
      <c r="BIU151"/>
      <c r="BIV151"/>
      <c r="BIW151"/>
      <c r="BIX151"/>
      <c r="BIY151"/>
      <c r="BIZ151"/>
      <c r="BJA151"/>
      <c r="BJB151"/>
      <c r="BJC151"/>
      <c r="BJD151"/>
      <c r="BJE151"/>
      <c r="BJF151"/>
      <c r="BJG151"/>
      <c r="BJH151"/>
      <c r="BJI151"/>
      <c r="BJJ151"/>
      <c r="BJK151"/>
      <c r="BJL151"/>
      <c r="BJM151"/>
      <c r="BJN151"/>
      <c r="BJO151"/>
      <c r="BJP151"/>
      <c r="BJQ151"/>
      <c r="BJR151"/>
      <c r="BJS151"/>
      <c r="BJT151"/>
      <c r="BJU151"/>
      <c r="BJV151"/>
      <c r="BJW151"/>
      <c r="BJX151"/>
      <c r="BJY151"/>
      <c r="BJZ151"/>
      <c r="BKA151"/>
      <c r="BKB151"/>
      <c r="BKC151"/>
      <c r="BKD151"/>
      <c r="BKE151"/>
      <c r="BKF151"/>
      <c r="BKG151"/>
      <c r="BKH151"/>
      <c r="BKI151"/>
      <c r="BKJ151"/>
      <c r="BKK151"/>
      <c r="BKL151"/>
      <c r="BKM151"/>
      <c r="BKN151"/>
      <c r="BKO151"/>
      <c r="BKP151"/>
      <c r="BKQ151"/>
      <c r="BKR151"/>
      <c r="BKS151"/>
      <c r="BKT151"/>
      <c r="BKU151"/>
      <c r="BKV151"/>
      <c r="BKW151"/>
      <c r="BKX151"/>
      <c r="BKY151"/>
      <c r="BKZ151"/>
      <c r="BLA151"/>
      <c r="BLB151"/>
      <c r="BLC151"/>
      <c r="BLD151"/>
      <c r="BLE151"/>
      <c r="BLF151"/>
      <c r="BLG151"/>
      <c r="BLH151"/>
      <c r="BLI151"/>
      <c r="BLJ151"/>
      <c r="BLK151"/>
      <c r="BLL151"/>
      <c r="BLM151"/>
      <c r="BLN151"/>
      <c r="BLO151"/>
      <c r="BLP151"/>
      <c r="BLQ151"/>
      <c r="BLR151"/>
      <c r="BLS151"/>
      <c r="BLT151"/>
      <c r="BLU151"/>
      <c r="BLV151"/>
      <c r="BLW151"/>
      <c r="BLX151"/>
      <c r="BLY151"/>
      <c r="BLZ151"/>
      <c r="BMA151"/>
      <c r="BMB151"/>
      <c r="BMC151"/>
      <c r="BMD151"/>
      <c r="BME151"/>
      <c r="BMF151"/>
      <c r="BMG151"/>
      <c r="BMH151"/>
      <c r="BMI151"/>
      <c r="BMJ151"/>
      <c r="BMK151"/>
      <c r="BML151"/>
      <c r="BMM151"/>
      <c r="BMN151"/>
      <c r="BMO151"/>
      <c r="BMP151"/>
      <c r="BMQ151"/>
      <c r="BMR151"/>
      <c r="BMS151"/>
      <c r="BMT151"/>
      <c r="BMU151"/>
      <c r="BMV151"/>
      <c r="BMW151"/>
      <c r="BMX151"/>
      <c r="BMY151"/>
      <c r="BMZ151"/>
      <c r="BNA151"/>
      <c r="BNB151"/>
      <c r="BNC151"/>
      <c r="BND151"/>
      <c r="BNE151"/>
      <c r="BNF151"/>
      <c r="BNG151"/>
      <c r="BNH151"/>
      <c r="BNI151"/>
      <c r="BNJ151"/>
      <c r="BNK151"/>
      <c r="BNL151"/>
      <c r="BNM151"/>
      <c r="BNN151"/>
      <c r="BNO151"/>
      <c r="BNP151"/>
      <c r="BNQ151"/>
      <c r="BNR151"/>
      <c r="BNS151"/>
      <c r="BNT151"/>
      <c r="BNU151"/>
      <c r="BNV151"/>
      <c r="BNW151"/>
      <c r="BNX151"/>
      <c r="BNY151"/>
      <c r="BNZ151"/>
      <c r="BOA151"/>
      <c r="BOB151"/>
      <c r="BOC151"/>
      <c r="BOD151"/>
      <c r="BOE151"/>
      <c r="BOF151"/>
      <c r="BOG151"/>
      <c r="BOH151"/>
      <c r="BOI151"/>
      <c r="BOJ151"/>
      <c r="BOK151"/>
      <c r="BOL151"/>
      <c r="BOM151"/>
      <c r="BON151"/>
      <c r="BOO151"/>
      <c r="BOP151"/>
      <c r="BOQ151"/>
      <c r="BOR151"/>
      <c r="BOS151"/>
      <c r="BOT151"/>
      <c r="BOU151"/>
      <c r="BOV151"/>
      <c r="BOW151"/>
      <c r="BOX151"/>
      <c r="BOY151"/>
      <c r="BOZ151"/>
      <c r="BPA151"/>
      <c r="BPB151"/>
      <c r="BPC151"/>
      <c r="BPD151"/>
      <c r="BPE151"/>
      <c r="BPF151"/>
      <c r="BPG151"/>
      <c r="BPH151"/>
      <c r="BPI151"/>
      <c r="BPJ151"/>
      <c r="BPK151"/>
      <c r="BPL151"/>
      <c r="BPM151"/>
      <c r="BPN151"/>
      <c r="BPO151"/>
      <c r="BPP151"/>
      <c r="BPQ151"/>
      <c r="BPR151"/>
      <c r="BPS151"/>
      <c r="BPT151"/>
      <c r="BPU151"/>
      <c r="BPV151"/>
      <c r="BPW151"/>
      <c r="BPX151"/>
      <c r="BPY151"/>
      <c r="BPZ151"/>
      <c r="BQA151"/>
      <c r="BQB151"/>
      <c r="BQC151"/>
      <c r="BQD151"/>
      <c r="BQE151"/>
      <c r="BQF151"/>
      <c r="BQG151"/>
      <c r="BQH151"/>
      <c r="BQI151"/>
      <c r="BQJ151"/>
      <c r="BQK151"/>
      <c r="BQL151"/>
      <c r="BQM151"/>
      <c r="BQN151"/>
      <c r="BQO151"/>
      <c r="BQP151"/>
      <c r="BQQ151"/>
      <c r="BQR151"/>
      <c r="BQS151"/>
      <c r="BQT151"/>
      <c r="BQU151"/>
      <c r="BQV151"/>
      <c r="BQW151"/>
      <c r="BQX151"/>
      <c r="BQY151"/>
      <c r="BQZ151"/>
      <c r="BRA151"/>
      <c r="BRB151"/>
      <c r="BRC151"/>
      <c r="BRD151"/>
      <c r="BRE151"/>
      <c r="BRF151"/>
      <c r="BRG151"/>
      <c r="BRH151"/>
      <c r="BRI151"/>
      <c r="BRJ151"/>
      <c r="BRK151"/>
      <c r="BRL151"/>
      <c r="BRM151"/>
      <c r="BRN151"/>
      <c r="BRO151"/>
      <c r="BRP151"/>
      <c r="BRQ151"/>
      <c r="BRR151"/>
      <c r="BRS151"/>
      <c r="BRT151"/>
      <c r="BRU151"/>
      <c r="BRV151"/>
      <c r="BRW151"/>
      <c r="BRX151"/>
      <c r="BRY151"/>
      <c r="BRZ151"/>
      <c r="BSA151"/>
      <c r="BSB151"/>
      <c r="BSC151"/>
      <c r="BSD151"/>
      <c r="BSE151"/>
      <c r="BSF151"/>
      <c r="BSG151"/>
      <c r="BSH151"/>
      <c r="BSI151"/>
      <c r="BSJ151"/>
      <c r="BSK151"/>
      <c r="BSL151"/>
      <c r="BSM151"/>
      <c r="BSN151"/>
      <c r="BSO151"/>
      <c r="BSP151"/>
      <c r="BSQ151"/>
      <c r="BSR151"/>
      <c r="BSS151"/>
      <c r="BST151"/>
      <c r="BSU151"/>
      <c r="BSV151"/>
      <c r="BSW151"/>
      <c r="BSX151"/>
      <c r="BSY151"/>
      <c r="BSZ151"/>
      <c r="BTA151"/>
      <c r="BTB151"/>
      <c r="BTC151"/>
      <c r="BTD151"/>
      <c r="BTE151"/>
      <c r="BTF151"/>
      <c r="BTG151"/>
      <c r="BTH151"/>
      <c r="BTI151"/>
      <c r="BTJ151"/>
      <c r="BTK151"/>
      <c r="BTL151"/>
      <c r="BTM151"/>
      <c r="BTN151"/>
      <c r="BTO151"/>
      <c r="BTP151"/>
      <c r="BTQ151"/>
      <c r="BTR151"/>
      <c r="BTS151"/>
      <c r="BTT151"/>
      <c r="BTU151"/>
      <c r="BTV151"/>
      <c r="BTW151"/>
      <c r="BTX151"/>
      <c r="BTY151"/>
      <c r="BTZ151"/>
      <c r="BUA151"/>
      <c r="BUB151"/>
      <c r="BUC151"/>
      <c r="BUD151"/>
      <c r="BUE151"/>
      <c r="BUF151"/>
      <c r="BUG151"/>
      <c r="BUH151"/>
      <c r="BUI151"/>
      <c r="BUJ151"/>
      <c r="BUK151"/>
      <c r="BUL151"/>
      <c r="BUM151"/>
      <c r="BUN151"/>
      <c r="BUO151"/>
      <c r="BUP151"/>
      <c r="BUQ151"/>
      <c r="BUR151"/>
      <c r="BUS151"/>
      <c r="BUT151"/>
      <c r="BUU151"/>
      <c r="BUV151"/>
      <c r="BUW151"/>
      <c r="BUX151"/>
      <c r="BUY151"/>
      <c r="BUZ151"/>
      <c r="BVA151"/>
      <c r="BVB151"/>
      <c r="BVC151"/>
      <c r="BVD151"/>
      <c r="BVE151"/>
      <c r="BVF151"/>
      <c r="BVG151"/>
      <c r="BVH151"/>
      <c r="BVI151"/>
      <c r="BVJ151"/>
      <c r="BVK151"/>
      <c r="BVL151"/>
      <c r="BVM151"/>
      <c r="BVN151"/>
      <c r="BVO151"/>
      <c r="BVP151"/>
      <c r="BVQ151"/>
      <c r="BVR151"/>
      <c r="BVS151"/>
      <c r="BVT151"/>
      <c r="BVU151"/>
      <c r="BVV151"/>
      <c r="BVW151"/>
      <c r="BVX151"/>
      <c r="BVY151"/>
      <c r="BVZ151"/>
      <c r="BWA151"/>
      <c r="BWB151"/>
      <c r="BWC151"/>
      <c r="BWD151"/>
      <c r="BWE151"/>
      <c r="BWF151"/>
      <c r="BWG151"/>
      <c r="BWH151"/>
      <c r="BWI151"/>
      <c r="BWJ151"/>
      <c r="BWK151"/>
      <c r="BWL151"/>
      <c r="BWM151"/>
      <c r="BWN151"/>
      <c r="BWO151"/>
      <c r="BWP151"/>
      <c r="BWQ151"/>
      <c r="BWR151"/>
      <c r="BWS151"/>
      <c r="BWT151"/>
      <c r="BWU151"/>
      <c r="BWV151"/>
      <c r="BWW151"/>
      <c r="BWX151"/>
      <c r="BWY151"/>
      <c r="BWZ151"/>
      <c r="BXA151"/>
      <c r="BXB151"/>
      <c r="BXC151"/>
      <c r="BXD151"/>
      <c r="BXE151"/>
      <c r="BXF151"/>
      <c r="BXG151"/>
      <c r="BXH151"/>
      <c r="BXI151"/>
      <c r="BXJ151"/>
      <c r="BXK151"/>
      <c r="BXL151"/>
      <c r="BXM151"/>
      <c r="BXN151"/>
      <c r="BXO151"/>
      <c r="BXP151"/>
      <c r="BXQ151"/>
      <c r="BXR151"/>
      <c r="BXS151"/>
      <c r="BXT151"/>
      <c r="BXU151"/>
      <c r="BXV151"/>
      <c r="BXW151"/>
      <c r="BXX151"/>
      <c r="BXY151"/>
      <c r="BXZ151"/>
      <c r="BYA151"/>
      <c r="BYB151"/>
      <c r="BYC151"/>
      <c r="BYD151"/>
      <c r="BYE151"/>
      <c r="BYF151"/>
      <c r="BYG151"/>
      <c r="BYH151"/>
      <c r="BYI151"/>
      <c r="BYJ151"/>
      <c r="BYK151"/>
      <c r="BYL151"/>
      <c r="BYM151"/>
      <c r="BYN151"/>
      <c r="BYO151"/>
      <c r="BYP151"/>
      <c r="BYQ151"/>
      <c r="BYR151"/>
      <c r="BYS151"/>
      <c r="BYT151"/>
      <c r="BYU151"/>
      <c r="BYV151"/>
      <c r="BYW151"/>
      <c r="BYX151"/>
      <c r="BYY151"/>
      <c r="BYZ151"/>
      <c r="BZA151"/>
      <c r="BZB151"/>
      <c r="BZC151"/>
      <c r="BZD151"/>
      <c r="BZE151"/>
      <c r="BZF151"/>
      <c r="BZG151"/>
      <c r="BZH151"/>
      <c r="BZI151"/>
      <c r="BZJ151"/>
      <c r="BZK151"/>
      <c r="BZL151"/>
      <c r="BZM151"/>
      <c r="BZN151"/>
      <c r="BZO151"/>
      <c r="BZP151"/>
      <c r="BZQ151"/>
      <c r="BZR151"/>
      <c r="BZS151"/>
      <c r="BZT151"/>
      <c r="BZU151"/>
      <c r="BZV151"/>
      <c r="BZW151"/>
      <c r="BZX151"/>
      <c r="BZY151"/>
      <c r="BZZ151"/>
      <c r="CAA151"/>
      <c r="CAB151"/>
      <c r="CAC151"/>
      <c r="CAD151"/>
      <c r="CAE151"/>
      <c r="CAF151"/>
      <c r="CAG151"/>
      <c r="CAH151"/>
      <c r="CAI151"/>
      <c r="CAJ151"/>
      <c r="CAK151"/>
      <c r="CAL151"/>
      <c r="CAM151"/>
      <c r="CAN151"/>
      <c r="CAO151"/>
      <c r="CAP151"/>
      <c r="CAQ151"/>
      <c r="CAR151"/>
      <c r="CAS151"/>
      <c r="CAT151"/>
      <c r="CAU151"/>
      <c r="CAV151"/>
      <c r="CAW151"/>
      <c r="CAX151"/>
      <c r="CAY151"/>
      <c r="CAZ151"/>
      <c r="CBA151"/>
      <c r="CBB151"/>
      <c r="CBC151"/>
      <c r="CBD151"/>
      <c r="CBE151"/>
      <c r="CBF151"/>
      <c r="CBG151"/>
      <c r="CBH151"/>
      <c r="CBI151"/>
      <c r="CBJ151"/>
      <c r="CBK151"/>
      <c r="CBL151"/>
      <c r="CBM151"/>
      <c r="CBN151"/>
      <c r="CBO151"/>
      <c r="CBP151"/>
      <c r="CBQ151"/>
      <c r="CBR151"/>
      <c r="CBS151"/>
      <c r="CBT151"/>
      <c r="CBU151"/>
      <c r="CBV151"/>
      <c r="CBW151"/>
      <c r="CBX151"/>
      <c r="CBY151"/>
      <c r="CBZ151"/>
      <c r="CCA151"/>
      <c r="CCB151"/>
      <c r="CCC151"/>
      <c r="CCD151"/>
      <c r="CCE151"/>
      <c r="CCF151"/>
      <c r="CCG151"/>
      <c r="CCH151"/>
      <c r="CCI151"/>
      <c r="CCJ151"/>
      <c r="CCK151"/>
      <c r="CCL151"/>
      <c r="CCM151"/>
      <c r="CCN151"/>
      <c r="CCO151"/>
      <c r="CCP151"/>
      <c r="CCQ151"/>
      <c r="CCR151"/>
      <c r="CCS151"/>
      <c r="CCT151"/>
      <c r="CCU151"/>
      <c r="CCV151"/>
      <c r="CCW151"/>
      <c r="CCX151"/>
      <c r="CCY151"/>
      <c r="CCZ151"/>
      <c r="CDA151"/>
      <c r="CDB151"/>
      <c r="CDC151"/>
      <c r="CDD151"/>
      <c r="CDE151"/>
      <c r="CDF151"/>
      <c r="CDG151"/>
      <c r="CDH151"/>
      <c r="CDI151"/>
      <c r="CDJ151"/>
      <c r="CDK151"/>
      <c r="CDL151"/>
      <c r="CDM151"/>
      <c r="CDN151"/>
      <c r="CDO151"/>
      <c r="CDP151"/>
      <c r="CDQ151"/>
      <c r="CDR151"/>
      <c r="CDS151"/>
      <c r="CDT151"/>
      <c r="CDU151"/>
      <c r="CDV151"/>
      <c r="CDW151"/>
      <c r="CDX151"/>
      <c r="CDY151"/>
      <c r="CDZ151"/>
      <c r="CEA151"/>
      <c r="CEB151"/>
      <c r="CEC151"/>
      <c r="CED151"/>
      <c r="CEE151"/>
      <c r="CEF151"/>
      <c r="CEG151"/>
      <c r="CEH151"/>
      <c r="CEI151"/>
      <c r="CEJ151"/>
      <c r="CEK151"/>
      <c r="CEL151"/>
      <c r="CEM151"/>
      <c r="CEN151"/>
      <c r="CEO151"/>
      <c r="CEP151"/>
      <c r="CEQ151"/>
      <c r="CER151"/>
      <c r="CES151"/>
      <c r="CET151"/>
      <c r="CEU151"/>
      <c r="CEV151"/>
      <c r="CEW151"/>
      <c r="CEX151"/>
      <c r="CEY151"/>
      <c r="CEZ151"/>
      <c r="CFA151"/>
      <c r="CFB151"/>
      <c r="CFC151"/>
      <c r="CFD151"/>
      <c r="CFE151"/>
      <c r="CFF151"/>
      <c r="CFG151"/>
      <c r="CFH151"/>
      <c r="CFI151"/>
      <c r="CFJ151"/>
      <c r="CFK151"/>
      <c r="CFL151"/>
      <c r="CFM151"/>
      <c r="CFN151"/>
      <c r="CFO151"/>
      <c r="CFP151"/>
      <c r="CFQ151"/>
      <c r="CFR151"/>
      <c r="CFS151"/>
      <c r="CFT151"/>
      <c r="CFU151"/>
      <c r="CFV151"/>
      <c r="CFW151"/>
      <c r="CFX151"/>
      <c r="CFY151"/>
      <c r="CFZ151"/>
      <c r="CGA151"/>
      <c r="CGB151"/>
      <c r="CGC151"/>
      <c r="CGD151"/>
      <c r="CGE151"/>
      <c r="CGF151"/>
      <c r="CGG151"/>
      <c r="CGH151"/>
      <c r="CGI151"/>
      <c r="CGJ151"/>
      <c r="CGK151"/>
      <c r="CGL151"/>
      <c r="CGM151"/>
      <c r="CGN151"/>
      <c r="CGO151"/>
      <c r="CGP151"/>
      <c r="CGQ151"/>
      <c r="CGR151"/>
      <c r="CGS151"/>
      <c r="CGT151"/>
      <c r="CGU151"/>
      <c r="CGV151"/>
      <c r="CGW151"/>
      <c r="CGX151"/>
      <c r="CGY151"/>
      <c r="CGZ151"/>
      <c r="CHA151"/>
      <c r="CHB151"/>
      <c r="CHC151"/>
      <c r="CHD151"/>
      <c r="CHE151"/>
      <c r="CHF151"/>
      <c r="CHG151"/>
      <c r="CHH151"/>
      <c r="CHI151"/>
      <c r="CHJ151"/>
      <c r="CHK151"/>
      <c r="CHL151"/>
      <c r="CHM151"/>
      <c r="CHN151"/>
      <c r="CHO151"/>
      <c r="CHP151"/>
      <c r="CHQ151"/>
      <c r="CHR151"/>
      <c r="CHS151"/>
      <c r="CHT151"/>
      <c r="CHU151"/>
      <c r="CHV151"/>
      <c r="CHW151"/>
      <c r="CHX151"/>
      <c r="CHY151"/>
      <c r="CHZ151"/>
      <c r="CIA151"/>
      <c r="CIB151"/>
      <c r="CIC151"/>
      <c r="CID151"/>
      <c r="CIE151"/>
      <c r="CIF151"/>
      <c r="CIG151"/>
      <c r="CIH151"/>
      <c r="CII151"/>
      <c r="CIJ151"/>
      <c r="CIK151"/>
      <c r="CIL151"/>
      <c r="CIM151"/>
      <c r="CIN151"/>
      <c r="CIO151"/>
      <c r="CIP151"/>
      <c r="CIQ151"/>
      <c r="CIR151"/>
      <c r="CIS151"/>
      <c r="CIT151"/>
      <c r="CIU151"/>
      <c r="CIV151"/>
      <c r="CIW151"/>
      <c r="CIX151"/>
      <c r="CIY151"/>
      <c r="CIZ151"/>
      <c r="CJA151"/>
      <c r="CJB151"/>
      <c r="CJC151"/>
      <c r="CJD151"/>
      <c r="CJE151"/>
      <c r="CJF151"/>
      <c r="CJG151"/>
      <c r="CJH151"/>
      <c r="CJI151"/>
      <c r="CJJ151"/>
      <c r="CJK151"/>
      <c r="CJL151"/>
      <c r="CJM151"/>
      <c r="CJN151"/>
      <c r="CJO151"/>
      <c r="CJP151"/>
      <c r="CJQ151"/>
      <c r="CJR151"/>
      <c r="CJS151"/>
      <c r="CJT151"/>
      <c r="CJU151"/>
      <c r="CJV151"/>
      <c r="CJW151"/>
      <c r="CJX151"/>
      <c r="CJY151"/>
      <c r="CJZ151"/>
      <c r="CKA151"/>
      <c r="CKB151"/>
      <c r="CKC151"/>
      <c r="CKD151"/>
      <c r="CKE151"/>
      <c r="CKF151"/>
      <c r="CKG151"/>
      <c r="CKH151"/>
      <c r="CKI151"/>
      <c r="CKJ151"/>
      <c r="CKK151"/>
      <c r="CKL151"/>
      <c r="CKM151"/>
      <c r="CKN151"/>
      <c r="CKO151"/>
      <c r="CKP151"/>
      <c r="CKQ151"/>
      <c r="CKR151"/>
      <c r="CKS151"/>
      <c r="CKT151"/>
      <c r="CKU151"/>
      <c r="CKV151"/>
      <c r="CKW151"/>
      <c r="CKX151"/>
      <c r="CKY151"/>
      <c r="CKZ151"/>
      <c r="CLA151"/>
      <c r="CLB151"/>
      <c r="CLC151"/>
      <c r="CLD151"/>
      <c r="CLE151"/>
      <c r="CLF151"/>
      <c r="CLG151"/>
      <c r="CLH151"/>
      <c r="CLI151"/>
      <c r="CLJ151"/>
      <c r="CLK151"/>
      <c r="CLL151"/>
      <c r="CLM151"/>
      <c r="CLN151"/>
      <c r="CLO151"/>
      <c r="CLP151"/>
      <c r="CLQ151"/>
      <c r="CLR151"/>
      <c r="CLS151"/>
      <c r="CLT151"/>
      <c r="CLU151"/>
      <c r="CLV151"/>
      <c r="CLW151"/>
      <c r="CLX151"/>
      <c r="CLY151"/>
      <c r="CLZ151"/>
      <c r="CMA151"/>
      <c r="CMB151"/>
      <c r="CMC151"/>
      <c r="CMD151"/>
      <c r="CME151"/>
      <c r="CMF151"/>
      <c r="CMG151"/>
      <c r="CMH151"/>
      <c r="CMI151"/>
      <c r="CMJ151"/>
      <c r="CMK151"/>
      <c r="CML151"/>
      <c r="CMM151"/>
      <c r="CMN151"/>
      <c r="CMO151"/>
      <c r="CMP151"/>
      <c r="CMQ151"/>
      <c r="CMR151"/>
      <c r="CMS151"/>
      <c r="CMT151"/>
      <c r="CMU151"/>
      <c r="CMV151"/>
      <c r="CMW151"/>
      <c r="CMX151"/>
      <c r="CMY151"/>
      <c r="CMZ151"/>
      <c r="CNA151"/>
      <c r="CNB151"/>
      <c r="CNC151"/>
      <c r="CND151"/>
      <c r="CNE151"/>
      <c r="CNF151"/>
      <c r="CNG151"/>
      <c r="CNH151"/>
      <c r="CNI151"/>
      <c r="CNJ151"/>
      <c r="CNK151"/>
      <c r="CNL151"/>
      <c r="CNM151"/>
      <c r="CNN151"/>
      <c r="CNO151"/>
      <c r="CNP151"/>
      <c r="CNQ151"/>
      <c r="CNR151"/>
      <c r="CNS151"/>
      <c r="CNT151"/>
      <c r="CNU151"/>
      <c r="CNV151"/>
      <c r="CNW151"/>
      <c r="CNX151"/>
      <c r="CNY151"/>
      <c r="CNZ151"/>
      <c r="COA151"/>
      <c r="COB151"/>
      <c r="COC151"/>
      <c r="COD151"/>
      <c r="COE151"/>
      <c r="COF151"/>
      <c r="COG151"/>
      <c r="COH151"/>
      <c r="COI151"/>
      <c r="COJ151"/>
      <c r="COK151"/>
      <c r="COL151"/>
      <c r="COM151"/>
      <c r="CON151"/>
      <c r="COO151"/>
      <c r="COP151"/>
      <c r="COQ151"/>
      <c r="COR151"/>
      <c r="COS151"/>
      <c r="COT151"/>
      <c r="COU151"/>
      <c r="COV151"/>
      <c r="COW151"/>
      <c r="COX151"/>
      <c r="COY151"/>
      <c r="COZ151"/>
      <c r="CPA151"/>
      <c r="CPB151"/>
      <c r="CPC151"/>
      <c r="CPD151"/>
      <c r="CPE151"/>
      <c r="CPF151"/>
      <c r="CPG151"/>
      <c r="CPH151"/>
      <c r="CPI151"/>
      <c r="CPJ151"/>
      <c r="CPK151"/>
      <c r="CPL151"/>
      <c r="CPM151"/>
      <c r="CPN151"/>
      <c r="CPO151"/>
      <c r="CPP151"/>
      <c r="CPQ151"/>
      <c r="CPR151"/>
      <c r="CPS151"/>
      <c r="CPT151"/>
      <c r="CPU151"/>
      <c r="CPV151"/>
      <c r="CPW151"/>
      <c r="CPX151"/>
      <c r="CPY151"/>
      <c r="CPZ151"/>
      <c r="CQA151"/>
      <c r="CQB151"/>
      <c r="CQC151"/>
      <c r="CQD151"/>
      <c r="CQE151"/>
      <c r="CQF151"/>
      <c r="CQG151"/>
      <c r="CQH151"/>
      <c r="CQI151"/>
      <c r="CQJ151"/>
      <c r="CQK151"/>
      <c r="CQL151"/>
      <c r="CQM151"/>
      <c r="CQN151"/>
      <c r="CQO151"/>
      <c r="CQP151"/>
      <c r="CQQ151"/>
      <c r="CQR151"/>
      <c r="CQS151"/>
      <c r="CQT151"/>
      <c r="CQU151"/>
      <c r="CQV151"/>
      <c r="CQW151"/>
      <c r="CQX151"/>
      <c r="CQY151"/>
      <c r="CQZ151"/>
      <c r="CRA151"/>
      <c r="CRB151"/>
      <c r="CRC151"/>
      <c r="CRD151"/>
      <c r="CRE151"/>
      <c r="CRF151"/>
      <c r="CRG151"/>
      <c r="CRH151"/>
      <c r="CRI151"/>
      <c r="CRJ151"/>
      <c r="CRK151"/>
      <c r="CRL151"/>
      <c r="CRM151"/>
      <c r="CRN151"/>
      <c r="CRO151"/>
      <c r="CRP151"/>
      <c r="CRQ151"/>
      <c r="CRR151"/>
      <c r="CRS151"/>
      <c r="CRT151"/>
      <c r="CRU151"/>
      <c r="CRV151"/>
      <c r="CRW151"/>
      <c r="CRX151"/>
      <c r="CRY151"/>
      <c r="CRZ151"/>
      <c r="CSA151"/>
      <c r="CSB151"/>
      <c r="CSC151"/>
      <c r="CSD151"/>
      <c r="CSE151"/>
      <c r="CSF151"/>
      <c r="CSG151"/>
      <c r="CSH151"/>
      <c r="CSI151"/>
      <c r="CSJ151"/>
      <c r="CSK151"/>
      <c r="CSL151"/>
      <c r="CSM151"/>
      <c r="CSN151"/>
      <c r="CSO151"/>
      <c r="CSP151"/>
      <c r="CSQ151"/>
      <c r="CSR151"/>
      <c r="CSS151"/>
      <c r="CST151"/>
      <c r="CSU151"/>
      <c r="CSV151"/>
      <c r="CSW151"/>
      <c r="CSX151"/>
      <c r="CSY151"/>
      <c r="CSZ151"/>
      <c r="CTA151"/>
      <c r="CTB151"/>
      <c r="CTC151"/>
      <c r="CTD151"/>
      <c r="CTE151"/>
      <c r="CTF151"/>
      <c r="CTG151"/>
      <c r="CTH151"/>
      <c r="CTI151"/>
      <c r="CTJ151"/>
      <c r="CTK151"/>
      <c r="CTL151"/>
      <c r="CTM151"/>
      <c r="CTN151"/>
      <c r="CTO151"/>
      <c r="CTP151"/>
      <c r="CTQ151"/>
      <c r="CTR151"/>
      <c r="CTS151"/>
      <c r="CTT151"/>
      <c r="CTU151"/>
      <c r="CTV151"/>
      <c r="CTW151"/>
      <c r="CTX151"/>
      <c r="CTY151"/>
      <c r="CTZ151"/>
      <c r="CUA151"/>
      <c r="CUB151"/>
      <c r="CUC151"/>
      <c r="CUD151"/>
      <c r="CUE151"/>
      <c r="CUF151"/>
      <c r="CUG151"/>
      <c r="CUH151"/>
      <c r="CUI151"/>
      <c r="CUJ151"/>
      <c r="CUK151"/>
      <c r="CUL151"/>
      <c r="CUM151"/>
      <c r="CUN151"/>
      <c r="CUO151"/>
      <c r="CUP151"/>
      <c r="CUQ151"/>
      <c r="CUR151"/>
      <c r="CUS151"/>
      <c r="CUT151"/>
      <c r="CUU151"/>
      <c r="CUV151"/>
      <c r="CUW151"/>
      <c r="CUX151"/>
      <c r="CUY151"/>
      <c r="CUZ151"/>
      <c r="CVA151"/>
      <c r="CVB151"/>
      <c r="CVC151"/>
      <c r="CVD151"/>
      <c r="CVE151"/>
      <c r="CVF151"/>
      <c r="CVG151"/>
      <c r="CVH151"/>
      <c r="CVI151"/>
      <c r="CVJ151"/>
      <c r="CVK151"/>
      <c r="CVL151"/>
      <c r="CVM151"/>
      <c r="CVN151"/>
      <c r="CVO151"/>
      <c r="CVP151"/>
      <c r="CVQ151"/>
      <c r="CVR151"/>
      <c r="CVS151"/>
      <c r="CVT151"/>
      <c r="CVU151"/>
      <c r="CVV151"/>
      <c r="CVW151"/>
      <c r="CVX151"/>
      <c r="CVY151"/>
      <c r="CVZ151"/>
      <c r="CWA151"/>
      <c r="CWB151"/>
      <c r="CWC151"/>
      <c r="CWD151"/>
      <c r="CWE151"/>
      <c r="CWF151"/>
      <c r="CWG151"/>
      <c r="CWH151"/>
      <c r="CWI151"/>
      <c r="CWJ151"/>
      <c r="CWK151"/>
      <c r="CWL151"/>
      <c r="CWM151"/>
      <c r="CWN151"/>
      <c r="CWO151"/>
      <c r="CWP151"/>
      <c r="CWQ151"/>
      <c r="CWR151"/>
      <c r="CWS151"/>
      <c r="CWT151"/>
      <c r="CWU151"/>
      <c r="CWV151"/>
      <c r="CWW151"/>
      <c r="CWX151"/>
      <c r="CWY151"/>
      <c r="CWZ151"/>
      <c r="CXA151"/>
      <c r="CXB151"/>
      <c r="CXC151"/>
      <c r="CXD151"/>
      <c r="CXE151"/>
      <c r="CXF151"/>
      <c r="CXG151"/>
      <c r="CXH151"/>
      <c r="CXI151"/>
      <c r="CXJ151"/>
      <c r="CXK151"/>
      <c r="CXL151"/>
      <c r="CXM151"/>
      <c r="CXN151"/>
      <c r="CXO151"/>
      <c r="CXP151"/>
      <c r="CXQ151"/>
      <c r="CXR151"/>
      <c r="CXS151"/>
      <c r="CXT151"/>
      <c r="CXU151"/>
      <c r="CXV151"/>
      <c r="CXW151"/>
      <c r="CXX151"/>
      <c r="CXY151"/>
      <c r="CXZ151"/>
      <c r="CYA151"/>
      <c r="CYB151"/>
      <c r="CYC151"/>
      <c r="CYD151"/>
      <c r="CYE151"/>
      <c r="CYF151"/>
      <c r="CYG151"/>
      <c r="CYH151"/>
      <c r="CYI151"/>
      <c r="CYJ151"/>
      <c r="CYK151"/>
      <c r="CYL151"/>
      <c r="CYM151"/>
      <c r="CYN151"/>
      <c r="CYO151"/>
      <c r="CYP151"/>
      <c r="CYQ151"/>
      <c r="CYR151"/>
      <c r="CYS151"/>
      <c r="CYT151"/>
      <c r="CYU151"/>
      <c r="CYV151"/>
      <c r="CYW151"/>
      <c r="CYX151"/>
      <c r="CYY151"/>
      <c r="CYZ151"/>
      <c r="CZA151"/>
      <c r="CZB151"/>
      <c r="CZC151"/>
      <c r="CZD151"/>
      <c r="CZE151"/>
      <c r="CZF151"/>
      <c r="CZG151"/>
      <c r="CZH151"/>
      <c r="CZI151"/>
      <c r="CZJ151"/>
      <c r="CZK151"/>
      <c r="CZL151"/>
      <c r="CZM151"/>
      <c r="CZN151"/>
      <c r="CZO151"/>
      <c r="CZP151"/>
      <c r="CZQ151"/>
      <c r="CZR151"/>
      <c r="CZS151"/>
      <c r="CZT151"/>
      <c r="CZU151"/>
      <c r="CZV151"/>
      <c r="CZW151"/>
      <c r="CZX151"/>
      <c r="CZY151"/>
      <c r="CZZ151"/>
      <c r="DAA151"/>
      <c r="DAB151"/>
      <c r="DAC151"/>
      <c r="DAD151"/>
      <c r="DAE151"/>
      <c r="DAF151"/>
      <c r="DAG151"/>
      <c r="DAH151"/>
      <c r="DAI151"/>
      <c r="DAJ151"/>
      <c r="DAK151"/>
      <c r="DAL151"/>
      <c r="DAM151"/>
      <c r="DAN151"/>
      <c r="DAO151"/>
      <c r="DAP151"/>
      <c r="DAQ151"/>
      <c r="DAR151"/>
      <c r="DAS151"/>
      <c r="DAT151"/>
      <c r="DAU151"/>
      <c r="DAV151"/>
      <c r="DAW151"/>
      <c r="DAX151"/>
      <c r="DAY151"/>
      <c r="DAZ151"/>
      <c r="DBA151"/>
      <c r="DBB151"/>
      <c r="DBC151"/>
      <c r="DBD151"/>
      <c r="DBE151"/>
      <c r="DBF151"/>
      <c r="DBG151"/>
      <c r="DBH151"/>
      <c r="DBI151"/>
      <c r="DBJ151"/>
      <c r="DBK151"/>
      <c r="DBL151"/>
      <c r="DBM151"/>
      <c r="DBN151"/>
      <c r="DBO151"/>
      <c r="DBP151"/>
      <c r="DBQ151"/>
      <c r="DBR151"/>
      <c r="DBS151"/>
      <c r="DBT151"/>
      <c r="DBU151"/>
      <c r="DBV151"/>
      <c r="DBW151"/>
      <c r="DBX151"/>
      <c r="DBY151"/>
      <c r="DBZ151"/>
      <c r="DCA151"/>
      <c r="DCB151"/>
      <c r="DCC151"/>
      <c r="DCD151"/>
      <c r="DCE151"/>
      <c r="DCF151"/>
      <c r="DCG151"/>
      <c r="DCH151"/>
      <c r="DCI151"/>
      <c r="DCJ151"/>
      <c r="DCK151"/>
      <c r="DCL151"/>
      <c r="DCM151"/>
      <c r="DCN151"/>
      <c r="DCO151"/>
      <c r="DCP151"/>
      <c r="DCQ151"/>
      <c r="DCR151"/>
      <c r="DCS151"/>
      <c r="DCT151"/>
      <c r="DCU151"/>
      <c r="DCV151"/>
      <c r="DCW151"/>
      <c r="DCX151"/>
      <c r="DCY151"/>
      <c r="DCZ151"/>
      <c r="DDA151"/>
      <c r="DDB151"/>
      <c r="DDC151"/>
      <c r="DDD151"/>
      <c r="DDE151"/>
      <c r="DDF151"/>
      <c r="DDG151"/>
      <c r="DDH151"/>
      <c r="DDI151"/>
      <c r="DDJ151"/>
      <c r="DDK151"/>
      <c r="DDL151"/>
      <c r="DDM151"/>
      <c r="DDN151"/>
      <c r="DDO151"/>
      <c r="DDP151"/>
      <c r="DDQ151"/>
      <c r="DDR151"/>
      <c r="DDS151"/>
      <c r="DDT151"/>
      <c r="DDU151"/>
      <c r="DDV151"/>
      <c r="DDW151"/>
      <c r="DDX151"/>
      <c r="DDY151"/>
      <c r="DDZ151"/>
      <c r="DEA151"/>
      <c r="DEB151"/>
      <c r="DEC151"/>
      <c r="DED151"/>
      <c r="DEE151"/>
      <c r="DEF151"/>
      <c r="DEG151"/>
      <c r="DEH151"/>
      <c r="DEI151"/>
      <c r="DEJ151"/>
      <c r="DEK151"/>
      <c r="DEL151"/>
      <c r="DEM151"/>
      <c r="DEN151"/>
      <c r="DEO151"/>
      <c r="DEP151"/>
      <c r="DEQ151"/>
      <c r="DER151"/>
      <c r="DES151"/>
      <c r="DET151"/>
      <c r="DEU151"/>
      <c r="DEV151"/>
      <c r="DEW151"/>
      <c r="DEX151"/>
      <c r="DEY151"/>
      <c r="DEZ151"/>
      <c r="DFA151"/>
      <c r="DFB151"/>
      <c r="DFC151"/>
      <c r="DFD151"/>
      <c r="DFE151"/>
      <c r="DFF151"/>
      <c r="DFG151"/>
      <c r="DFH151"/>
      <c r="DFI151"/>
      <c r="DFJ151"/>
      <c r="DFK151"/>
      <c r="DFL151"/>
      <c r="DFM151"/>
      <c r="DFN151"/>
      <c r="DFO151"/>
      <c r="DFP151"/>
      <c r="DFQ151"/>
      <c r="DFR151"/>
      <c r="DFS151"/>
      <c r="DFT151"/>
      <c r="DFU151"/>
      <c r="DFV151"/>
      <c r="DFW151"/>
      <c r="DFX151"/>
      <c r="DFY151"/>
      <c r="DFZ151"/>
      <c r="DGA151"/>
      <c r="DGB151"/>
      <c r="DGC151"/>
      <c r="DGD151"/>
      <c r="DGE151"/>
      <c r="DGF151"/>
      <c r="DGG151"/>
      <c r="DGH151"/>
      <c r="DGI151"/>
      <c r="DGJ151"/>
      <c r="DGK151"/>
      <c r="DGL151"/>
      <c r="DGM151"/>
      <c r="DGN151"/>
      <c r="DGO151"/>
      <c r="DGP151"/>
      <c r="DGQ151"/>
      <c r="DGR151"/>
      <c r="DGS151"/>
      <c r="DGT151"/>
      <c r="DGU151"/>
      <c r="DGV151"/>
      <c r="DGW151"/>
      <c r="DGX151"/>
      <c r="DGY151"/>
      <c r="DGZ151"/>
      <c r="DHA151"/>
      <c r="DHB151"/>
      <c r="DHC151"/>
      <c r="DHD151"/>
      <c r="DHE151"/>
      <c r="DHF151"/>
      <c r="DHG151"/>
      <c r="DHH151"/>
      <c r="DHI151"/>
      <c r="DHJ151"/>
      <c r="DHK151"/>
      <c r="DHL151"/>
      <c r="DHM151"/>
      <c r="DHN151"/>
      <c r="DHO151"/>
      <c r="DHP151"/>
      <c r="DHQ151"/>
      <c r="DHR151"/>
      <c r="DHS151"/>
      <c r="DHT151"/>
      <c r="DHU151"/>
      <c r="DHV151"/>
      <c r="DHW151"/>
      <c r="DHX151"/>
      <c r="DHY151"/>
      <c r="DHZ151"/>
      <c r="DIA151"/>
      <c r="DIB151"/>
      <c r="DIC151"/>
      <c r="DID151"/>
      <c r="DIE151"/>
      <c r="DIF151"/>
      <c r="DIG151"/>
      <c r="DIH151"/>
      <c r="DII151"/>
      <c r="DIJ151"/>
      <c r="DIK151"/>
      <c r="DIL151"/>
      <c r="DIM151"/>
      <c r="DIN151"/>
      <c r="DIO151"/>
      <c r="DIP151"/>
      <c r="DIQ151"/>
      <c r="DIR151"/>
      <c r="DIS151"/>
      <c r="DIT151"/>
      <c r="DIU151"/>
      <c r="DIV151"/>
      <c r="DIW151"/>
      <c r="DIX151"/>
      <c r="DIY151"/>
      <c r="DIZ151"/>
      <c r="DJA151"/>
      <c r="DJB151"/>
      <c r="DJC151"/>
      <c r="DJD151"/>
      <c r="DJE151"/>
      <c r="DJF151"/>
      <c r="DJG151"/>
      <c r="DJH151"/>
      <c r="DJI151"/>
      <c r="DJJ151"/>
      <c r="DJK151"/>
      <c r="DJL151"/>
      <c r="DJM151"/>
      <c r="DJN151"/>
      <c r="DJO151"/>
      <c r="DJP151"/>
      <c r="DJQ151"/>
      <c r="DJR151"/>
      <c r="DJS151"/>
      <c r="DJT151"/>
      <c r="DJU151"/>
      <c r="DJV151"/>
      <c r="DJW151"/>
      <c r="DJX151"/>
      <c r="DJY151"/>
      <c r="DJZ151"/>
      <c r="DKA151"/>
      <c r="DKB151"/>
      <c r="DKC151"/>
      <c r="DKD151"/>
      <c r="DKE151"/>
      <c r="DKF151"/>
      <c r="DKG151"/>
      <c r="DKH151"/>
      <c r="DKI151"/>
      <c r="DKJ151"/>
      <c r="DKK151"/>
      <c r="DKL151"/>
      <c r="DKM151"/>
      <c r="DKN151"/>
      <c r="DKO151"/>
      <c r="DKP151"/>
      <c r="DKQ151"/>
      <c r="DKR151"/>
      <c r="DKS151"/>
      <c r="DKT151"/>
      <c r="DKU151"/>
      <c r="DKV151"/>
      <c r="DKW151"/>
      <c r="DKX151"/>
      <c r="DKY151"/>
      <c r="DKZ151"/>
      <c r="DLA151"/>
      <c r="DLB151"/>
      <c r="DLC151"/>
      <c r="DLD151"/>
      <c r="DLE151"/>
      <c r="DLF151"/>
      <c r="DLG151"/>
      <c r="DLH151"/>
      <c r="DLI151"/>
      <c r="DLJ151"/>
      <c r="DLK151"/>
      <c r="DLL151"/>
      <c r="DLM151"/>
      <c r="DLN151"/>
      <c r="DLO151"/>
      <c r="DLP151"/>
      <c r="DLQ151"/>
      <c r="DLR151"/>
      <c r="DLS151"/>
      <c r="DLT151"/>
      <c r="DLU151"/>
      <c r="DLV151"/>
      <c r="DLW151"/>
      <c r="DLX151"/>
      <c r="DLY151"/>
      <c r="DLZ151"/>
      <c r="DMA151"/>
      <c r="DMB151"/>
      <c r="DMC151"/>
      <c r="DMD151"/>
      <c r="DME151"/>
      <c r="DMF151"/>
      <c r="DMG151"/>
      <c r="DMH151"/>
      <c r="DMI151"/>
      <c r="DMJ151"/>
      <c r="DMK151"/>
      <c r="DML151"/>
      <c r="DMM151"/>
      <c r="DMN151"/>
      <c r="DMO151"/>
      <c r="DMP151"/>
      <c r="DMQ151"/>
      <c r="DMR151"/>
      <c r="DMS151"/>
      <c r="DMT151"/>
      <c r="DMU151"/>
      <c r="DMV151"/>
      <c r="DMW151"/>
      <c r="DMX151"/>
      <c r="DMY151"/>
      <c r="DMZ151"/>
      <c r="DNA151"/>
      <c r="DNB151"/>
      <c r="DNC151"/>
      <c r="DND151"/>
      <c r="DNE151"/>
      <c r="DNF151"/>
      <c r="DNG151"/>
      <c r="DNH151"/>
      <c r="DNI151"/>
      <c r="DNJ151"/>
      <c r="DNK151"/>
      <c r="DNL151"/>
      <c r="DNM151"/>
      <c r="DNN151"/>
      <c r="DNO151"/>
      <c r="DNP151"/>
      <c r="DNQ151"/>
      <c r="DNR151"/>
      <c r="DNS151"/>
      <c r="DNT151"/>
      <c r="DNU151"/>
      <c r="DNV151"/>
      <c r="DNW151"/>
      <c r="DNX151"/>
      <c r="DNY151"/>
      <c r="DNZ151"/>
      <c r="DOA151"/>
      <c r="DOB151"/>
      <c r="DOC151"/>
      <c r="DOD151"/>
      <c r="DOE151"/>
      <c r="DOF151"/>
      <c r="DOG151"/>
      <c r="DOH151"/>
      <c r="DOI151"/>
      <c r="DOJ151"/>
      <c r="DOK151"/>
      <c r="DOL151"/>
      <c r="DOM151"/>
      <c r="DON151"/>
      <c r="DOO151"/>
      <c r="DOP151"/>
      <c r="DOQ151"/>
      <c r="DOR151"/>
      <c r="DOS151"/>
      <c r="DOT151"/>
      <c r="DOU151"/>
      <c r="DOV151"/>
      <c r="DOW151"/>
      <c r="DOX151"/>
      <c r="DOY151"/>
      <c r="DOZ151"/>
      <c r="DPA151"/>
      <c r="DPB151"/>
      <c r="DPC151"/>
      <c r="DPD151"/>
      <c r="DPE151"/>
      <c r="DPF151"/>
      <c r="DPG151"/>
      <c r="DPH151"/>
      <c r="DPI151"/>
      <c r="DPJ151"/>
      <c r="DPK151"/>
      <c r="DPL151"/>
      <c r="DPM151"/>
      <c r="DPN151"/>
      <c r="DPO151"/>
      <c r="DPP151"/>
      <c r="DPQ151"/>
      <c r="DPR151"/>
      <c r="DPS151"/>
      <c r="DPT151"/>
      <c r="DPU151"/>
      <c r="DPV151"/>
      <c r="DPW151"/>
      <c r="DPX151"/>
      <c r="DPY151"/>
      <c r="DPZ151"/>
      <c r="DQA151"/>
      <c r="DQB151"/>
      <c r="DQC151"/>
      <c r="DQD151"/>
      <c r="DQE151"/>
      <c r="DQF151"/>
      <c r="DQG151"/>
      <c r="DQH151"/>
      <c r="DQI151"/>
      <c r="DQJ151"/>
      <c r="DQK151"/>
      <c r="DQL151"/>
      <c r="DQM151"/>
      <c r="DQN151"/>
      <c r="DQO151"/>
      <c r="DQP151"/>
      <c r="DQQ151"/>
      <c r="DQR151"/>
      <c r="DQS151"/>
      <c r="DQT151"/>
      <c r="DQU151"/>
      <c r="DQV151"/>
      <c r="DQW151"/>
      <c r="DQX151"/>
      <c r="DQY151"/>
      <c r="DQZ151"/>
      <c r="DRA151"/>
      <c r="DRB151"/>
      <c r="DRC151"/>
      <c r="DRD151"/>
      <c r="DRE151"/>
      <c r="DRF151"/>
      <c r="DRG151"/>
      <c r="DRH151"/>
      <c r="DRI151"/>
      <c r="DRJ151"/>
      <c r="DRK151"/>
      <c r="DRL151"/>
      <c r="DRM151"/>
      <c r="DRN151"/>
      <c r="DRO151"/>
      <c r="DRP151"/>
      <c r="DRQ151"/>
      <c r="DRR151"/>
      <c r="DRS151"/>
      <c r="DRT151"/>
      <c r="DRU151"/>
      <c r="DRV151"/>
      <c r="DRW151"/>
      <c r="DRX151"/>
      <c r="DRY151"/>
      <c r="DRZ151"/>
      <c r="DSA151"/>
      <c r="DSB151"/>
      <c r="DSC151"/>
      <c r="DSD151"/>
      <c r="DSE151"/>
      <c r="DSF151"/>
      <c r="DSG151"/>
      <c r="DSH151"/>
      <c r="DSI151"/>
      <c r="DSJ151"/>
      <c r="DSK151"/>
      <c r="DSL151"/>
      <c r="DSM151"/>
      <c r="DSN151"/>
      <c r="DSO151"/>
      <c r="DSP151"/>
      <c r="DSQ151"/>
      <c r="DSR151"/>
      <c r="DSS151"/>
      <c r="DST151"/>
      <c r="DSU151"/>
      <c r="DSV151"/>
      <c r="DSW151"/>
      <c r="DSX151"/>
      <c r="DSY151"/>
      <c r="DSZ151"/>
      <c r="DTA151"/>
      <c r="DTB151"/>
      <c r="DTC151"/>
      <c r="DTD151"/>
      <c r="DTE151"/>
      <c r="DTF151"/>
      <c r="DTG151"/>
      <c r="DTH151"/>
      <c r="DTI151"/>
      <c r="DTJ151"/>
      <c r="DTK151"/>
      <c r="DTL151"/>
      <c r="DTM151"/>
      <c r="DTN151"/>
      <c r="DTO151"/>
      <c r="DTP151"/>
      <c r="DTQ151"/>
      <c r="DTR151"/>
      <c r="DTS151"/>
      <c r="DTT151"/>
      <c r="DTU151"/>
      <c r="DTV151"/>
      <c r="DTW151"/>
      <c r="DTX151"/>
      <c r="DTY151"/>
      <c r="DTZ151"/>
      <c r="DUA151"/>
      <c r="DUB151"/>
      <c r="DUC151"/>
      <c r="DUD151"/>
      <c r="DUE151"/>
      <c r="DUF151"/>
      <c r="DUG151"/>
      <c r="DUH151"/>
      <c r="DUI151"/>
      <c r="DUJ151"/>
      <c r="DUK151"/>
      <c r="DUL151"/>
      <c r="DUM151"/>
      <c r="DUN151"/>
      <c r="DUO151"/>
      <c r="DUP151"/>
      <c r="DUQ151"/>
      <c r="DUR151"/>
      <c r="DUS151"/>
      <c r="DUT151"/>
      <c r="DUU151"/>
      <c r="DUV151"/>
      <c r="DUW151"/>
      <c r="DUX151"/>
      <c r="DUY151"/>
      <c r="DUZ151"/>
      <c r="DVA151"/>
      <c r="DVB151"/>
      <c r="DVC151"/>
      <c r="DVD151"/>
      <c r="DVE151"/>
      <c r="DVF151"/>
      <c r="DVG151"/>
      <c r="DVH151"/>
      <c r="DVI151"/>
      <c r="DVJ151"/>
      <c r="DVK151"/>
      <c r="DVL151"/>
      <c r="DVM151"/>
      <c r="DVN151"/>
      <c r="DVO151"/>
      <c r="DVP151"/>
      <c r="DVQ151"/>
      <c r="DVR151"/>
      <c r="DVS151"/>
      <c r="DVT151"/>
      <c r="DVU151"/>
      <c r="DVV151"/>
      <c r="DVW151"/>
      <c r="DVX151"/>
      <c r="DVY151"/>
      <c r="DVZ151"/>
      <c r="DWA151"/>
      <c r="DWB151"/>
      <c r="DWC151"/>
      <c r="DWD151"/>
      <c r="DWE151"/>
      <c r="DWF151"/>
      <c r="DWG151"/>
      <c r="DWH151"/>
      <c r="DWI151"/>
      <c r="DWJ151"/>
      <c r="DWK151"/>
      <c r="DWL151"/>
      <c r="DWM151"/>
      <c r="DWN151"/>
      <c r="DWO151"/>
      <c r="DWP151"/>
      <c r="DWQ151"/>
      <c r="DWR151"/>
      <c r="DWS151"/>
      <c r="DWT151"/>
      <c r="DWU151"/>
      <c r="DWV151"/>
      <c r="DWW151"/>
      <c r="DWX151"/>
      <c r="DWY151"/>
      <c r="DWZ151"/>
      <c r="DXA151"/>
      <c r="DXB151"/>
      <c r="DXC151"/>
      <c r="DXD151"/>
      <c r="DXE151"/>
      <c r="DXF151"/>
      <c r="DXG151"/>
      <c r="DXH151"/>
      <c r="DXI151"/>
      <c r="DXJ151"/>
      <c r="DXK151"/>
      <c r="DXL151"/>
      <c r="DXM151"/>
      <c r="DXN151"/>
      <c r="DXO151"/>
      <c r="DXP151"/>
      <c r="DXQ151"/>
      <c r="DXR151"/>
      <c r="DXS151"/>
      <c r="DXT151"/>
      <c r="DXU151"/>
      <c r="DXV151"/>
      <c r="DXW151"/>
      <c r="DXX151"/>
      <c r="DXY151"/>
      <c r="DXZ151"/>
      <c r="DYA151"/>
      <c r="DYB151"/>
      <c r="DYC151"/>
      <c r="DYD151"/>
      <c r="DYE151"/>
      <c r="DYF151"/>
      <c r="DYG151"/>
      <c r="DYH151"/>
      <c r="DYI151"/>
      <c r="DYJ151"/>
      <c r="DYK151"/>
      <c r="DYL151"/>
      <c r="DYM151"/>
      <c r="DYN151"/>
      <c r="DYO151"/>
      <c r="DYP151"/>
      <c r="DYQ151"/>
      <c r="DYR151"/>
      <c r="DYS151"/>
      <c r="DYT151"/>
      <c r="DYU151"/>
      <c r="DYV151"/>
      <c r="DYW151"/>
      <c r="DYX151"/>
      <c r="DYY151"/>
      <c r="DYZ151"/>
      <c r="DZA151"/>
      <c r="DZB151"/>
      <c r="DZC151"/>
      <c r="DZD151"/>
      <c r="DZE151"/>
      <c r="DZF151"/>
      <c r="DZG151"/>
      <c r="DZH151"/>
      <c r="DZI151"/>
      <c r="DZJ151"/>
      <c r="DZK151"/>
      <c r="DZL151"/>
      <c r="DZM151"/>
      <c r="DZN151"/>
      <c r="DZO151"/>
      <c r="DZP151"/>
      <c r="DZQ151"/>
      <c r="DZR151"/>
      <c r="DZS151"/>
      <c r="DZT151"/>
      <c r="DZU151"/>
      <c r="DZV151"/>
      <c r="DZW151"/>
      <c r="DZX151"/>
      <c r="DZY151"/>
      <c r="DZZ151"/>
      <c r="EAA151"/>
      <c r="EAB151"/>
      <c r="EAC151"/>
      <c r="EAD151"/>
      <c r="EAE151"/>
      <c r="EAF151"/>
      <c r="EAG151"/>
      <c r="EAH151"/>
      <c r="EAI151"/>
      <c r="EAJ151"/>
      <c r="EAK151"/>
      <c r="EAL151"/>
      <c r="EAM151"/>
      <c r="EAN151"/>
      <c r="EAO151"/>
      <c r="EAP151"/>
      <c r="EAQ151"/>
      <c r="EAR151"/>
      <c r="EAS151"/>
      <c r="EAT151"/>
      <c r="EAU151"/>
      <c r="EAV151"/>
      <c r="EAW151"/>
      <c r="EAX151"/>
      <c r="EAY151"/>
      <c r="EAZ151"/>
      <c r="EBA151"/>
      <c r="EBB151"/>
      <c r="EBC151"/>
      <c r="EBD151"/>
      <c r="EBE151"/>
      <c r="EBF151"/>
      <c r="EBG151"/>
      <c r="EBH151"/>
      <c r="EBI151"/>
      <c r="EBJ151"/>
      <c r="EBK151"/>
      <c r="EBL151"/>
      <c r="EBM151"/>
      <c r="EBN151"/>
      <c r="EBO151"/>
      <c r="EBP151"/>
      <c r="EBQ151"/>
      <c r="EBR151"/>
      <c r="EBS151"/>
      <c r="EBT151"/>
      <c r="EBU151"/>
      <c r="EBV151"/>
      <c r="EBW151"/>
      <c r="EBX151"/>
      <c r="EBY151"/>
      <c r="EBZ151"/>
      <c r="ECA151"/>
      <c r="ECB151"/>
      <c r="ECC151"/>
      <c r="ECD151"/>
      <c r="ECE151"/>
      <c r="ECF151"/>
      <c r="ECG151"/>
      <c r="ECH151"/>
      <c r="ECI151"/>
      <c r="ECJ151"/>
      <c r="ECK151"/>
      <c r="ECL151"/>
      <c r="ECM151"/>
      <c r="ECN151"/>
      <c r="ECO151"/>
      <c r="ECP151"/>
      <c r="ECQ151"/>
      <c r="ECR151"/>
      <c r="ECS151"/>
      <c r="ECT151"/>
      <c r="ECU151"/>
      <c r="ECV151"/>
      <c r="ECW151"/>
      <c r="ECX151"/>
      <c r="ECY151"/>
      <c r="ECZ151"/>
      <c r="EDA151"/>
      <c r="EDB151"/>
      <c r="EDC151"/>
      <c r="EDD151"/>
      <c r="EDE151"/>
      <c r="EDF151"/>
      <c r="EDG151"/>
      <c r="EDH151"/>
      <c r="EDI151"/>
      <c r="EDJ151"/>
      <c r="EDK151"/>
      <c r="EDL151"/>
      <c r="EDM151"/>
      <c r="EDN151"/>
      <c r="EDO151"/>
      <c r="EDP151"/>
      <c r="EDQ151"/>
      <c r="EDR151"/>
      <c r="EDS151"/>
      <c r="EDT151"/>
      <c r="EDU151"/>
      <c r="EDV151"/>
      <c r="EDW151"/>
      <c r="EDX151"/>
      <c r="EDY151"/>
      <c r="EDZ151"/>
      <c r="EEA151"/>
      <c r="EEB151"/>
      <c r="EEC151"/>
      <c r="EED151"/>
      <c r="EEE151"/>
      <c r="EEF151"/>
      <c r="EEG151"/>
      <c r="EEH151"/>
      <c r="EEI151"/>
      <c r="EEJ151"/>
      <c r="EEK151"/>
      <c r="EEL151"/>
      <c r="EEM151"/>
      <c r="EEN151"/>
      <c r="EEO151"/>
      <c r="EEP151"/>
      <c r="EEQ151"/>
      <c r="EER151"/>
      <c r="EES151"/>
      <c r="EET151"/>
      <c r="EEU151"/>
      <c r="EEV151"/>
      <c r="EEW151"/>
      <c r="EEX151"/>
      <c r="EEY151"/>
      <c r="EEZ151"/>
      <c r="EFA151"/>
      <c r="EFB151"/>
      <c r="EFC151"/>
      <c r="EFD151"/>
      <c r="EFE151"/>
      <c r="EFF151"/>
      <c r="EFG151"/>
      <c r="EFH151"/>
      <c r="EFI151"/>
      <c r="EFJ151"/>
      <c r="EFK151"/>
      <c r="EFL151"/>
      <c r="EFM151"/>
      <c r="EFN151"/>
      <c r="EFO151"/>
      <c r="EFP151"/>
      <c r="EFQ151"/>
      <c r="EFR151"/>
      <c r="EFS151"/>
      <c r="EFT151"/>
      <c r="EFU151"/>
      <c r="EFV151"/>
      <c r="EFW151"/>
      <c r="EFX151"/>
      <c r="EFY151"/>
      <c r="EFZ151"/>
      <c r="EGA151"/>
      <c r="EGB151"/>
      <c r="EGC151"/>
      <c r="EGD151"/>
      <c r="EGE151"/>
      <c r="EGF151"/>
      <c r="EGG151"/>
      <c r="EGH151"/>
      <c r="EGI151"/>
      <c r="EGJ151"/>
      <c r="EGK151"/>
      <c r="EGL151"/>
      <c r="EGM151"/>
      <c r="EGN151"/>
      <c r="EGO151"/>
      <c r="EGP151"/>
      <c r="EGQ151"/>
      <c r="EGR151"/>
      <c r="EGS151"/>
      <c r="EGT151"/>
      <c r="EGU151"/>
      <c r="EGV151"/>
      <c r="EGW151"/>
      <c r="EGX151"/>
      <c r="EGY151"/>
      <c r="EGZ151"/>
      <c r="EHA151"/>
      <c r="EHB151"/>
      <c r="EHC151"/>
      <c r="EHD151"/>
      <c r="EHE151"/>
      <c r="EHF151"/>
      <c r="EHG151"/>
      <c r="EHH151"/>
      <c r="EHI151"/>
      <c r="EHJ151"/>
      <c r="EHK151"/>
      <c r="EHL151"/>
      <c r="EHM151"/>
      <c r="EHN151"/>
      <c r="EHO151"/>
      <c r="EHP151"/>
      <c r="EHQ151"/>
      <c r="EHR151"/>
      <c r="EHS151"/>
      <c r="EHT151"/>
      <c r="EHU151"/>
      <c r="EHV151"/>
      <c r="EHW151"/>
      <c r="EHX151"/>
      <c r="EHY151"/>
      <c r="EHZ151"/>
      <c r="EIA151"/>
      <c r="EIB151"/>
      <c r="EIC151"/>
      <c r="EID151"/>
      <c r="EIE151"/>
      <c r="EIF151"/>
      <c r="EIG151"/>
      <c r="EIH151"/>
      <c r="EII151"/>
      <c r="EIJ151"/>
      <c r="EIK151"/>
      <c r="EIL151"/>
      <c r="EIM151"/>
      <c r="EIN151"/>
      <c r="EIO151"/>
      <c r="EIP151"/>
      <c r="EIQ151"/>
      <c r="EIR151"/>
      <c r="EIS151"/>
      <c r="EIT151"/>
      <c r="EIU151"/>
      <c r="EIV151"/>
      <c r="EIW151"/>
      <c r="EIX151"/>
      <c r="EIY151"/>
      <c r="EIZ151"/>
      <c r="EJA151"/>
      <c r="EJB151"/>
      <c r="EJC151"/>
      <c r="EJD151"/>
      <c r="EJE151"/>
      <c r="EJF151"/>
      <c r="EJG151"/>
      <c r="EJH151"/>
      <c r="EJI151"/>
      <c r="EJJ151"/>
      <c r="EJK151"/>
      <c r="EJL151"/>
      <c r="EJM151"/>
      <c r="EJN151"/>
      <c r="EJO151"/>
      <c r="EJP151"/>
      <c r="EJQ151"/>
      <c r="EJR151"/>
      <c r="EJS151"/>
      <c r="EJT151"/>
      <c r="EJU151"/>
      <c r="EJV151"/>
      <c r="EJW151"/>
      <c r="EJX151"/>
      <c r="EJY151"/>
      <c r="EJZ151"/>
      <c r="EKA151"/>
      <c r="EKB151"/>
      <c r="EKC151"/>
      <c r="EKD151"/>
      <c r="EKE151"/>
      <c r="EKF151"/>
      <c r="EKG151"/>
      <c r="EKH151"/>
      <c r="EKI151"/>
      <c r="EKJ151"/>
      <c r="EKK151"/>
      <c r="EKL151"/>
      <c r="EKM151"/>
      <c r="EKN151"/>
      <c r="EKO151"/>
      <c r="EKP151"/>
      <c r="EKQ151"/>
      <c r="EKR151"/>
      <c r="EKS151"/>
      <c r="EKT151"/>
      <c r="EKU151"/>
      <c r="EKV151"/>
      <c r="EKW151"/>
      <c r="EKX151"/>
      <c r="EKY151"/>
      <c r="EKZ151"/>
      <c r="ELA151"/>
      <c r="ELB151"/>
      <c r="ELC151"/>
      <c r="ELD151"/>
      <c r="ELE151"/>
      <c r="ELF151"/>
      <c r="ELG151"/>
      <c r="ELH151"/>
      <c r="ELI151"/>
      <c r="ELJ151"/>
      <c r="ELK151"/>
      <c r="ELL151"/>
      <c r="ELM151"/>
      <c r="ELN151"/>
      <c r="ELO151"/>
      <c r="ELP151"/>
      <c r="ELQ151"/>
      <c r="ELR151"/>
      <c r="ELS151"/>
      <c r="ELT151"/>
      <c r="ELU151"/>
      <c r="ELV151"/>
      <c r="ELW151"/>
      <c r="ELX151"/>
      <c r="ELY151"/>
      <c r="ELZ151"/>
      <c r="EMA151"/>
      <c r="EMB151"/>
      <c r="EMC151"/>
      <c r="EMD151"/>
      <c r="EME151"/>
      <c r="EMF151"/>
      <c r="EMG151"/>
      <c r="EMH151"/>
      <c r="EMI151"/>
      <c r="EMJ151"/>
      <c r="EMK151"/>
      <c r="EML151"/>
      <c r="EMM151"/>
      <c r="EMN151"/>
      <c r="EMO151"/>
      <c r="EMP151"/>
      <c r="EMQ151"/>
      <c r="EMR151"/>
      <c r="EMS151"/>
      <c r="EMT151"/>
      <c r="EMU151"/>
      <c r="EMV151"/>
      <c r="EMW151"/>
      <c r="EMX151"/>
      <c r="EMY151"/>
      <c r="EMZ151"/>
      <c r="ENA151"/>
      <c r="ENB151"/>
      <c r="ENC151"/>
      <c r="END151"/>
      <c r="ENE151"/>
      <c r="ENF151"/>
      <c r="ENG151"/>
      <c r="ENH151"/>
      <c r="ENI151"/>
      <c r="ENJ151"/>
      <c r="ENK151"/>
      <c r="ENL151"/>
      <c r="ENM151"/>
      <c r="ENN151"/>
      <c r="ENO151"/>
      <c r="ENP151"/>
      <c r="ENQ151"/>
      <c r="ENR151"/>
      <c r="ENS151"/>
      <c r="ENT151"/>
      <c r="ENU151"/>
      <c r="ENV151"/>
      <c r="ENW151"/>
      <c r="ENX151"/>
      <c r="ENY151"/>
      <c r="ENZ151"/>
      <c r="EOA151"/>
      <c r="EOB151"/>
      <c r="EOC151"/>
      <c r="EOD151"/>
      <c r="EOE151"/>
      <c r="EOF151"/>
      <c r="EOG151"/>
      <c r="EOH151"/>
      <c r="EOI151"/>
      <c r="EOJ151"/>
      <c r="EOK151"/>
      <c r="EOL151"/>
      <c r="EOM151"/>
      <c r="EON151"/>
      <c r="EOO151"/>
      <c r="EOP151"/>
      <c r="EOQ151"/>
      <c r="EOR151"/>
      <c r="EOS151"/>
      <c r="EOT151"/>
      <c r="EOU151"/>
      <c r="EOV151"/>
      <c r="EOW151"/>
      <c r="EOX151"/>
      <c r="EOY151"/>
      <c r="EOZ151"/>
      <c r="EPA151"/>
      <c r="EPB151"/>
      <c r="EPC151"/>
      <c r="EPD151"/>
      <c r="EPE151"/>
      <c r="EPF151"/>
      <c r="EPG151"/>
      <c r="EPH151"/>
      <c r="EPI151"/>
      <c r="EPJ151"/>
      <c r="EPK151"/>
      <c r="EPL151"/>
      <c r="EPM151"/>
      <c r="EPN151"/>
      <c r="EPO151"/>
      <c r="EPP151"/>
      <c r="EPQ151"/>
      <c r="EPR151"/>
      <c r="EPS151"/>
      <c r="EPT151"/>
      <c r="EPU151"/>
      <c r="EPV151"/>
      <c r="EPW151"/>
      <c r="EPX151"/>
      <c r="EPY151"/>
      <c r="EPZ151"/>
      <c r="EQA151"/>
      <c r="EQB151"/>
      <c r="EQC151"/>
      <c r="EQD151"/>
      <c r="EQE151"/>
      <c r="EQF151"/>
      <c r="EQG151"/>
      <c r="EQH151"/>
      <c r="EQI151"/>
      <c r="EQJ151"/>
      <c r="EQK151"/>
      <c r="EQL151"/>
      <c r="EQM151"/>
      <c r="EQN151"/>
      <c r="EQO151"/>
      <c r="EQP151"/>
      <c r="EQQ151"/>
      <c r="EQR151"/>
      <c r="EQS151"/>
      <c r="EQT151"/>
      <c r="EQU151"/>
      <c r="EQV151"/>
      <c r="EQW151"/>
      <c r="EQX151"/>
      <c r="EQY151"/>
      <c r="EQZ151"/>
      <c r="ERA151"/>
      <c r="ERB151"/>
      <c r="ERC151"/>
      <c r="ERD151"/>
      <c r="ERE151"/>
      <c r="ERF151"/>
      <c r="ERG151"/>
      <c r="ERH151"/>
      <c r="ERI151"/>
      <c r="ERJ151"/>
      <c r="ERK151"/>
      <c r="ERL151"/>
      <c r="ERM151"/>
      <c r="ERN151"/>
      <c r="ERO151"/>
      <c r="ERP151"/>
      <c r="ERQ151"/>
      <c r="ERR151"/>
      <c r="ERS151"/>
      <c r="ERT151"/>
      <c r="ERU151"/>
      <c r="ERV151"/>
      <c r="ERW151"/>
      <c r="ERX151"/>
      <c r="ERY151"/>
      <c r="ERZ151"/>
      <c r="ESA151"/>
      <c r="ESB151"/>
      <c r="ESC151"/>
      <c r="ESD151"/>
      <c r="ESE151"/>
      <c r="ESF151"/>
      <c r="ESG151"/>
      <c r="ESH151"/>
      <c r="ESI151"/>
      <c r="ESJ151"/>
      <c r="ESK151"/>
      <c r="ESL151"/>
      <c r="ESM151"/>
      <c r="ESN151"/>
      <c r="ESO151"/>
      <c r="ESP151"/>
      <c r="ESQ151"/>
      <c r="ESR151"/>
      <c r="ESS151"/>
      <c r="EST151"/>
      <c r="ESU151"/>
      <c r="ESV151"/>
      <c r="ESW151"/>
      <c r="ESX151"/>
      <c r="ESY151"/>
      <c r="ESZ151"/>
      <c r="ETA151"/>
      <c r="ETB151"/>
      <c r="ETC151"/>
      <c r="ETD151"/>
      <c r="ETE151"/>
      <c r="ETF151"/>
      <c r="ETG151"/>
      <c r="ETH151"/>
      <c r="ETI151"/>
      <c r="ETJ151"/>
      <c r="ETK151"/>
      <c r="ETL151"/>
      <c r="ETM151"/>
      <c r="ETN151"/>
      <c r="ETO151"/>
      <c r="ETP151"/>
      <c r="ETQ151"/>
      <c r="ETR151"/>
      <c r="ETS151"/>
      <c r="ETT151"/>
      <c r="ETU151"/>
      <c r="ETV151"/>
      <c r="ETW151"/>
      <c r="ETX151"/>
      <c r="ETY151"/>
      <c r="ETZ151"/>
      <c r="EUA151"/>
      <c r="EUB151"/>
      <c r="EUC151"/>
      <c r="EUD151"/>
      <c r="EUE151"/>
      <c r="EUF151"/>
      <c r="EUG151"/>
      <c r="EUH151"/>
      <c r="EUI151"/>
      <c r="EUJ151"/>
      <c r="EUK151"/>
      <c r="EUL151"/>
      <c r="EUM151"/>
      <c r="EUN151"/>
      <c r="EUO151"/>
      <c r="EUP151"/>
      <c r="EUQ151"/>
      <c r="EUR151"/>
      <c r="EUS151"/>
      <c r="EUT151"/>
      <c r="EUU151"/>
      <c r="EUV151"/>
      <c r="EUW151"/>
      <c r="EUX151"/>
      <c r="EUY151"/>
      <c r="EUZ151"/>
      <c r="EVA151"/>
      <c r="EVB151"/>
      <c r="EVC151"/>
      <c r="EVD151"/>
      <c r="EVE151"/>
      <c r="EVF151"/>
      <c r="EVG151"/>
      <c r="EVH151"/>
      <c r="EVI151"/>
      <c r="EVJ151"/>
      <c r="EVK151"/>
      <c r="EVL151"/>
      <c r="EVM151"/>
      <c r="EVN151"/>
      <c r="EVO151"/>
      <c r="EVP151"/>
      <c r="EVQ151"/>
      <c r="EVR151"/>
      <c r="EVS151"/>
      <c r="EVT151"/>
      <c r="EVU151"/>
      <c r="EVV151"/>
      <c r="EVW151"/>
      <c r="EVX151"/>
      <c r="EVY151"/>
      <c r="EVZ151"/>
      <c r="EWA151"/>
      <c r="EWB151"/>
      <c r="EWC151"/>
      <c r="EWD151"/>
      <c r="EWE151"/>
      <c r="EWF151"/>
      <c r="EWG151"/>
      <c r="EWH151"/>
      <c r="EWI151"/>
      <c r="EWJ151"/>
      <c r="EWK151"/>
      <c r="EWL151"/>
      <c r="EWM151"/>
      <c r="EWN151"/>
      <c r="EWO151"/>
      <c r="EWP151"/>
      <c r="EWQ151"/>
      <c r="EWR151"/>
      <c r="EWS151"/>
      <c r="EWT151"/>
      <c r="EWU151"/>
      <c r="EWV151"/>
      <c r="EWW151"/>
      <c r="EWX151"/>
      <c r="EWY151"/>
      <c r="EWZ151"/>
      <c r="EXA151"/>
      <c r="EXB151"/>
      <c r="EXC151"/>
      <c r="EXD151"/>
      <c r="EXE151"/>
      <c r="EXF151"/>
      <c r="EXG151"/>
      <c r="EXH151"/>
      <c r="EXI151"/>
      <c r="EXJ151"/>
      <c r="EXK151"/>
      <c r="EXL151"/>
      <c r="EXM151"/>
      <c r="EXN151"/>
      <c r="EXO151"/>
      <c r="EXP151"/>
      <c r="EXQ151"/>
      <c r="EXR151"/>
      <c r="EXS151"/>
      <c r="EXT151"/>
      <c r="EXU151"/>
      <c r="EXV151"/>
      <c r="EXW151"/>
      <c r="EXX151"/>
      <c r="EXY151"/>
      <c r="EXZ151"/>
      <c r="EYA151"/>
      <c r="EYB151"/>
      <c r="EYC151"/>
      <c r="EYD151"/>
      <c r="EYE151"/>
      <c r="EYF151"/>
      <c r="EYG151"/>
      <c r="EYH151"/>
      <c r="EYI151"/>
      <c r="EYJ151"/>
      <c r="EYK151"/>
      <c r="EYL151"/>
      <c r="EYM151"/>
      <c r="EYN151"/>
      <c r="EYO151"/>
      <c r="EYP151"/>
      <c r="EYQ151"/>
      <c r="EYR151"/>
      <c r="EYS151"/>
      <c r="EYT151"/>
      <c r="EYU151"/>
      <c r="EYV151"/>
      <c r="EYW151"/>
      <c r="EYX151"/>
      <c r="EYY151"/>
      <c r="EYZ151"/>
      <c r="EZA151"/>
      <c r="EZB151"/>
      <c r="EZC151"/>
      <c r="EZD151"/>
      <c r="EZE151"/>
      <c r="EZF151"/>
      <c r="EZG151"/>
      <c r="EZH151"/>
      <c r="EZI151"/>
      <c r="EZJ151"/>
      <c r="EZK151"/>
      <c r="EZL151"/>
      <c r="EZM151"/>
      <c r="EZN151"/>
      <c r="EZO151"/>
      <c r="EZP151"/>
      <c r="EZQ151"/>
      <c r="EZR151"/>
      <c r="EZS151"/>
      <c r="EZT151"/>
      <c r="EZU151"/>
      <c r="EZV151"/>
      <c r="EZW151"/>
      <c r="EZX151"/>
      <c r="EZY151"/>
      <c r="EZZ151"/>
      <c r="FAA151"/>
      <c r="FAB151"/>
      <c r="FAC151"/>
      <c r="FAD151"/>
      <c r="FAE151"/>
      <c r="FAF151"/>
      <c r="FAG151"/>
      <c r="FAH151"/>
      <c r="FAI151"/>
      <c r="FAJ151"/>
      <c r="FAK151"/>
      <c r="FAL151"/>
      <c r="FAM151"/>
      <c r="FAN151"/>
      <c r="FAO151"/>
      <c r="FAP151"/>
      <c r="FAQ151"/>
      <c r="FAR151"/>
      <c r="FAS151"/>
      <c r="FAT151"/>
      <c r="FAU151"/>
      <c r="FAV151"/>
      <c r="FAW151"/>
      <c r="FAX151"/>
      <c r="FAY151"/>
      <c r="FAZ151"/>
      <c r="FBA151"/>
      <c r="FBB151"/>
      <c r="FBC151"/>
      <c r="FBD151"/>
      <c r="FBE151"/>
      <c r="FBF151"/>
      <c r="FBG151"/>
      <c r="FBH151"/>
      <c r="FBI151"/>
      <c r="FBJ151"/>
      <c r="FBK151"/>
      <c r="FBL151"/>
      <c r="FBM151"/>
      <c r="FBN151"/>
      <c r="FBO151"/>
      <c r="FBP151"/>
      <c r="FBQ151"/>
      <c r="FBR151"/>
      <c r="FBS151"/>
      <c r="FBT151"/>
      <c r="FBU151"/>
      <c r="FBV151"/>
      <c r="FBW151"/>
      <c r="FBX151"/>
      <c r="FBY151"/>
      <c r="FBZ151"/>
      <c r="FCA151"/>
      <c r="FCB151"/>
      <c r="FCC151"/>
      <c r="FCD151"/>
      <c r="FCE151"/>
      <c r="FCF151"/>
      <c r="FCG151"/>
      <c r="FCH151"/>
      <c r="FCI151"/>
      <c r="FCJ151"/>
      <c r="FCK151"/>
      <c r="FCL151"/>
      <c r="FCM151"/>
      <c r="FCN151"/>
      <c r="FCO151"/>
      <c r="FCP151"/>
      <c r="FCQ151"/>
      <c r="FCR151"/>
      <c r="FCS151"/>
      <c r="FCT151"/>
      <c r="FCU151"/>
      <c r="FCV151"/>
      <c r="FCW151"/>
      <c r="FCX151"/>
      <c r="FCY151"/>
      <c r="FCZ151"/>
      <c r="FDA151"/>
      <c r="FDB151"/>
      <c r="FDC151"/>
      <c r="FDD151"/>
      <c r="FDE151"/>
      <c r="FDF151"/>
      <c r="FDG151"/>
      <c r="FDH151"/>
      <c r="FDI151"/>
      <c r="FDJ151"/>
      <c r="FDK151"/>
      <c r="FDL151"/>
      <c r="FDM151"/>
      <c r="FDN151"/>
      <c r="FDO151"/>
      <c r="FDP151"/>
      <c r="FDQ151"/>
      <c r="FDR151"/>
      <c r="FDS151"/>
      <c r="FDT151"/>
      <c r="FDU151"/>
      <c r="FDV151"/>
      <c r="FDW151"/>
      <c r="FDX151"/>
      <c r="FDY151"/>
      <c r="FDZ151"/>
      <c r="FEA151"/>
      <c r="FEB151"/>
      <c r="FEC151"/>
      <c r="FED151"/>
      <c r="FEE151"/>
      <c r="FEF151"/>
      <c r="FEG151"/>
      <c r="FEH151"/>
      <c r="FEI151"/>
      <c r="FEJ151"/>
      <c r="FEK151"/>
      <c r="FEL151"/>
      <c r="FEM151"/>
      <c r="FEN151"/>
      <c r="FEO151"/>
      <c r="FEP151"/>
      <c r="FEQ151"/>
      <c r="FER151"/>
      <c r="FES151"/>
      <c r="FET151"/>
      <c r="FEU151"/>
      <c r="FEV151"/>
      <c r="FEW151"/>
      <c r="FEX151"/>
      <c r="FEY151"/>
      <c r="FEZ151"/>
      <c r="FFA151"/>
      <c r="FFB151"/>
      <c r="FFC151"/>
      <c r="FFD151"/>
      <c r="FFE151"/>
      <c r="FFF151"/>
      <c r="FFG151"/>
      <c r="FFH151"/>
      <c r="FFI151"/>
      <c r="FFJ151"/>
      <c r="FFK151"/>
      <c r="FFL151"/>
      <c r="FFM151"/>
      <c r="FFN151"/>
      <c r="FFO151"/>
      <c r="FFP151"/>
      <c r="FFQ151"/>
      <c r="FFR151"/>
      <c r="FFS151"/>
      <c r="FFT151"/>
      <c r="FFU151"/>
      <c r="FFV151"/>
      <c r="FFW151"/>
      <c r="FFX151"/>
      <c r="FFY151"/>
      <c r="FFZ151"/>
      <c r="FGA151"/>
      <c r="FGB151"/>
      <c r="FGC151"/>
      <c r="FGD151"/>
      <c r="FGE151"/>
      <c r="FGF151"/>
      <c r="FGG151"/>
      <c r="FGH151"/>
      <c r="FGI151"/>
      <c r="FGJ151"/>
      <c r="FGK151"/>
      <c r="FGL151"/>
      <c r="FGM151"/>
      <c r="FGN151"/>
      <c r="FGO151"/>
      <c r="FGP151"/>
      <c r="FGQ151"/>
      <c r="FGR151"/>
      <c r="FGS151"/>
      <c r="FGT151"/>
      <c r="FGU151"/>
      <c r="FGV151"/>
      <c r="FGW151"/>
      <c r="FGX151"/>
      <c r="FGY151"/>
      <c r="FGZ151"/>
      <c r="FHA151"/>
      <c r="FHB151"/>
      <c r="FHC151"/>
      <c r="FHD151"/>
      <c r="FHE151"/>
      <c r="FHF151"/>
      <c r="FHG151"/>
      <c r="FHH151"/>
      <c r="FHI151"/>
      <c r="FHJ151"/>
      <c r="FHK151"/>
      <c r="FHL151"/>
      <c r="FHM151"/>
      <c r="FHN151"/>
      <c r="FHO151"/>
      <c r="FHP151"/>
      <c r="FHQ151"/>
      <c r="FHR151"/>
      <c r="FHS151"/>
      <c r="FHT151"/>
      <c r="FHU151"/>
      <c r="FHV151"/>
      <c r="FHW151"/>
      <c r="FHX151"/>
      <c r="FHY151"/>
      <c r="FHZ151"/>
      <c r="FIA151"/>
      <c r="FIB151"/>
      <c r="FIC151"/>
      <c r="FID151"/>
      <c r="FIE151"/>
      <c r="FIF151"/>
      <c r="FIG151"/>
      <c r="FIH151"/>
      <c r="FII151"/>
      <c r="FIJ151"/>
      <c r="FIK151"/>
      <c r="FIL151"/>
      <c r="FIM151"/>
      <c r="FIN151"/>
      <c r="FIO151"/>
      <c r="FIP151"/>
      <c r="FIQ151"/>
      <c r="FIR151"/>
      <c r="FIS151"/>
      <c r="FIT151"/>
      <c r="FIU151"/>
      <c r="FIV151"/>
      <c r="FIW151"/>
      <c r="FIX151"/>
      <c r="FIY151"/>
      <c r="FIZ151"/>
      <c r="FJA151"/>
      <c r="FJB151"/>
      <c r="FJC151"/>
      <c r="FJD151"/>
      <c r="FJE151"/>
      <c r="FJF151"/>
      <c r="FJG151"/>
      <c r="FJH151"/>
      <c r="FJI151"/>
      <c r="FJJ151"/>
      <c r="FJK151"/>
      <c r="FJL151"/>
      <c r="FJM151"/>
      <c r="FJN151"/>
      <c r="FJO151"/>
      <c r="FJP151"/>
      <c r="FJQ151"/>
      <c r="FJR151"/>
      <c r="FJS151"/>
      <c r="FJT151"/>
      <c r="FJU151"/>
      <c r="FJV151"/>
      <c r="FJW151"/>
      <c r="FJX151"/>
      <c r="FJY151"/>
      <c r="FJZ151"/>
      <c r="FKA151"/>
      <c r="FKB151"/>
      <c r="FKC151"/>
      <c r="FKD151"/>
      <c r="FKE151"/>
      <c r="FKF151"/>
      <c r="FKG151"/>
      <c r="FKH151"/>
      <c r="FKI151"/>
      <c r="FKJ151"/>
      <c r="FKK151"/>
      <c r="FKL151"/>
      <c r="FKM151"/>
      <c r="FKN151"/>
      <c r="FKO151"/>
      <c r="FKP151"/>
      <c r="FKQ151"/>
      <c r="FKR151"/>
      <c r="FKS151"/>
      <c r="FKT151"/>
      <c r="FKU151"/>
      <c r="FKV151"/>
      <c r="FKW151"/>
      <c r="FKX151"/>
      <c r="FKY151"/>
      <c r="FKZ151"/>
      <c r="FLA151"/>
      <c r="FLB151"/>
      <c r="FLC151"/>
      <c r="FLD151"/>
      <c r="FLE151"/>
      <c r="FLF151"/>
      <c r="FLG151"/>
      <c r="FLH151"/>
      <c r="FLI151"/>
      <c r="FLJ151"/>
      <c r="FLK151"/>
      <c r="FLL151"/>
      <c r="FLM151"/>
      <c r="FLN151"/>
      <c r="FLO151"/>
      <c r="FLP151"/>
      <c r="FLQ151"/>
      <c r="FLR151"/>
      <c r="FLS151"/>
      <c r="FLT151"/>
      <c r="FLU151"/>
      <c r="FLV151"/>
      <c r="FLW151"/>
      <c r="FLX151"/>
      <c r="FLY151"/>
      <c r="FLZ151"/>
      <c r="FMA151"/>
      <c r="FMB151"/>
      <c r="FMC151"/>
      <c r="FMD151"/>
      <c r="FME151"/>
      <c r="FMF151"/>
      <c r="FMG151"/>
      <c r="FMH151"/>
      <c r="FMI151"/>
      <c r="FMJ151"/>
      <c r="FMK151"/>
      <c r="FML151"/>
      <c r="FMM151"/>
      <c r="FMN151"/>
      <c r="FMO151"/>
      <c r="FMP151"/>
      <c r="FMQ151"/>
      <c r="FMR151"/>
      <c r="FMS151"/>
      <c r="FMT151"/>
      <c r="FMU151"/>
      <c r="FMV151"/>
      <c r="FMW151"/>
      <c r="FMX151"/>
      <c r="FMY151"/>
      <c r="FMZ151"/>
      <c r="FNA151"/>
      <c r="FNB151"/>
      <c r="FNC151"/>
      <c r="FND151"/>
      <c r="FNE151"/>
      <c r="FNF151"/>
      <c r="FNG151"/>
      <c r="FNH151"/>
      <c r="FNI151"/>
      <c r="FNJ151"/>
      <c r="FNK151"/>
      <c r="FNL151"/>
      <c r="FNM151"/>
      <c r="FNN151"/>
      <c r="FNO151"/>
      <c r="FNP151"/>
      <c r="FNQ151"/>
      <c r="FNR151"/>
      <c r="FNS151"/>
      <c r="FNT151"/>
      <c r="FNU151"/>
      <c r="FNV151"/>
      <c r="FNW151"/>
      <c r="FNX151"/>
      <c r="FNY151"/>
      <c r="FNZ151"/>
      <c r="FOA151"/>
      <c r="FOB151"/>
      <c r="FOC151"/>
      <c r="FOD151"/>
      <c r="FOE151"/>
      <c r="FOF151"/>
      <c r="FOG151"/>
      <c r="FOH151"/>
      <c r="FOI151"/>
      <c r="FOJ151"/>
      <c r="FOK151"/>
      <c r="FOL151"/>
      <c r="FOM151"/>
      <c r="FON151"/>
      <c r="FOO151"/>
      <c r="FOP151"/>
      <c r="FOQ151"/>
      <c r="FOR151"/>
      <c r="FOS151"/>
      <c r="FOT151"/>
      <c r="FOU151"/>
      <c r="FOV151"/>
      <c r="FOW151"/>
      <c r="FOX151"/>
      <c r="FOY151"/>
      <c r="FOZ151"/>
      <c r="FPA151"/>
      <c r="FPB151"/>
      <c r="FPC151"/>
      <c r="FPD151"/>
      <c r="FPE151"/>
      <c r="FPF151"/>
      <c r="FPG151"/>
      <c r="FPH151"/>
      <c r="FPI151"/>
      <c r="FPJ151"/>
      <c r="FPK151"/>
      <c r="FPL151"/>
      <c r="FPM151"/>
      <c r="FPN151"/>
      <c r="FPO151"/>
      <c r="FPP151"/>
      <c r="FPQ151"/>
      <c r="FPR151"/>
      <c r="FPS151"/>
      <c r="FPT151"/>
      <c r="FPU151"/>
      <c r="FPV151"/>
      <c r="FPW151"/>
      <c r="FPX151"/>
      <c r="FPY151"/>
      <c r="FPZ151"/>
      <c r="FQA151"/>
      <c r="FQB151"/>
      <c r="FQC151"/>
      <c r="FQD151"/>
      <c r="FQE151"/>
      <c r="FQF151"/>
      <c r="FQG151"/>
      <c r="FQH151"/>
      <c r="FQI151"/>
      <c r="FQJ151"/>
      <c r="FQK151"/>
      <c r="FQL151"/>
      <c r="FQM151"/>
      <c r="FQN151"/>
      <c r="FQO151"/>
      <c r="FQP151"/>
      <c r="FQQ151"/>
      <c r="FQR151"/>
      <c r="FQS151"/>
      <c r="FQT151"/>
      <c r="FQU151"/>
      <c r="FQV151"/>
      <c r="FQW151"/>
      <c r="FQX151"/>
      <c r="FQY151"/>
      <c r="FQZ151"/>
      <c r="FRA151"/>
      <c r="FRB151"/>
      <c r="FRC151"/>
      <c r="FRD151"/>
      <c r="FRE151"/>
      <c r="FRF151"/>
      <c r="FRG151"/>
      <c r="FRH151"/>
      <c r="FRI151"/>
      <c r="FRJ151"/>
      <c r="FRK151"/>
      <c r="FRL151"/>
      <c r="FRM151"/>
      <c r="FRN151"/>
      <c r="FRO151"/>
      <c r="FRP151"/>
      <c r="FRQ151"/>
      <c r="FRR151"/>
      <c r="FRS151"/>
      <c r="FRT151"/>
      <c r="FRU151"/>
      <c r="FRV151"/>
      <c r="FRW151"/>
      <c r="FRX151"/>
      <c r="FRY151"/>
      <c r="FRZ151"/>
      <c r="FSA151"/>
      <c r="FSB151"/>
      <c r="FSC151"/>
      <c r="FSD151"/>
      <c r="FSE151"/>
      <c r="FSF151"/>
      <c r="FSG151"/>
      <c r="FSH151"/>
      <c r="FSI151"/>
      <c r="FSJ151"/>
      <c r="FSK151"/>
      <c r="FSL151"/>
      <c r="FSM151"/>
      <c r="FSN151"/>
      <c r="FSO151"/>
      <c r="FSP151"/>
      <c r="FSQ151"/>
      <c r="FSR151"/>
      <c r="FSS151"/>
      <c r="FST151"/>
      <c r="FSU151"/>
      <c r="FSV151"/>
      <c r="FSW151"/>
      <c r="FSX151"/>
      <c r="FSY151"/>
      <c r="FSZ151"/>
      <c r="FTA151"/>
      <c r="FTB151"/>
      <c r="FTC151"/>
      <c r="FTD151"/>
      <c r="FTE151"/>
      <c r="FTF151"/>
      <c r="FTG151"/>
      <c r="FTH151"/>
      <c r="FTI151"/>
      <c r="FTJ151"/>
      <c r="FTK151"/>
      <c r="FTL151"/>
      <c r="FTM151"/>
      <c r="FTN151"/>
      <c r="FTO151"/>
      <c r="FTP151"/>
      <c r="FTQ151"/>
      <c r="FTR151"/>
      <c r="FTS151"/>
      <c r="FTT151"/>
      <c r="FTU151"/>
      <c r="FTV151"/>
      <c r="FTW151"/>
      <c r="FTX151"/>
      <c r="FTY151"/>
      <c r="FTZ151"/>
      <c r="FUA151"/>
      <c r="FUB151"/>
      <c r="FUC151"/>
      <c r="FUD151"/>
      <c r="FUE151"/>
      <c r="FUF151"/>
      <c r="FUG151"/>
      <c r="FUH151"/>
      <c r="FUI151"/>
      <c r="FUJ151"/>
      <c r="FUK151"/>
      <c r="FUL151"/>
      <c r="FUM151"/>
      <c r="FUN151"/>
      <c r="FUO151"/>
      <c r="FUP151"/>
      <c r="FUQ151"/>
      <c r="FUR151"/>
      <c r="FUS151"/>
      <c r="FUT151"/>
      <c r="FUU151"/>
      <c r="FUV151"/>
      <c r="FUW151"/>
      <c r="FUX151"/>
      <c r="FUY151"/>
      <c r="FUZ151"/>
      <c r="FVA151"/>
      <c r="FVB151"/>
      <c r="FVC151"/>
      <c r="FVD151"/>
      <c r="FVE151"/>
      <c r="FVF151"/>
      <c r="FVG151"/>
      <c r="FVH151"/>
      <c r="FVI151"/>
      <c r="FVJ151"/>
      <c r="FVK151"/>
      <c r="FVL151"/>
      <c r="FVM151"/>
      <c r="FVN151"/>
      <c r="FVO151"/>
      <c r="FVP151"/>
      <c r="FVQ151"/>
      <c r="FVR151"/>
      <c r="FVS151"/>
      <c r="FVT151"/>
      <c r="FVU151"/>
      <c r="FVV151"/>
      <c r="FVW151"/>
      <c r="FVX151"/>
      <c r="FVY151"/>
      <c r="FVZ151"/>
      <c r="FWA151"/>
      <c r="FWB151"/>
      <c r="FWC151"/>
      <c r="FWD151"/>
      <c r="FWE151"/>
      <c r="FWF151"/>
      <c r="FWG151"/>
      <c r="FWH151"/>
      <c r="FWI151"/>
      <c r="FWJ151"/>
      <c r="FWK151"/>
      <c r="FWL151"/>
      <c r="FWM151"/>
      <c r="FWN151"/>
      <c r="FWO151"/>
      <c r="FWP151"/>
      <c r="FWQ151"/>
      <c r="FWR151"/>
      <c r="FWS151"/>
      <c r="FWT151"/>
      <c r="FWU151"/>
      <c r="FWV151"/>
      <c r="FWW151"/>
      <c r="FWX151"/>
      <c r="FWY151"/>
      <c r="FWZ151"/>
      <c r="FXA151"/>
      <c r="FXB151"/>
      <c r="FXC151"/>
      <c r="FXD151"/>
      <c r="FXE151"/>
      <c r="FXF151"/>
      <c r="FXG151"/>
      <c r="FXH151"/>
      <c r="FXI151"/>
      <c r="FXJ151"/>
      <c r="FXK151"/>
      <c r="FXL151"/>
      <c r="FXM151"/>
      <c r="FXN151"/>
      <c r="FXO151"/>
      <c r="FXP151"/>
      <c r="FXQ151"/>
      <c r="FXR151"/>
      <c r="FXS151"/>
      <c r="FXT151"/>
      <c r="FXU151"/>
      <c r="FXV151"/>
      <c r="FXW151"/>
      <c r="FXX151"/>
      <c r="FXY151"/>
      <c r="FXZ151"/>
      <c r="FYA151"/>
      <c r="FYB151"/>
      <c r="FYC151"/>
      <c r="FYD151"/>
      <c r="FYE151"/>
      <c r="FYF151"/>
      <c r="FYG151"/>
      <c r="FYH151"/>
      <c r="FYI151"/>
      <c r="FYJ151"/>
      <c r="FYK151"/>
      <c r="FYL151"/>
      <c r="FYM151"/>
      <c r="FYN151"/>
      <c r="FYO151"/>
      <c r="FYP151"/>
      <c r="FYQ151"/>
      <c r="FYR151"/>
      <c r="FYS151"/>
      <c r="FYT151"/>
      <c r="FYU151"/>
      <c r="FYV151"/>
      <c r="FYW151"/>
      <c r="FYX151"/>
      <c r="FYY151"/>
      <c r="FYZ151"/>
      <c r="FZA151"/>
      <c r="FZB151"/>
      <c r="FZC151"/>
      <c r="FZD151"/>
      <c r="FZE151"/>
      <c r="FZF151"/>
      <c r="FZG151"/>
      <c r="FZH151"/>
      <c r="FZI151"/>
      <c r="FZJ151"/>
      <c r="FZK151"/>
      <c r="FZL151"/>
      <c r="FZM151"/>
      <c r="FZN151"/>
      <c r="FZO151"/>
      <c r="FZP151"/>
      <c r="FZQ151"/>
      <c r="FZR151"/>
      <c r="FZS151"/>
      <c r="FZT151"/>
      <c r="FZU151"/>
      <c r="FZV151"/>
      <c r="FZW151"/>
      <c r="FZX151"/>
      <c r="FZY151"/>
      <c r="FZZ151"/>
      <c r="GAA151"/>
      <c r="GAB151"/>
      <c r="GAC151"/>
      <c r="GAD151"/>
      <c r="GAE151"/>
      <c r="GAF151"/>
      <c r="GAG151"/>
      <c r="GAH151"/>
      <c r="GAI151"/>
      <c r="GAJ151"/>
      <c r="GAK151"/>
      <c r="GAL151"/>
      <c r="GAM151"/>
      <c r="GAN151"/>
      <c r="GAO151"/>
      <c r="GAP151"/>
      <c r="GAQ151"/>
      <c r="GAR151"/>
      <c r="GAS151"/>
      <c r="GAT151"/>
      <c r="GAU151"/>
      <c r="GAV151"/>
      <c r="GAW151"/>
      <c r="GAX151"/>
      <c r="GAY151"/>
      <c r="GAZ151"/>
      <c r="GBA151"/>
      <c r="GBB151"/>
      <c r="GBC151"/>
      <c r="GBD151"/>
      <c r="GBE151"/>
      <c r="GBF151"/>
      <c r="GBG151"/>
      <c r="GBH151"/>
      <c r="GBI151"/>
      <c r="GBJ151"/>
      <c r="GBK151"/>
      <c r="GBL151"/>
      <c r="GBM151"/>
      <c r="GBN151"/>
      <c r="GBO151"/>
      <c r="GBP151"/>
      <c r="GBQ151"/>
      <c r="GBR151"/>
      <c r="GBS151"/>
      <c r="GBT151"/>
      <c r="GBU151"/>
      <c r="GBV151"/>
      <c r="GBW151"/>
      <c r="GBX151"/>
      <c r="GBY151"/>
      <c r="GBZ151"/>
      <c r="GCA151"/>
      <c r="GCB151"/>
      <c r="GCC151"/>
      <c r="GCD151"/>
      <c r="GCE151"/>
      <c r="GCF151"/>
      <c r="GCG151"/>
      <c r="GCH151"/>
      <c r="GCI151"/>
      <c r="GCJ151"/>
      <c r="GCK151"/>
      <c r="GCL151"/>
      <c r="GCM151"/>
      <c r="GCN151"/>
      <c r="GCO151"/>
      <c r="GCP151"/>
      <c r="GCQ151"/>
      <c r="GCR151"/>
      <c r="GCS151"/>
      <c r="GCT151"/>
      <c r="GCU151"/>
      <c r="GCV151"/>
      <c r="GCW151"/>
      <c r="GCX151"/>
      <c r="GCY151"/>
      <c r="GCZ151"/>
      <c r="GDA151"/>
      <c r="GDB151"/>
      <c r="GDC151"/>
      <c r="GDD151"/>
      <c r="GDE151"/>
      <c r="GDF151"/>
      <c r="GDG151"/>
      <c r="GDH151"/>
      <c r="GDI151"/>
      <c r="GDJ151"/>
      <c r="GDK151"/>
      <c r="GDL151"/>
      <c r="GDM151"/>
      <c r="GDN151"/>
      <c r="GDO151"/>
      <c r="GDP151"/>
      <c r="GDQ151"/>
      <c r="GDR151"/>
      <c r="GDS151"/>
      <c r="GDT151"/>
      <c r="GDU151"/>
      <c r="GDV151"/>
      <c r="GDW151"/>
      <c r="GDX151"/>
      <c r="GDY151"/>
      <c r="GDZ151"/>
      <c r="GEA151"/>
      <c r="GEB151"/>
      <c r="GEC151"/>
      <c r="GED151"/>
      <c r="GEE151"/>
      <c r="GEF151"/>
      <c r="GEG151"/>
      <c r="GEH151"/>
      <c r="GEI151"/>
      <c r="GEJ151"/>
      <c r="GEK151"/>
      <c r="GEL151"/>
      <c r="GEM151"/>
      <c r="GEN151"/>
      <c r="GEO151"/>
      <c r="GEP151"/>
      <c r="GEQ151"/>
      <c r="GER151"/>
      <c r="GES151"/>
      <c r="GET151"/>
      <c r="GEU151"/>
      <c r="GEV151"/>
      <c r="GEW151"/>
      <c r="GEX151"/>
      <c r="GEY151"/>
      <c r="GEZ151"/>
      <c r="GFA151"/>
      <c r="GFB151"/>
      <c r="GFC151"/>
      <c r="GFD151"/>
      <c r="GFE151"/>
      <c r="GFF151"/>
      <c r="GFG151"/>
      <c r="GFH151"/>
      <c r="GFI151"/>
      <c r="GFJ151"/>
      <c r="GFK151"/>
      <c r="GFL151"/>
      <c r="GFM151"/>
      <c r="GFN151"/>
      <c r="GFO151"/>
      <c r="GFP151"/>
      <c r="GFQ151"/>
      <c r="GFR151"/>
      <c r="GFS151"/>
      <c r="GFT151"/>
      <c r="GFU151"/>
      <c r="GFV151"/>
      <c r="GFW151"/>
      <c r="GFX151"/>
      <c r="GFY151"/>
      <c r="GFZ151"/>
      <c r="GGA151"/>
      <c r="GGB151"/>
      <c r="GGC151"/>
      <c r="GGD151"/>
      <c r="GGE151"/>
      <c r="GGF151"/>
      <c r="GGG151"/>
      <c r="GGH151"/>
      <c r="GGI151"/>
      <c r="GGJ151"/>
      <c r="GGK151"/>
      <c r="GGL151"/>
      <c r="GGM151"/>
      <c r="GGN151"/>
      <c r="GGO151"/>
      <c r="GGP151"/>
      <c r="GGQ151"/>
      <c r="GGR151"/>
      <c r="GGS151"/>
      <c r="GGT151"/>
      <c r="GGU151"/>
      <c r="GGV151"/>
      <c r="GGW151"/>
      <c r="GGX151"/>
      <c r="GGY151"/>
      <c r="GGZ151"/>
      <c r="GHA151"/>
      <c r="GHB151"/>
      <c r="GHC151"/>
      <c r="GHD151"/>
      <c r="GHE151"/>
      <c r="GHF151"/>
      <c r="GHG151"/>
      <c r="GHH151"/>
      <c r="GHI151"/>
      <c r="GHJ151"/>
      <c r="GHK151"/>
      <c r="GHL151"/>
      <c r="GHM151"/>
      <c r="GHN151"/>
      <c r="GHO151"/>
      <c r="GHP151"/>
      <c r="GHQ151"/>
      <c r="GHR151"/>
      <c r="GHS151"/>
      <c r="GHT151"/>
      <c r="GHU151"/>
      <c r="GHV151"/>
      <c r="GHW151"/>
      <c r="GHX151"/>
      <c r="GHY151"/>
      <c r="GHZ151"/>
      <c r="GIA151"/>
      <c r="GIB151"/>
      <c r="GIC151"/>
      <c r="GID151"/>
      <c r="GIE151"/>
      <c r="GIF151"/>
      <c r="GIG151"/>
      <c r="GIH151"/>
      <c r="GII151"/>
      <c r="GIJ151"/>
      <c r="GIK151"/>
      <c r="GIL151"/>
      <c r="GIM151"/>
      <c r="GIN151"/>
      <c r="GIO151"/>
      <c r="GIP151"/>
      <c r="GIQ151"/>
      <c r="GIR151"/>
      <c r="GIS151"/>
      <c r="GIT151"/>
      <c r="GIU151"/>
      <c r="GIV151"/>
      <c r="GIW151"/>
      <c r="GIX151"/>
      <c r="GIY151"/>
      <c r="GIZ151"/>
      <c r="GJA151"/>
      <c r="GJB151"/>
      <c r="GJC151"/>
      <c r="GJD151"/>
      <c r="GJE151"/>
      <c r="GJF151"/>
      <c r="GJG151"/>
      <c r="GJH151"/>
      <c r="GJI151"/>
      <c r="GJJ151"/>
      <c r="GJK151"/>
      <c r="GJL151"/>
      <c r="GJM151"/>
      <c r="GJN151"/>
      <c r="GJO151"/>
      <c r="GJP151"/>
      <c r="GJQ151"/>
      <c r="GJR151"/>
      <c r="GJS151"/>
      <c r="GJT151"/>
      <c r="GJU151"/>
      <c r="GJV151"/>
      <c r="GJW151"/>
      <c r="GJX151"/>
      <c r="GJY151"/>
      <c r="GJZ151"/>
      <c r="GKA151"/>
      <c r="GKB151"/>
      <c r="GKC151"/>
      <c r="GKD151"/>
      <c r="GKE151"/>
      <c r="GKF151"/>
      <c r="GKG151"/>
      <c r="GKH151"/>
      <c r="GKI151"/>
      <c r="GKJ151"/>
      <c r="GKK151"/>
      <c r="GKL151"/>
      <c r="GKM151"/>
      <c r="GKN151"/>
      <c r="GKO151"/>
      <c r="GKP151"/>
      <c r="GKQ151"/>
      <c r="GKR151"/>
      <c r="GKS151"/>
      <c r="GKT151"/>
      <c r="GKU151"/>
      <c r="GKV151"/>
      <c r="GKW151"/>
      <c r="GKX151"/>
      <c r="GKY151"/>
      <c r="GKZ151"/>
      <c r="GLA151"/>
      <c r="GLB151"/>
      <c r="GLC151"/>
      <c r="GLD151"/>
      <c r="GLE151"/>
      <c r="GLF151"/>
      <c r="GLG151"/>
      <c r="GLH151"/>
      <c r="GLI151"/>
      <c r="GLJ151"/>
      <c r="GLK151"/>
      <c r="GLL151"/>
      <c r="GLM151"/>
      <c r="GLN151"/>
      <c r="GLO151"/>
      <c r="GLP151"/>
      <c r="GLQ151"/>
      <c r="GLR151"/>
      <c r="GLS151"/>
      <c r="GLT151"/>
      <c r="GLU151"/>
      <c r="GLV151"/>
      <c r="GLW151"/>
      <c r="GLX151"/>
      <c r="GLY151"/>
      <c r="GLZ151"/>
      <c r="GMA151"/>
      <c r="GMB151"/>
      <c r="GMC151"/>
      <c r="GMD151"/>
      <c r="GME151"/>
      <c r="GMF151"/>
      <c r="GMG151"/>
      <c r="GMH151"/>
      <c r="GMI151"/>
      <c r="GMJ151"/>
      <c r="GMK151"/>
      <c r="GML151"/>
      <c r="GMM151"/>
      <c r="GMN151"/>
      <c r="GMO151"/>
      <c r="GMP151"/>
      <c r="GMQ151"/>
      <c r="GMR151"/>
      <c r="GMS151"/>
      <c r="GMT151"/>
      <c r="GMU151"/>
      <c r="GMV151"/>
      <c r="GMW151"/>
      <c r="GMX151"/>
      <c r="GMY151"/>
      <c r="GMZ151"/>
      <c r="GNA151"/>
      <c r="GNB151"/>
      <c r="GNC151"/>
      <c r="GND151"/>
      <c r="GNE151"/>
      <c r="GNF151"/>
      <c r="GNG151"/>
      <c r="GNH151"/>
      <c r="GNI151"/>
      <c r="GNJ151"/>
      <c r="GNK151"/>
      <c r="GNL151"/>
      <c r="GNM151"/>
      <c r="GNN151"/>
      <c r="GNO151"/>
      <c r="GNP151"/>
      <c r="GNQ151"/>
      <c r="GNR151"/>
      <c r="GNS151"/>
      <c r="GNT151"/>
      <c r="GNU151"/>
      <c r="GNV151"/>
      <c r="GNW151"/>
      <c r="GNX151"/>
      <c r="GNY151"/>
      <c r="GNZ151"/>
      <c r="GOA151"/>
      <c r="GOB151"/>
      <c r="GOC151"/>
      <c r="GOD151"/>
      <c r="GOE151"/>
      <c r="GOF151"/>
      <c r="GOG151"/>
      <c r="GOH151"/>
      <c r="GOI151"/>
      <c r="GOJ151"/>
      <c r="GOK151"/>
      <c r="GOL151"/>
      <c r="GOM151"/>
      <c r="GON151"/>
      <c r="GOO151"/>
      <c r="GOP151"/>
      <c r="GOQ151"/>
      <c r="GOR151"/>
      <c r="GOS151"/>
      <c r="GOT151"/>
      <c r="GOU151"/>
      <c r="GOV151"/>
      <c r="GOW151"/>
      <c r="GOX151"/>
      <c r="GOY151"/>
      <c r="GOZ151"/>
      <c r="GPA151"/>
      <c r="GPB151"/>
      <c r="GPC151"/>
      <c r="GPD151"/>
      <c r="GPE151"/>
      <c r="GPF151"/>
      <c r="GPG151"/>
      <c r="GPH151"/>
      <c r="GPI151"/>
      <c r="GPJ151"/>
      <c r="GPK151"/>
      <c r="GPL151"/>
      <c r="GPM151"/>
      <c r="GPN151"/>
      <c r="GPO151"/>
      <c r="GPP151"/>
      <c r="GPQ151"/>
      <c r="GPR151"/>
      <c r="GPS151"/>
      <c r="GPT151"/>
      <c r="GPU151"/>
      <c r="GPV151"/>
      <c r="GPW151"/>
      <c r="GPX151"/>
      <c r="GPY151"/>
      <c r="GPZ151"/>
      <c r="GQA151"/>
      <c r="GQB151"/>
      <c r="GQC151"/>
      <c r="GQD151"/>
      <c r="GQE151"/>
      <c r="GQF151"/>
      <c r="GQG151"/>
      <c r="GQH151"/>
      <c r="GQI151"/>
      <c r="GQJ151"/>
      <c r="GQK151"/>
      <c r="GQL151"/>
      <c r="GQM151"/>
      <c r="GQN151"/>
      <c r="GQO151"/>
      <c r="GQP151"/>
      <c r="GQQ151"/>
      <c r="GQR151"/>
      <c r="GQS151"/>
      <c r="GQT151"/>
      <c r="GQU151"/>
      <c r="GQV151"/>
      <c r="GQW151"/>
      <c r="GQX151"/>
      <c r="GQY151"/>
      <c r="GQZ151"/>
      <c r="GRA151"/>
      <c r="GRB151"/>
      <c r="GRC151"/>
      <c r="GRD151"/>
      <c r="GRE151"/>
      <c r="GRF151"/>
      <c r="GRG151"/>
      <c r="GRH151"/>
      <c r="GRI151"/>
      <c r="GRJ151"/>
      <c r="GRK151"/>
      <c r="GRL151"/>
      <c r="GRM151"/>
      <c r="GRN151"/>
      <c r="GRO151"/>
      <c r="GRP151"/>
      <c r="GRQ151"/>
      <c r="GRR151"/>
      <c r="GRS151"/>
      <c r="GRT151"/>
      <c r="GRU151"/>
      <c r="GRV151"/>
      <c r="GRW151"/>
      <c r="GRX151"/>
      <c r="GRY151"/>
      <c r="GRZ151"/>
      <c r="GSA151"/>
      <c r="GSB151"/>
      <c r="GSC151"/>
      <c r="GSD151"/>
      <c r="GSE151"/>
      <c r="GSF151"/>
      <c r="GSG151"/>
      <c r="GSH151"/>
      <c r="GSI151"/>
      <c r="GSJ151"/>
      <c r="GSK151"/>
      <c r="GSL151"/>
      <c r="GSM151"/>
      <c r="GSN151"/>
      <c r="GSO151"/>
      <c r="GSP151"/>
      <c r="GSQ151"/>
      <c r="GSR151"/>
      <c r="GSS151"/>
      <c r="GST151"/>
      <c r="GSU151"/>
      <c r="GSV151"/>
      <c r="GSW151"/>
      <c r="GSX151"/>
      <c r="GSY151"/>
      <c r="GSZ151"/>
      <c r="GTA151"/>
      <c r="GTB151"/>
      <c r="GTC151"/>
      <c r="GTD151"/>
      <c r="GTE151"/>
      <c r="GTF151"/>
      <c r="GTG151"/>
      <c r="GTH151"/>
      <c r="GTI151"/>
      <c r="GTJ151"/>
      <c r="GTK151"/>
      <c r="GTL151"/>
      <c r="GTM151"/>
      <c r="GTN151"/>
      <c r="GTO151"/>
      <c r="GTP151"/>
      <c r="GTQ151"/>
      <c r="GTR151"/>
      <c r="GTS151"/>
      <c r="GTT151"/>
      <c r="GTU151"/>
      <c r="GTV151"/>
      <c r="GTW151"/>
      <c r="GTX151"/>
      <c r="GTY151"/>
      <c r="GTZ151"/>
      <c r="GUA151"/>
      <c r="GUB151"/>
      <c r="GUC151"/>
      <c r="GUD151"/>
      <c r="GUE151"/>
      <c r="GUF151"/>
      <c r="GUG151"/>
      <c r="GUH151"/>
      <c r="GUI151"/>
      <c r="GUJ151"/>
      <c r="GUK151"/>
      <c r="GUL151"/>
      <c r="GUM151"/>
      <c r="GUN151"/>
      <c r="GUO151"/>
      <c r="GUP151"/>
      <c r="GUQ151"/>
      <c r="GUR151"/>
      <c r="GUS151"/>
      <c r="GUT151"/>
      <c r="GUU151"/>
      <c r="GUV151"/>
      <c r="GUW151"/>
      <c r="GUX151"/>
      <c r="GUY151"/>
      <c r="GUZ151"/>
      <c r="GVA151"/>
      <c r="GVB151"/>
      <c r="GVC151"/>
      <c r="GVD151"/>
      <c r="GVE151"/>
      <c r="GVF151"/>
      <c r="GVG151"/>
      <c r="GVH151"/>
      <c r="GVI151"/>
      <c r="GVJ151"/>
      <c r="GVK151"/>
      <c r="GVL151"/>
      <c r="GVM151"/>
      <c r="GVN151"/>
      <c r="GVO151"/>
      <c r="GVP151"/>
      <c r="GVQ151"/>
      <c r="GVR151"/>
      <c r="GVS151"/>
      <c r="GVT151"/>
      <c r="GVU151"/>
      <c r="GVV151"/>
      <c r="GVW151"/>
      <c r="GVX151"/>
      <c r="GVY151"/>
      <c r="GVZ151"/>
      <c r="GWA151"/>
      <c r="GWB151"/>
      <c r="GWC151"/>
      <c r="GWD151"/>
      <c r="GWE151"/>
      <c r="GWF151"/>
      <c r="GWG151"/>
      <c r="GWH151"/>
      <c r="GWI151"/>
      <c r="GWJ151"/>
      <c r="GWK151"/>
      <c r="GWL151"/>
      <c r="GWM151"/>
      <c r="GWN151"/>
      <c r="GWO151"/>
      <c r="GWP151"/>
      <c r="GWQ151"/>
      <c r="GWR151"/>
      <c r="GWS151"/>
      <c r="GWT151"/>
      <c r="GWU151"/>
      <c r="GWV151"/>
      <c r="GWW151"/>
      <c r="GWX151"/>
      <c r="GWY151"/>
      <c r="GWZ151"/>
      <c r="GXA151"/>
      <c r="GXB151"/>
      <c r="GXC151"/>
      <c r="GXD151"/>
      <c r="GXE151"/>
      <c r="GXF151"/>
      <c r="GXG151"/>
      <c r="GXH151"/>
      <c r="GXI151"/>
      <c r="GXJ151"/>
      <c r="GXK151"/>
      <c r="GXL151"/>
      <c r="GXM151"/>
      <c r="GXN151"/>
      <c r="GXO151"/>
      <c r="GXP151"/>
      <c r="GXQ151"/>
      <c r="GXR151"/>
      <c r="GXS151"/>
      <c r="GXT151"/>
      <c r="GXU151"/>
      <c r="GXV151"/>
      <c r="GXW151"/>
      <c r="GXX151"/>
      <c r="GXY151"/>
      <c r="GXZ151"/>
      <c r="GYA151"/>
      <c r="GYB151"/>
      <c r="GYC151"/>
      <c r="GYD151"/>
      <c r="GYE151"/>
      <c r="GYF151"/>
      <c r="GYG151"/>
      <c r="GYH151"/>
      <c r="GYI151"/>
      <c r="GYJ151"/>
      <c r="GYK151"/>
      <c r="GYL151"/>
      <c r="GYM151"/>
      <c r="GYN151"/>
      <c r="GYO151"/>
      <c r="GYP151"/>
      <c r="GYQ151"/>
      <c r="GYR151"/>
      <c r="GYS151"/>
      <c r="GYT151"/>
      <c r="GYU151"/>
      <c r="GYV151"/>
      <c r="GYW151"/>
      <c r="GYX151"/>
      <c r="GYY151"/>
      <c r="GYZ151"/>
      <c r="GZA151"/>
      <c r="GZB151"/>
      <c r="GZC151"/>
      <c r="GZD151"/>
      <c r="GZE151"/>
      <c r="GZF151"/>
      <c r="GZG151"/>
      <c r="GZH151"/>
      <c r="GZI151"/>
      <c r="GZJ151"/>
      <c r="GZK151"/>
      <c r="GZL151"/>
      <c r="GZM151"/>
      <c r="GZN151"/>
      <c r="GZO151"/>
      <c r="GZP151"/>
      <c r="GZQ151"/>
      <c r="GZR151"/>
      <c r="GZS151"/>
      <c r="GZT151"/>
      <c r="GZU151"/>
      <c r="GZV151"/>
      <c r="GZW151"/>
      <c r="GZX151"/>
      <c r="GZY151"/>
      <c r="GZZ151"/>
      <c r="HAA151"/>
      <c r="HAB151"/>
      <c r="HAC151"/>
      <c r="HAD151"/>
      <c r="HAE151"/>
      <c r="HAF151"/>
      <c r="HAG151"/>
      <c r="HAH151"/>
      <c r="HAI151"/>
      <c r="HAJ151"/>
      <c r="HAK151"/>
      <c r="HAL151"/>
      <c r="HAM151"/>
      <c r="HAN151"/>
      <c r="HAO151"/>
      <c r="HAP151"/>
      <c r="HAQ151"/>
      <c r="HAR151"/>
      <c r="HAS151"/>
      <c r="HAT151"/>
      <c r="HAU151"/>
      <c r="HAV151"/>
      <c r="HAW151"/>
      <c r="HAX151"/>
      <c r="HAY151"/>
      <c r="HAZ151"/>
      <c r="HBA151"/>
      <c r="HBB151"/>
      <c r="HBC151"/>
      <c r="HBD151"/>
      <c r="HBE151"/>
      <c r="HBF151"/>
      <c r="HBG151"/>
      <c r="HBH151"/>
      <c r="HBI151"/>
      <c r="HBJ151"/>
      <c r="HBK151"/>
      <c r="HBL151"/>
      <c r="HBM151"/>
      <c r="HBN151"/>
      <c r="HBO151"/>
      <c r="HBP151"/>
      <c r="HBQ151"/>
      <c r="HBR151"/>
      <c r="HBS151"/>
      <c r="HBT151"/>
      <c r="HBU151"/>
      <c r="HBV151"/>
      <c r="HBW151"/>
      <c r="HBX151"/>
      <c r="HBY151"/>
      <c r="HBZ151"/>
      <c r="HCA151"/>
      <c r="HCB151"/>
      <c r="HCC151"/>
      <c r="HCD151"/>
      <c r="HCE151"/>
      <c r="HCF151"/>
      <c r="HCG151"/>
      <c r="HCH151"/>
      <c r="HCI151"/>
      <c r="HCJ151"/>
      <c r="HCK151"/>
      <c r="HCL151"/>
      <c r="HCM151"/>
      <c r="HCN151"/>
      <c r="HCO151"/>
      <c r="HCP151"/>
      <c r="HCQ151"/>
      <c r="HCR151"/>
      <c r="HCS151"/>
      <c r="HCT151"/>
      <c r="HCU151"/>
      <c r="HCV151"/>
      <c r="HCW151"/>
      <c r="HCX151"/>
      <c r="HCY151"/>
      <c r="HCZ151"/>
      <c r="HDA151"/>
      <c r="HDB151"/>
      <c r="HDC151"/>
      <c r="HDD151"/>
      <c r="HDE151"/>
      <c r="HDF151"/>
      <c r="HDG151"/>
      <c r="HDH151"/>
      <c r="HDI151"/>
      <c r="HDJ151"/>
      <c r="HDK151"/>
      <c r="HDL151"/>
      <c r="HDM151"/>
      <c r="HDN151"/>
      <c r="HDO151"/>
      <c r="HDP151"/>
      <c r="HDQ151"/>
      <c r="HDR151"/>
      <c r="HDS151"/>
      <c r="HDT151"/>
      <c r="HDU151"/>
      <c r="HDV151"/>
      <c r="HDW151"/>
      <c r="HDX151"/>
      <c r="HDY151"/>
      <c r="HDZ151"/>
      <c r="HEA151"/>
      <c r="HEB151"/>
      <c r="HEC151"/>
      <c r="HED151"/>
      <c r="HEE151"/>
      <c r="HEF151"/>
      <c r="HEG151"/>
      <c r="HEH151"/>
      <c r="HEI151"/>
      <c r="HEJ151"/>
      <c r="HEK151"/>
      <c r="HEL151"/>
      <c r="HEM151"/>
      <c r="HEN151"/>
      <c r="HEO151"/>
      <c r="HEP151"/>
      <c r="HEQ151"/>
      <c r="HER151"/>
      <c r="HES151"/>
      <c r="HET151"/>
      <c r="HEU151"/>
      <c r="HEV151"/>
      <c r="HEW151"/>
      <c r="HEX151"/>
      <c r="HEY151"/>
      <c r="HEZ151"/>
      <c r="HFA151"/>
      <c r="HFB151"/>
      <c r="HFC151"/>
      <c r="HFD151"/>
      <c r="HFE151"/>
      <c r="HFF151"/>
      <c r="HFG151"/>
      <c r="HFH151"/>
      <c r="HFI151"/>
      <c r="HFJ151"/>
      <c r="HFK151"/>
      <c r="HFL151"/>
      <c r="HFM151"/>
      <c r="HFN151"/>
      <c r="HFO151"/>
      <c r="HFP151"/>
      <c r="HFQ151"/>
      <c r="HFR151"/>
      <c r="HFS151"/>
      <c r="HFT151"/>
      <c r="HFU151"/>
      <c r="HFV151"/>
      <c r="HFW151"/>
      <c r="HFX151"/>
      <c r="HFY151"/>
      <c r="HFZ151"/>
      <c r="HGA151"/>
      <c r="HGB151"/>
      <c r="HGC151"/>
      <c r="HGD151"/>
      <c r="HGE151"/>
      <c r="HGF151"/>
      <c r="HGG151"/>
      <c r="HGH151"/>
      <c r="HGI151"/>
      <c r="HGJ151"/>
      <c r="HGK151"/>
      <c r="HGL151"/>
      <c r="HGM151"/>
      <c r="HGN151"/>
      <c r="HGO151"/>
      <c r="HGP151"/>
      <c r="HGQ151"/>
      <c r="HGR151"/>
      <c r="HGS151"/>
      <c r="HGT151"/>
      <c r="HGU151"/>
      <c r="HGV151"/>
      <c r="HGW151"/>
      <c r="HGX151"/>
      <c r="HGY151"/>
      <c r="HGZ151"/>
      <c r="HHA151"/>
      <c r="HHB151"/>
      <c r="HHC151"/>
      <c r="HHD151"/>
      <c r="HHE151"/>
      <c r="HHF151"/>
      <c r="HHG151"/>
      <c r="HHH151"/>
      <c r="HHI151"/>
      <c r="HHJ151"/>
      <c r="HHK151"/>
      <c r="HHL151"/>
      <c r="HHM151"/>
      <c r="HHN151"/>
      <c r="HHO151"/>
      <c r="HHP151"/>
      <c r="HHQ151"/>
      <c r="HHR151"/>
      <c r="HHS151"/>
      <c r="HHT151"/>
      <c r="HHU151"/>
      <c r="HHV151"/>
      <c r="HHW151"/>
      <c r="HHX151"/>
      <c r="HHY151"/>
      <c r="HHZ151"/>
      <c r="HIA151"/>
      <c r="HIB151"/>
      <c r="HIC151"/>
      <c r="HID151"/>
      <c r="HIE151"/>
      <c r="HIF151"/>
      <c r="HIG151"/>
      <c r="HIH151"/>
      <c r="HII151"/>
      <c r="HIJ151"/>
      <c r="HIK151"/>
      <c r="HIL151"/>
      <c r="HIM151"/>
      <c r="HIN151"/>
      <c r="HIO151"/>
      <c r="HIP151"/>
      <c r="HIQ151"/>
      <c r="HIR151"/>
      <c r="HIS151"/>
      <c r="HIT151"/>
      <c r="HIU151"/>
      <c r="HIV151"/>
      <c r="HIW151"/>
      <c r="HIX151"/>
      <c r="HIY151"/>
      <c r="HIZ151"/>
      <c r="HJA151"/>
      <c r="HJB151"/>
      <c r="HJC151"/>
      <c r="HJD151"/>
      <c r="HJE151"/>
      <c r="HJF151"/>
      <c r="HJG151"/>
      <c r="HJH151"/>
      <c r="HJI151"/>
      <c r="HJJ151"/>
      <c r="HJK151"/>
      <c r="HJL151"/>
      <c r="HJM151"/>
      <c r="HJN151"/>
      <c r="HJO151"/>
      <c r="HJP151"/>
      <c r="HJQ151"/>
      <c r="HJR151"/>
      <c r="HJS151"/>
      <c r="HJT151"/>
      <c r="HJU151"/>
      <c r="HJV151"/>
      <c r="HJW151"/>
      <c r="HJX151"/>
      <c r="HJY151"/>
      <c r="HJZ151"/>
      <c r="HKA151"/>
      <c r="HKB151"/>
      <c r="HKC151"/>
      <c r="HKD151"/>
      <c r="HKE151"/>
      <c r="HKF151"/>
      <c r="HKG151"/>
      <c r="HKH151"/>
      <c r="HKI151"/>
      <c r="HKJ151"/>
      <c r="HKK151"/>
      <c r="HKL151"/>
      <c r="HKM151"/>
      <c r="HKN151"/>
      <c r="HKO151"/>
      <c r="HKP151"/>
      <c r="HKQ151"/>
      <c r="HKR151"/>
      <c r="HKS151"/>
      <c r="HKT151"/>
      <c r="HKU151"/>
      <c r="HKV151"/>
      <c r="HKW151"/>
      <c r="HKX151"/>
      <c r="HKY151"/>
      <c r="HKZ151"/>
      <c r="HLA151"/>
      <c r="HLB151"/>
      <c r="HLC151"/>
      <c r="HLD151"/>
      <c r="HLE151"/>
      <c r="HLF151"/>
      <c r="HLG151"/>
      <c r="HLH151"/>
      <c r="HLI151"/>
      <c r="HLJ151"/>
      <c r="HLK151"/>
      <c r="HLL151"/>
      <c r="HLM151"/>
      <c r="HLN151"/>
      <c r="HLO151"/>
      <c r="HLP151"/>
      <c r="HLQ151"/>
      <c r="HLR151"/>
      <c r="HLS151"/>
      <c r="HLT151"/>
      <c r="HLU151"/>
      <c r="HLV151"/>
      <c r="HLW151"/>
      <c r="HLX151"/>
      <c r="HLY151"/>
      <c r="HLZ151"/>
      <c r="HMA151"/>
      <c r="HMB151"/>
      <c r="HMC151"/>
      <c r="HMD151"/>
      <c r="HME151"/>
      <c r="HMF151"/>
      <c r="HMG151"/>
      <c r="HMH151"/>
      <c r="HMI151"/>
      <c r="HMJ151"/>
      <c r="HMK151"/>
      <c r="HML151"/>
      <c r="HMM151"/>
      <c r="HMN151"/>
      <c r="HMO151"/>
      <c r="HMP151"/>
      <c r="HMQ151"/>
      <c r="HMR151"/>
      <c r="HMS151"/>
      <c r="HMT151"/>
      <c r="HMU151"/>
      <c r="HMV151"/>
      <c r="HMW151"/>
      <c r="HMX151"/>
      <c r="HMY151"/>
      <c r="HMZ151"/>
      <c r="HNA151"/>
      <c r="HNB151"/>
      <c r="HNC151"/>
      <c r="HND151"/>
      <c r="HNE151"/>
      <c r="HNF151"/>
      <c r="HNG151"/>
      <c r="HNH151"/>
      <c r="HNI151"/>
      <c r="HNJ151"/>
      <c r="HNK151"/>
      <c r="HNL151"/>
      <c r="HNM151"/>
      <c r="HNN151"/>
      <c r="HNO151"/>
      <c r="HNP151"/>
      <c r="HNQ151"/>
      <c r="HNR151"/>
      <c r="HNS151"/>
      <c r="HNT151"/>
      <c r="HNU151"/>
      <c r="HNV151"/>
      <c r="HNW151"/>
      <c r="HNX151"/>
      <c r="HNY151"/>
      <c r="HNZ151"/>
      <c r="HOA151"/>
      <c r="HOB151"/>
      <c r="HOC151"/>
      <c r="HOD151"/>
      <c r="HOE151"/>
      <c r="HOF151"/>
      <c r="HOG151"/>
      <c r="HOH151"/>
      <c r="HOI151"/>
      <c r="HOJ151"/>
      <c r="HOK151"/>
      <c r="HOL151"/>
      <c r="HOM151"/>
      <c r="HON151"/>
      <c r="HOO151"/>
      <c r="HOP151"/>
      <c r="HOQ151"/>
      <c r="HOR151"/>
      <c r="HOS151"/>
      <c r="HOT151"/>
      <c r="HOU151"/>
      <c r="HOV151"/>
      <c r="HOW151"/>
      <c r="HOX151"/>
      <c r="HOY151"/>
      <c r="HOZ151"/>
      <c r="HPA151"/>
      <c r="HPB151"/>
      <c r="HPC151"/>
      <c r="HPD151"/>
      <c r="HPE151"/>
      <c r="HPF151"/>
      <c r="HPG151"/>
      <c r="HPH151"/>
      <c r="HPI151"/>
      <c r="HPJ151"/>
      <c r="HPK151"/>
      <c r="HPL151"/>
      <c r="HPM151"/>
      <c r="HPN151"/>
      <c r="HPO151"/>
      <c r="HPP151"/>
      <c r="HPQ151"/>
      <c r="HPR151"/>
      <c r="HPS151"/>
      <c r="HPT151"/>
      <c r="HPU151"/>
      <c r="HPV151"/>
      <c r="HPW151"/>
      <c r="HPX151"/>
      <c r="HPY151"/>
      <c r="HPZ151"/>
      <c r="HQA151"/>
      <c r="HQB151"/>
      <c r="HQC151"/>
      <c r="HQD151"/>
      <c r="HQE151"/>
      <c r="HQF151"/>
      <c r="HQG151"/>
      <c r="HQH151"/>
      <c r="HQI151"/>
      <c r="HQJ151"/>
      <c r="HQK151"/>
      <c r="HQL151"/>
      <c r="HQM151"/>
      <c r="HQN151"/>
      <c r="HQO151"/>
      <c r="HQP151"/>
      <c r="HQQ151"/>
      <c r="HQR151"/>
      <c r="HQS151"/>
      <c r="HQT151"/>
      <c r="HQU151"/>
      <c r="HQV151"/>
      <c r="HQW151"/>
      <c r="HQX151"/>
      <c r="HQY151"/>
      <c r="HQZ151"/>
      <c r="HRA151"/>
      <c r="HRB151"/>
      <c r="HRC151"/>
      <c r="HRD151"/>
      <c r="HRE151"/>
      <c r="HRF151"/>
      <c r="HRG151"/>
      <c r="HRH151"/>
      <c r="HRI151"/>
      <c r="HRJ151"/>
      <c r="HRK151"/>
      <c r="HRL151"/>
      <c r="HRM151"/>
      <c r="HRN151"/>
      <c r="HRO151"/>
      <c r="HRP151"/>
      <c r="HRQ151"/>
      <c r="HRR151"/>
      <c r="HRS151"/>
      <c r="HRT151"/>
      <c r="HRU151"/>
      <c r="HRV151"/>
      <c r="HRW151"/>
      <c r="HRX151"/>
      <c r="HRY151"/>
      <c r="HRZ151"/>
      <c r="HSA151"/>
      <c r="HSB151"/>
      <c r="HSC151"/>
      <c r="HSD151"/>
      <c r="HSE151"/>
      <c r="HSF151"/>
      <c r="HSG151"/>
      <c r="HSH151"/>
      <c r="HSI151"/>
      <c r="HSJ151"/>
      <c r="HSK151"/>
      <c r="HSL151"/>
      <c r="HSM151"/>
      <c r="HSN151"/>
      <c r="HSO151"/>
      <c r="HSP151"/>
      <c r="HSQ151"/>
      <c r="HSR151"/>
      <c r="HSS151"/>
      <c r="HST151"/>
      <c r="HSU151"/>
      <c r="HSV151"/>
      <c r="HSW151"/>
      <c r="HSX151"/>
      <c r="HSY151"/>
      <c r="HSZ151"/>
      <c r="HTA151"/>
      <c r="HTB151"/>
      <c r="HTC151"/>
      <c r="HTD151"/>
      <c r="HTE151"/>
      <c r="HTF151"/>
      <c r="HTG151"/>
      <c r="HTH151"/>
      <c r="HTI151"/>
      <c r="HTJ151"/>
      <c r="HTK151"/>
      <c r="HTL151"/>
      <c r="HTM151"/>
      <c r="HTN151"/>
      <c r="HTO151"/>
      <c r="HTP151"/>
      <c r="HTQ151"/>
      <c r="HTR151"/>
      <c r="HTS151"/>
      <c r="HTT151"/>
      <c r="HTU151"/>
      <c r="HTV151"/>
      <c r="HTW151"/>
      <c r="HTX151"/>
      <c r="HTY151"/>
      <c r="HTZ151"/>
      <c r="HUA151"/>
      <c r="HUB151"/>
      <c r="HUC151"/>
      <c r="HUD151"/>
      <c r="HUE151"/>
      <c r="HUF151"/>
      <c r="HUG151"/>
      <c r="HUH151"/>
      <c r="HUI151"/>
      <c r="HUJ151"/>
      <c r="HUK151"/>
      <c r="HUL151"/>
      <c r="HUM151"/>
      <c r="HUN151"/>
      <c r="HUO151"/>
      <c r="HUP151"/>
      <c r="HUQ151"/>
      <c r="HUR151"/>
      <c r="HUS151"/>
      <c r="HUT151"/>
      <c r="HUU151"/>
      <c r="HUV151"/>
      <c r="HUW151"/>
      <c r="HUX151"/>
      <c r="HUY151"/>
      <c r="HUZ151"/>
      <c r="HVA151"/>
      <c r="HVB151"/>
      <c r="HVC151"/>
      <c r="HVD151"/>
      <c r="HVE151"/>
      <c r="HVF151"/>
      <c r="HVG151"/>
      <c r="HVH151"/>
      <c r="HVI151"/>
      <c r="HVJ151"/>
      <c r="HVK151"/>
      <c r="HVL151"/>
      <c r="HVM151"/>
      <c r="HVN151"/>
      <c r="HVO151"/>
      <c r="HVP151"/>
      <c r="HVQ151"/>
      <c r="HVR151"/>
      <c r="HVS151"/>
      <c r="HVT151"/>
      <c r="HVU151"/>
      <c r="HVV151"/>
      <c r="HVW151"/>
      <c r="HVX151"/>
      <c r="HVY151"/>
      <c r="HVZ151"/>
      <c r="HWA151"/>
      <c r="HWB151"/>
      <c r="HWC151"/>
      <c r="HWD151"/>
      <c r="HWE151"/>
      <c r="HWF151"/>
      <c r="HWG151"/>
      <c r="HWH151"/>
      <c r="HWI151"/>
      <c r="HWJ151"/>
      <c r="HWK151"/>
      <c r="HWL151"/>
      <c r="HWM151"/>
      <c r="HWN151"/>
      <c r="HWO151"/>
      <c r="HWP151"/>
      <c r="HWQ151"/>
      <c r="HWR151"/>
      <c r="HWS151"/>
      <c r="HWT151"/>
      <c r="HWU151"/>
      <c r="HWV151"/>
      <c r="HWW151"/>
      <c r="HWX151"/>
      <c r="HWY151"/>
      <c r="HWZ151"/>
      <c r="HXA151"/>
      <c r="HXB151"/>
      <c r="HXC151"/>
      <c r="HXD151"/>
      <c r="HXE151"/>
      <c r="HXF151"/>
      <c r="HXG151"/>
      <c r="HXH151"/>
      <c r="HXI151"/>
      <c r="HXJ151"/>
      <c r="HXK151"/>
      <c r="HXL151"/>
      <c r="HXM151"/>
      <c r="HXN151"/>
      <c r="HXO151"/>
      <c r="HXP151"/>
      <c r="HXQ151"/>
      <c r="HXR151"/>
      <c r="HXS151"/>
      <c r="HXT151"/>
      <c r="HXU151"/>
      <c r="HXV151"/>
      <c r="HXW151"/>
      <c r="HXX151"/>
      <c r="HXY151"/>
      <c r="HXZ151"/>
      <c r="HYA151"/>
      <c r="HYB151"/>
      <c r="HYC151"/>
      <c r="HYD151"/>
      <c r="HYE151"/>
      <c r="HYF151"/>
      <c r="HYG151"/>
      <c r="HYH151"/>
      <c r="HYI151"/>
      <c r="HYJ151"/>
      <c r="HYK151"/>
      <c r="HYL151"/>
      <c r="HYM151"/>
      <c r="HYN151"/>
      <c r="HYO151"/>
      <c r="HYP151"/>
      <c r="HYQ151"/>
      <c r="HYR151"/>
      <c r="HYS151"/>
      <c r="HYT151"/>
      <c r="HYU151"/>
      <c r="HYV151"/>
      <c r="HYW151"/>
      <c r="HYX151"/>
      <c r="HYY151"/>
      <c r="HYZ151"/>
      <c r="HZA151"/>
      <c r="HZB151"/>
      <c r="HZC151"/>
      <c r="HZD151"/>
      <c r="HZE151"/>
      <c r="HZF151"/>
      <c r="HZG151"/>
      <c r="HZH151"/>
      <c r="HZI151"/>
      <c r="HZJ151"/>
      <c r="HZK151"/>
      <c r="HZL151"/>
      <c r="HZM151"/>
      <c r="HZN151"/>
      <c r="HZO151"/>
      <c r="HZP151"/>
      <c r="HZQ151"/>
      <c r="HZR151"/>
      <c r="HZS151"/>
      <c r="HZT151"/>
      <c r="HZU151"/>
      <c r="HZV151"/>
      <c r="HZW151"/>
      <c r="HZX151"/>
      <c r="HZY151"/>
      <c r="HZZ151"/>
      <c r="IAA151"/>
      <c r="IAB151"/>
      <c r="IAC151"/>
      <c r="IAD151"/>
      <c r="IAE151"/>
      <c r="IAF151"/>
      <c r="IAG151"/>
      <c r="IAH151"/>
      <c r="IAI151"/>
      <c r="IAJ151"/>
      <c r="IAK151"/>
      <c r="IAL151"/>
      <c r="IAM151"/>
      <c r="IAN151"/>
      <c r="IAO151"/>
      <c r="IAP151"/>
      <c r="IAQ151"/>
      <c r="IAR151"/>
      <c r="IAS151"/>
      <c r="IAT151"/>
      <c r="IAU151"/>
      <c r="IAV151"/>
      <c r="IAW151"/>
      <c r="IAX151"/>
      <c r="IAY151"/>
      <c r="IAZ151"/>
      <c r="IBA151"/>
      <c r="IBB151"/>
      <c r="IBC151"/>
      <c r="IBD151"/>
      <c r="IBE151"/>
      <c r="IBF151"/>
      <c r="IBG151"/>
      <c r="IBH151"/>
      <c r="IBI151"/>
      <c r="IBJ151"/>
      <c r="IBK151"/>
      <c r="IBL151"/>
      <c r="IBM151"/>
      <c r="IBN151"/>
      <c r="IBO151"/>
      <c r="IBP151"/>
      <c r="IBQ151"/>
      <c r="IBR151"/>
      <c r="IBS151"/>
      <c r="IBT151"/>
      <c r="IBU151"/>
      <c r="IBV151"/>
      <c r="IBW151"/>
      <c r="IBX151"/>
      <c r="IBY151"/>
      <c r="IBZ151"/>
      <c r="ICA151"/>
      <c r="ICB151"/>
      <c r="ICC151"/>
      <c r="ICD151"/>
      <c r="ICE151"/>
      <c r="ICF151"/>
      <c r="ICG151"/>
      <c r="ICH151"/>
      <c r="ICI151"/>
      <c r="ICJ151"/>
      <c r="ICK151"/>
      <c r="ICL151"/>
      <c r="ICM151"/>
      <c r="ICN151"/>
      <c r="ICO151"/>
      <c r="ICP151"/>
      <c r="ICQ151"/>
      <c r="ICR151"/>
      <c r="ICS151"/>
      <c r="ICT151"/>
      <c r="ICU151"/>
      <c r="ICV151"/>
      <c r="ICW151"/>
      <c r="ICX151"/>
      <c r="ICY151"/>
      <c r="ICZ151"/>
      <c r="IDA151"/>
      <c r="IDB151"/>
      <c r="IDC151"/>
      <c r="IDD151"/>
      <c r="IDE151"/>
      <c r="IDF151"/>
      <c r="IDG151"/>
      <c r="IDH151"/>
      <c r="IDI151"/>
      <c r="IDJ151"/>
      <c r="IDK151"/>
      <c r="IDL151"/>
      <c r="IDM151"/>
      <c r="IDN151"/>
      <c r="IDO151"/>
      <c r="IDP151"/>
      <c r="IDQ151"/>
      <c r="IDR151"/>
      <c r="IDS151"/>
      <c r="IDT151"/>
      <c r="IDU151"/>
      <c r="IDV151"/>
      <c r="IDW151"/>
      <c r="IDX151"/>
      <c r="IDY151"/>
      <c r="IDZ151"/>
      <c r="IEA151"/>
      <c r="IEB151"/>
      <c r="IEC151"/>
      <c r="IED151"/>
      <c r="IEE151"/>
      <c r="IEF151"/>
      <c r="IEG151"/>
      <c r="IEH151"/>
      <c r="IEI151"/>
      <c r="IEJ151"/>
      <c r="IEK151"/>
      <c r="IEL151"/>
      <c r="IEM151"/>
      <c r="IEN151"/>
      <c r="IEO151"/>
      <c r="IEP151"/>
      <c r="IEQ151"/>
      <c r="IER151"/>
      <c r="IES151"/>
      <c r="IET151"/>
      <c r="IEU151"/>
      <c r="IEV151"/>
      <c r="IEW151"/>
      <c r="IEX151"/>
      <c r="IEY151"/>
      <c r="IEZ151"/>
      <c r="IFA151"/>
      <c r="IFB151"/>
      <c r="IFC151"/>
      <c r="IFD151"/>
      <c r="IFE151"/>
      <c r="IFF151"/>
      <c r="IFG151"/>
      <c r="IFH151"/>
      <c r="IFI151"/>
      <c r="IFJ151"/>
      <c r="IFK151"/>
      <c r="IFL151"/>
      <c r="IFM151"/>
      <c r="IFN151"/>
      <c r="IFO151"/>
      <c r="IFP151"/>
      <c r="IFQ151"/>
      <c r="IFR151"/>
      <c r="IFS151"/>
      <c r="IFT151"/>
      <c r="IFU151"/>
      <c r="IFV151"/>
      <c r="IFW151"/>
      <c r="IFX151"/>
      <c r="IFY151"/>
      <c r="IFZ151"/>
      <c r="IGA151"/>
      <c r="IGB151"/>
      <c r="IGC151"/>
      <c r="IGD151"/>
      <c r="IGE151"/>
      <c r="IGF151"/>
      <c r="IGG151"/>
      <c r="IGH151"/>
      <c r="IGI151"/>
      <c r="IGJ151"/>
      <c r="IGK151"/>
      <c r="IGL151"/>
      <c r="IGM151"/>
      <c r="IGN151"/>
      <c r="IGO151"/>
      <c r="IGP151"/>
      <c r="IGQ151"/>
      <c r="IGR151"/>
      <c r="IGS151"/>
      <c r="IGT151"/>
      <c r="IGU151"/>
      <c r="IGV151"/>
      <c r="IGW151"/>
      <c r="IGX151"/>
      <c r="IGY151"/>
      <c r="IGZ151"/>
      <c r="IHA151"/>
      <c r="IHB151"/>
      <c r="IHC151"/>
      <c r="IHD151"/>
      <c r="IHE151"/>
      <c r="IHF151"/>
      <c r="IHG151"/>
      <c r="IHH151"/>
      <c r="IHI151"/>
      <c r="IHJ151"/>
      <c r="IHK151"/>
      <c r="IHL151"/>
      <c r="IHM151"/>
      <c r="IHN151"/>
      <c r="IHO151"/>
      <c r="IHP151"/>
      <c r="IHQ151"/>
      <c r="IHR151"/>
      <c r="IHS151"/>
      <c r="IHT151"/>
      <c r="IHU151"/>
      <c r="IHV151"/>
      <c r="IHW151"/>
      <c r="IHX151"/>
      <c r="IHY151"/>
      <c r="IHZ151"/>
      <c r="IIA151"/>
      <c r="IIB151"/>
      <c r="IIC151"/>
      <c r="IID151"/>
      <c r="IIE151"/>
      <c r="IIF151"/>
      <c r="IIG151"/>
      <c r="IIH151"/>
      <c r="III151"/>
      <c r="IIJ151"/>
      <c r="IIK151"/>
      <c r="IIL151"/>
      <c r="IIM151"/>
      <c r="IIN151"/>
      <c r="IIO151"/>
      <c r="IIP151"/>
      <c r="IIQ151"/>
      <c r="IIR151"/>
      <c r="IIS151"/>
      <c r="IIT151"/>
      <c r="IIU151"/>
      <c r="IIV151"/>
      <c r="IIW151"/>
      <c r="IIX151"/>
      <c r="IIY151"/>
      <c r="IIZ151"/>
      <c r="IJA151"/>
      <c r="IJB151"/>
      <c r="IJC151"/>
      <c r="IJD151"/>
      <c r="IJE151"/>
      <c r="IJF151"/>
      <c r="IJG151"/>
      <c r="IJH151"/>
      <c r="IJI151"/>
      <c r="IJJ151"/>
      <c r="IJK151"/>
      <c r="IJL151"/>
      <c r="IJM151"/>
      <c r="IJN151"/>
      <c r="IJO151"/>
      <c r="IJP151"/>
      <c r="IJQ151"/>
      <c r="IJR151"/>
      <c r="IJS151"/>
      <c r="IJT151"/>
      <c r="IJU151"/>
      <c r="IJV151"/>
      <c r="IJW151"/>
      <c r="IJX151"/>
      <c r="IJY151"/>
      <c r="IJZ151"/>
      <c r="IKA151"/>
      <c r="IKB151"/>
      <c r="IKC151"/>
      <c r="IKD151"/>
      <c r="IKE151"/>
      <c r="IKF151"/>
      <c r="IKG151"/>
      <c r="IKH151"/>
      <c r="IKI151"/>
      <c r="IKJ151"/>
      <c r="IKK151"/>
      <c r="IKL151"/>
      <c r="IKM151"/>
      <c r="IKN151"/>
      <c r="IKO151"/>
      <c r="IKP151"/>
      <c r="IKQ151"/>
      <c r="IKR151"/>
      <c r="IKS151"/>
      <c r="IKT151"/>
      <c r="IKU151"/>
      <c r="IKV151"/>
      <c r="IKW151"/>
      <c r="IKX151"/>
      <c r="IKY151"/>
      <c r="IKZ151"/>
      <c r="ILA151"/>
      <c r="ILB151"/>
      <c r="ILC151"/>
      <c r="ILD151"/>
      <c r="ILE151"/>
      <c r="ILF151"/>
      <c r="ILG151"/>
      <c r="ILH151"/>
      <c r="ILI151"/>
      <c r="ILJ151"/>
      <c r="ILK151"/>
      <c r="ILL151"/>
      <c r="ILM151"/>
      <c r="ILN151"/>
      <c r="ILO151"/>
      <c r="ILP151"/>
      <c r="ILQ151"/>
      <c r="ILR151"/>
      <c r="ILS151"/>
      <c r="ILT151"/>
      <c r="ILU151"/>
      <c r="ILV151"/>
      <c r="ILW151"/>
      <c r="ILX151"/>
      <c r="ILY151"/>
      <c r="ILZ151"/>
      <c r="IMA151"/>
      <c r="IMB151"/>
      <c r="IMC151"/>
      <c r="IMD151"/>
      <c r="IME151"/>
      <c r="IMF151"/>
      <c r="IMG151"/>
      <c r="IMH151"/>
      <c r="IMI151"/>
      <c r="IMJ151"/>
      <c r="IMK151"/>
      <c r="IML151"/>
      <c r="IMM151"/>
      <c r="IMN151"/>
      <c r="IMO151"/>
      <c r="IMP151"/>
      <c r="IMQ151"/>
      <c r="IMR151"/>
      <c r="IMS151"/>
      <c r="IMT151"/>
      <c r="IMU151"/>
      <c r="IMV151"/>
      <c r="IMW151"/>
      <c r="IMX151"/>
      <c r="IMY151"/>
      <c r="IMZ151"/>
      <c r="INA151"/>
      <c r="INB151"/>
      <c r="INC151"/>
      <c r="IND151"/>
      <c r="INE151"/>
      <c r="INF151"/>
      <c r="ING151"/>
      <c r="INH151"/>
      <c r="INI151"/>
      <c r="INJ151"/>
      <c r="INK151"/>
      <c r="INL151"/>
      <c r="INM151"/>
      <c r="INN151"/>
      <c r="INO151"/>
      <c r="INP151"/>
      <c r="INQ151"/>
      <c r="INR151"/>
      <c r="INS151"/>
      <c r="INT151"/>
      <c r="INU151"/>
      <c r="INV151"/>
      <c r="INW151"/>
      <c r="INX151"/>
      <c r="INY151"/>
      <c r="INZ151"/>
      <c r="IOA151"/>
      <c r="IOB151"/>
      <c r="IOC151"/>
      <c r="IOD151"/>
      <c r="IOE151"/>
      <c r="IOF151"/>
      <c r="IOG151"/>
      <c r="IOH151"/>
      <c r="IOI151"/>
      <c r="IOJ151"/>
      <c r="IOK151"/>
      <c r="IOL151"/>
      <c r="IOM151"/>
      <c r="ION151"/>
      <c r="IOO151"/>
      <c r="IOP151"/>
      <c r="IOQ151"/>
      <c r="IOR151"/>
      <c r="IOS151"/>
      <c r="IOT151"/>
      <c r="IOU151"/>
      <c r="IOV151"/>
      <c r="IOW151"/>
      <c r="IOX151"/>
      <c r="IOY151"/>
      <c r="IOZ151"/>
      <c r="IPA151"/>
      <c r="IPB151"/>
      <c r="IPC151"/>
      <c r="IPD151"/>
      <c r="IPE151"/>
      <c r="IPF151"/>
      <c r="IPG151"/>
      <c r="IPH151"/>
      <c r="IPI151"/>
      <c r="IPJ151"/>
      <c r="IPK151"/>
      <c r="IPL151"/>
      <c r="IPM151"/>
      <c r="IPN151"/>
      <c r="IPO151"/>
      <c r="IPP151"/>
      <c r="IPQ151"/>
      <c r="IPR151"/>
      <c r="IPS151"/>
      <c r="IPT151"/>
      <c r="IPU151"/>
      <c r="IPV151"/>
      <c r="IPW151"/>
      <c r="IPX151"/>
      <c r="IPY151"/>
      <c r="IPZ151"/>
      <c r="IQA151"/>
      <c r="IQB151"/>
      <c r="IQC151"/>
      <c r="IQD151"/>
      <c r="IQE151"/>
      <c r="IQF151"/>
      <c r="IQG151"/>
      <c r="IQH151"/>
      <c r="IQI151"/>
      <c r="IQJ151"/>
      <c r="IQK151"/>
      <c r="IQL151"/>
      <c r="IQM151"/>
      <c r="IQN151"/>
      <c r="IQO151"/>
      <c r="IQP151"/>
      <c r="IQQ151"/>
      <c r="IQR151"/>
      <c r="IQS151"/>
      <c r="IQT151"/>
      <c r="IQU151"/>
      <c r="IQV151"/>
      <c r="IQW151"/>
      <c r="IQX151"/>
      <c r="IQY151"/>
      <c r="IQZ151"/>
      <c r="IRA151"/>
      <c r="IRB151"/>
      <c r="IRC151"/>
      <c r="IRD151"/>
      <c r="IRE151"/>
      <c r="IRF151"/>
      <c r="IRG151"/>
      <c r="IRH151"/>
      <c r="IRI151"/>
      <c r="IRJ151"/>
      <c r="IRK151"/>
      <c r="IRL151"/>
      <c r="IRM151"/>
      <c r="IRN151"/>
      <c r="IRO151"/>
      <c r="IRP151"/>
      <c r="IRQ151"/>
      <c r="IRR151"/>
      <c r="IRS151"/>
      <c r="IRT151"/>
      <c r="IRU151"/>
      <c r="IRV151"/>
      <c r="IRW151"/>
      <c r="IRX151"/>
      <c r="IRY151"/>
      <c r="IRZ151"/>
      <c r="ISA151"/>
      <c r="ISB151"/>
      <c r="ISC151"/>
      <c r="ISD151"/>
      <c r="ISE151"/>
      <c r="ISF151"/>
      <c r="ISG151"/>
      <c r="ISH151"/>
      <c r="ISI151"/>
      <c r="ISJ151"/>
      <c r="ISK151"/>
      <c r="ISL151"/>
      <c r="ISM151"/>
      <c r="ISN151"/>
      <c r="ISO151"/>
      <c r="ISP151"/>
      <c r="ISQ151"/>
      <c r="ISR151"/>
      <c r="ISS151"/>
      <c r="IST151"/>
      <c r="ISU151"/>
      <c r="ISV151"/>
      <c r="ISW151"/>
      <c r="ISX151"/>
      <c r="ISY151"/>
      <c r="ISZ151"/>
      <c r="ITA151"/>
      <c r="ITB151"/>
      <c r="ITC151"/>
      <c r="ITD151"/>
      <c r="ITE151"/>
      <c r="ITF151"/>
      <c r="ITG151"/>
      <c r="ITH151"/>
      <c r="ITI151"/>
      <c r="ITJ151"/>
      <c r="ITK151"/>
      <c r="ITL151"/>
      <c r="ITM151"/>
      <c r="ITN151"/>
      <c r="ITO151"/>
      <c r="ITP151"/>
      <c r="ITQ151"/>
      <c r="ITR151"/>
      <c r="ITS151"/>
      <c r="ITT151"/>
      <c r="ITU151"/>
      <c r="ITV151"/>
      <c r="ITW151"/>
      <c r="ITX151"/>
      <c r="ITY151"/>
      <c r="ITZ151"/>
      <c r="IUA151"/>
      <c r="IUB151"/>
      <c r="IUC151"/>
      <c r="IUD151"/>
      <c r="IUE151"/>
      <c r="IUF151"/>
      <c r="IUG151"/>
      <c r="IUH151"/>
      <c r="IUI151"/>
      <c r="IUJ151"/>
      <c r="IUK151"/>
      <c r="IUL151"/>
      <c r="IUM151"/>
      <c r="IUN151"/>
      <c r="IUO151"/>
      <c r="IUP151"/>
      <c r="IUQ151"/>
      <c r="IUR151"/>
      <c r="IUS151"/>
      <c r="IUT151"/>
      <c r="IUU151"/>
      <c r="IUV151"/>
      <c r="IUW151"/>
      <c r="IUX151"/>
      <c r="IUY151"/>
      <c r="IUZ151"/>
      <c r="IVA151"/>
      <c r="IVB151"/>
      <c r="IVC151"/>
      <c r="IVD151"/>
      <c r="IVE151"/>
      <c r="IVF151"/>
      <c r="IVG151"/>
      <c r="IVH151"/>
      <c r="IVI151"/>
      <c r="IVJ151"/>
      <c r="IVK151"/>
      <c r="IVL151"/>
      <c r="IVM151"/>
      <c r="IVN151"/>
      <c r="IVO151"/>
      <c r="IVP151"/>
      <c r="IVQ151"/>
      <c r="IVR151"/>
      <c r="IVS151"/>
      <c r="IVT151"/>
      <c r="IVU151"/>
      <c r="IVV151"/>
      <c r="IVW151"/>
      <c r="IVX151"/>
      <c r="IVY151"/>
      <c r="IVZ151"/>
      <c r="IWA151"/>
      <c r="IWB151"/>
      <c r="IWC151"/>
      <c r="IWD151"/>
      <c r="IWE151"/>
      <c r="IWF151"/>
      <c r="IWG151"/>
      <c r="IWH151"/>
      <c r="IWI151"/>
      <c r="IWJ151"/>
      <c r="IWK151"/>
      <c r="IWL151"/>
      <c r="IWM151"/>
      <c r="IWN151"/>
      <c r="IWO151"/>
      <c r="IWP151"/>
      <c r="IWQ151"/>
      <c r="IWR151"/>
      <c r="IWS151"/>
      <c r="IWT151"/>
      <c r="IWU151"/>
      <c r="IWV151"/>
      <c r="IWW151"/>
      <c r="IWX151"/>
      <c r="IWY151"/>
      <c r="IWZ151"/>
      <c r="IXA151"/>
      <c r="IXB151"/>
      <c r="IXC151"/>
      <c r="IXD151"/>
      <c r="IXE151"/>
      <c r="IXF151"/>
      <c r="IXG151"/>
      <c r="IXH151"/>
      <c r="IXI151"/>
      <c r="IXJ151"/>
      <c r="IXK151"/>
      <c r="IXL151"/>
      <c r="IXM151"/>
      <c r="IXN151"/>
      <c r="IXO151"/>
      <c r="IXP151"/>
      <c r="IXQ151"/>
      <c r="IXR151"/>
      <c r="IXS151"/>
      <c r="IXT151"/>
      <c r="IXU151"/>
      <c r="IXV151"/>
      <c r="IXW151"/>
      <c r="IXX151"/>
      <c r="IXY151"/>
      <c r="IXZ151"/>
      <c r="IYA151"/>
      <c r="IYB151"/>
      <c r="IYC151"/>
      <c r="IYD151"/>
      <c r="IYE151"/>
      <c r="IYF151"/>
      <c r="IYG151"/>
      <c r="IYH151"/>
      <c r="IYI151"/>
      <c r="IYJ151"/>
      <c r="IYK151"/>
      <c r="IYL151"/>
      <c r="IYM151"/>
      <c r="IYN151"/>
      <c r="IYO151"/>
      <c r="IYP151"/>
      <c r="IYQ151"/>
      <c r="IYR151"/>
      <c r="IYS151"/>
      <c r="IYT151"/>
      <c r="IYU151"/>
      <c r="IYV151"/>
      <c r="IYW151"/>
      <c r="IYX151"/>
      <c r="IYY151"/>
      <c r="IYZ151"/>
      <c r="IZA151"/>
      <c r="IZB151"/>
      <c r="IZC151"/>
      <c r="IZD151"/>
      <c r="IZE151"/>
      <c r="IZF151"/>
      <c r="IZG151"/>
      <c r="IZH151"/>
      <c r="IZI151"/>
      <c r="IZJ151"/>
      <c r="IZK151"/>
      <c r="IZL151"/>
      <c r="IZM151"/>
      <c r="IZN151"/>
      <c r="IZO151"/>
      <c r="IZP151"/>
      <c r="IZQ151"/>
      <c r="IZR151"/>
      <c r="IZS151"/>
      <c r="IZT151"/>
      <c r="IZU151"/>
      <c r="IZV151"/>
      <c r="IZW151"/>
      <c r="IZX151"/>
      <c r="IZY151"/>
      <c r="IZZ151"/>
      <c r="JAA151"/>
      <c r="JAB151"/>
      <c r="JAC151"/>
      <c r="JAD151"/>
      <c r="JAE151"/>
      <c r="JAF151"/>
      <c r="JAG151"/>
      <c r="JAH151"/>
      <c r="JAI151"/>
      <c r="JAJ151"/>
      <c r="JAK151"/>
      <c r="JAL151"/>
      <c r="JAM151"/>
      <c r="JAN151"/>
      <c r="JAO151"/>
      <c r="JAP151"/>
      <c r="JAQ151"/>
      <c r="JAR151"/>
      <c r="JAS151"/>
      <c r="JAT151"/>
      <c r="JAU151"/>
      <c r="JAV151"/>
      <c r="JAW151"/>
      <c r="JAX151"/>
      <c r="JAY151"/>
      <c r="JAZ151"/>
      <c r="JBA151"/>
      <c r="JBB151"/>
      <c r="JBC151"/>
      <c r="JBD151"/>
      <c r="JBE151"/>
      <c r="JBF151"/>
      <c r="JBG151"/>
      <c r="JBH151"/>
      <c r="JBI151"/>
      <c r="JBJ151"/>
      <c r="JBK151"/>
      <c r="JBL151"/>
      <c r="JBM151"/>
      <c r="JBN151"/>
      <c r="JBO151"/>
      <c r="JBP151"/>
      <c r="JBQ151"/>
      <c r="JBR151"/>
      <c r="JBS151"/>
      <c r="JBT151"/>
      <c r="JBU151"/>
      <c r="JBV151"/>
      <c r="JBW151"/>
      <c r="JBX151"/>
      <c r="JBY151"/>
      <c r="JBZ151"/>
      <c r="JCA151"/>
      <c r="JCB151"/>
      <c r="JCC151"/>
      <c r="JCD151"/>
      <c r="JCE151"/>
      <c r="JCF151"/>
      <c r="JCG151"/>
      <c r="JCH151"/>
      <c r="JCI151"/>
      <c r="JCJ151"/>
      <c r="JCK151"/>
      <c r="JCL151"/>
      <c r="JCM151"/>
      <c r="JCN151"/>
      <c r="JCO151"/>
      <c r="JCP151"/>
      <c r="JCQ151"/>
      <c r="JCR151"/>
      <c r="JCS151"/>
      <c r="JCT151"/>
      <c r="JCU151"/>
      <c r="JCV151"/>
      <c r="JCW151"/>
      <c r="JCX151"/>
      <c r="JCY151"/>
      <c r="JCZ151"/>
      <c r="JDA151"/>
      <c r="JDB151"/>
      <c r="JDC151"/>
      <c r="JDD151"/>
      <c r="JDE151"/>
      <c r="JDF151"/>
      <c r="JDG151"/>
      <c r="JDH151"/>
      <c r="JDI151"/>
      <c r="JDJ151"/>
      <c r="JDK151"/>
      <c r="JDL151"/>
      <c r="JDM151"/>
      <c r="JDN151"/>
      <c r="JDO151"/>
      <c r="JDP151"/>
      <c r="JDQ151"/>
      <c r="JDR151"/>
      <c r="JDS151"/>
      <c r="JDT151"/>
      <c r="JDU151"/>
      <c r="JDV151"/>
      <c r="JDW151"/>
      <c r="JDX151"/>
      <c r="JDY151"/>
      <c r="JDZ151"/>
      <c r="JEA151"/>
      <c r="JEB151"/>
      <c r="JEC151"/>
      <c r="JED151"/>
      <c r="JEE151"/>
      <c r="JEF151"/>
      <c r="JEG151"/>
      <c r="JEH151"/>
      <c r="JEI151"/>
      <c r="JEJ151"/>
      <c r="JEK151"/>
      <c r="JEL151"/>
      <c r="JEM151"/>
      <c r="JEN151"/>
      <c r="JEO151"/>
      <c r="JEP151"/>
      <c r="JEQ151"/>
      <c r="JER151"/>
      <c r="JES151"/>
      <c r="JET151"/>
      <c r="JEU151"/>
      <c r="JEV151"/>
      <c r="JEW151"/>
      <c r="JEX151"/>
      <c r="JEY151"/>
      <c r="JEZ151"/>
      <c r="JFA151"/>
      <c r="JFB151"/>
      <c r="JFC151"/>
      <c r="JFD151"/>
      <c r="JFE151"/>
      <c r="JFF151"/>
      <c r="JFG151"/>
      <c r="JFH151"/>
      <c r="JFI151"/>
      <c r="JFJ151"/>
      <c r="JFK151"/>
      <c r="JFL151"/>
      <c r="JFM151"/>
      <c r="JFN151"/>
      <c r="JFO151"/>
      <c r="JFP151"/>
      <c r="JFQ151"/>
      <c r="JFR151"/>
      <c r="JFS151"/>
      <c r="JFT151"/>
      <c r="JFU151"/>
      <c r="JFV151"/>
      <c r="JFW151"/>
      <c r="JFX151"/>
      <c r="JFY151"/>
      <c r="JFZ151"/>
      <c r="JGA151"/>
      <c r="JGB151"/>
      <c r="JGC151"/>
      <c r="JGD151"/>
      <c r="JGE151"/>
      <c r="JGF151"/>
      <c r="JGG151"/>
      <c r="JGH151"/>
      <c r="JGI151"/>
      <c r="JGJ151"/>
      <c r="JGK151"/>
      <c r="JGL151"/>
      <c r="JGM151"/>
      <c r="JGN151"/>
      <c r="JGO151"/>
      <c r="JGP151"/>
      <c r="JGQ151"/>
      <c r="JGR151"/>
      <c r="JGS151"/>
      <c r="JGT151"/>
      <c r="JGU151"/>
      <c r="JGV151"/>
      <c r="JGW151"/>
      <c r="JGX151"/>
      <c r="JGY151"/>
      <c r="JGZ151"/>
      <c r="JHA151"/>
      <c r="JHB151"/>
      <c r="JHC151"/>
      <c r="JHD151"/>
      <c r="JHE151"/>
      <c r="JHF151"/>
      <c r="JHG151"/>
      <c r="JHH151"/>
      <c r="JHI151"/>
      <c r="JHJ151"/>
      <c r="JHK151"/>
      <c r="JHL151"/>
      <c r="JHM151"/>
      <c r="JHN151"/>
      <c r="JHO151"/>
      <c r="JHP151"/>
      <c r="JHQ151"/>
      <c r="JHR151"/>
      <c r="JHS151"/>
      <c r="JHT151"/>
      <c r="JHU151"/>
      <c r="JHV151"/>
      <c r="JHW151"/>
      <c r="JHX151"/>
      <c r="JHY151"/>
      <c r="JHZ151"/>
      <c r="JIA151"/>
      <c r="JIB151"/>
      <c r="JIC151"/>
      <c r="JID151"/>
      <c r="JIE151"/>
      <c r="JIF151"/>
      <c r="JIG151"/>
      <c r="JIH151"/>
      <c r="JII151"/>
      <c r="JIJ151"/>
      <c r="JIK151"/>
      <c r="JIL151"/>
      <c r="JIM151"/>
      <c r="JIN151"/>
      <c r="JIO151"/>
      <c r="JIP151"/>
      <c r="JIQ151"/>
      <c r="JIR151"/>
      <c r="JIS151"/>
      <c r="JIT151"/>
      <c r="JIU151"/>
      <c r="JIV151"/>
      <c r="JIW151"/>
      <c r="JIX151"/>
      <c r="JIY151"/>
      <c r="JIZ151"/>
      <c r="JJA151"/>
      <c r="JJB151"/>
      <c r="JJC151"/>
      <c r="JJD151"/>
      <c r="JJE151"/>
      <c r="JJF151"/>
      <c r="JJG151"/>
      <c r="JJH151"/>
      <c r="JJI151"/>
      <c r="JJJ151"/>
      <c r="JJK151"/>
      <c r="JJL151"/>
      <c r="JJM151"/>
      <c r="JJN151"/>
      <c r="JJO151"/>
      <c r="JJP151"/>
      <c r="JJQ151"/>
      <c r="JJR151"/>
      <c r="JJS151"/>
      <c r="JJT151"/>
      <c r="JJU151"/>
      <c r="JJV151"/>
      <c r="JJW151"/>
      <c r="JJX151"/>
      <c r="JJY151"/>
      <c r="JJZ151"/>
      <c r="JKA151"/>
      <c r="JKB151"/>
      <c r="JKC151"/>
      <c r="JKD151"/>
      <c r="JKE151"/>
      <c r="JKF151"/>
      <c r="JKG151"/>
      <c r="JKH151"/>
      <c r="JKI151"/>
      <c r="JKJ151"/>
      <c r="JKK151"/>
      <c r="JKL151"/>
      <c r="JKM151"/>
      <c r="JKN151"/>
      <c r="JKO151"/>
      <c r="JKP151"/>
      <c r="JKQ151"/>
      <c r="JKR151"/>
      <c r="JKS151"/>
      <c r="JKT151"/>
      <c r="JKU151"/>
      <c r="JKV151"/>
      <c r="JKW151"/>
      <c r="JKX151"/>
      <c r="JKY151"/>
      <c r="JKZ151"/>
      <c r="JLA151"/>
      <c r="JLB151"/>
      <c r="JLC151"/>
      <c r="JLD151"/>
      <c r="JLE151"/>
      <c r="JLF151"/>
      <c r="JLG151"/>
      <c r="JLH151"/>
      <c r="JLI151"/>
      <c r="JLJ151"/>
      <c r="JLK151"/>
      <c r="JLL151"/>
      <c r="JLM151"/>
      <c r="JLN151"/>
      <c r="JLO151"/>
      <c r="JLP151"/>
      <c r="JLQ151"/>
      <c r="JLR151"/>
      <c r="JLS151"/>
      <c r="JLT151"/>
      <c r="JLU151"/>
      <c r="JLV151"/>
      <c r="JLW151"/>
      <c r="JLX151"/>
      <c r="JLY151"/>
      <c r="JLZ151"/>
      <c r="JMA151"/>
      <c r="JMB151"/>
      <c r="JMC151"/>
      <c r="JMD151"/>
      <c r="JME151"/>
      <c r="JMF151"/>
      <c r="JMG151"/>
      <c r="JMH151"/>
      <c r="JMI151"/>
      <c r="JMJ151"/>
      <c r="JMK151"/>
      <c r="JML151"/>
      <c r="JMM151"/>
      <c r="JMN151"/>
      <c r="JMO151"/>
      <c r="JMP151"/>
      <c r="JMQ151"/>
      <c r="JMR151"/>
      <c r="JMS151"/>
      <c r="JMT151"/>
      <c r="JMU151"/>
      <c r="JMV151"/>
      <c r="JMW151"/>
      <c r="JMX151"/>
      <c r="JMY151"/>
      <c r="JMZ151"/>
      <c r="JNA151"/>
      <c r="JNB151"/>
      <c r="JNC151"/>
      <c r="JND151"/>
      <c r="JNE151"/>
      <c r="JNF151"/>
      <c r="JNG151"/>
      <c r="JNH151"/>
      <c r="JNI151"/>
      <c r="JNJ151"/>
      <c r="JNK151"/>
      <c r="JNL151"/>
      <c r="JNM151"/>
      <c r="JNN151"/>
      <c r="JNO151"/>
      <c r="JNP151"/>
      <c r="JNQ151"/>
      <c r="JNR151"/>
      <c r="JNS151"/>
      <c r="JNT151"/>
      <c r="JNU151"/>
      <c r="JNV151"/>
      <c r="JNW151"/>
      <c r="JNX151"/>
      <c r="JNY151"/>
      <c r="JNZ151"/>
      <c r="JOA151"/>
      <c r="JOB151"/>
      <c r="JOC151"/>
      <c r="JOD151"/>
      <c r="JOE151"/>
      <c r="JOF151"/>
      <c r="JOG151"/>
      <c r="JOH151"/>
      <c r="JOI151"/>
      <c r="JOJ151"/>
      <c r="JOK151"/>
      <c r="JOL151"/>
      <c r="JOM151"/>
      <c r="JON151"/>
      <c r="JOO151"/>
      <c r="JOP151"/>
      <c r="JOQ151"/>
      <c r="JOR151"/>
      <c r="JOS151"/>
      <c r="JOT151"/>
      <c r="JOU151"/>
      <c r="JOV151"/>
      <c r="JOW151"/>
      <c r="JOX151"/>
      <c r="JOY151"/>
      <c r="JOZ151"/>
      <c r="JPA151"/>
      <c r="JPB151"/>
      <c r="JPC151"/>
      <c r="JPD151"/>
      <c r="JPE151"/>
      <c r="JPF151"/>
      <c r="JPG151"/>
      <c r="JPH151"/>
      <c r="JPI151"/>
      <c r="JPJ151"/>
      <c r="JPK151"/>
      <c r="JPL151"/>
      <c r="JPM151"/>
      <c r="JPN151"/>
      <c r="JPO151"/>
      <c r="JPP151"/>
      <c r="JPQ151"/>
      <c r="JPR151"/>
      <c r="JPS151"/>
      <c r="JPT151"/>
      <c r="JPU151"/>
      <c r="JPV151"/>
      <c r="JPW151"/>
      <c r="JPX151"/>
      <c r="JPY151"/>
      <c r="JPZ151"/>
      <c r="JQA151"/>
      <c r="JQB151"/>
      <c r="JQC151"/>
      <c r="JQD151"/>
      <c r="JQE151"/>
      <c r="JQF151"/>
      <c r="JQG151"/>
      <c r="JQH151"/>
      <c r="JQI151"/>
      <c r="JQJ151"/>
      <c r="JQK151"/>
      <c r="JQL151"/>
      <c r="JQM151"/>
      <c r="JQN151"/>
      <c r="JQO151"/>
      <c r="JQP151"/>
      <c r="JQQ151"/>
      <c r="JQR151"/>
      <c r="JQS151"/>
      <c r="JQT151"/>
      <c r="JQU151"/>
      <c r="JQV151"/>
      <c r="JQW151"/>
      <c r="JQX151"/>
      <c r="JQY151"/>
      <c r="JQZ151"/>
      <c r="JRA151"/>
      <c r="JRB151"/>
      <c r="JRC151"/>
      <c r="JRD151"/>
      <c r="JRE151"/>
      <c r="JRF151"/>
      <c r="JRG151"/>
      <c r="JRH151"/>
      <c r="JRI151"/>
      <c r="JRJ151"/>
      <c r="JRK151"/>
      <c r="JRL151"/>
      <c r="JRM151"/>
      <c r="JRN151"/>
      <c r="JRO151"/>
      <c r="JRP151"/>
      <c r="JRQ151"/>
      <c r="JRR151"/>
      <c r="JRS151"/>
      <c r="JRT151"/>
      <c r="JRU151"/>
      <c r="JRV151"/>
      <c r="JRW151"/>
      <c r="JRX151"/>
      <c r="JRY151"/>
      <c r="JRZ151"/>
      <c r="JSA151"/>
      <c r="JSB151"/>
      <c r="JSC151"/>
      <c r="JSD151"/>
      <c r="JSE151"/>
      <c r="JSF151"/>
      <c r="JSG151"/>
      <c r="JSH151"/>
      <c r="JSI151"/>
      <c r="JSJ151"/>
      <c r="JSK151"/>
      <c r="JSL151"/>
      <c r="JSM151"/>
      <c r="JSN151"/>
      <c r="JSO151"/>
      <c r="JSP151"/>
      <c r="JSQ151"/>
      <c r="JSR151"/>
      <c r="JSS151"/>
      <c r="JST151"/>
      <c r="JSU151"/>
      <c r="JSV151"/>
      <c r="JSW151"/>
      <c r="JSX151"/>
      <c r="JSY151"/>
      <c r="JSZ151"/>
      <c r="JTA151"/>
      <c r="JTB151"/>
      <c r="JTC151"/>
      <c r="JTD151"/>
      <c r="JTE151"/>
      <c r="JTF151"/>
      <c r="JTG151"/>
      <c r="JTH151"/>
      <c r="JTI151"/>
      <c r="JTJ151"/>
      <c r="JTK151"/>
      <c r="JTL151"/>
      <c r="JTM151"/>
      <c r="JTN151"/>
      <c r="JTO151"/>
      <c r="JTP151"/>
      <c r="JTQ151"/>
      <c r="JTR151"/>
      <c r="JTS151"/>
      <c r="JTT151"/>
      <c r="JTU151"/>
      <c r="JTV151"/>
      <c r="JTW151"/>
      <c r="JTX151"/>
      <c r="JTY151"/>
      <c r="JTZ151"/>
      <c r="JUA151"/>
      <c r="JUB151"/>
      <c r="JUC151"/>
      <c r="JUD151"/>
      <c r="JUE151"/>
      <c r="JUF151"/>
      <c r="JUG151"/>
      <c r="JUH151"/>
      <c r="JUI151"/>
      <c r="JUJ151"/>
      <c r="JUK151"/>
      <c r="JUL151"/>
      <c r="JUM151"/>
      <c r="JUN151"/>
      <c r="JUO151"/>
      <c r="JUP151"/>
      <c r="JUQ151"/>
      <c r="JUR151"/>
      <c r="JUS151"/>
      <c r="JUT151"/>
      <c r="JUU151"/>
      <c r="JUV151"/>
      <c r="JUW151"/>
      <c r="JUX151"/>
      <c r="JUY151"/>
      <c r="JUZ151"/>
      <c r="JVA151"/>
      <c r="JVB151"/>
      <c r="JVC151"/>
      <c r="JVD151"/>
      <c r="JVE151"/>
      <c r="JVF151"/>
      <c r="JVG151"/>
      <c r="JVH151"/>
      <c r="JVI151"/>
      <c r="JVJ151"/>
      <c r="JVK151"/>
      <c r="JVL151"/>
      <c r="JVM151"/>
      <c r="JVN151"/>
      <c r="JVO151"/>
      <c r="JVP151"/>
      <c r="JVQ151"/>
      <c r="JVR151"/>
      <c r="JVS151"/>
      <c r="JVT151"/>
      <c r="JVU151"/>
      <c r="JVV151"/>
      <c r="JVW151"/>
      <c r="JVX151"/>
      <c r="JVY151"/>
      <c r="JVZ151"/>
      <c r="JWA151"/>
      <c r="JWB151"/>
      <c r="JWC151"/>
      <c r="JWD151"/>
      <c r="JWE151"/>
      <c r="JWF151"/>
      <c r="JWG151"/>
      <c r="JWH151"/>
      <c r="JWI151"/>
      <c r="JWJ151"/>
      <c r="JWK151"/>
      <c r="JWL151"/>
      <c r="JWM151"/>
      <c r="JWN151"/>
      <c r="JWO151"/>
      <c r="JWP151"/>
      <c r="JWQ151"/>
      <c r="JWR151"/>
      <c r="JWS151"/>
      <c r="JWT151"/>
      <c r="JWU151"/>
      <c r="JWV151"/>
      <c r="JWW151"/>
      <c r="JWX151"/>
      <c r="JWY151"/>
      <c r="JWZ151"/>
      <c r="JXA151"/>
      <c r="JXB151"/>
      <c r="JXC151"/>
      <c r="JXD151"/>
      <c r="JXE151"/>
      <c r="JXF151"/>
      <c r="JXG151"/>
      <c r="JXH151"/>
      <c r="JXI151"/>
      <c r="JXJ151"/>
      <c r="JXK151"/>
      <c r="JXL151"/>
      <c r="JXM151"/>
      <c r="JXN151"/>
      <c r="JXO151"/>
      <c r="JXP151"/>
      <c r="JXQ151"/>
      <c r="JXR151"/>
      <c r="JXS151"/>
      <c r="JXT151"/>
      <c r="JXU151"/>
      <c r="JXV151"/>
      <c r="JXW151"/>
      <c r="JXX151"/>
      <c r="JXY151"/>
      <c r="JXZ151"/>
      <c r="JYA151"/>
      <c r="JYB151"/>
      <c r="JYC151"/>
      <c r="JYD151"/>
      <c r="JYE151"/>
      <c r="JYF151"/>
      <c r="JYG151"/>
      <c r="JYH151"/>
      <c r="JYI151"/>
      <c r="JYJ151"/>
      <c r="JYK151"/>
      <c r="JYL151"/>
      <c r="JYM151"/>
      <c r="JYN151"/>
      <c r="JYO151"/>
      <c r="JYP151"/>
      <c r="JYQ151"/>
      <c r="JYR151"/>
      <c r="JYS151"/>
      <c r="JYT151"/>
      <c r="JYU151"/>
      <c r="JYV151"/>
      <c r="JYW151"/>
      <c r="JYX151"/>
      <c r="JYY151"/>
      <c r="JYZ151"/>
      <c r="JZA151"/>
      <c r="JZB151"/>
      <c r="JZC151"/>
      <c r="JZD151"/>
      <c r="JZE151"/>
      <c r="JZF151"/>
      <c r="JZG151"/>
      <c r="JZH151"/>
      <c r="JZI151"/>
      <c r="JZJ151"/>
      <c r="JZK151"/>
      <c r="JZL151"/>
      <c r="JZM151"/>
      <c r="JZN151"/>
      <c r="JZO151"/>
      <c r="JZP151"/>
      <c r="JZQ151"/>
      <c r="JZR151"/>
      <c r="JZS151"/>
      <c r="JZT151"/>
      <c r="JZU151"/>
      <c r="JZV151"/>
      <c r="JZW151"/>
      <c r="JZX151"/>
      <c r="JZY151"/>
      <c r="JZZ151"/>
      <c r="KAA151"/>
      <c r="KAB151"/>
      <c r="KAC151"/>
      <c r="KAD151"/>
      <c r="KAE151"/>
      <c r="KAF151"/>
      <c r="KAG151"/>
      <c r="KAH151"/>
      <c r="KAI151"/>
      <c r="KAJ151"/>
      <c r="KAK151"/>
      <c r="KAL151"/>
      <c r="KAM151"/>
      <c r="KAN151"/>
      <c r="KAO151"/>
      <c r="KAP151"/>
      <c r="KAQ151"/>
      <c r="KAR151"/>
      <c r="KAS151"/>
      <c r="KAT151"/>
      <c r="KAU151"/>
      <c r="KAV151"/>
      <c r="KAW151"/>
      <c r="KAX151"/>
      <c r="KAY151"/>
      <c r="KAZ151"/>
      <c r="KBA151"/>
      <c r="KBB151"/>
      <c r="KBC151"/>
      <c r="KBD151"/>
      <c r="KBE151"/>
      <c r="KBF151"/>
      <c r="KBG151"/>
      <c r="KBH151"/>
      <c r="KBI151"/>
      <c r="KBJ151"/>
      <c r="KBK151"/>
      <c r="KBL151"/>
      <c r="KBM151"/>
      <c r="KBN151"/>
      <c r="KBO151"/>
      <c r="KBP151"/>
      <c r="KBQ151"/>
      <c r="KBR151"/>
      <c r="KBS151"/>
      <c r="KBT151"/>
      <c r="KBU151"/>
      <c r="KBV151"/>
      <c r="KBW151"/>
      <c r="KBX151"/>
      <c r="KBY151"/>
      <c r="KBZ151"/>
      <c r="KCA151"/>
      <c r="KCB151"/>
      <c r="KCC151"/>
      <c r="KCD151"/>
      <c r="KCE151"/>
      <c r="KCF151"/>
      <c r="KCG151"/>
      <c r="KCH151"/>
      <c r="KCI151"/>
      <c r="KCJ151"/>
      <c r="KCK151"/>
      <c r="KCL151"/>
      <c r="KCM151"/>
      <c r="KCN151"/>
      <c r="KCO151"/>
      <c r="KCP151"/>
      <c r="KCQ151"/>
      <c r="KCR151"/>
      <c r="KCS151"/>
      <c r="KCT151"/>
      <c r="KCU151"/>
      <c r="KCV151"/>
      <c r="KCW151"/>
      <c r="KCX151"/>
      <c r="KCY151"/>
      <c r="KCZ151"/>
      <c r="KDA151"/>
      <c r="KDB151"/>
      <c r="KDC151"/>
      <c r="KDD151"/>
      <c r="KDE151"/>
      <c r="KDF151"/>
      <c r="KDG151"/>
      <c r="KDH151"/>
      <c r="KDI151"/>
      <c r="KDJ151"/>
      <c r="KDK151"/>
      <c r="KDL151"/>
      <c r="KDM151"/>
      <c r="KDN151"/>
      <c r="KDO151"/>
      <c r="KDP151"/>
      <c r="KDQ151"/>
      <c r="KDR151"/>
      <c r="KDS151"/>
      <c r="KDT151"/>
      <c r="KDU151"/>
      <c r="KDV151"/>
      <c r="KDW151"/>
      <c r="KDX151"/>
      <c r="KDY151"/>
      <c r="KDZ151"/>
      <c r="KEA151"/>
      <c r="KEB151"/>
      <c r="KEC151"/>
      <c r="KED151"/>
      <c r="KEE151"/>
      <c r="KEF151"/>
      <c r="KEG151"/>
      <c r="KEH151"/>
      <c r="KEI151"/>
      <c r="KEJ151"/>
      <c r="KEK151"/>
      <c r="KEL151"/>
      <c r="KEM151"/>
      <c r="KEN151"/>
      <c r="KEO151"/>
      <c r="KEP151"/>
      <c r="KEQ151"/>
      <c r="KER151"/>
      <c r="KES151"/>
      <c r="KET151"/>
      <c r="KEU151"/>
      <c r="KEV151"/>
      <c r="KEW151"/>
      <c r="KEX151"/>
      <c r="KEY151"/>
      <c r="KEZ151"/>
      <c r="KFA151"/>
      <c r="KFB151"/>
      <c r="KFC151"/>
      <c r="KFD151"/>
      <c r="KFE151"/>
      <c r="KFF151"/>
      <c r="KFG151"/>
      <c r="KFH151"/>
      <c r="KFI151"/>
      <c r="KFJ151"/>
      <c r="KFK151"/>
      <c r="KFL151"/>
      <c r="KFM151"/>
      <c r="KFN151"/>
      <c r="KFO151"/>
      <c r="KFP151"/>
      <c r="KFQ151"/>
      <c r="KFR151"/>
      <c r="KFS151"/>
      <c r="KFT151"/>
      <c r="KFU151"/>
      <c r="KFV151"/>
      <c r="KFW151"/>
      <c r="KFX151"/>
      <c r="KFY151"/>
      <c r="KFZ151"/>
      <c r="KGA151"/>
      <c r="KGB151"/>
      <c r="KGC151"/>
      <c r="KGD151"/>
      <c r="KGE151"/>
      <c r="KGF151"/>
      <c r="KGG151"/>
      <c r="KGH151"/>
      <c r="KGI151"/>
      <c r="KGJ151"/>
      <c r="KGK151"/>
      <c r="KGL151"/>
      <c r="KGM151"/>
      <c r="KGN151"/>
      <c r="KGO151"/>
      <c r="KGP151"/>
      <c r="KGQ151"/>
      <c r="KGR151"/>
      <c r="KGS151"/>
      <c r="KGT151"/>
      <c r="KGU151"/>
      <c r="KGV151"/>
      <c r="KGW151"/>
      <c r="KGX151"/>
      <c r="KGY151"/>
      <c r="KGZ151"/>
      <c r="KHA151"/>
      <c r="KHB151"/>
      <c r="KHC151"/>
      <c r="KHD151"/>
      <c r="KHE151"/>
      <c r="KHF151"/>
      <c r="KHG151"/>
      <c r="KHH151"/>
      <c r="KHI151"/>
      <c r="KHJ151"/>
      <c r="KHK151"/>
      <c r="KHL151"/>
      <c r="KHM151"/>
      <c r="KHN151"/>
      <c r="KHO151"/>
      <c r="KHP151"/>
      <c r="KHQ151"/>
      <c r="KHR151"/>
      <c r="KHS151"/>
      <c r="KHT151"/>
      <c r="KHU151"/>
      <c r="KHV151"/>
      <c r="KHW151"/>
      <c r="KHX151"/>
      <c r="KHY151"/>
      <c r="KHZ151"/>
      <c r="KIA151"/>
      <c r="KIB151"/>
      <c r="KIC151"/>
      <c r="KID151"/>
      <c r="KIE151"/>
      <c r="KIF151"/>
      <c r="KIG151"/>
      <c r="KIH151"/>
      <c r="KII151"/>
      <c r="KIJ151"/>
      <c r="KIK151"/>
      <c r="KIL151"/>
      <c r="KIM151"/>
      <c r="KIN151"/>
      <c r="KIO151"/>
      <c r="KIP151"/>
      <c r="KIQ151"/>
      <c r="KIR151"/>
      <c r="KIS151"/>
      <c r="KIT151"/>
      <c r="KIU151"/>
      <c r="KIV151"/>
      <c r="KIW151"/>
      <c r="KIX151"/>
      <c r="KIY151"/>
      <c r="KIZ151"/>
      <c r="KJA151"/>
      <c r="KJB151"/>
      <c r="KJC151"/>
      <c r="KJD151"/>
      <c r="KJE151"/>
      <c r="KJF151"/>
      <c r="KJG151"/>
      <c r="KJH151"/>
      <c r="KJI151"/>
      <c r="KJJ151"/>
      <c r="KJK151"/>
      <c r="KJL151"/>
      <c r="KJM151"/>
      <c r="KJN151"/>
      <c r="KJO151"/>
      <c r="KJP151"/>
      <c r="KJQ151"/>
      <c r="KJR151"/>
      <c r="KJS151"/>
      <c r="KJT151"/>
      <c r="KJU151"/>
      <c r="KJV151"/>
      <c r="KJW151"/>
      <c r="KJX151"/>
      <c r="KJY151"/>
      <c r="KJZ151"/>
      <c r="KKA151"/>
      <c r="KKB151"/>
      <c r="KKC151"/>
      <c r="KKD151"/>
      <c r="KKE151"/>
      <c r="KKF151"/>
      <c r="KKG151"/>
      <c r="KKH151"/>
      <c r="KKI151"/>
      <c r="KKJ151"/>
      <c r="KKK151"/>
      <c r="KKL151"/>
      <c r="KKM151"/>
      <c r="KKN151"/>
      <c r="KKO151"/>
      <c r="KKP151"/>
      <c r="KKQ151"/>
      <c r="KKR151"/>
      <c r="KKS151"/>
      <c r="KKT151"/>
      <c r="KKU151"/>
      <c r="KKV151"/>
      <c r="KKW151"/>
      <c r="KKX151"/>
      <c r="KKY151"/>
      <c r="KKZ151"/>
      <c r="KLA151"/>
      <c r="KLB151"/>
      <c r="KLC151"/>
      <c r="KLD151"/>
      <c r="KLE151"/>
      <c r="KLF151"/>
      <c r="KLG151"/>
      <c r="KLH151"/>
      <c r="KLI151"/>
      <c r="KLJ151"/>
      <c r="KLK151"/>
      <c r="KLL151"/>
      <c r="KLM151"/>
      <c r="KLN151"/>
      <c r="KLO151"/>
      <c r="KLP151"/>
      <c r="KLQ151"/>
      <c r="KLR151"/>
      <c r="KLS151"/>
      <c r="KLT151"/>
      <c r="KLU151"/>
      <c r="KLV151"/>
      <c r="KLW151"/>
      <c r="KLX151"/>
      <c r="KLY151"/>
      <c r="KLZ151"/>
      <c r="KMA151"/>
      <c r="KMB151"/>
      <c r="KMC151"/>
      <c r="KMD151"/>
      <c r="KME151"/>
      <c r="KMF151"/>
      <c r="KMG151"/>
      <c r="KMH151"/>
      <c r="KMI151"/>
      <c r="KMJ151"/>
      <c r="KMK151"/>
      <c r="KML151"/>
      <c r="KMM151"/>
      <c r="KMN151"/>
      <c r="KMO151"/>
      <c r="KMP151"/>
      <c r="KMQ151"/>
      <c r="KMR151"/>
      <c r="KMS151"/>
      <c r="KMT151"/>
      <c r="KMU151"/>
      <c r="KMV151"/>
      <c r="KMW151"/>
      <c r="KMX151"/>
      <c r="KMY151"/>
      <c r="KMZ151"/>
      <c r="KNA151"/>
      <c r="KNB151"/>
      <c r="KNC151"/>
      <c r="KND151"/>
      <c r="KNE151"/>
      <c r="KNF151"/>
      <c r="KNG151"/>
      <c r="KNH151"/>
      <c r="KNI151"/>
      <c r="KNJ151"/>
      <c r="KNK151"/>
      <c r="KNL151"/>
      <c r="KNM151"/>
      <c r="KNN151"/>
      <c r="KNO151"/>
      <c r="KNP151"/>
      <c r="KNQ151"/>
      <c r="KNR151"/>
      <c r="KNS151"/>
      <c r="KNT151"/>
      <c r="KNU151"/>
      <c r="KNV151"/>
      <c r="KNW151"/>
      <c r="KNX151"/>
      <c r="KNY151"/>
      <c r="KNZ151"/>
      <c r="KOA151"/>
      <c r="KOB151"/>
      <c r="KOC151"/>
      <c r="KOD151"/>
      <c r="KOE151"/>
      <c r="KOF151"/>
      <c r="KOG151"/>
      <c r="KOH151"/>
      <c r="KOI151"/>
      <c r="KOJ151"/>
      <c r="KOK151"/>
      <c r="KOL151"/>
      <c r="KOM151"/>
      <c r="KON151"/>
      <c r="KOO151"/>
      <c r="KOP151"/>
      <c r="KOQ151"/>
      <c r="KOR151"/>
      <c r="KOS151"/>
      <c r="KOT151"/>
      <c r="KOU151"/>
      <c r="KOV151"/>
      <c r="KOW151"/>
      <c r="KOX151"/>
      <c r="KOY151"/>
      <c r="KOZ151"/>
      <c r="KPA151"/>
      <c r="KPB151"/>
      <c r="KPC151"/>
      <c r="KPD151"/>
      <c r="KPE151"/>
      <c r="KPF151"/>
      <c r="KPG151"/>
      <c r="KPH151"/>
      <c r="KPI151"/>
      <c r="KPJ151"/>
      <c r="KPK151"/>
      <c r="KPL151"/>
      <c r="KPM151"/>
      <c r="KPN151"/>
      <c r="KPO151"/>
      <c r="KPP151"/>
      <c r="KPQ151"/>
      <c r="KPR151"/>
      <c r="KPS151"/>
      <c r="KPT151"/>
      <c r="KPU151"/>
      <c r="KPV151"/>
      <c r="KPW151"/>
      <c r="KPX151"/>
      <c r="KPY151"/>
      <c r="KPZ151"/>
      <c r="KQA151"/>
      <c r="KQB151"/>
      <c r="KQC151"/>
      <c r="KQD151"/>
      <c r="KQE151"/>
      <c r="KQF151"/>
      <c r="KQG151"/>
      <c r="KQH151"/>
      <c r="KQI151"/>
      <c r="KQJ151"/>
      <c r="KQK151"/>
      <c r="KQL151"/>
      <c r="KQM151"/>
      <c r="KQN151"/>
      <c r="KQO151"/>
      <c r="KQP151"/>
      <c r="KQQ151"/>
      <c r="KQR151"/>
      <c r="KQS151"/>
      <c r="KQT151"/>
      <c r="KQU151"/>
      <c r="KQV151"/>
      <c r="KQW151"/>
      <c r="KQX151"/>
      <c r="KQY151"/>
      <c r="KQZ151"/>
      <c r="KRA151"/>
      <c r="KRB151"/>
      <c r="KRC151"/>
      <c r="KRD151"/>
      <c r="KRE151"/>
      <c r="KRF151"/>
      <c r="KRG151"/>
      <c r="KRH151"/>
      <c r="KRI151"/>
      <c r="KRJ151"/>
      <c r="KRK151"/>
      <c r="KRL151"/>
      <c r="KRM151"/>
      <c r="KRN151"/>
      <c r="KRO151"/>
      <c r="KRP151"/>
      <c r="KRQ151"/>
      <c r="KRR151"/>
      <c r="KRS151"/>
      <c r="KRT151"/>
      <c r="KRU151"/>
      <c r="KRV151"/>
      <c r="KRW151"/>
      <c r="KRX151"/>
      <c r="KRY151"/>
      <c r="KRZ151"/>
      <c r="KSA151"/>
      <c r="KSB151"/>
      <c r="KSC151"/>
      <c r="KSD151"/>
      <c r="KSE151"/>
      <c r="KSF151"/>
      <c r="KSG151"/>
      <c r="KSH151"/>
      <c r="KSI151"/>
      <c r="KSJ151"/>
      <c r="KSK151"/>
      <c r="KSL151"/>
      <c r="KSM151"/>
      <c r="KSN151"/>
      <c r="KSO151"/>
      <c r="KSP151"/>
      <c r="KSQ151"/>
      <c r="KSR151"/>
      <c r="KSS151"/>
      <c r="KST151"/>
      <c r="KSU151"/>
      <c r="KSV151"/>
      <c r="KSW151"/>
      <c r="KSX151"/>
      <c r="KSY151"/>
      <c r="KSZ151"/>
      <c r="KTA151"/>
      <c r="KTB151"/>
      <c r="KTC151"/>
      <c r="KTD151"/>
      <c r="KTE151"/>
      <c r="KTF151"/>
      <c r="KTG151"/>
      <c r="KTH151"/>
      <c r="KTI151"/>
      <c r="KTJ151"/>
      <c r="KTK151"/>
      <c r="KTL151"/>
      <c r="KTM151"/>
      <c r="KTN151"/>
      <c r="KTO151"/>
      <c r="KTP151"/>
      <c r="KTQ151"/>
      <c r="KTR151"/>
      <c r="KTS151"/>
      <c r="KTT151"/>
      <c r="KTU151"/>
      <c r="KTV151"/>
      <c r="KTW151"/>
      <c r="KTX151"/>
      <c r="KTY151"/>
      <c r="KTZ151"/>
      <c r="KUA151"/>
      <c r="KUB151"/>
      <c r="KUC151"/>
      <c r="KUD151"/>
      <c r="KUE151"/>
      <c r="KUF151"/>
      <c r="KUG151"/>
      <c r="KUH151"/>
      <c r="KUI151"/>
      <c r="KUJ151"/>
      <c r="KUK151"/>
      <c r="KUL151"/>
      <c r="KUM151"/>
      <c r="KUN151"/>
      <c r="KUO151"/>
      <c r="KUP151"/>
      <c r="KUQ151"/>
      <c r="KUR151"/>
      <c r="KUS151"/>
      <c r="KUT151"/>
      <c r="KUU151"/>
      <c r="KUV151"/>
      <c r="KUW151"/>
      <c r="KUX151"/>
      <c r="KUY151"/>
      <c r="KUZ151"/>
      <c r="KVA151"/>
      <c r="KVB151"/>
      <c r="KVC151"/>
      <c r="KVD151"/>
      <c r="KVE151"/>
      <c r="KVF151"/>
      <c r="KVG151"/>
      <c r="KVH151"/>
      <c r="KVI151"/>
      <c r="KVJ151"/>
      <c r="KVK151"/>
      <c r="KVL151"/>
      <c r="KVM151"/>
      <c r="KVN151"/>
      <c r="KVO151"/>
      <c r="KVP151"/>
      <c r="KVQ151"/>
      <c r="KVR151"/>
      <c r="KVS151"/>
      <c r="KVT151"/>
      <c r="KVU151"/>
      <c r="KVV151"/>
      <c r="KVW151"/>
      <c r="KVX151"/>
      <c r="KVY151"/>
      <c r="KVZ151"/>
      <c r="KWA151"/>
      <c r="KWB151"/>
      <c r="KWC151"/>
      <c r="KWD151"/>
      <c r="KWE151"/>
      <c r="KWF151"/>
      <c r="KWG151"/>
      <c r="KWH151"/>
      <c r="KWI151"/>
      <c r="KWJ151"/>
      <c r="KWK151"/>
      <c r="KWL151"/>
      <c r="KWM151"/>
      <c r="KWN151"/>
      <c r="KWO151"/>
      <c r="KWP151"/>
      <c r="KWQ151"/>
      <c r="KWR151"/>
      <c r="KWS151"/>
      <c r="KWT151"/>
      <c r="KWU151"/>
      <c r="KWV151"/>
      <c r="KWW151"/>
      <c r="KWX151"/>
      <c r="KWY151"/>
      <c r="KWZ151"/>
      <c r="KXA151"/>
      <c r="KXB151"/>
      <c r="KXC151"/>
      <c r="KXD151"/>
      <c r="KXE151"/>
      <c r="KXF151"/>
      <c r="KXG151"/>
      <c r="KXH151"/>
      <c r="KXI151"/>
      <c r="KXJ151"/>
      <c r="KXK151"/>
      <c r="KXL151"/>
      <c r="KXM151"/>
      <c r="KXN151"/>
      <c r="KXO151"/>
      <c r="KXP151"/>
      <c r="KXQ151"/>
      <c r="KXR151"/>
      <c r="KXS151"/>
      <c r="KXT151"/>
      <c r="KXU151"/>
      <c r="KXV151"/>
      <c r="KXW151"/>
      <c r="KXX151"/>
      <c r="KXY151"/>
      <c r="KXZ151"/>
      <c r="KYA151"/>
      <c r="KYB151"/>
      <c r="KYC151"/>
      <c r="KYD151"/>
      <c r="KYE151"/>
      <c r="KYF151"/>
      <c r="KYG151"/>
      <c r="KYH151"/>
      <c r="KYI151"/>
      <c r="KYJ151"/>
      <c r="KYK151"/>
      <c r="KYL151"/>
      <c r="KYM151"/>
      <c r="KYN151"/>
      <c r="KYO151"/>
      <c r="KYP151"/>
      <c r="KYQ151"/>
      <c r="KYR151"/>
      <c r="KYS151"/>
      <c r="KYT151"/>
      <c r="KYU151"/>
      <c r="KYV151"/>
      <c r="KYW151"/>
      <c r="KYX151"/>
      <c r="KYY151"/>
      <c r="KYZ151"/>
      <c r="KZA151"/>
      <c r="KZB151"/>
      <c r="KZC151"/>
      <c r="KZD151"/>
      <c r="KZE151"/>
      <c r="KZF151"/>
      <c r="KZG151"/>
      <c r="KZH151"/>
      <c r="KZI151"/>
      <c r="KZJ151"/>
      <c r="KZK151"/>
      <c r="KZL151"/>
      <c r="KZM151"/>
      <c r="KZN151"/>
      <c r="KZO151"/>
      <c r="KZP151"/>
      <c r="KZQ151"/>
      <c r="KZR151"/>
      <c r="KZS151"/>
      <c r="KZT151"/>
      <c r="KZU151"/>
      <c r="KZV151"/>
      <c r="KZW151"/>
      <c r="KZX151"/>
      <c r="KZY151"/>
      <c r="KZZ151"/>
      <c r="LAA151"/>
      <c r="LAB151"/>
      <c r="LAC151"/>
      <c r="LAD151"/>
      <c r="LAE151"/>
      <c r="LAF151"/>
      <c r="LAG151"/>
      <c r="LAH151"/>
      <c r="LAI151"/>
      <c r="LAJ151"/>
      <c r="LAK151"/>
      <c r="LAL151"/>
      <c r="LAM151"/>
      <c r="LAN151"/>
      <c r="LAO151"/>
      <c r="LAP151"/>
      <c r="LAQ151"/>
      <c r="LAR151"/>
      <c r="LAS151"/>
      <c r="LAT151"/>
      <c r="LAU151"/>
      <c r="LAV151"/>
      <c r="LAW151"/>
      <c r="LAX151"/>
      <c r="LAY151"/>
      <c r="LAZ151"/>
      <c r="LBA151"/>
      <c r="LBB151"/>
      <c r="LBC151"/>
      <c r="LBD151"/>
      <c r="LBE151"/>
      <c r="LBF151"/>
      <c r="LBG151"/>
      <c r="LBH151"/>
      <c r="LBI151"/>
      <c r="LBJ151"/>
      <c r="LBK151"/>
      <c r="LBL151"/>
      <c r="LBM151"/>
      <c r="LBN151"/>
      <c r="LBO151"/>
      <c r="LBP151"/>
      <c r="LBQ151"/>
      <c r="LBR151"/>
      <c r="LBS151"/>
      <c r="LBT151"/>
      <c r="LBU151"/>
      <c r="LBV151"/>
      <c r="LBW151"/>
      <c r="LBX151"/>
      <c r="LBY151"/>
      <c r="LBZ151"/>
      <c r="LCA151"/>
      <c r="LCB151"/>
      <c r="LCC151"/>
      <c r="LCD151"/>
      <c r="LCE151"/>
      <c r="LCF151"/>
      <c r="LCG151"/>
      <c r="LCH151"/>
      <c r="LCI151"/>
      <c r="LCJ151"/>
      <c r="LCK151"/>
      <c r="LCL151"/>
      <c r="LCM151"/>
      <c r="LCN151"/>
      <c r="LCO151"/>
      <c r="LCP151"/>
      <c r="LCQ151"/>
      <c r="LCR151"/>
      <c r="LCS151"/>
      <c r="LCT151"/>
      <c r="LCU151"/>
      <c r="LCV151"/>
      <c r="LCW151"/>
      <c r="LCX151"/>
      <c r="LCY151"/>
      <c r="LCZ151"/>
      <c r="LDA151"/>
      <c r="LDB151"/>
      <c r="LDC151"/>
      <c r="LDD151"/>
      <c r="LDE151"/>
      <c r="LDF151"/>
      <c r="LDG151"/>
      <c r="LDH151"/>
      <c r="LDI151"/>
      <c r="LDJ151"/>
      <c r="LDK151"/>
      <c r="LDL151"/>
      <c r="LDM151"/>
      <c r="LDN151"/>
      <c r="LDO151"/>
      <c r="LDP151"/>
      <c r="LDQ151"/>
      <c r="LDR151"/>
      <c r="LDS151"/>
      <c r="LDT151"/>
      <c r="LDU151"/>
      <c r="LDV151"/>
      <c r="LDW151"/>
      <c r="LDX151"/>
      <c r="LDY151"/>
      <c r="LDZ151"/>
      <c r="LEA151"/>
      <c r="LEB151"/>
      <c r="LEC151"/>
      <c r="LED151"/>
      <c r="LEE151"/>
      <c r="LEF151"/>
      <c r="LEG151"/>
      <c r="LEH151"/>
      <c r="LEI151"/>
      <c r="LEJ151"/>
      <c r="LEK151"/>
      <c r="LEL151"/>
      <c r="LEM151"/>
      <c r="LEN151"/>
      <c r="LEO151"/>
      <c r="LEP151"/>
      <c r="LEQ151"/>
      <c r="LER151"/>
      <c r="LES151"/>
      <c r="LET151"/>
      <c r="LEU151"/>
      <c r="LEV151"/>
      <c r="LEW151"/>
      <c r="LEX151"/>
      <c r="LEY151"/>
      <c r="LEZ151"/>
      <c r="LFA151"/>
      <c r="LFB151"/>
      <c r="LFC151"/>
      <c r="LFD151"/>
      <c r="LFE151"/>
      <c r="LFF151"/>
      <c r="LFG151"/>
      <c r="LFH151"/>
      <c r="LFI151"/>
      <c r="LFJ151"/>
      <c r="LFK151"/>
      <c r="LFL151"/>
      <c r="LFM151"/>
      <c r="LFN151"/>
      <c r="LFO151"/>
      <c r="LFP151"/>
      <c r="LFQ151"/>
      <c r="LFR151"/>
      <c r="LFS151"/>
      <c r="LFT151"/>
      <c r="LFU151"/>
      <c r="LFV151"/>
      <c r="LFW151"/>
      <c r="LFX151"/>
      <c r="LFY151"/>
      <c r="LFZ151"/>
      <c r="LGA151"/>
      <c r="LGB151"/>
      <c r="LGC151"/>
      <c r="LGD151"/>
      <c r="LGE151"/>
      <c r="LGF151"/>
      <c r="LGG151"/>
      <c r="LGH151"/>
      <c r="LGI151"/>
      <c r="LGJ151"/>
      <c r="LGK151"/>
      <c r="LGL151"/>
      <c r="LGM151"/>
      <c r="LGN151"/>
      <c r="LGO151"/>
      <c r="LGP151"/>
      <c r="LGQ151"/>
      <c r="LGR151"/>
      <c r="LGS151"/>
      <c r="LGT151"/>
      <c r="LGU151"/>
      <c r="LGV151"/>
      <c r="LGW151"/>
      <c r="LGX151"/>
      <c r="LGY151"/>
      <c r="LGZ151"/>
      <c r="LHA151"/>
      <c r="LHB151"/>
      <c r="LHC151"/>
      <c r="LHD151"/>
      <c r="LHE151"/>
      <c r="LHF151"/>
      <c r="LHG151"/>
      <c r="LHH151"/>
      <c r="LHI151"/>
      <c r="LHJ151"/>
      <c r="LHK151"/>
      <c r="LHL151"/>
      <c r="LHM151"/>
      <c r="LHN151"/>
      <c r="LHO151"/>
      <c r="LHP151"/>
      <c r="LHQ151"/>
      <c r="LHR151"/>
      <c r="LHS151"/>
      <c r="LHT151"/>
      <c r="LHU151"/>
      <c r="LHV151"/>
      <c r="LHW151"/>
      <c r="LHX151"/>
      <c r="LHY151"/>
      <c r="LHZ151"/>
      <c r="LIA151"/>
      <c r="LIB151"/>
      <c r="LIC151"/>
      <c r="LID151"/>
      <c r="LIE151"/>
      <c r="LIF151"/>
      <c r="LIG151"/>
      <c r="LIH151"/>
      <c r="LII151"/>
      <c r="LIJ151"/>
      <c r="LIK151"/>
      <c r="LIL151"/>
      <c r="LIM151"/>
      <c r="LIN151"/>
      <c r="LIO151"/>
      <c r="LIP151"/>
      <c r="LIQ151"/>
      <c r="LIR151"/>
      <c r="LIS151"/>
      <c r="LIT151"/>
      <c r="LIU151"/>
      <c r="LIV151"/>
      <c r="LIW151"/>
      <c r="LIX151"/>
      <c r="LIY151"/>
      <c r="LIZ151"/>
      <c r="LJA151"/>
      <c r="LJB151"/>
      <c r="LJC151"/>
      <c r="LJD151"/>
      <c r="LJE151"/>
      <c r="LJF151"/>
      <c r="LJG151"/>
      <c r="LJH151"/>
      <c r="LJI151"/>
      <c r="LJJ151"/>
      <c r="LJK151"/>
      <c r="LJL151"/>
      <c r="LJM151"/>
      <c r="LJN151"/>
      <c r="LJO151"/>
      <c r="LJP151"/>
      <c r="LJQ151"/>
      <c r="LJR151"/>
      <c r="LJS151"/>
      <c r="LJT151"/>
      <c r="LJU151"/>
      <c r="LJV151"/>
      <c r="LJW151"/>
      <c r="LJX151"/>
      <c r="LJY151"/>
      <c r="LJZ151"/>
      <c r="LKA151"/>
      <c r="LKB151"/>
      <c r="LKC151"/>
      <c r="LKD151"/>
      <c r="LKE151"/>
      <c r="LKF151"/>
      <c r="LKG151"/>
      <c r="LKH151"/>
      <c r="LKI151"/>
      <c r="LKJ151"/>
      <c r="LKK151"/>
      <c r="LKL151"/>
      <c r="LKM151"/>
      <c r="LKN151"/>
      <c r="LKO151"/>
      <c r="LKP151"/>
      <c r="LKQ151"/>
      <c r="LKR151"/>
      <c r="LKS151"/>
      <c r="LKT151"/>
      <c r="LKU151"/>
      <c r="LKV151"/>
      <c r="LKW151"/>
      <c r="LKX151"/>
      <c r="LKY151"/>
      <c r="LKZ151"/>
      <c r="LLA151"/>
      <c r="LLB151"/>
      <c r="LLC151"/>
      <c r="LLD151"/>
      <c r="LLE151"/>
      <c r="LLF151"/>
      <c r="LLG151"/>
      <c r="LLH151"/>
      <c r="LLI151"/>
      <c r="LLJ151"/>
      <c r="LLK151"/>
      <c r="LLL151"/>
      <c r="LLM151"/>
      <c r="LLN151"/>
      <c r="LLO151"/>
      <c r="LLP151"/>
      <c r="LLQ151"/>
      <c r="LLR151"/>
      <c r="LLS151"/>
      <c r="LLT151"/>
      <c r="LLU151"/>
      <c r="LLV151"/>
      <c r="LLW151"/>
      <c r="LLX151"/>
      <c r="LLY151"/>
      <c r="LLZ151"/>
      <c r="LMA151"/>
      <c r="LMB151"/>
      <c r="LMC151"/>
      <c r="LMD151"/>
      <c r="LME151"/>
      <c r="LMF151"/>
      <c r="LMG151"/>
      <c r="LMH151"/>
      <c r="LMI151"/>
      <c r="LMJ151"/>
      <c r="LMK151"/>
      <c r="LML151"/>
      <c r="LMM151"/>
      <c r="LMN151"/>
      <c r="LMO151"/>
      <c r="LMP151"/>
      <c r="LMQ151"/>
      <c r="LMR151"/>
      <c r="LMS151"/>
      <c r="LMT151"/>
      <c r="LMU151"/>
      <c r="LMV151"/>
      <c r="LMW151"/>
      <c r="LMX151"/>
      <c r="LMY151"/>
      <c r="LMZ151"/>
      <c r="LNA151"/>
      <c r="LNB151"/>
      <c r="LNC151"/>
      <c r="LND151"/>
      <c r="LNE151"/>
      <c r="LNF151"/>
      <c r="LNG151"/>
      <c r="LNH151"/>
      <c r="LNI151"/>
      <c r="LNJ151"/>
      <c r="LNK151"/>
      <c r="LNL151"/>
      <c r="LNM151"/>
      <c r="LNN151"/>
      <c r="LNO151"/>
      <c r="LNP151"/>
      <c r="LNQ151"/>
      <c r="LNR151"/>
      <c r="LNS151"/>
      <c r="LNT151"/>
      <c r="LNU151"/>
      <c r="LNV151"/>
      <c r="LNW151"/>
      <c r="LNX151"/>
      <c r="LNY151"/>
      <c r="LNZ151"/>
      <c r="LOA151"/>
      <c r="LOB151"/>
      <c r="LOC151"/>
      <c r="LOD151"/>
      <c r="LOE151"/>
      <c r="LOF151"/>
      <c r="LOG151"/>
      <c r="LOH151"/>
      <c r="LOI151"/>
      <c r="LOJ151"/>
      <c r="LOK151"/>
      <c r="LOL151"/>
      <c r="LOM151"/>
      <c r="LON151"/>
      <c r="LOO151"/>
      <c r="LOP151"/>
      <c r="LOQ151"/>
      <c r="LOR151"/>
      <c r="LOS151"/>
      <c r="LOT151"/>
      <c r="LOU151"/>
      <c r="LOV151"/>
      <c r="LOW151"/>
      <c r="LOX151"/>
      <c r="LOY151"/>
      <c r="LOZ151"/>
      <c r="LPA151"/>
      <c r="LPB151"/>
      <c r="LPC151"/>
      <c r="LPD151"/>
      <c r="LPE151"/>
      <c r="LPF151"/>
      <c r="LPG151"/>
      <c r="LPH151"/>
      <c r="LPI151"/>
      <c r="LPJ151"/>
      <c r="LPK151"/>
      <c r="LPL151"/>
      <c r="LPM151"/>
      <c r="LPN151"/>
      <c r="LPO151"/>
      <c r="LPP151"/>
      <c r="LPQ151"/>
      <c r="LPR151"/>
      <c r="LPS151"/>
      <c r="LPT151"/>
      <c r="LPU151"/>
      <c r="LPV151"/>
      <c r="LPW151"/>
      <c r="LPX151"/>
      <c r="LPY151"/>
      <c r="LPZ151"/>
      <c r="LQA151"/>
      <c r="LQB151"/>
      <c r="LQC151"/>
      <c r="LQD151"/>
      <c r="LQE151"/>
      <c r="LQF151"/>
      <c r="LQG151"/>
      <c r="LQH151"/>
      <c r="LQI151"/>
      <c r="LQJ151"/>
      <c r="LQK151"/>
      <c r="LQL151"/>
      <c r="LQM151"/>
      <c r="LQN151"/>
      <c r="LQO151"/>
      <c r="LQP151"/>
      <c r="LQQ151"/>
      <c r="LQR151"/>
      <c r="LQS151"/>
      <c r="LQT151"/>
      <c r="LQU151"/>
      <c r="LQV151"/>
      <c r="LQW151"/>
      <c r="LQX151"/>
      <c r="LQY151"/>
      <c r="LQZ151"/>
      <c r="LRA151"/>
      <c r="LRB151"/>
      <c r="LRC151"/>
      <c r="LRD151"/>
      <c r="LRE151"/>
      <c r="LRF151"/>
      <c r="LRG151"/>
      <c r="LRH151"/>
      <c r="LRI151"/>
      <c r="LRJ151"/>
      <c r="LRK151"/>
      <c r="LRL151"/>
      <c r="LRM151"/>
      <c r="LRN151"/>
      <c r="LRO151"/>
      <c r="LRP151"/>
      <c r="LRQ151"/>
      <c r="LRR151"/>
      <c r="LRS151"/>
      <c r="LRT151"/>
      <c r="LRU151"/>
      <c r="LRV151"/>
      <c r="LRW151"/>
      <c r="LRX151"/>
      <c r="LRY151"/>
      <c r="LRZ151"/>
      <c r="LSA151"/>
      <c r="LSB151"/>
      <c r="LSC151"/>
      <c r="LSD151"/>
      <c r="LSE151"/>
      <c r="LSF151"/>
      <c r="LSG151"/>
      <c r="LSH151"/>
      <c r="LSI151"/>
      <c r="LSJ151"/>
      <c r="LSK151"/>
      <c r="LSL151"/>
      <c r="LSM151"/>
      <c r="LSN151"/>
      <c r="LSO151"/>
      <c r="LSP151"/>
      <c r="LSQ151"/>
      <c r="LSR151"/>
      <c r="LSS151"/>
      <c r="LST151"/>
      <c r="LSU151"/>
      <c r="LSV151"/>
      <c r="LSW151"/>
      <c r="LSX151"/>
      <c r="LSY151"/>
      <c r="LSZ151"/>
      <c r="LTA151"/>
      <c r="LTB151"/>
      <c r="LTC151"/>
      <c r="LTD151"/>
      <c r="LTE151"/>
      <c r="LTF151"/>
      <c r="LTG151"/>
      <c r="LTH151"/>
      <c r="LTI151"/>
      <c r="LTJ151"/>
      <c r="LTK151"/>
      <c r="LTL151"/>
      <c r="LTM151"/>
      <c r="LTN151"/>
      <c r="LTO151"/>
      <c r="LTP151"/>
      <c r="LTQ151"/>
      <c r="LTR151"/>
      <c r="LTS151"/>
      <c r="LTT151"/>
      <c r="LTU151"/>
      <c r="LTV151"/>
      <c r="LTW151"/>
      <c r="LTX151"/>
      <c r="LTY151"/>
      <c r="LTZ151"/>
      <c r="LUA151"/>
      <c r="LUB151"/>
      <c r="LUC151"/>
      <c r="LUD151"/>
      <c r="LUE151"/>
      <c r="LUF151"/>
      <c r="LUG151"/>
      <c r="LUH151"/>
      <c r="LUI151"/>
      <c r="LUJ151"/>
      <c r="LUK151"/>
      <c r="LUL151"/>
      <c r="LUM151"/>
      <c r="LUN151"/>
      <c r="LUO151"/>
      <c r="LUP151"/>
      <c r="LUQ151"/>
      <c r="LUR151"/>
      <c r="LUS151"/>
      <c r="LUT151"/>
      <c r="LUU151"/>
      <c r="LUV151"/>
      <c r="LUW151"/>
      <c r="LUX151"/>
      <c r="LUY151"/>
      <c r="LUZ151"/>
      <c r="LVA151"/>
      <c r="LVB151"/>
      <c r="LVC151"/>
      <c r="LVD151"/>
      <c r="LVE151"/>
      <c r="LVF151"/>
      <c r="LVG151"/>
      <c r="LVH151"/>
      <c r="LVI151"/>
      <c r="LVJ151"/>
      <c r="LVK151"/>
      <c r="LVL151"/>
      <c r="LVM151"/>
      <c r="LVN151"/>
      <c r="LVO151"/>
      <c r="LVP151"/>
      <c r="LVQ151"/>
      <c r="LVR151"/>
      <c r="LVS151"/>
      <c r="LVT151"/>
      <c r="LVU151"/>
      <c r="LVV151"/>
      <c r="LVW151"/>
      <c r="LVX151"/>
      <c r="LVY151"/>
      <c r="LVZ151"/>
      <c r="LWA151"/>
      <c r="LWB151"/>
      <c r="LWC151"/>
      <c r="LWD151"/>
      <c r="LWE151"/>
      <c r="LWF151"/>
      <c r="LWG151"/>
      <c r="LWH151"/>
      <c r="LWI151"/>
      <c r="LWJ151"/>
      <c r="LWK151"/>
      <c r="LWL151"/>
      <c r="LWM151"/>
      <c r="LWN151"/>
      <c r="LWO151"/>
      <c r="LWP151"/>
      <c r="LWQ151"/>
      <c r="LWR151"/>
      <c r="LWS151"/>
      <c r="LWT151"/>
      <c r="LWU151"/>
      <c r="LWV151"/>
      <c r="LWW151"/>
      <c r="LWX151"/>
      <c r="LWY151"/>
      <c r="LWZ151"/>
      <c r="LXA151"/>
      <c r="LXB151"/>
      <c r="LXC151"/>
      <c r="LXD151"/>
      <c r="LXE151"/>
      <c r="LXF151"/>
      <c r="LXG151"/>
      <c r="LXH151"/>
      <c r="LXI151"/>
      <c r="LXJ151"/>
      <c r="LXK151"/>
      <c r="LXL151"/>
      <c r="LXM151"/>
      <c r="LXN151"/>
      <c r="LXO151"/>
      <c r="LXP151"/>
      <c r="LXQ151"/>
      <c r="LXR151"/>
      <c r="LXS151"/>
      <c r="LXT151"/>
      <c r="LXU151"/>
      <c r="LXV151"/>
      <c r="LXW151"/>
      <c r="LXX151"/>
      <c r="LXY151"/>
      <c r="LXZ151"/>
      <c r="LYA151"/>
      <c r="LYB151"/>
      <c r="LYC151"/>
      <c r="LYD151"/>
      <c r="LYE151"/>
      <c r="LYF151"/>
      <c r="LYG151"/>
      <c r="LYH151"/>
      <c r="LYI151"/>
      <c r="LYJ151"/>
      <c r="LYK151"/>
      <c r="LYL151"/>
      <c r="LYM151"/>
      <c r="LYN151"/>
      <c r="LYO151"/>
      <c r="LYP151"/>
      <c r="LYQ151"/>
      <c r="LYR151"/>
      <c r="LYS151"/>
      <c r="LYT151"/>
      <c r="LYU151"/>
      <c r="LYV151"/>
      <c r="LYW151"/>
      <c r="LYX151"/>
      <c r="LYY151"/>
      <c r="LYZ151"/>
      <c r="LZA151"/>
      <c r="LZB151"/>
      <c r="LZC151"/>
      <c r="LZD151"/>
      <c r="LZE151"/>
      <c r="LZF151"/>
      <c r="LZG151"/>
      <c r="LZH151"/>
      <c r="LZI151"/>
      <c r="LZJ151"/>
      <c r="LZK151"/>
      <c r="LZL151"/>
      <c r="LZM151"/>
      <c r="LZN151"/>
      <c r="LZO151"/>
      <c r="LZP151"/>
      <c r="LZQ151"/>
      <c r="LZR151"/>
      <c r="LZS151"/>
      <c r="LZT151"/>
      <c r="LZU151"/>
      <c r="LZV151"/>
      <c r="LZW151"/>
      <c r="LZX151"/>
      <c r="LZY151"/>
      <c r="LZZ151"/>
      <c r="MAA151"/>
      <c r="MAB151"/>
      <c r="MAC151"/>
      <c r="MAD151"/>
      <c r="MAE151"/>
      <c r="MAF151"/>
      <c r="MAG151"/>
      <c r="MAH151"/>
      <c r="MAI151"/>
      <c r="MAJ151"/>
      <c r="MAK151"/>
      <c r="MAL151"/>
      <c r="MAM151"/>
      <c r="MAN151"/>
      <c r="MAO151"/>
      <c r="MAP151"/>
      <c r="MAQ151"/>
      <c r="MAR151"/>
      <c r="MAS151"/>
      <c r="MAT151"/>
      <c r="MAU151"/>
      <c r="MAV151"/>
      <c r="MAW151"/>
      <c r="MAX151"/>
      <c r="MAY151"/>
      <c r="MAZ151"/>
      <c r="MBA151"/>
      <c r="MBB151"/>
      <c r="MBC151"/>
      <c r="MBD151"/>
      <c r="MBE151"/>
      <c r="MBF151"/>
      <c r="MBG151"/>
      <c r="MBH151"/>
      <c r="MBI151"/>
      <c r="MBJ151"/>
      <c r="MBK151"/>
      <c r="MBL151"/>
      <c r="MBM151"/>
      <c r="MBN151"/>
      <c r="MBO151"/>
      <c r="MBP151"/>
      <c r="MBQ151"/>
      <c r="MBR151"/>
      <c r="MBS151"/>
      <c r="MBT151"/>
      <c r="MBU151"/>
      <c r="MBV151"/>
      <c r="MBW151"/>
      <c r="MBX151"/>
      <c r="MBY151"/>
      <c r="MBZ151"/>
      <c r="MCA151"/>
      <c r="MCB151"/>
      <c r="MCC151"/>
      <c r="MCD151"/>
      <c r="MCE151"/>
      <c r="MCF151"/>
      <c r="MCG151"/>
      <c r="MCH151"/>
      <c r="MCI151"/>
      <c r="MCJ151"/>
      <c r="MCK151"/>
      <c r="MCL151"/>
      <c r="MCM151"/>
      <c r="MCN151"/>
      <c r="MCO151"/>
      <c r="MCP151"/>
      <c r="MCQ151"/>
      <c r="MCR151"/>
      <c r="MCS151"/>
      <c r="MCT151"/>
      <c r="MCU151"/>
      <c r="MCV151"/>
      <c r="MCW151"/>
      <c r="MCX151"/>
      <c r="MCY151"/>
      <c r="MCZ151"/>
      <c r="MDA151"/>
      <c r="MDB151"/>
      <c r="MDC151"/>
      <c r="MDD151"/>
      <c r="MDE151"/>
      <c r="MDF151"/>
      <c r="MDG151"/>
      <c r="MDH151"/>
      <c r="MDI151"/>
      <c r="MDJ151"/>
      <c r="MDK151"/>
      <c r="MDL151"/>
      <c r="MDM151"/>
      <c r="MDN151"/>
      <c r="MDO151"/>
      <c r="MDP151"/>
      <c r="MDQ151"/>
      <c r="MDR151"/>
      <c r="MDS151"/>
      <c r="MDT151"/>
      <c r="MDU151"/>
      <c r="MDV151"/>
      <c r="MDW151"/>
      <c r="MDX151"/>
      <c r="MDY151"/>
      <c r="MDZ151"/>
      <c r="MEA151"/>
      <c r="MEB151"/>
      <c r="MEC151"/>
      <c r="MED151"/>
      <c r="MEE151"/>
      <c r="MEF151"/>
      <c r="MEG151"/>
      <c r="MEH151"/>
      <c r="MEI151"/>
      <c r="MEJ151"/>
      <c r="MEK151"/>
      <c r="MEL151"/>
      <c r="MEM151"/>
      <c r="MEN151"/>
      <c r="MEO151"/>
      <c r="MEP151"/>
      <c r="MEQ151"/>
      <c r="MER151"/>
      <c r="MES151"/>
      <c r="MET151"/>
      <c r="MEU151"/>
      <c r="MEV151"/>
      <c r="MEW151"/>
      <c r="MEX151"/>
      <c r="MEY151"/>
      <c r="MEZ151"/>
      <c r="MFA151"/>
      <c r="MFB151"/>
      <c r="MFC151"/>
      <c r="MFD151"/>
      <c r="MFE151"/>
      <c r="MFF151"/>
      <c r="MFG151"/>
      <c r="MFH151"/>
      <c r="MFI151"/>
      <c r="MFJ151"/>
      <c r="MFK151"/>
      <c r="MFL151"/>
      <c r="MFM151"/>
      <c r="MFN151"/>
      <c r="MFO151"/>
      <c r="MFP151"/>
      <c r="MFQ151"/>
      <c r="MFR151"/>
      <c r="MFS151"/>
      <c r="MFT151"/>
      <c r="MFU151"/>
      <c r="MFV151"/>
      <c r="MFW151"/>
      <c r="MFX151"/>
      <c r="MFY151"/>
      <c r="MFZ151"/>
      <c r="MGA151"/>
      <c r="MGB151"/>
      <c r="MGC151"/>
      <c r="MGD151"/>
      <c r="MGE151"/>
      <c r="MGF151"/>
      <c r="MGG151"/>
      <c r="MGH151"/>
      <c r="MGI151"/>
      <c r="MGJ151"/>
      <c r="MGK151"/>
      <c r="MGL151"/>
      <c r="MGM151"/>
      <c r="MGN151"/>
      <c r="MGO151"/>
      <c r="MGP151"/>
      <c r="MGQ151"/>
      <c r="MGR151"/>
      <c r="MGS151"/>
      <c r="MGT151"/>
      <c r="MGU151"/>
      <c r="MGV151"/>
      <c r="MGW151"/>
      <c r="MGX151"/>
      <c r="MGY151"/>
      <c r="MGZ151"/>
      <c r="MHA151"/>
      <c r="MHB151"/>
      <c r="MHC151"/>
      <c r="MHD151"/>
      <c r="MHE151"/>
      <c r="MHF151"/>
      <c r="MHG151"/>
      <c r="MHH151"/>
      <c r="MHI151"/>
      <c r="MHJ151"/>
      <c r="MHK151"/>
      <c r="MHL151"/>
      <c r="MHM151"/>
      <c r="MHN151"/>
      <c r="MHO151"/>
      <c r="MHP151"/>
      <c r="MHQ151"/>
      <c r="MHR151"/>
      <c r="MHS151"/>
      <c r="MHT151"/>
      <c r="MHU151"/>
      <c r="MHV151"/>
      <c r="MHW151"/>
      <c r="MHX151"/>
      <c r="MHY151"/>
      <c r="MHZ151"/>
      <c r="MIA151"/>
      <c r="MIB151"/>
      <c r="MIC151"/>
      <c r="MID151"/>
      <c r="MIE151"/>
      <c r="MIF151"/>
      <c r="MIG151"/>
      <c r="MIH151"/>
      <c r="MII151"/>
      <c r="MIJ151"/>
      <c r="MIK151"/>
      <c r="MIL151"/>
      <c r="MIM151"/>
      <c r="MIN151"/>
      <c r="MIO151"/>
      <c r="MIP151"/>
      <c r="MIQ151"/>
      <c r="MIR151"/>
      <c r="MIS151"/>
      <c r="MIT151"/>
      <c r="MIU151"/>
      <c r="MIV151"/>
      <c r="MIW151"/>
      <c r="MIX151"/>
      <c r="MIY151"/>
      <c r="MIZ151"/>
      <c r="MJA151"/>
      <c r="MJB151"/>
      <c r="MJC151"/>
      <c r="MJD151"/>
      <c r="MJE151"/>
      <c r="MJF151"/>
      <c r="MJG151"/>
      <c r="MJH151"/>
      <c r="MJI151"/>
      <c r="MJJ151"/>
      <c r="MJK151"/>
      <c r="MJL151"/>
      <c r="MJM151"/>
      <c r="MJN151"/>
      <c r="MJO151"/>
      <c r="MJP151"/>
      <c r="MJQ151"/>
      <c r="MJR151"/>
      <c r="MJS151"/>
      <c r="MJT151"/>
      <c r="MJU151"/>
      <c r="MJV151"/>
      <c r="MJW151"/>
      <c r="MJX151"/>
      <c r="MJY151"/>
      <c r="MJZ151"/>
      <c r="MKA151"/>
      <c r="MKB151"/>
      <c r="MKC151"/>
      <c r="MKD151"/>
      <c r="MKE151"/>
      <c r="MKF151"/>
      <c r="MKG151"/>
      <c r="MKH151"/>
      <c r="MKI151"/>
      <c r="MKJ151"/>
      <c r="MKK151"/>
      <c r="MKL151"/>
      <c r="MKM151"/>
      <c r="MKN151"/>
      <c r="MKO151"/>
      <c r="MKP151"/>
      <c r="MKQ151"/>
      <c r="MKR151"/>
      <c r="MKS151"/>
      <c r="MKT151"/>
      <c r="MKU151"/>
      <c r="MKV151"/>
      <c r="MKW151"/>
      <c r="MKX151"/>
      <c r="MKY151"/>
      <c r="MKZ151"/>
      <c r="MLA151"/>
      <c r="MLB151"/>
      <c r="MLC151"/>
      <c r="MLD151"/>
      <c r="MLE151"/>
      <c r="MLF151"/>
      <c r="MLG151"/>
      <c r="MLH151"/>
      <c r="MLI151"/>
      <c r="MLJ151"/>
      <c r="MLK151"/>
      <c r="MLL151"/>
      <c r="MLM151"/>
      <c r="MLN151"/>
      <c r="MLO151"/>
      <c r="MLP151"/>
      <c r="MLQ151"/>
      <c r="MLR151"/>
      <c r="MLS151"/>
      <c r="MLT151"/>
      <c r="MLU151"/>
      <c r="MLV151"/>
      <c r="MLW151"/>
      <c r="MLX151"/>
      <c r="MLY151"/>
      <c r="MLZ151"/>
      <c r="MMA151"/>
      <c r="MMB151"/>
      <c r="MMC151"/>
      <c r="MMD151"/>
      <c r="MME151"/>
      <c r="MMF151"/>
      <c r="MMG151"/>
      <c r="MMH151"/>
      <c r="MMI151"/>
      <c r="MMJ151"/>
      <c r="MMK151"/>
      <c r="MML151"/>
      <c r="MMM151"/>
      <c r="MMN151"/>
      <c r="MMO151"/>
      <c r="MMP151"/>
      <c r="MMQ151"/>
      <c r="MMR151"/>
      <c r="MMS151"/>
      <c r="MMT151"/>
      <c r="MMU151"/>
      <c r="MMV151"/>
      <c r="MMW151"/>
      <c r="MMX151"/>
      <c r="MMY151"/>
      <c r="MMZ151"/>
      <c r="MNA151"/>
      <c r="MNB151"/>
      <c r="MNC151"/>
      <c r="MND151"/>
      <c r="MNE151"/>
      <c r="MNF151"/>
      <c r="MNG151"/>
      <c r="MNH151"/>
      <c r="MNI151"/>
      <c r="MNJ151"/>
      <c r="MNK151"/>
      <c r="MNL151"/>
      <c r="MNM151"/>
      <c r="MNN151"/>
      <c r="MNO151"/>
      <c r="MNP151"/>
      <c r="MNQ151"/>
      <c r="MNR151"/>
      <c r="MNS151"/>
      <c r="MNT151"/>
      <c r="MNU151"/>
      <c r="MNV151"/>
      <c r="MNW151"/>
      <c r="MNX151"/>
      <c r="MNY151"/>
      <c r="MNZ151"/>
      <c r="MOA151"/>
      <c r="MOB151"/>
      <c r="MOC151"/>
      <c r="MOD151"/>
      <c r="MOE151"/>
      <c r="MOF151"/>
      <c r="MOG151"/>
      <c r="MOH151"/>
      <c r="MOI151"/>
      <c r="MOJ151"/>
      <c r="MOK151"/>
      <c r="MOL151"/>
      <c r="MOM151"/>
      <c r="MON151"/>
      <c r="MOO151"/>
      <c r="MOP151"/>
      <c r="MOQ151"/>
      <c r="MOR151"/>
      <c r="MOS151"/>
      <c r="MOT151"/>
      <c r="MOU151"/>
      <c r="MOV151"/>
      <c r="MOW151"/>
      <c r="MOX151"/>
      <c r="MOY151"/>
      <c r="MOZ151"/>
      <c r="MPA151"/>
      <c r="MPB151"/>
      <c r="MPC151"/>
      <c r="MPD151"/>
      <c r="MPE151"/>
      <c r="MPF151"/>
      <c r="MPG151"/>
      <c r="MPH151"/>
      <c r="MPI151"/>
      <c r="MPJ151"/>
      <c r="MPK151"/>
      <c r="MPL151"/>
      <c r="MPM151"/>
      <c r="MPN151"/>
      <c r="MPO151"/>
      <c r="MPP151"/>
      <c r="MPQ151"/>
      <c r="MPR151"/>
      <c r="MPS151"/>
      <c r="MPT151"/>
      <c r="MPU151"/>
      <c r="MPV151"/>
      <c r="MPW151"/>
      <c r="MPX151"/>
      <c r="MPY151"/>
      <c r="MPZ151"/>
      <c r="MQA151"/>
      <c r="MQB151"/>
      <c r="MQC151"/>
      <c r="MQD151"/>
      <c r="MQE151"/>
      <c r="MQF151"/>
      <c r="MQG151"/>
      <c r="MQH151"/>
      <c r="MQI151"/>
      <c r="MQJ151"/>
      <c r="MQK151"/>
      <c r="MQL151"/>
      <c r="MQM151"/>
      <c r="MQN151"/>
      <c r="MQO151"/>
      <c r="MQP151"/>
      <c r="MQQ151"/>
      <c r="MQR151"/>
      <c r="MQS151"/>
      <c r="MQT151"/>
      <c r="MQU151"/>
      <c r="MQV151"/>
      <c r="MQW151"/>
      <c r="MQX151"/>
      <c r="MQY151"/>
      <c r="MQZ151"/>
      <c r="MRA151"/>
      <c r="MRB151"/>
      <c r="MRC151"/>
      <c r="MRD151"/>
      <c r="MRE151"/>
      <c r="MRF151"/>
      <c r="MRG151"/>
      <c r="MRH151"/>
      <c r="MRI151"/>
      <c r="MRJ151"/>
      <c r="MRK151"/>
      <c r="MRL151"/>
      <c r="MRM151"/>
      <c r="MRN151"/>
      <c r="MRO151"/>
      <c r="MRP151"/>
      <c r="MRQ151"/>
      <c r="MRR151"/>
      <c r="MRS151"/>
      <c r="MRT151"/>
      <c r="MRU151"/>
      <c r="MRV151"/>
      <c r="MRW151"/>
      <c r="MRX151"/>
      <c r="MRY151"/>
      <c r="MRZ151"/>
      <c r="MSA151"/>
      <c r="MSB151"/>
      <c r="MSC151"/>
      <c r="MSD151"/>
      <c r="MSE151"/>
      <c r="MSF151"/>
      <c r="MSG151"/>
      <c r="MSH151"/>
      <c r="MSI151"/>
      <c r="MSJ151"/>
      <c r="MSK151"/>
      <c r="MSL151"/>
      <c r="MSM151"/>
      <c r="MSN151"/>
      <c r="MSO151"/>
      <c r="MSP151"/>
      <c r="MSQ151"/>
      <c r="MSR151"/>
      <c r="MSS151"/>
      <c r="MST151"/>
      <c r="MSU151"/>
      <c r="MSV151"/>
      <c r="MSW151"/>
      <c r="MSX151"/>
      <c r="MSY151"/>
      <c r="MSZ151"/>
      <c r="MTA151"/>
      <c r="MTB151"/>
      <c r="MTC151"/>
      <c r="MTD151"/>
      <c r="MTE151"/>
      <c r="MTF151"/>
      <c r="MTG151"/>
      <c r="MTH151"/>
      <c r="MTI151"/>
      <c r="MTJ151"/>
      <c r="MTK151"/>
      <c r="MTL151"/>
      <c r="MTM151"/>
      <c r="MTN151"/>
      <c r="MTO151"/>
      <c r="MTP151"/>
      <c r="MTQ151"/>
      <c r="MTR151"/>
      <c r="MTS151"/>
      <c r="MTT151"/>
      <c r="MTU151"/>
      <c r="MTV151"/>
      <c r="MTW151"/>
      <c r="MTX151"/>
      <c r="MTY151"/>
      <c r="MTZ151"/>
      <c r="MUA151"/>
      <c r="MUB151"/>
      <c r="MUC151"/>
      <c r="MUD151"/>
      <c r="MUE151"/>
      <c r="MUF151"/>
      <c r="MUG151"/>
      <c r="MUH151"/>
      <c r="MUI151"/>
      <c r="MUJ151"/>
      <c r="MUK151"/>
      <c r="MUL151"/>
      <c r="MUM151"/>
      <c r="MUN151"/>
      <c r="MUO151"/>
      <c r="MUP151"/>
      <c r="MUQ151"/>
      <c r="MUR151"/>
      <c r="MUS151"/>
      <c r="MUT151"/>
      <c r="MUU151"/>
      <c r="MUV151"/>
      <c r="MUW151"/>
      <c r="MUX151"/>
      <c r="MUY151"/>
      <c r="MUZ151"/>
      <c r="MVA151"/>
      <c r="MVB151"/>
      <c r="MVC151"/>
      <c r="MVD151"/>
      <c r="MVE151"/>
      <c r="MVF151"/>
      <c r="MVG151"/>
      <c r="MVH151"/>
      <c r="MVI151"/>
      <c r="MVJ151"/>
      <c r="MVK151"/>
      <c r="MVL151"/>
      <c r="MVM151"/>
      <c r="MVN151"/>
      <c r="MVO151"/>
      <c r="MVP151"/>
      <c r="MVQ151"/>
      <c r="MVR151"/>
      <c r="MVS151"/>
      <c r="MVT151"/>
      <c r="MVU151"/>
      <c r="MVV151"/>
      <c r="MVW151"/>
      <c r="MVX151"/>
      <c r="MVY151"/>
      <c r="MVZ151"/>
      <c r="MWA151"/>
      <c r="MWB151"/>
      <c r="MWC151"/>
      <c r="MWD151"/>
      <c r="MWE151"/>
      <c r="MWF151"/>
      <c r="MWG151"/>
      <c r="MWH151"/>
      <c r="MWI151"/>
      <c r="MWJ151"/>
      <c r="MWK151"/>
      <c r="MWL151"/>
      <c r="MWM151"/>
      <c r="MWN151"/>
      <c r="MWO151"/>
      <c r="MWP151"/>
      <c r="MWQ151"/>
      <c r="MWR151"/>
      <c r="MWS151"/>
      <c r="MWT151"/>
      <c r="MWU151"/>
      <c r="MWV151"/>
      <c r="MWW151"/>
      <c r="MWX151"/>
      <c r="MWY151"/>
      <c r="MWZ151"/>
      <c r="MXA151"/>
      <c r="MXB151"/>
      <c r="MXC151"/>
      <c r="MXD151"/>
      <c r="MXE151"/>
      <c r="MXF151"/>
      <c r="MXG151"/>
      <c r="MXH151"/>
      <c r="MXI151"/>
      <c r="MXJ151"/>
      <c r="MXK151"/>
      <c r="MXL151"/>
      <c r="MXM151"/>
      <c r="MXN151"/>
      <c r="MXO151"/>
      <c r="MXP151"/>
      <c r="MXQ151"/>
      <c r="MXR151"/>
      <c r="MXS151"/>
      <c r="MXT151"/>
      <c r="MXU151"/>
      <c r="MXV151"/>
      <c r="MXW151"/>
      <c r="MXX151"/>
      <c r="MXY151"/>
      <c r="MXZ151"/>
      <c r="MYA151"/>
      <c r="MYB151"/>
      <c r="MYC151"/>
      <c r="MYD151"/>
      <c r="MYE151"/>
      <c r="MYF151"/>
      <c r="MYG151"/>
      <c r="MYH151"/>
      <c r="MYI151"/>
      <c r="MYJ151"/>
      <c r="MYK151"/>
      <c r="MYL151"/>
      <c r="MYM151"/>
      <c r="MYN151"/>
      <c r="MYO151"/>
      <c r="MYP151"/>
      <c r="MYQ151"/>
      <c r="MYR151"/>
      <c r="MYS151"/>
      <c r="MYT151"/>
      <c r="MYU151"/>
      <c r="MYV151"/>
      <c r="MYW151"/>
      <c r="MYX151"/>
      <c r="MYY151"/>
      <c r="MYZ151"/>
      <c r="MZA151"/>
      <c r="MZB151"/>
      <c r="MZC151"/>
      <c r="MZD151"/>
      <c r="MZE151"/>
      <c r="MZF151"/>
      <c r="MZG151"/>
      <c r="MZH151"/>
      <c r="MZI151"/>
      <c r="MZJ151"/>
      <c r="MZK151"/>
      <c r="MZL151"/>
      <c r="MZM151"/>
      <c r="MZN151"/>
      <c r="MZO151"/>
      <c r="MZP151"/>
      <c r="MZQ151"/>
      <c r="MZR151"/>
      <c r="MZS151"/>
      <c r="MZT151"/>
      <c r="MZU151"/>
      <c r="MZV151"/>
      <c r="MZW151"/>
      <c r="MZX151"/>
      <c r="MZY151"/>
      <c r="MZZ151"/>
      <c r="NAA151"/>
      <c r="NAB151"/>
      <c r="NAC151"/>
      <c r="NAD151"/>
      <c r="NAE151"/>
      <c r="NAF151"/>
      <c r="NAG151"/>
      <c r="NAH151"/>
      <c r="NAI151"/>
      <c r="NAJ151"/>
      <c r="NAK151"/>
      <c r="NAL151"/>
      <c r="NAM151"/>
      <c r="NAN151"/>
      <c r="NAO151"/>
      <c r="NAP151"/>
      <c r="NAQ151"/>
      <c r="NAR151"/>
      <c r="NAS151"/>
      <c r="NAT151"/>
      <c r="NAU151"/>
      <c r="NAV151"/>
      <c r="NAW151"/>
      <c r="NAX151"/>
      <c r="NAY151"/>
      <c r="NAZ151"/>
      <c r="NBA151"/>
      <c r="NBB151"/>
      <c r="NBC151"/>
      <c r="NBD151"/>
      <c r="NBE151"/>
      <c r="NBF151"/>
      <c r="NBG151"/>
      <c r="NBH151"/>
      <c r="NBI151"/>
      <c r="NBJ151"/>
      <c r="NBK151"/>
      <c r="NBL151"/>
      <c r="NBM151"/>
      <c r="NBN151"/>
      <c r="NBO151"/>
      <c r="NBP151"/>
      <c r="NBQ151"/>
      <c r="NBR151"/>
      <c r="NBS151"/>
      <c r="NBT151"/>
      <c r="NBU151"/>
      <c r="NBV151"/>
      <c r="NBW151"/>
      <c r="NBX151"/>
      <c r="NBY151"/>
      <c r="NBZ151"/>
      <c r="NCA151"/>
      <c r="NCB151"/>
      <c r="NCC151"/>
      <c r="NCD151"/>
      <c r="NCE151"/>
      <c r="NCF151"/>
      <c r="NCG151"/>
      <c r="NCH151"/>
      <c r="NCI151"/>
      <c r="NCJ151"/>
      <c r="NCK151"/>
      <c r="NCL151"/>
      <c r="NCM151"/>
      <c r="NCN151"/>
      <c r="NCO151"/>
      <c r="NCP151"/>
      <c r="NCQ151"/>
      <c r="NCR151"/>
      <c r="NCS151"/>
      <c r="NCT151"/>
      <c r="NCU151"/>
      <c r="NCV151"/>
      <c r="NCW151"/>
      <c r="NCX151"/>
      <c r="NCY151"/>
      <c r="NCZ151"/>
      <c r="NDA151"/>
      <c r="NDB151"/>
      <c r="NDC151"/>
      <c r="NDD151"/>
      <c r="NDE151"/>
      <c r="NDF151"/>
      <c r="NDG151"/>
      <c r="NDH151"/>
      <c r="NDI151"/>
      <c r="NDJ151"/>
      <c r="NDK151"/>
      <c r="NDL151"/>
      <c r="NDM151"/>
      <c r="NDN151"/>
      <c r="NDO151"/>
      <c r="NDP151"/>
      <c r="NDQ151"/>
      <c r="NDR151"/>
      <c r="NDS151"/>
      <c r="NDT151"/>
      <c r="NDU151"/>
      <c r="NDV151"/>
      <c r="NDW151"/>
      <c r="NDX151"/>
      <c r="NDY151"/>
      <c r="NDZ151"/>
      <c r="NEA151"/>
      <c r="NEB151"/>
      <c r="NEC151"/>
      <c r="NED151"/>
      <c r="NEE151"/>
      <c r="NEF151"/>
      <c r="NEG151"/>
      <c r="NEH151"/>
      <c r="NEI151"/>
      <c r="NEJ151"/>
      <c r="NEK151"/>
      <c r="NEL151"/>
      <c r="NEM151"/>
      <c r="NEN151"/>
      <c r="NEO151"/>
      <c r="NEP151"/>
      <c r="NEQ151"/>
      <c r="NER151"/>
      <c r="NES151"/>
      <c r="NET151"/>
      <c r="NEU151"/>
      <c r="NEV151"/>
      <c r="NEW151"/>
      <c r="NEX151"/>
      <c r="NEY151"/>
      <c r="NEZ151"/>
      <c r="NFA151"/>
      <c r="NFB151"/>
      <c r="NFC151"/>
      <c r="NFD151"/>
      <c r="NFE151"/>
      <c r="NFF151"/>
      <c r="NFG151"/>
      <c r="NFH151"/>
      <c r="NFI151"/>
      <c r="NFJ151"/>
      <c r="NFK151"/>
      <c r="NFL151"/>
      <c r="NFM151"/>
      <c r="NFN151"/>
      <c r="NFO151"/>
      <c r="NFP151"/>
      <c r="NFQ151"/>
      <c r="NFR151"/>
      <c r="NFS151"/>
      <c r="NFT151"/>
      <c r="NFU151"/>
      <c r="NFV151"/>
      <c r="NFW151"/>
      <c r="NFX151"/>
      <c r="NFY151"/>
      <c r="NFZ151"/>
      <c r="NGA151"/>
      <c r="NGB151"/>
      <c r="NGC151"/>
      <c r="NGD151"/>
      <c r="NGE151"/>
      <c r="NGF151"/>
      <c r="NGG151"/>
      <c r="NGH151"/>
      <c r="NGI151"/>
      <c r="NGJ151"/>
      <c r="NGK151"/>
      <c r="NGL151"/>
      <c r="NGM151"/>
      <c r="NGN151"/>
      <c r="NGO151"/>
      <c r="NGP151"/>
      <c r="NGQ151"/>
      <c r="NGR151"/>
      <c r="NGS151"/>
      <c r="NGT151"/>
      <c r="NGU151"/>
      <c r="NGV151"/>
      <c r="NGW151"/>
      <c r="NGX151"/>
      <c r="NGY151"/>
      <c r="NGZ151"/>
      <c r="NHA151"/>
      <c r="NHB151"/>
      <c r="NHC151"/>
      <c r="NHD151"/>
      <c r="NHE151"/>
      <c r="NHF151"/>
      <c r="NHG151"/>
      <c r="NHH151"/>
      <c r="NHI151"/>
      <c r="NHJ151"/>
      <c r="NHK151"/>
      <c r="NHL151"/>
      <c r="NHM151"/>
      <c r="NHN151"/>
      <c r="NHO151"/>
      <c r="NHP151"/>
      <c r="NHQ151"/>
      <c r="NHR151"/>
      <c r="NHS151"/>
      <c r="NHT151"/>
      <c r="NHU151"/>
      <c r="NHV151"/>
      <c r="NHW151"/>
      <c r="NHX151"/>
      <c r="NHY151"/>
      <c r="NHZ151"/>
      <c r="NIA151"/>
      <c r="NIB151"/>
      <c r="NIC151"/>
      <c r="NID151"/>
      <c r="NIE151"/>
      <c r="NIF151"/>
      <c r="NIG151"/>
      <c r="NIH151"/>
      <c r="NII151"/>
      <c r="NIJ151"/>
      <c r="NIK151"/>
      <c r="NIL151"/>
      <c r="NIM151"/>
      <c r="NIN151"/>
      <c r="NIO151"/>
      <c r="NIP151"/>
      <c r="NIQ151"/>
      <c r="NIR151"/>
      <c r="NIS151"/>
      <c r="NIT151"/>
      <c r="NIU151"/>
      <c r="NIV151"/>
      <c r="NIW151"/>
      <c r="NIX151"/>
      <c r="NIY151"/>
      <c r="NIZ151"/>
      <c r="NJA151"/>
      <c r="NJB151"/>
      <c r="NJC151"/>
      <c r="NJD151"/>
      <c r="NJE151"/>
      <c r="NJF151"/>
      <c r="NJG151"/>
      <c r="NJH151"/>
      <c r="NJI151"/>
      <c r="NJJ151"/>
      <c r="NJK151"/>
      <c r="NJL151"/>
      <c r="NJM151"/>
      <c r="NJN151"/>
      <c r="NJO151"/>
      <c r="NJP151"/>
      <c r="NJQ151"/>
      <c r="NJR151"/>
      <c r="NJS151"/>
      <c r="NJT151"/>
      <c r="NJU151"/>
      <c r="NJV151"/>
      <c r="NJW151"/>
      <c r="NJX151"/>
      <c r="NJY151"/>
      <c r="NJZ151"/>
      <c r="NKA151"/>
      <c r="NKB151"/>
      <c r="NKC151"/>
      <c r="NKD151"/>
      <c r="NKE151"/>
      <c r="NKF151"/>
      <c r="NKG151"/>
      <c r="NKH151"/>
      <c r="NKI151"/>
      <c r="NKJ151"/>
      <c r="NKK151"/>
      <c r="NKL151"/>
      <c r="NKM151"/>
      <c r="NKN151"/>
      <c r="NKO151"/>
      <c r="NKP151"/>
      <c r="NKQ151"/>
      <c r="NKR151"/>
      <c r="NKS151"/>
      <c r="NKT151"/>
      <c r="NKU151"/>
      <c r="NKV151"/>
      <c r="NKW151"/>
      <c r="NKX151"/>
      <c r="NKY151"/>
      <c r="NKZ151"/>
      <c r="NLA151"/>
      <c r="NLB151"/>
      <c r="NLC151"/>
      <c r="NLD151"/>
      <c r="NLE151"/>
      <c r="NLF151"/>
      <c r="NLG151"/>
      <c r="NLH151"/>
      <c r="NLI151"/>
      <c r="NLJ151"/>
      <c r="NLK151"/>
      <c r="NLL151"/>
      <c r="NLM151"/>
      <c r="NLN151"/>
      <c r="NLO151"/>
      <c r="NLP151"/>
      <c r="NLQ151"/>
      <c r="NLR151"/>
      <c r="NLS151"/>
      <c r="NLT151"/>
      <c r="NLU151"/>
      <c r="NLV151"/>
      <c r="NLW151"/>
      <c r="NLX151"/>
      <c r="NLY151"/>
      <c r="NLZ151"/>
      <c r="NMA151"/>
      <c r="NMB151"/>
      <c r="NMC151"/>
      <c r="NMD151"/>
      <c r="NME151"/>
      <c r="NMF151"/>
      <c r="NMG151"/>
      <c r="NMH151"/>
      <c r="NMI151"/>
      <c r="NMJ151"/>
      <c r="NMK151"/>
      <c r="NML151"/>
      <c r="NMM151"/>
      <c r="NMN151"/>
      <c r="NMO151"/>
      <c r="NMP151"/>
      <c r="NMQ151"/>
      <c r="NMR151"/>
      <c r="NMS151"/>
      <c r="NMT151"/>
      <c r="NMU151"/>
      <c r="NMV151"/>
      <c r="NMW151"/>
      <c r="NMX151"/>
      <c r="NMY151"/>
      <c r="NMZ151"/>
      <c r="NNA151"/>
      <c r="NNB151"/>
      <c r="NNC151"/>
      <c r="NND151"/>
      <c r="NNE151"/>
      <c r="NNF151"/>
      <c r="NNG151"/>
      <c r="NNH151"/>
      <c r="NNI151"/>
      <c r="NNJ151"/>
      <c r="NNK151"/>
      <c r="NNL151"/>
      <c r="NNM151"/>
      <c r="NNN151"/>
      <c r="NNO151"/>
      <c r="NNP151"/>
      <c r="NNQ151"/>
      <c r="NNR151"/>
      <c r="NNS151"/>
      <c r="NNT151"/>
      <c r="NNU151"/>
      <c r="NNV151"/>
      <c r="NNW151"/>
      <c r="NNX151"/>
      <c r="NNY151"/>
      <c r="NNZ151"/>
      <c r="NOA151"/>
      <c r="NOB151"/>
      <c r="NOC151"/>
      <c r="NOD151"/>
      <c r="NOE151"/>
      <c r="NOF151"/>
      <c r="NOG151"/>
      <c r="NOH151"/>
      <c r="NOI151"/>
      <c r="NOJ151"/>
      <c r="NOK151"/>
      <c r="NOL151"/>
      <c r="NOM151"/>
      <c r="NON151"/>
      <c r="NOO151"/>
      <c r="NOP151"/>
      <c r="NOQ151"/>
      <c r="NOR151"/>
      <c r="NOS151"/>
      <c r="NOT151"/>
      <c r="NOU151"/>
      <c r="NOV151"/>
      <c r="NOW151"/>
      <c r="NOX151"/>
      <c r="NOY151"/>
      <c r="NOZ151"/>
      <c r="NPA151"/>
      <c r="NPB151"/>
      <c r="NPC151"/>
      <c r="NPD151"/>
      <c r="NPE151"/>
      <c r="NPF151"/>
      <c r="NPG151"/>
      <c r="NPH151"/>
      <c r="NPI151"/>
      <c r="NPJ151"/>
      <c r="NPK151"/>
      <c r="NPL151"/>
      <c r="NPM151"/>
      <c r="NPN151"/>
      <c r="NPO151"/>
      <c r="NPP151"/>
      <c r="NPQ151"/>
      <c r="NPR151"/>
      <c r="NPS151"/>
      <c r="NPT151"/>
      <c r="NPU151"/>
      <c r="NPV151"/>
      <c r="NPW151"/>
      <c r="NPX151"/>
      <c r="NPY151"/>
      <c r="NPZ151"/>
      <c r="NQA151"/>
      <c r="NQB151"/>
      <c r="NQC151"/>
      <c r="NQD151"/>
      <c r="NQE151"/>
      <c r="NQF151"/>
      <c r="NQG151"/>
      <c r="NQH151"/>
      <c r="NQI151"/>
      <c r="NQJ151"/>
      <c r="NQK151"/>
      <c r="NQL151"/>
      <c r="NQM151"/>
      <c r="NQN151"/>
      <c r="NQO151"/>
      <c r="NQP151"/>
      <c r="NQQ151"/>
      <c r="NQR151"/>
      <c r="NQS151"/>
      <c r="NQT151"/>
      <c r="NQU151"/>
      <c r="NQV151"/>
      <c r="NQW151"/>
      <c r="NQX151"/>
      <c r="NQY151"/>
      <c r="NQZ151"/>
      <c r="NRA151"/>
      <c r="NRB151"/>
      <c r="NRC151"/>
      <c r="NRD151"/>
      <c r="NRE151"/>
      <c r="NRF151"/>
      <c r="NRG151"/>
      <c r="NRH151"/>
      <c r="NRI151"/>
      <c r="NRJ151"/>
      <c r="NRK151"/>
      <c r="NRL151"/>
      <c r="NRM151"/>
      <c r="NRN151"/>
      <c r="NRO151"/>
      <c r="NRP151"/>
      <c r="NRQ151"/>
      <c r="NRR151"/>
      <c r="NRS151"/>
      <c r="NRT151"/>
      <c r="NRU151"/>
      <c r="NRV151"/>
      <c r="NRW151"/>
      <c r="NRX151"/>
      <c r="NRY151"/>
      <c r="NRZ151"/>
      <c r="NSA151"/>
      <c r="NSB151"/>
      <c r="NSC151"/>
      <c r="NSD151"/>
      <c r="NSE151"/>
      <c r="NSF151"/>
      <c r="NSG151"/>
      <c r="NSH151"/>
      <c r="NSI151"/>
      <c r="NSJ151"/>
      <c r="NSK151"/>
      <c r="NSL151"/>
      <c r="NSM151"/>
      <c r="NSN151"/>
      <c r="NSO151"/>
      <c r="NSP151"/>
      <c r="NSQ151"/>
      <c r="NSR151"/>
      <c r="NSS151"/>
      <c r="NST151"/>
      <c r="NSU151"/>
      <c r="NSV151"/>
      <c r="NSW151"/>
      <c r="NSX151"/>
      <c r="NSY151"/>
      <c r="NSZ151"/>
      <c r="NTA151"/>
      <c r="NTB151"/>
      <c r="NTC151"/>
      <c r="NTD151"/>
      <c r="NTE151"/>
      <c r="NTF151"/>
      <c r="NTG151"/>
      <c r="NTH151"/>
      <c r="NTI151"/>
      <c r="NTJ151"/>
      <c r="NTK151"/>
      <c r="NTL151"/>
      <c r="NTM151"/>
      <c r="NTN151"/>
      <c r="NTO151"/>
      <c r="NTP151"/>
      <c r="NTQ151"/>
      <c r="NTR151"/>
      <c r="NTS151"/>
      <c r="NTT151"/>
      <c r="NTU151"/>
      <c r="NTV151"/>
      <c r="NTW151"/>
      <c r="NTX151"/>
      <c r="NTY151"/>
      <c r="NTZ151"/>
      <c r="NUA151"/>
      <c r="NUB151"/>
      <c r="NUC151"/>
      <c r="NUD151"/>
      <c r="NUE151"/>
      <c r="NUF151"/>
      <c r="NUG151"/>
      <c r="NUH151"/>
      <c r="NUI151"/>
      <c r="NUJ151"/>
      <c r="NUK151"/>
      <c r="NUL151"/>
      <c r="NUM151"/>
      <c r="NUN151"/>
      <c r="NUO151"/>
      <c r="NUP151"/>
      <c r="NUQ151"/>
      <c r="NUR151"/>
      <c r="NUS151"/>
      <c r="NUT151"/>
      <c r="NUU151"/>
      <c r="NUV151"/>
      <c r="NUW151"/>
      <c r="NUX151"/>
      <c r="NUY151"/>
      <c r="NUZ151"/>
      <c r="NVA151"/>
      <c r="NVB151"/>
      <c r="NVC151"/>
      <c r="NVD151"/>
      <c r="NVE151"/>
      <c r="NVF151"/>
      <c r="NVG151"/>
      <c r="NVH151"/>
      <c r="NVI151"/>
      <c r="NVJ151"/>
      <c r="NVK151"/>
      <c r="NVL151"/>
      <c r="NVM151"/>
      <c r="NVN151"/>
      <c r="NVO151"/>
      <c r="NVP151"/>
      <c r="NVQ151"/>
      <c r="NVR151"/>
      <c r="NVS151"/>
      <c r="NVT151"/>
      <c r="NVU151"/>
      <c r="NVV151"/>
      <c r="NVW151"/>
      <c r="NVX151"/>
      <c r="NVY151"/>
      <c r="NVZ151"/>
      <c r="NWA151"/>
      <c r="NWB151"/>
      <c r="NWC151"/>
      <c r="NWD151"/>
      <c r="NWE151"/>
      <c r="NWF151"/>
      <c r="NWG151"/>
      <c r="NWH151"/>
      <c r="NWI151"/>
      <c r="NWJ151"/>
      <c r="NWK151"/>
      <c r="NWL151"/>
      <c r="NWM151"/>
      <c r="NWN151"/>
      <c r="NWO151"/>
      <c r="NWP151"/>
      <c r="NWQ151"/>
      <c r="NWR151"/>
      <c r="NWS151"/>
      <c r="NWT151"/>
      <c r="NWU151"/>
      <c r="NWV151"/>
      <c r="NWW151"/>
      <c r="NWX151"/>
      <c r="NWY151"/>
      <c r="NWZ151"/>
      <c r="NXA151"/>
      <c r="NXB151"/>
      <c r="NXC151"/>
      <c r="NXD151"/>
      <c r="NXE151"/>
      <c r="NXF151"/>
      <c r="NXG151"/>
      <c r="NXH151"/>
      <c r="NXI151"/>
      <c r="NXJ151"/>
      <c r="NXK151"/>
      <c r="NXL151"/>
      <c r="NXM151"/>
      <c r="NXN151"/>
      <c r="NXO151"/>
      <c r="NXP151"/>
      <c r="NXQ151"/>
      <c r="NXR151"/>
      <c r="NXS151"/>
      <c r="NXT151"/>
      <c r="NXU151"/>
      <c r="NXV151"/>
      <c r="NXW151"/>
      <c r="NXX151"/>
      <c r="NXY151"/>
      <c r="NXZ151"/>
      <c r="NYA151"/>
      <c r="NYB151"/>
      <c r="NYC151"/>
      <c r="NYD151"/>
      <c r="NYE151"/>
      <c r="NYF151"/>
      <c r="NYG151"/>
      <c r="NYH151"/>
      <c r="NYI151"/>
      <c r="NYJ151"/>
      <c r="NYK151"/>
      <c r="NYL151"/>
      <c r="NYM151"/>
      <c r="NYN151"/>
      <c r="NYO151"/>
      <c r="NYP151"/>
      <c r="NYQ151"/>
      <c r="NYR151"/>
      <c r="NYS151"/>
      <c r="NYT151"/>
      <c r="NYU151"/>
      <c r="NYV151"/>
      <c r="NYW151"/>
      <c r="NYX151"/>
      <c r="NYY151"/>
      <c r="NYZ151"/>
      <c r="NZA151"/>
      <c r="NZB151"/>
      <c r="NZC151"/>
      <c r="NZD151"/>
      <c r="NZE151"/>
      <c r="NZF151"/>
      <c r="NZG151"/>
      <c r="NZH151"/>
      <c r="NZI151"/>
      <c r="NZJ151"/>
      <c r="NZK151"/>
      <c r="NZL151"/>
      <c r="NZM151"/>
      <c r="NZN151"/>
      <c r="NZO151"/>
      <c r="NZP151"/>
      <c r="NZQ151"/>
      <c r="NZR151"/>
      <c r="NZS151"/>
      <c r="NZT151"/>
      <c r="NZU151"/>
      <c r="NZV151"/>
      <c r="NZW151"/>
      <c r="NZX151"/>
      <c r="NZY151"/>
      <c r="NZZ151"/>
      <c r="OAA151"/>
      <c r="OAB151"/>
      <c r="OAC151"/>
      <c r="OAD151"/>
      <c r="OAE151"/>
      <c r="OAF151"/>
      <c r="OAG151"/>
      <c r="OAH151"/>
      <c r="OAI151"/>
      <c r="OAJ151"/>
      <c r="OAK151"/>
      <c r="OAL151"/>
      <c r="OAM151"/>
      <c r="OAN151"/>
      <c r="OAO151"/>
      <c r="OAP151"/>
      <c r="OAQ151"/>
      <c r="OAR151"/>
      <c r="OAS151"/>
      <c r="OAT151"/>
      <c r="OAU151"/>
      <c r="OAV151"/>
      <c r="OAW151"/>
      <c r="OAX151"/>
      <c r="OAY151"/>
      <c r="OAZ151"/>
      <c r="OBA151"/>
      <c r="OBB151"/>
      <c r="OBC151"/>
      <c r="OBD151"/>
      <c r="OBE151"/>
      <c r="OBF151"/>
      <c r="OBG151"/>
      <c r="OBH151"/>
      <c r="OBI151"/>
      <c r="OBJ151"/>
      <c r="OBK151"/>
      <c r="OBL151"/>
      <c r="OBM151"/>
      <c r="OBN151"/>
      <c r="OBO151"/>
      <c r="OBP151"/>
      <c r="OBQ151"/>
      <c r="OBR151"/>
      <c r="OBS151"/>
      <c r="OBT151"/>
      <c r="OBU151"/>
      <c r="OBV151"/>
      <c r="OBW151"/>
      <c r="OBX151"/>
      <c r="OBY151"/>
      <c r="OBZ151"/>
      <c r="OCA151"/>
      <c r="OCB151"/>
      <c r="OCC151"/>
      <c r="OCD151"/>
      <c r="OCE151"/>
      <c r="OCF151"/>
      <c r="OCG151"/>
      <c r="OCH151"/>
      <c r="OCI151"/>
      <c r="OCJ151"/>
      <c r="OCK151"/>
      <c r="OCL151"/>
      <c r="OCM151"/>
      <c r="OCN151"/>
      <c r="OCO151"/>
      <c r="OCP151"/>
      <c r="OCQ151"/>
      <c r="OCR151"/>
      <c r="OCS151"/>
      <c r="OCT151"/>
      <c r="OCU151"/>
      <c r="OCV151"/>
      <c r="OCW151"/>
      <c r="OCX151"/>
      <c r="OCY151"/>
      <c r="OCZ151"/>
      <c r="ODA151"/>
      <c r="ODB151"/>
      <c r="ODC151"/>
      <c r="ODD151"/>
      <c r="ODE151"/>
      <c r="ODF151"/>
      <c r="ODG151"/>
      <c r="ODH151"/>
      <c r="ODI151"/>
      <c r="ODJ151"/>
      <c r="ODK151"/>
      <c r="ODL151"/>
      <c r="ODM151"/>
      <c r="ODN151"/>
      <c r="ODO151"/>
      <c r="ODP151"/>
      <c r="ODQ151"/>
      <c r="ODR151"/>
      <c r="ODS151"/>
      <c r="ODT151"/>
      <c r="ODU151"/>
      <c r="ODV151"/>
      <c r="ODW151"/>
      <c r="ODX151"/>
      <c r="ODY151"/>
      <c r="ODZ151"/>
      <c r="OEA151"/>
      <c r="OEB151"/>
      <c r="OEC151"/>
      <c r="OED151"/>
      <c r="OEE151"/>
      <c r="OEF151"/>
      <c r="OEG151"/>
      <c r="OEH151"/>
      <c r="OEI151"/>
      <c r="OEJ151"/>
      <c r="OEK151"/>
      <c r="OEL151"/>
      <c r="OEM151"/>
      <c r="OEN151"/>
      <c r="OEO151"/>
      <c r="OEP151"/>
      <c r="OEQ151"/>
      <c r="OER151"/>
      <c r="OES151"/>
      <c r="OET151"/>
      <c r="OEU151"/>
      <c r="OEV151"/>
      <c r="OEW151"/>
      <c r="OEX151"/>
      <c r="OEY151"/>
      <c r="OEZ151"/>
      <c r="OFA151"/>
      <c r="OFB151"/>
      <c r="OFC151"/>
      <c r="OFD151"/>
      <c r="OFE151"/>
      <c r="OFF151"/>
      <c r="OFG151"/>
      <c r="OFH151"/>
      <c r="OFI151"/>
      <c r="OFJ151"/>
      <c r="OFK151"/>
      <c r="OFL151"/>
      <c r="OFM151"/>
      <c r="OFN151"/>
      <c r="OFO151"/>
      <c r="OFP151"/>
      <c r="OFQ151"/>
      <c r="OFR151"/>
      <c r="OFS151"/>
      <c r="OFT151"/>
      <c r="OFU151"/>
      <c r="OFV151"/>
      <c r="OFW151"/>
      <c r="OFX151"/>
      <c r="OFY151"/>
      <c r="OFZ151"/>
      <c r="OGA151"/>
      <c r="OGB151"/>
      <c r="OGC151"/>
      <c r="OGD151"/>
      <c r="OGE151"/>
      <c r="OGF151"/>
      <c r="OGG151"/>
      <c r="OGH151"/>
      <c r="OGI151"/>
      <c r="OGJ151"/>
      <c r="OGK151"/>
      <c r="OGL151"/>
      <c r="OGM151"/>
      <c r="OGN151"/>
      <c r="OGO151"/>
      <c r="OGP151"/>
      <c r="OGQ151"/>
      <c r="OGR151"/>
      <c r="OGS151"/>
      <c r="OGT151"/>
      <c r="OGU151"/>
      <c r="OGV151"/>
      <c r="OGW151"/>
      <c r="OGX151"/>
      <c r="OGY151"/>
      <c r="OGZ151"/>
      <c r="OHA151"/>
      <c r="OHB151"/>
      <c r="OHC151"/>
      <c r="OHD151"/>
      <c r="OHE151"/>
      <c r="OHF151"/>
      <c r="OHG151"/>
      <c r="OHH151"/>
      <c r="OHI151"/>
      <c r="OHJ151"/>
      <c r="OHK151"/>
      <c r="OHL151"/>
      <c r="OHM151"/>
      <c r="OHN151"/>
      <c r="OHO151"/>
      <c r="OHP151"/>
      <c r="OHQ151"/>
      <c r="OHR151"/>
      <c r="OHS151"/>
      <c r="OHT151"/>
      <c r="OHU151"/>
      <c r="OHV151"/>
      <c r="OHW151"/>
      <c r="OHX151"/>
      <c r="OHY151"/>
      <c r="OHZ151"/>
      <c r="OIA151"/>
      <c r="OIB151"/>
      <c r="OIC151"/>
      <c r="OID151"/>
      <c r="OIE151"/>
      <c r="OIF151"/>
      <c r="OIG151"/>
      <c r="OIH151"/>
      <c r="OII151"/>
      <c r="OIJ151"/>
      <c r="OIK151"/>
      <c r="OIL151"/>
      <c r="OIM151"/>
      <c r="OIN151"/>
      <c r="OIO151"/>
      <c r="OIP151"/>
      <c r="OIQ151"/>
      <c r="OIR151"/>
      <c r="OIS151"/>
      <c r="OIT151"/>
      <c r="OIU151"/>
      <c r="OIV151"/>
      <c r="OIW151"/>
      <c r="OIX151"/>
      <c r="OIY151"/>
      <c r="OIZ151"/>
      <c r="OJA151"/>
      <c r="OJB151"/>
      <c r="OJC151"/>
      <c r="OJD151"/>
      <c r="OJE151"/>
      <c r="OJF151"/>
      <c r="OJG151"/>
      <c r="OJH151"/>
      <c r="OJI151"/>
      <c r="OJJ151"/>
      <c r="OJK151"/>
      <c r="OJL151"/>
      <c r="OJM151"/>
      <c r="OJN151"/>
      <c r="OJO151"/>
      <c r="OJP151"/>
      <c r="OJQ151"/>
      <c r="OJR151"/>
      <c r="OJS151"/>
      <c r="OJT151"/>
      <c r="OJU151"/>
      <c r="OJV151"/>
      <c r="OJW151"/>
      <c r="OJX151"/>
      <c r="OJY151"/>
      <c r="OJZ151"/>
      <c r="OKA151"/>
      <c r="OKB151"/>
      <c r="OKC151"/>
      <c r="OKD151"/>
      <c r="OKE151"/>
      <c r="OKF151"/>
      <c r="OKG151"/>
      <c r="OKH151"/>
      <c r="OKI151"/>
      <c r="OKJ151"/>
      <c r="OKK151"/>
      <c r="OKL151"/>
      <c r="OKM151"/>
      <c r="OKN151"/>
      <c r="OKO151"/>
      <c r="OKP151"/>
      <c r="OKQ151"/>
      <c r="OKR151"/>
      <c r="OKS151"/>
      <c r="OKT151"/>
      <c r="OKU151"/>
      <c r="OKV151"/>
      <c r="OKW151"/>
      <c r="OKX151"/>
      <c r="OKY151"/>
      <c r="OKZ151"/>
      <c r="OLA151"/>
      <c r="OLB151"/>
      <c r="OLC151"/>
      <c r="OLD151"/>
      <c r="OLE151"/>
      <c r="OLF151"/>
      <c r="OLG151"/>
      <c r="OLH151"/>
      <c r="OLI151"/>
      <c r="OLJ151"/>
      <c r="OLK151"/>
      <c r="OLL151"/>
      <c r="OLM151"/>
      <c r="OLN151"/>
      <c r="OLO151"/>
      <c r="OLP151"/>
      <c r="OLQ151"/>
      <c r="OLR151"/>
      <c r="OLS151"/>
      <c r="OLT151"/>
      <c r="OLU151"/>
      <c r="OLV151"/>
      <c r="OLW151"/>
      <c r="OLX151"/>
      <c r="OLY151"/>
      <c r="OLZ151"/>
      <c r="OMA151"/>
      <c r="OMB151"/>
      <c r="OMC151"/>
      <c r="OMD151"/>
      <c r="OME151"/>
      <c r="OMF151"/>
      <c r="OMG151"/>
      <c r="OMH151"/>
      <c r="OMI151"/>
      <c r="OMJ151"/>
      <c r="OMK151"/>
      <c r="OML151"/>
      <c r="OMM151"/>
      <c r="OMN151"/>
      <c r="OMO151"/>
      <c r="OMP151"/>
      <c r="OMQ151"/>
      <c r="OMR151"/>
      <c r="OMS151"/>
      <c r="OMT151"/>
      <c r="OMU151"/>
      <c r="OMV151"/>
      <c r="OMW151"/>
      <c r="OMX151"/>
      <c r="OMY151"/>
      <c r="OMZ151"/>
      <c r="ONA151"/>
      <c r="ONB151"/>
      <c r="ONC151"/>
      <c r="OND151"/>
      <c r="ONE151"/>
      <c r="ONF151"/>
      <c r="ONG151"/>
      <c r="ONH151"/>
      <c r="ONI151"/>
      <c r="ONJ151"/>
      <c r="ONK151"/>
      <c r="ONL151"/>
      <c r="ONM151"/>
      <c r="ONN151"/>
      <c r="ONO151"/>
      <c r="ONP151"/>
      <c r="ONQ151"/>
      <c r="ONR151"/>
      <c r="ONS151"/>
      <c r="ONT151"/>
      <c r="ONU151"/>
      <c r="ONV151"/>
      <c r="ONW151"/>
      <c r="ONX151"/>
      <c r="ONY151"/>
      <c r="ONZ151"/>
      <c r="OOA151"/>
      <c r="OOB151"/>
      <c r="OOC151"/>
      <c r="OOD151"/>
      <c r="OOE151"/>
      <c r="OOF151"/>
      <c r="OOG151"/>
      <c r="OOH151"/>
      <c r="OOI151"/>
      <c r="OOJ151"/>
      <c r="OOK151"/>
      <c r="OOL151"/>
      <c r="OOM151"/>
      <c r="OON151"/>
      <c r="OOO151"/>
      <c r="OOP151"/>
      <c r="OOQ151"/>
      <c r="OOR151"/>
      <c r="OOS151"/>
      <c r="OOT151"/>
      <c r="OOU151"/>
      <c r="OOV151"/>
      <c r="OOW151"/>
      <c r="OOX151"/>
      <c r="OOY151"/>
      <c r="OOZ151"/>
      <c r="OPA151"/>
      <c r="OPB151"/>
      <c r="OPC151"/>
      <c r="OPD151"/>
      <c r="OPE151"/>
      <c r="OPF151"/>
      <c r="OPG151"/>
      <c r="OPH151"/>
      <c r="OPI151"/>
      <c r="OPJ151"/>
      <c r="OPK151"/>
      <c r="OPL151"/>
      <c r="OPM151"/>
      <c r="OPN151"/>
      <c r="OPO151"/>
      <c r="OPP151"/>
      <c r="OPQ151"/>
      <c r="OPR151"/>
      <c r="OPS151"/>
      <c r="OPT151"/>
      <c r="OPU151"/>
      <c r="OPV151"/>
      <c r="OPW151"/>
      <c r="OPX151"/>
      <c r="OPY151"/>
      <c r="OPZ151"/>
      <c r="OQA151"/>
      <c r="OQB151"/>
      <c r="OQC151"/>
      <c r="OQD151"/>
      <c r="OQE151"/>
      <c r="OQF151"/>
      <c r="OQG151"/>
      <c r="OQH151"/>
      <c r="OQI151"/>
      <c r="OQJ151"/>
      <c r="OQK151"/>
      <c r="OQL151"/>
      <c r="OQM151"/>
      <c r="OQN151"/>
      <c r="OQO151"/>
      <c r="OQP151"/>
      <c r="OQQ151"/>
      <c r="OQR151"/>
      <c r="OQS151"/>
      <c r="OQT151"/>
      <c r="OQU151"/>
      <c r="OQV151"/>
      <c r="OQW151"/>
      <c r="OQX151"/>
      <c r="OQY151"/>
      <c r="OQZ151"/>
      <c r="ORA151"/>
      <c r="ORB151"/>
      <c r="ORC151"/>
      <c r="ORD151"/>
      <c r="ORE151"/>
      <c r="ORF151"/>
      <c r="ORG151"/>
      <c r="ORH151"/>
      <c r="ORI151"/>
      <c r="ORJ151"/>
      <c r="ORK151"/>
      <c r="ORL151"/>
      <c r="ORM151"/>
      <c r="ORN151"/>
      <c r="ORO151"/>
      <c r="ORP151"/>
      <c r="ORQ151"/>
      <c r="ORR151"/>
      <c r="ORS151"/>
      <c r="ORT151"/>
      <c r="ORU151"/>
      <c r="ORV151"/>
      <c r="ORW151"/>
      <c r="ORX151"/>
      <c r="ORY151"/>
      <c r="ORZ151"/>
      <c r="OSA151"/>
      <c r="OSB151"/>
      <c r="OSC151"/>
      <c r="OSD151"/>
      <c r="OSE151"/>
      <c r="OSF151"/>
      <c r="OSG151"/>
      <c r="OSH151"/>
      <c r="OSI151"/>
      <c r="OSJ151"/>
      <c r="OSK151"/>
      <c r="OSL151"/>
      <c r="OSM151"/>
      <c r="OSN151"/>
      <c r="OSO151"/>
      <c r="OSP151"/>
      <c r="OSQ151"/>
      <c r="OSR151"/>
      <c r="OSS151"/>
      <c r="OST151"/>
      <c r="OSU151"/>
      <c r="OSV151"/>
      <c r="OSW151"/>
      <c r="OSX151"/>
      <c r="OSY151"/>
      <c r="OSZ151"/>
      <c r="OTA151"/>
      <c r="OTB151"/>
      <c r="OTC151"/>
      <c r="OTD151"/>
      <c r="OTE151"/>
      <c r="OTF151"/>
      <c r="OTG151"/>
      <c r="OTH151"/>
      <c r="OTI151"/>
      <c r="OTJ151"/>
      <c r="OTK151"/>
      <c r="OTL151"/>
      <c r="OTM151"/>
      <c r="OTN151"/>
      <c r="OTO151"/>
      <c r="OTP151"/>
      <c r="OTQ151"/>
      <c r="OTR151"/>
      <c r="OTS151"/>
      <c r="OTT151"/>
      <c r="OTU151"/>
      <c r="OTV151"/>
      <c r="OTW151"/>
      <c r="OTX151"/>
      <c r="OTY151"/>
      <c r="OTZ151"/>
      <c r="OUA151"/>
      <c r="OUB151"/>
      <c r="OUC151"/>
      <c r="OUD151"/>
      <c r="OUE151"/>
      <c r="OUF151"/>
      <c r="OUG151"/>
      <c r="OUH151"/>
      <c r="OUI151"/>
      <c r="OUJ151"/>
      <c r="OUK151"/>
      <c r="OUL151"/>
      <c r="OUM151"/>
      <c r="OUN151"/>
      <c r="OUO151"/>
      <c r="OUP151"/>
      <c r="OUQ151"/>
      <c r="OUR151"/>
      <c r="OUS151"/>
      <c r="OUT151"/>
      <c r="OUU151"/>
      <c r="OUV151"/>
      <c r="OUW151"/>
      <c r="OUX151"/>
      <c r="OUY151"/>
      <c r="OUZ151"/>
      <c r="OVA151"/>
      <c r="OVB151"/>
      <c r="OVC151"/>
      <c r="OVD151"/>
      <c r="OVE151"/>
      <c r="OVF151"/>
      <c r="OVG151"/>
      <c r="OVH151"/>
      <c r="OVI151"/>
      <c r="OVJ151"/>
      <c r="OVK151"/>
      <c r="OVL151"/>
      <c r="OVM151"/>
      <c r="OVN151"/>
      <c r="OVO151"/>
      <c r="OVP151"/>
      <c r="OVQ151"/>
      <c r="OVR151"/>
      <c r="OVS151"/>
      <c r="OVT151"/>
      <c r="OVU151"/>
      <c r="OVV151"/>
      <c r="OVW151"/>
      <c r="OVX151"/>
      <c r="OVY151"/>
      <c r="OVZ151"/>
      <c r="OWA151"/>
      <c r="OWB151"/>
      <c r="OWC151"/>
      <c r="OWD151"/>
      <c r="OWE151"/>
      <c r="OWF151"/>
      <c r="OWG151"/>
      <c r="OWH151"/>
      <c r="OWI151"/>
      <c r="OWJ151"/>
      <c r="OWK151"/>
      <c r="OWL151"/>
      <c r="OWM151"/>
      <c r="OWN151"/>
      <c r="OWO151"/>
      <c r="OWP151"/>
      <c r="OWQ151"/>
      <c r="OWR151"/>
      <c r="OWS151"/>
      <c r="OWT151"/>
      <c r="OWU151"/>
      <c r="OWV151"/>
      <c r="OWW151"/>
      <c r="OWX151"/>
      <c r="OWY151"/>
      <c r="OWZ151"/>
      <c r="OXA151"/>
      <c r="OXB151"/>
      <c r="OXC151"/>
      <c r="OXD151"/>
      <c r="OXE151"/>
      <c r="OXF151"/>
      <c r="OXG151"/>
      <c r="OXH151"/>
      <c r="OXI151"/>
      <c r="OXJ151"/>
      <c r="OXK151"/>
      <c r="OXL151"/>
      <c r="OXM151"/>
      <c r="OXN151"/>
      <c r="OXO151"/>
      <c r="OXP151"/>
      <c r="OXQ151"/>
      <c r="OXR151"/>
      <c r="OXS151"/>
      <c r="OXT151"/>
      <c r="OXU151"/>
      <c r="OXV151"/>
      <c r="OXW151"/>
      <c r="OXX151"/>
      <c r="OXY151"/>
      <c r="OXZ151"/>
      <c r="OYA151"/>
      <c r="OYB151"/>
      <c r="OYC151"/>
      <c r="OYD151"/>
      <c r="OYE151"/>
      <c r="OYF151"/>
      <c r="OYG151"/>
      <c r="OYH151"/>
      <c r="OYI151"/>
      <c r="OYJ151"/>
      <c r="OYK151"/>
      <c r="OYL151"/>
      <c r="OYM151"/>
      <c r="OYN151"/>
      <c r="OYO151"/>
      <c r="OYP151"/>
      <c r="OYQ151"/>
      <c r="OYR151"/>
      <c r="OYS151"/>
      <c r="OYT151"/>
      <c r="OYU151"/>
      <c r="OYV151"/>
      <c r="OYW151"/>
      <c r="OYX151"/>
      <c r="OYY151"/>
      <c r="OYZ151"/>
      <c r="OZA151"/>
      <c r="OZB151"/>
      <c r="OZC151"/>
      <c r="OZD151"/>
      <c r="OZE151"/>
      <c r="OZF151"/>
      <c r="OZG151"/>
      <c r="OZH151"/>
      <c r="OZI151"/>
      <c r="OZJ151"/>
      <c r="OZK151"/>
      <c r="OZL151"/>
      <c r="OZM151"/>
      <c r="OZN151"/>
      <c r="OZO151"/>
      <c r="OZP151"/>
      <c r="OZQ151"/>
      <c r="OZR151"/>
      <c r="OZS151"/>
      <c r="OZT151"/>
      <c r="OZU151"/>
      <c r="OZV151"/>
      <c r="OZW151"/>
      <c r="OZX151"/>
      <c r="OZY151"/>
      <c r="OZZ151"/>
      <c r="PAA151"/>
      <c r="PAB151"/>
      <c r="PAC151"/>
      <c r="PAD151"/>
      <c r="PAE151"/>
      <c r="PAF151"/>
      <c r="PAG151"/>
      <c r="PAH151"/>
      <c r="PAI151"/>
      <c r="PAJ151"/>
      <c r="PAK151"/>
      <c r="PAL151"/>
      <c r="PAM151"/>
      <c r="PAN151"/>
      <c r="PAO151"/>
      <c r="PAP151"/>
      <c r="PAQ151"/>
      <c r="PAR151"/>
      <c r="PAS151"/>
      <c r="PAT151"/>
      <c r="PAU151"/>
      <c r="PAV151"/>
      <c r="PAW151"/>
      <c r="PAX151"/>
      <c r="PAY151"/>
      <c r="PAZ151"/>
      <c r="PBA151"/>
      <c r="PBB151"/>
      <c r="PBC151"/>
      <c r="PBD151"/>
      <c r="PBE151"/>
      <c r="PBF151"/>
      <c r="PBG151"/>
      <c r="PBH151"/>
      <c r="PBI151"/>
      <c r="PBJ151"/>
      <c r="PBK151"/>
      <c r="PBL151"/>
      <c r="PBM151"/>
      <c r="PBN151"/>
      <c r="PBO151"/>
      <c r="PBP151"/>
      <c r="PBQ151"/>
      <c r="PBR151"/>
      <c r="PBS151"/>
      <c r="PBT151"/>
      <c r="PBU151"/>
      <c r="PBV151"/>
      <c r="PBW151"/>
      <c r="PBX151"/>
      <c r="PBY151"/>
      <c r="PBZ151"/>
      <c r="PCA151"/>
      <c r="PCB151"/>
      <c r="PCC151"/>
      <c r="PCD151"/>
      <c r="PCE151"/>
      <c r="PCF151"/>
      <c r="PCG151"/>
      <c r="PCH151"/>
      <c r="PCI151"/>
      <c r="PCJ151"/>
      <c r="PCK151"/>
      <c r="PCL151"/>
      <c r="PCM151"/>
      <c r="PCN151"/>
      <c r="PCO151"/>
      <c r="PCP151"/>
      <c r="PCQ151"/>
      <c r="PCR151"/>
      <c r="PCS151"/>
      <c r="PCT151"/>
      <c r="PCU151"/>
      <c r="PCV151"/>
      <c r="PCW151"/>
      <c r="PCX151"/>
      <c r="PCY151"/>
      <c r="PCZ151"/>
      <c r="PDA151"/>
      <c r="PDB151"/>
      <c r="PDC151"/>
      <c r="PDD151"/>
      <c r="PDE151"/>
      <c r="PDF151"/>
      <c r="PDG151"/>
      <c r="PDH151"/>
      <c r="PDI151"/>
      <c r="PDJ151"/>
      <c r="PDK151"/>
      <c r="PDL151"/>
      <c r="PDM151"/>
      <c r="PDN151"/>
      <c r="PDO151"/>
      <c r="PDP151"/>
      <c r="PDQ151"/>
      <c r="PDR151"/>
      <c r="PDS151"/>
      <c r="PDT151"/>
      <c r="PDU151"/>
      <c r="PDV151"/>
      <c r="PDW151"/>
      <c r="PDX151"/>
      <c r="PDY151"/>
      <c r="PDZ151"/>
      <c r="PEA151"/>
      <c r="PEB151"/>
      <c r="PEC151"/>
      <c r="PED151"/>
      <c r="PEE151"/>
      <c r="PEF151"/>
      <c r="PEG151"/>
      <c r="PEH151"/>
      <c r="PEI151"/>
      <c r="PEJ151"/>
      <c r="PEK151"/>
      <c r="PEL151"/>
      <c r="PEM151"/>
      <c r="PEN151"/>
      <c r="PEO151"/>
      <c r="PEP151"/>
      <c r="PEQ151"/>
      <c r="PER151"/>
      <c r="PES151"/>
      <c r="PET151"/>
      <c r="PEU151"/>
      <c r="PEV151"/>
      <c r="PEW151"/>
      <c r="PEX151"/>
      <c r="PEY151"/>
      <c r="PEZ151"/>
      <c r="PFA151"/>
      <c r="PFB151"/>
      <c r="PFC151"/>
      <c r="PFD151"/>
      <c r="PFE151"/>
      <c r="PFF151"/>
      <c r="PFG151"/>
      <c r="PFH151"/>
      <c r="PFI151"/>
      <c r="PFJ151"/>
      <c r="PFK151"/>
      <c r="PFL151"/>
      <c r="PFM151"/>
      <c r="PFN151"/>
      <c r="PFO151"/>
      <c r="PFP151"/>
      <c r="PFQ151"/>
      <c r="PFR151"/>
      <c r="PFS151"/>
      <c r="PFT151"/>
      <c r="PFU151"/>
      <c r="PFV151"/>
      <c r="PFW151"/>
      <c r="PFX151"/>
      <c r="PFY151"/>
      <c r="PFZ151"/>
      <c r="PGA151"/>
      <c r="PGB151"/>
      <c r="PGC151"/>
      <c r="PGD151"/>
      <c r="PGE151"/>
      <c r="PGF151"/>
      <c r="PGG151"/>
      <c r="PGH151"/>
      <c r="PGI151"/>
      <c r="PGJ151"/>
      <c r="PGK151"/>
      <c r="PGL151"/>
      <c r="PGM151"/>
      <c r="PGN151"/>
      <c r="PGO151"/>
      <c r="PGP151"/>
      <c r="PGQ151"/>
      <c r="PGR151"/>
      <c r="PGS151"/>
      <c r="PGT151"/>
      <c r="PGU151"/>
      <c r="PGV151"/>
      <c r="PGW151"/>
      <c r="PGX151"/>
      <c r="PGY151"/>
      <c r="PGZ151"/>
      <c r="PHA151"/>
      <c r="PHB151"/>
      <c r="PHC151"/>
      <c r="PHD151"/>
      <c r="PHE151"/>
      <c r="PHF151"/>
      <c r="PHG151"/>
      <c r="PHH151"/>
      <c r="PHI151"/>
      <c r="PHJ151"/>
      <c r="PHK151"/>
      <c r="PHL151"/>
      <c r="PHM151"/>
      <c r="PHN151"/>
      <c r="PHO151"/>
      <c r="PHP151"/>
      <c r="PHQ151"/>
      <c r="PHR151"/>
      <c r="PHS151"/>
      <c r="PHT151"/>
      <c r="PHU151"/>
      <c r="PHV151"/>
      <c r="PHW151"/>
      <c r="PHX151"/>
      <c r="PHY151"/>
      <c r="PHZ151"/>
      <c r="PIA151"/>
      <c r="PIB151"/>
      <c r="PIC151"/>
      <c r="PID151"/>
      <c r="PIE151"/>
      <c r="PIF151"/>
      <c r="PIG151"/>
      <c r="PIH151"/>
      <c r="PII151"/>
      <c r="PIJ151"/>
      <c r="PIK151"/>
      <c r="PIL151"/>
      <c r="PIM151"/>
      <c r="PIN151"/>
      <c r="PIO151"/>
      <c r="PIP151"/>
      <c r="PIQ151"/>
      <c r="PIR151"/>
      <c r="PIS151"/>
      <c r="PIT151"/>
      <c r="PIU151"/>
      <c r="PIV151"/>
      <c r="PIW151"/>
      <c r="PIX151"/>
      <c r="PIY151"/>
      <c r="PIZ151"/>
      <c r="PJA151"/>
      <c r="PJB151"/>
      <c r="PJC151"/>
      <c r="PJD151"/>
      <c r="PJE151"/>
      <c r="PJF151"/>
      <c r="PJG151"/>
      <c r="PJH151"/>
      <c r="PJI151"/>
      <c r="PJJ151"/>
      <c r="PJK151"/>
      <c r="PJL151"/>
      <c r="PJM151"/>
      <c r="PJN151"/>
      <c r="PJO151"/>
      <c r="PJP151"/>
      <c r="PJQ151"/>
      <c r="PJR151"/>
      <c r="PJS151"/>
      <c r="PJT151"/>
      <c r="PJU151"/>
      <c r="PJV151"/>
      <c r="PJW151"/>
      <c r="PJX151"/>
      <c r="PJY151"/>
      <c r="PJZ151"/>
      <c r="PKA151"/>
      <c r="PKB151"/>
      <c r="PKC151"/>
      <c r="PKD151"/>
      <c r="PKE151"/>
      <c r="PKF151"/>
      <c r="PKG151"/>
      <c r="PKH151"/>
      <c r="PKI151"/>
      <c r="PKJ151"/>
      <c r="PKK151"/>
      <c r="PKL151"/>
      <c r="PKM151"/>
      <c r="PKN151"/>
      <c r="PKO151"/>
      <c r="PKP151"/>
      <c r="PKQ151"/>
      <c r="PKR151"/>
      <c r="PKS151"/>
      <c r="PKT151"/>
      <c r="PKU151"/>
      <c r="PKV151"/>
      <c r="PKW151"/>
      <c r="PKX151"/>
      <c r="PKY151"/>
      <c r="PKZ151"/>
      <c r="PLA151"/>
      <c r="PLB151"/>
      <c r="PLC151"/>
      <c r="PLD151"/>
      <c r="PLE151"/>
      <c r="PLF151"/>
      <c r="PLG151"/>
      <c r="PLH151"/>
      <c r="PLI151"/>
      <c r="PLJ151"/>
      <c r="PLK151"/>
      <c r="PLL151"/>
      <c r="PLM151"/>
      <c r="PLN151"/>
      <c r="PLO151"/>
      <c r="PLP151"/>
      <c r="PLQ151"/>
      <c r="PLR151"/>
      <c r="PLS151"/>
      <c r="PLT151"/>
      <c r="PLU151"/>
      <c r="PLV151"/>
      <c r="PLW151"/>
      <c r="PLX151"/>
      <c r="PLY151"/>
      <c r="PLZ151"/>
      <c r="PMA151"/>
      <c r="PMB151"/>
      <c r="PMC151"/>
      <c r="PMD151"/>
      <c r="PME151"/>
      <c r="PMF151"/>
      <c r="PMG151"/>
      <c r="PMH151"/>
      <c r="PMI151"/>
      <c r="PMJ151"/>
      <c r="PMK151"/>
      <c r="PML151"/>
      <c r="PMM151"/>
      <c r="PMN151"/>
      <c r="PMO151"/>
      <c r="PMP151"/>
      <c r="PMQ151"/>
      <c r="PMR151"/>
      <c r="PMS151"/>
      <c r="PMT151"/>
      <c r="PMU151"/>
      <c r="PMV151"/>
      <c r="PMW151"/>
      <c r="PMX151"/>
      <c r="PMY151"/>
      <c r="PMZ151"/>
      <c r="PNA151"/>
      <c r="PNB151"/>
      <c r="PNC151"/>
      <c r="PND151"/>
      <c r="PNE151"/>
      <c r="PNF151"/>
      <c r="PNG151"/>
      <c r="PNH151"/>
      <c r="PNI151"/>
      <c r="PNJ151"/>
      <c r="PNK151"/>
      <c r="PNL151"/>
      <c r="PNM151"/>
      <c r="PNN151"/>
      <c r="PNO151"/>
      <c r="PNP151"/>
      <c r="PNQ151"/>
      <c r="PNR151"/>
      <c r="PNS151"/>
      <c r="PNT151"/>
      <c r="PNU151"/>
      <c r="PNV151"/>
      <c r="PNW151"/>
      <c r="PNX151"/>
      <c r="PNY151"/>
      <c r="PNZ151"/>
      <c r="POA151"/>
      <c r="POB151"/>
      <c r="POC151"/>
      <c r="POD151"/>
      <c r="POE151"/>
      <c r="POF151"/>
      <c r="POG151"/>
      <c r="POH151"/>
      <c r="POI151"/>
      <c r="POJ151"/>
      <c r="POK151"/>
      <c r="POL151"/>
      <c r="POM151"/>
      <c r="PON151"/>
      <c r="POO151"/>
      <c r="POP151"/>
      <c r="POQ151"/>
      <c r="POR151"/>
      <c r="POS151"/>
      <c r="POT151"/>
      <c r="POU151"/>
      <c r="POV151"/>
      <c r="POW151"/>
      <c r="POX151"/>
      <c r="POY151"/>
      <c r="POZ151"/>
      <c r="PPA151"/>
      <c r="PPB151"/>
      <c r="PPC151"/>
      <c r="PPD151"/>
      <c r="PPE151"/>
      <c r="PPF151"/>
      <c r="PPG151"/>
      <c r="PPH151"/>
      <c r="PPI151"/>
      <c r="PPJ151"/>
      <c r="PPK151"/>
      <c r="PPL151"/>
      <c r="PPM151"/>
      <c r="PPN151"/>
      <c r="PPO151"/>
      <c r="PPP151"/>
      <c r="PPQ151"/>
      <c r="PPR151"/>
      <c r="PPS151"/>
      <c r="PPT151"/>
      <c r="PPU151"/>
      <c r="PPV151"/>
      <c r="PPW151"/>
      <c r="PPX151"/>
      <c r="PPY151"/>
      <c r="PPZ151"/>
      <c r="PQA151"/>
      <c r="PQB151"/>
      <c r="PQC151"/>
      <c r="PQD151"/>
      <c r="PQE151"/>
      <c r="PQF151"/>
      <c r="PQG151"/>
      <c r="PQH151"/>
      <c r="PQI151"/>
      <c r="PQJ151"/>
      <c r="PQK151"/>
      <c r="PQL151"/>
      <c r="PQM151"/>
      <c r="PQN151"/>
      <c r="PQO151"/>
      <c r="PQP151"/>
      <c r="PQQ151"/>
      <c r="PQR151"/>
      <c r="PQS151"/>
      <c r="PQT151"/>
      <c r="PQU151"/>
      <c r="PQV151"/>
      <c r="PQW151"/>
      <c r="PQX151"/>
      <c r="PQY151"/>
      <c r="PQZ151"/>
      <c r="PRA151"/>
      <c r="PRB151"/>
      <c r="PRC151"/>
      <c r="PRD151"/>
      <c r="PRE151"/>
      <c r="PRF151"/>
      <c r="PRG151"/>
      <c r="PRH151"/>
      <c r="PRI151"/>
      <c r="PRJ151"/>
      <c r="PRK151"/>
      <c r="PRL151"/>
      <c r="PRM151"/>
      <c r="PRN151"/>
      <c r="PRO151"/>
      <c r="PRP151"/>
      <c r="PRQ151"/>
      <c r="PRR151"/>
      <c r="PRS151"/>
      <c r="PRT151"/>
      <c r="PRU151"/>
      <c r="PRV151"/>
      <c r="PRW151"/>
      <c r="PRX151"/>
      <c r="PRY151"/>
      <c r="PRZ151"/>
      <c r="PSA151"/>
      <c r="PSB151"/>
      <c r="PSC151"/>
      <c r="PSD151"/>
      <c r="PSE151"/>
      <c r="PSF151"/>
      <c r="PSG151"/>
      <c r="PSH151"/>
      <c r="PSI151"/>
      <c r="PSJ151"/>
      <c r="PSK151"/>
      <c r="PSL151"/>
      <c r="PSM151"/>
      <c r="PSN151"/>
      <c r="PSO151"/>
      <c r="PSP151"/>
      <c r="PSQ151"/>
      <c r="PSR151"/>
      <c r="PSS151"/>
      <c r="PST151"/>
      <c r="PSU151"/>
      <c r="PSV151"/>
      <c r="PSW151"/>
      <c r="PSX151"/>
      <c r="PSY151"/>
      <c r="PSZ151"/>
      <c r="PTA151"/>
      <c r="PTB151"/>
      <c r="PTC151"/>
      <c r="PTD151"/>
      <c r="PTE151"/>
      <c r="PTF151"/>
      <c r="PTG151"/>
      <c r="PTH151"/>
      <c r="PTI151"/>
      <c r="PTJ151"/>
      <c r="PTK151"/>
      <c r="PTL151"/>
      <c r="PTM151"/>
      <c r="PTN151"/>
      <c r="PTO151"/>
      <c r="PTP151"/>
      <c r="PTQ151"/>
      <c r="PTR151"/>
      <c r="PTS151"/>
      <c r="PTT151"/>
      <c r="PTU151"/>
      <c r="PTV151"/>
      <c r="PTW151"/>
      <c r="PTX151"/>
      <c r="PTY151"/>
      <c r="PTZ151"/>
      <c r="PUA151"/>
      <c r="PUB151"/>
      <c r="PUC151"/>
      <c r="PUD151"/>
      <c r="PUE151"/>
      <c r="PUF151"/>
      <c r="PUG151"/>
      <c r="PUH151"/>
      <c r="PUI151"/>
      <c r="PUJ151"/>
      <c r="PUK151"/>
      <c r="PUL151"/>
      <c r="PUM151"/>
      <c r="PUN151"/>
      <c r="PUO151"/>
      <c r="PUP151"/>
      <c r="PUQ151"/>
      <c r="PUR151"/>
      <c r="PUS151"/>
      <c r="PUT151"/>
      <c r="PUU151"/>
      <c r="PUV151"/>
      <c r="PUW151"/>
      <c r="PUX151"/>
      <c r="PUY151"/>
      <c r="PUZ151"/>
      <c r="PVA151"/>
      <c r="PVB151"/>
      <c r="PVC151"/>
      <c r="PVD151"/>
      <c r="PVE151"/>
      <c r="PVF151"/>
      <c r="PVG151"/>
      <c r="PVH151"/>
      <c r="PVI151"/>
      <c r="PVJ151"/>
      <c r="PVK151"/>
      <c r="PVL151"/>
      <c r="PVM151"/>
      <c r="PVN151"/>
      <c r="PVO151"/>
      <c r="PVP151"/>
      <c r="PVQ151"/>
      <c r="PVR151"/>
      <c r="PVS151"/>
      <c r="PVT151"/>
      <c r="PVU151"/>
      <c r="PVV151"/>
      <c r="PVW151"/>
      <c r="PVX151"/>
      <c r="PVY151"/>
      <c r="PVZ151"/>
      <c r="PWA151"/>
      <c r="PWB151"/>
      <c r="PWC151"/>
      <c r="PWD151"/>
      <c r="PWE151"/>
      <c r="PWF151"/>
      <c r="PWG151"/>
      <c r="PWH151"/>
      <c r="PWI151"/>
      <c r="PWJ151"/>
      <c r="PWK151"/>
      <c r="PWL151"/>
      <c r="PWM151"/>
      <c r="PWN151"/>
      <c r="PWO151"/>
      <c r="PWP151"/>
      <c r="PWQ151"/>
      <c r="PWR151"/>
      <c r="PWS151"/>
      <c r="PWT151"/>
      <c r="PWU151"/>
      <c r="PWV151"/>
      <c r="PWW151"/>
      <c r="PWX151"/>
      <c r="PWY151"/>
      <c r="PWZ151"/>
      <c r="PXA151"/>
      <c r="PXB151"/>
      <c r="PXC151"/>
      <c r="PXD151"/>
      <c r="PXE151"/>
      <c r="PXF151"/>
      <c r="PXG151"/>
      <c r="PXH151"/>
      <c r="PXI151"/>
      <c r="PXJ151"/>
      <c r="PXK151"/>
      <c r="PXL151"/>
      <c r="PXM151"/>
      <c r="PXN151"/>
      <c r="PXO151"/>
      <c r="PXP151"/>
      <c r="PXQ151"/>
      <c r="PXR151"/>
      <c r="PXS151"/>
      <c r="PXT151"/>
      <c r="PXU151"/>
      <c r="PXV151"/>
      <c r="PXW151"/>
      <c r="PXX151"/>
      <c r="PXY151"/>
      <c r="PXZ151"/>
      <c r="PYA151"/>
      <c r="PYB151"/>
      <c r="PYC151"/>
      <c r="PYD151"/>
      <c r="PYE151"/>
      <c r="PYF151"/>
      <c r="PYG151"/>
      <c r="PYH151"/>
      <c r="PYI151"/>
      <c r="PYJ151"/>
      <c r="PYK151"/>
      <c r="PYL151"/>
      <c r="PYM151"/>
      <c r="PYN151"/>
      <c r="PYO151"/>
      <c r="PYP151"/>
      <c r="PYQ151"/>
      <c r="PYR151"/>
      <c r="PYS151"/>
      <c r="PYT151"/>
      <c r="PYU151"/>
      <c r="PYV151"/>
      <c r="PYW151"/>
      <c r="PYX151"/>
      <c r="PYY151"/>
      <c r="PYZ151"/>
      <c r="PZA151"/>
      <c r="PZB151"/>
      <c r="PZC151"/>
      <c r="PZD151"/>
      <c r="PZE151"/>
      <c r="PZF151"/>
      <c r="PZG151"/>
      <c r="PZH151"/>
      <c r="PZI151"/>
      <c r="PZJ151"/>
      <c r="PZK151"/>
      <c r="PZL151"/>
      <c r="PZM151"/>
      <c r="PZN151"/>
      <c r="PZO151"/>
      <c r="PZP151"/>
      <c r="PZQ151"/>
      <c r="PZR151"/>
      <c r="PZS151"/>
      <c r="PZT151"/>
      <c r="PZU151"/>
      <c r="PZV151"/>
      <c r="PZW151"/>
      <c r="PZX151"/>
      <c r="PZY151"/>
      <c r="PZZ151"/>
      <c r="QAA151"/>
      <c r="QAB151"/>
      <c r="QAC151"/>
      <c r="QAD151"/>
      <c r="QAE151"/>
      <c r="QAF151"/>
      <c r="QAG151"/>
      <c r="QAH151"/>
      <c r="QAI151"/>
      <c r="QAJ151"/>
      <c r="QAK151"/>
      <c r="QAL151"/>
      <c r="QAM151"/>
      <c r="QAN151"/>
      <c r="QAO151"/>
      <c r="QAP151"/>
      <c r="QAQ151"/>
      <c r="QAR151"/>
      <c r="QAS151"/>
      <c r="QAT151"/>
      <c r="QAU151"/>
      <c r="QAV151"/>
      <c r="QAW151"/>
      <c r="QAX151"/>
      <c r="QAY151"/>
      <c r="QAZ151"/>
      <c r="QBA151"/>
      <c r="QBB151"/>
      <c r="QBC151"/>
      <c r="QBD151"/>
      <c r="QBE151"/>
      <c r="QBF151"/>
      <c r="QBG151"/>
      <c r="QBH151"/>
      <c r="QBI151"/>
      <c r="QBJ151"/>
      <c r="QBK151"/>
      <c r="QBL151"/>
      <c r="QBM151"/>
      <c r="QBN151"/>
      <c r="QBO151"/>
      <c r="QBP151"/>
      <c r="QBQ151"/>
      <c r="QBR151"/>
      <c r="QBS151"/>
      <c r="QBT151"/>
      <c r="QBU151"/>
      <c r="QBV151"/>
      <c r="QBW151"/>
      <c r="QBX151"/>
      <c r="QBY151"/>
      <c r="QBZ151"/>
      <c r="QCA151"/>
      <c r="QCB151"/>
      <c r="QCC151"/>
      <c r="QCD151"/>
      <c r="QCE151"/>
      <c r="QCF151"/>
      <c r="QCG151"/>
      <c r="QCH151"/>
      <c r="QCI151"/>
      <c r="QCJ151"/>
      <c r="QCK151"/>
      <c r="QCL151"/>
      <c r="QCM151"/>
      <c r="QCN151"/>
      <c r="QCO151"/>
      <c r="QCP151"/>
      <c r="QCQ151"/>
      <c r="QCR151"/>
      <c r="QCS151"/>
      <c r="QCT151"/>
      <c r="QCU151"/>
      <c r="QCV151"/>
      <c r="QCW151"/>
      <c r="QCX151"/>
      <c r="QCY151"/>
      <c r="QCZ151"/>
      <c r="QDA151"/>
      <c r="QDB151"/>
      <c r="QDC151"/>
      <c r="QDD151"/>
      <c r="QDE151"/>
      <c r="QDF151"/>
      <c r="QDG151"/>
      <c r="QDH151"/>
      <c r="QDI151"/>
      <c r="QDJ151"/>
      <c r="QDK151"/>
      <c r="QDL151"/>
      <c r="QDM151"/>
      <c r="QDN151"/>
      <c r="QDO151"/>
      <c r="QDP151"/>
      <c r="QDQ151"/>
      <c r="QDR151"/>
      <c r="QDS151"/>
      <c r="QDT151"/>
      <c r="QDU151"/>
      <c r="QDV151"/>
      <c r="QDW151"/>
      <c r="QDX151"/>
      <c r="QDY151"/>
      <c r="QDZ151"/>
      <c r="QEA151"/>
      <c r="QEB151"/>
      <c r="QEC151"/>
      <c r="QED151"/>
      <c r="QEE151"/>
      <c r="QEF151"/>
      <c r="QEG151"/>
      <c r="QEH151"/>
      <c r="QEI151"/>
      <c r="QEJ151"/>
      <c r="QEK151"/>
      <c r="QEL151"/>
      <c r="QEM151"/>
      <c r="QEN151"/>
      <c r="QEO151"/>
      <c r="QEP151"/>
      <c r="QEQ151"/>
      <c r="QER151"/>
      <c r="QES151"/>
      <c r="QET151"/>
      <c r="QEU151"/>
      <c r="QEV151"/>
      <c r="QEW151"/>
      <c r="QEX151"/>
      <c r="QEY151"/>
      <c r="QEZ151"/>
      <c r="QFA151"/>
      <c r="QFB151"/>
      <c r="QFC151"/>
      <c r="QFD151"/>
      <c r="QFE151"/>
      <c r="QFF151"/>
      <c r="QFG151"/>
      <c r="QFH151"/>
      <c r="QFI151"/>
      <c r="QFJ151"/>
      <c r="QFK151"/>
      <c r="QFL151"/>
      <c r="QFM151"/>
      <c r="QFN151"/>
      <c r="QFO151"/>
      <c r="QFP151"/>
      <c r="QFQ151"/>
      <c r="QFR151"/>
      <c r="QFS151"/>
      <c r="QFT151"/>
      <c r="QFU151"/>
      <c r="QFV151"/>
      <c r="QFW151"/>
      <c r="QFX151"/>
      <c r="QFY151"/>
      <c r="QFZ151"/>
      <c r="QGA151"/>
      <c r="QGB151"/>
      <c r="QGC151"/>
      <c r="QGD151"/>
      <c r="QGE151"/>
      <c r="QGF151"/>
      <c r="QGG151"/>
      <c r="QGH151"/>
      <c r="QGI151"/>
      <c r="QGJ151"/>
      <c r="QGK151"/>
      <c r="QGL151"/>
      <c r="QGM151"/>
      <c r="QGN151"/>
      <c r="QGO151"/>
      <c r="QGP151"/>
      <c r="QGQ151"/>
      <c r="QGR151"/>
      <c r="QGS151"/>
      <c r="QGT151"/>
      <c r="QGU151"/>
      <c r="QGV151"/>
      <c r="QGW151"/>
      <c r="QGX151"/>
      <c r="QGY151"/>
      <c r="QGZ151"/>
      <c r="QHA151"/>
      <c r="QHB151"/>
      <c r="QHC151"/>
      <c r="QHD151"/>
      <c r="QHE151"/>
      <c r="QHF151"/>
      <c r="QHG151"/>
      <c r="QHH151"/>
      <c r="QHI151"/>
      <c r="QHJ151"/>
      <c r="QHK151"/>
      <c r="QHL151"/>
      <c r="QHM151"/>
      <c r="QHN151"/>
      <c r="QHO151"/>
      <c r="QHP151"/>
      <c r="QHQ151"/>
      <c r="QHR151"/>
      <c r="QHS151"/>
      <c r="QHT151"/>
      <c r="QHU151"/>
      <c r="QHV151"/>
      <c r="QHW151"/>
      <c r="QHX151"/>
      <c r="QHY151"/>
      <c r="QHZ151"/>
      <c r="QIA151"/>
      <c r="QIB151"/>
      <c r="QIC151"/>
      <c r="QID151"/>
      <c r="QIE151"/>
      <c r="QIF151"/>
      <c r="QIG151"/>
      <c r="QIH151"/>
      <c r="QII151"/>
      <c r="QIJ151"/>
      <c r="QIK151"/>
      <c r="QIL151"/>
      <c r="QIM151"/>
      <c r="QIN151"/>
      <c r="QIO151"/>
      <c r="QIP151"/>
      <c r="QIQ151"/>
      <c r="QIR151"/>
      <c r="QIS151"/>
      <c r="QIT151"/>
      <c r="QIU151"/>
      <c r="QIV151"/>
      <c r="QIW151"/>
      <c r="QIX151"/>
      <c r="QIY151"/>
      <c r="QIZ151"/>
      <c r="QJA151"/>
      <c r="QJB151"/>
      <c r="QJC151"/>
      <c r="QJD151"/>
      <c r="QJE151"/>
      <c r="QJF151"/>
      <c r="QJG151"/>
      <c r="QJH151"/>
      <c r="QJI151"/>
      <c r="QJJ151"/>
      <c r="QJK151"/>
      <c r="QJL151"/>
      <c r="QJM151"/>
      <c r="QJN151"/>
      <c r="QJO151"/>
      <c r="QJP151"/>
      <c r="QJQ151"/>
      <c r="QJR151"/>
      <c r="QJS151"/>
      <c r="QJT151"/>
      <c r="QJU151"/>
      <c r="QJV151"/>
      <c r="QJW151"/>
      <c r="QJX151"/>
      <c r="QJY151"/>
      <c r="QJZ151"/>
      <c r="QKA151"/>
      <c r="QKB151"/>
      <c r="QKC151"/>
      <c r="QKD151"/>
      <c r="QKE151"/>
      <c r="QKF151"/>
      <c r="QKG151"/>
      <c r="QKH151"/>
      <c r="QKI151"/>
      <c r="QKJ151"/>
      <c r="QKK151"/>
      <c r="QKL151"/>
      <c r="QKM151"/>
      <c r="QKN151"/>
      <c r="QKO151"/>
      <c r="QKP151"/>
      <c r="QKQ151"/>
      <c r="QKR151"/>
      <c r="QKS151"/>
      <c r="QKT151"/>
      <c r="QKU151"/>
      <c r="QKV151"/>
      <c r="QKW151"/>
      <c r="QKX151"/>
      <c r="QKY151"/>
      <c r="QKZ151"/>
      <c r="QLA151"/>
      <c r="QLB151"/>
      <c r="QLC151"/>
      <c r="QLD151"/>
      <c r="QLE151"/>
      <c r="QLF151"/>
      <c r="QLG151"/>
      <c r="QLH151"/>
      <c r="QLI151"/>
      <c r="QLJ151"/>
      <c r="QLK151"/>
      <c r="QLL151"/>
      <c r="QLM151"/>
      <c r="QLN151"/>
      <c r="QLO151"/>
      <c r="QLP151"/>
      <c r="QLQ151"/>
      <c r="QLR151"/>
      <c r="QLS151"/>
      <c r="QLT151"/>
      <c r="QLU151"/>
      <c r="QLV151"/>
      <c r="QLW151"/>
      <c r="QLX151"/>
      <c r="QLY151"/>
      <c r="QLZ151"/>
      <c r="QMA151"/>
      <c r="QMB151"/>
      <c r="QMC151"/>
      <c r="QMD151"/>
      <c r="QME151"/>
      <c r="QMF151"/>
      <c r="QMG151"/>
      <c r="QMH151"/>
      <c r="QMI151"/>
      <c r="QMJ151"/>
      <c r="QMK151"/>
      <c r="QML151"/>
      <c r="QMM151"/>
      <c r="QMN151"/>
      <c r="QMO151"/>
      <c r="QMP151"/>
      <c r="QMQ151"/>
      <c r="QMR151"/>
      <c r="QMS151"/>
      <c r="QMT151"/>
      <c r="QMU151"/>
      <c r="QMV151"/>
      <c r="QMW151"/>
      <c r="QMX151"/>
      <c r="QMY151"/>
      <c r="QMZ151"/>
      <c r="QNA151"/>
      <c r="QNB151"/>
      <c r="QNC151"/>
      <c r="QND151"/>
      <c r="QNE151"/>
      <c r="QNF151"/>
      <c r="QNG151"/>
      <c r="QNH151"/>
      <c r="QNI151"/>
      <c r="QNJ151"/>
      <c r="QNK151"/>
      <c r="QNL151"/>
      <c r="QNM151"/>
      <c r="QNN151"/>
      <c r="QNO151"/>
      <c r="QNP151"/>
      <c r="QNQ151"/>
      <c r="QNR151"/>
      <c r="QNS151"/>
      <c r="QNT151"/>
      <c r="QNU151"/>
      <c r="QNV151"/>
      <c r="QNW151"/>
      <c r="QNX151"/>
      <c r="QNY151"/>
      <c r="QNZ151"/>
      <c r="QOA151"/>
      <c r="QOB151"/>
      <c r="QOC151"/>
      <c r="QOD151"/>
      <c r="QOE151"/>
      <c r="QOF151"/>
      <c r="QOG151"/>
      <c r="QOH151"/>
      <c r="QOI151"/>
      <c r="QOJ151"/>
      <c r="QOK151"/>
      <c r="QOL151"/>
      <c r="QOM151"/>
      <c r="QON151"/>
      <c r="QOO151"/>
      <c r="QOP151"/>
      <c r="QOQ151"/>
      <c r="QOR151"/>
      <c r="QOS151"/>
      <c r="QOT151"/>
      <c r="QOU151"/>
      <c r="QOV151"/>
      <c r="QOW151"/>
      <c r="QOX151"/>
      <c r="QOY151"/>
      <c r="QOZ151"/>
      <c r="QPA151"/>
      <c r="QPB151"/>
      <c r="QPC151"/>
      <c r="QPD151"/>
      <c r="QPE151"/>
      <c r="QPF151"/>
      <c r="QPG151"/>
      <c r="QPH151"/>
      <c r="QPI151"/>
      <c r="QPJ151"/>
      <c r="QPK151"/>
      <c r="QPL151"/>
      <c r="QPM151"/>
      <c r="QPN151"/>
      <c r="QPO151"/>
      <c r="QPP151"/>
      <c r="QPQ151"/>
      <c r="QPR151"/>
      <c r="QPS151"/>
      <c r="QPT151"/>
      <c r="QPU151"/>
      <c r="QPV151"/>
      <c r="QPW151"/>
      <c r="QPX151"/>
      <c r="QPY151"/>
      <c r="QPZ151"/>
      <c r="QQA151"/>
      <c r="QQB151"/>
      <c r="QQC151"/>
      <c r="QQD151"/>
      <c r="QQE151"/>
      <c r="QQF151"/>
      <c r="QQG151"/>
      <c r="QQH151"/>
      <c r="QQI151"/>
      <c r="QQJ151"/>
      <c r="QQK151"/>
      <c r="QQL151"/>
      <c r="QQM151"/>
      <c r="QQN151"/>
      <c r="QQO151"/>
      <c r="QQP151"/>
      <c r="QQQ151"/>
      <c r="QQR151"/>
      <c r="QQS151"/>
      <c r="QQT151"/>
      <c r="QQU151"/>
      <c r="QQV151"/>
      <c r="QQW151"/>
      <c r="QQX151"/>
      <c r="QQY151"/>
      <c r="QQZ151"/>
      <c r="QRA151"/>
      <c r="QRB151"/>
      <c r="QRC151"/>
      <c r="QRD151"/>
      <c r="QRE151"/>
      <c r="QRF151"/>
      <c r="QRG151"/>
      <c r="QRH151"/>
      <c r="QRI151"/>
      <c r="QRJ151"/>
      <c r="QRK151"/>
      <c r="QRL151"/>
      <c r="QRM151"/>
      <c r="QRN151"/>
      <c r="QRO151"/>
      <c r="QRP151"/>
      <c r="QRQ151"/>
      <c r="QRR151"/>
      <c r="QRS151"/>
      <c r="QRT151"/>
      <c r="QRU151"/>
      <c r="QRV151"/>
      <c r="QRW151"/>
      <c r="QRX151"/>
      <c r="QRY151"/>
      <c r="QRZ151"/>
      <c r="QSA151"/>
      <c r="QSB151"/>
      <c r="QSC151"/>
      <c r="QSD151"/>
      <c r="QSE151"/>
      <c r="QSF151"/>
      <c r="QSG151"/>
      <c r="QSH151"/>
      <c r="QSI151"/>
      <c r="QSJ151"/>
      <c r="QSK151"/>
      <c r="QSL151"/>
      <c r="QSM151"/>
      <c r="QSN151"/>
      <c r="QSO151"/>
      <c r="QSP151"/>
      <c r="QSQ151"/>
      <c r="QSR151"/>
      <c r="QSS151"/>
      <c r="QST151"/>
      <c r="QSU151"/>
      <c r="QSV151"/>
      <c r="QSW151"/>
      <c r="QSX151"/>
      <c r="QSY151"/>
      <c r="QSZ151"/>
      <c r="QTA151"/>
      <c r="QTB151"/>
      <c r="QTC151"/>
      <c r="QTD151"/>
      <c r="QTE151"/>
      <c r="QTF151"/>
      <c r="QTG151"/>
      <c r="QTH151"/>
      <c r="QTI151"/>
      <c r="QTJ151"/>
      <c r="QTK151"/>
      <c r="QTL151"/>
      <c r="QTM151"/>
      <c r="QTN151"/>
      <c r="QTO151"/>
      <c r="QTP151"/>
      <c r="QTQ151"/>
      <c r="QTR151"/>
      <c r="QTS151"/>
      <c r="QTT151"/>
      <c r="QTU151"/>
      <c r="QTV151"/>
      <c r="QTW151"/>
      <c r="QTX151"/>
      <c r="QTY151"/>
      <c r="QTZ151"/>
      <c r="QUA151"/>
      <c r="QUB151"/>
      <c r="QUC151"/>
      <c r="QUD151"/>
      <c r="QUE151"/>
      <c r="QUF151"/>
      <c r="QUG151"/>
      <c r="QUH151"/>
      <c r="QUI151"/>
      <c r="QUJ151"/>
      <c r="QUK151"/>
      <c r="QUL151"/>
      <c r="QUM151"/>
      <c r="QUN151"/>
      <c r="QUO151"/>
      <c r="QUP151"/>
      <c r="QUQ151"/>
      <c r="QUR151"/>
      <c r="QUS151"/>
      <c r="QUT151"/>
      <c r="QUU151"/>
      <c r="QUV151"/>
      <c r="QUW151"/>
      <c r="QUX151"/>
      <c r="QUY151"/>
      <c r="QUZ151"/>
      <c r="QVA151"/>
      <c r="QVB151"/>
      <c r="QVC151"/>
      <c r="QVD151"/>
      <c r="QVE151"/>
      <c r="QVF151"/>
      <c r="QVG151"/>
      <c r="QVH151"/>
      <c r="QVI151"/>
      <c r="QVJ151"/>
      <c r="QVK151"/>
      <c r="QVL151"/>
      <c r="QVM151"/>
      <c r="QVN151"/>
      <c r="QVO151"/>
      <c r="QVP151"/>
      <c r="QVQ151"/>
      <c r="QVR151"/>
      <c r="QVS151"/>
      <c r="QVT151"/>
      <c r="QVU151"/>
      <c r="QVV151"/>
      <c r="QVW151"/>
      <c r="QVX151"/>
      <c r="QVY151"/>
      <c r="QVZ151"/>
      <c r="QWA151"/>
      <c r="QWB151"/>
      <c r="QWC151"/>
      <c r="QWD151"/>
      <c r="QWE151"/>
      <c r="QWF151"/>
      <c r="QWG151"/>
      <c r="QWH151"/>
      <c r="QWI151"/>
      <c r="QWJ151"/>
      <c r="QWK151"/>
      <c r="QWL151"/>
      <c r="QWM151"/>
      <c r="QWN151"/>
      <c r="QWO151"/>
      <c r="QWP151"/>
      <c r="QWQ151"/>
      <c r="QWR151"/>
      <c r="QWS151"/>
      <c r="QWT151"/>
      <c r="QWU151"/>
      <c r="QWV151"/>
      <c r="QWW151"/>
      <c r="QWX151"/>
      <c r="QWY151"/>
      <c r="QWZ151"/>
      <c r="QXA151"/>
      <c r="QXB151"/>
      <c r="QXC151"/>
      <c r="QXD151"/>
      <c r="QXE151"/>
      <c r="QXF151"/>
      <c r="QXG151"/>
      <c r="QXH151"/>
      <c r="QXI151"/>
      <c r="QXJ151"/>
      <c r="QXK151"/>
      <c r="QXL151"/>
      <c r="QXM151"/>
      <c r="QXN151"/>
      <c r="QXO151"/>
      <c r="QXP151"/>
      <c r="QXQ151"/>
      <c r="QXR151"/>
      <c r="QXS151"/>
      <c r="QXT151"/>
      <c r="QXU151"/>
      <c r="QXV151"/>
      <c r="QXW151"/>
      <c r="QXX151"/>
      <c r="QXY151"/>
      <c r="QXZ151"/>
      <c r="QYA151"/>
      <c r="QYB151"/>
      <c r="QYC151"/>
      <c r="QYD151"/>
      <c r="QYE151"/>
      <c r="QYF151"/>
      <c r="QYG151"/>
      <c r="QYH151"/>
      <c r="QYI151"/>
      <c r="QYJ151"/>
      <c r="QYK151"/>
      <c r="QYL151"/>
      <c r="QYM151"/>
      <c r="QYN151"/>
      <c r="QYO151"/>
      <c r="QYP151"/>
      <c r="QYQ151"/>
      <c r="QYR151"/>
      <c r="QYS151"/>
      <c r="QYT151"/>
      <c r="QYU151"/>
      <c r="QYV151"/>
      <c r="QYW151"/>
      <c r="QYX151"/>
      <c r="QYY151"/>
      <c r="QYZ151"/>
      <c r="QZA151"/>
      <c r="QZB151"/>
      <c r="QZC151"/>
      <c r="QZD151"/>
      <c r="QZE151"/>
      <c r="QZF151"/>
      <c r="QZG151"/>
      <c r="QZH151"/>
      <c r="QZI151"/>
      <c r="QZJ151"/>
      <c r="QZK151"/>
      <c r="QZL151"/>
      <c r="QZM151"/>
      <c r="QZN151"/>
      <c r="QZO151"/>
      <c r="QZP151"/>
      <c r="QZQ151"/>
      <c r="QZR151"/>
      <c r="QZS151"/>
      <c r="QZT151"/>
      <c r="QZU151"/>
      <c r="QZV151"/>
      <c r="QZW151"/>
      <c r="QZX151"/>
      <c r="QZY151"/>
      <c r="QZZ151"/>
      <c r="RAA151"/>
      <c r="RAB151"/>
      <c r="RAC151"/>
      <c r="RAD151"/>
      <c r="RAE151"/>
      <c r="RAF151"/>
      <c r="RAG151"/>
      <c r="RAH151"/>
      <c r="RAI151"/>
      <c r="RAJ151"/>
      <c r="RAK151"/>
      <c r="RAL151"/>
      <c r="RAM151"/>
      <c r="RAN151"/>
      <c r="RAO151"/>
      <c r="RAP151"/>
      <c r="RAQ151"/>
      <c r="RAR151"/>
      <c r="RAS151"/>
      <c r="RAT151"/>
      <c r="RAU151"/>
      <c r="RAV151"/>
      <c r="RAW151"/>
      <c r="RAX151"/>
      <c r="RAY151"/>
      <c r="RAZ151"/>
      <c r="RBA151"/>
      <c r="RBB151"/>
      <c r="RBC151"/>
      <c r="RBD151"/>
      <c r="RBE151"/>
      <c r="RBF151"/>
      <c r="RBG151"/>
      <c r="RBH151"/>
      <c r="RBI151"/>
      <c r="RBJ151"/>
      <c r="RBK151"/>
      <c r="RBL151"/>
      <c r="RBM151"/>
      <c r="RBN151"/>
      <c r="RBO151"/>
      <c r="RBP151"/>
      <c r="RBQ151"/>
      <c r="RBR151"/>
      <c r="RBS151"/>
      <c r="RBT151"/>
      <c r="RBU151"/>
      <c r="RBV151"/>
      <c r="RBW151"/>
      <c r="RBX151"/>
      <c r="RBY151"/>
      <c r="RBZ151"/>
      <c r="RCA151"/>
      <c r="RCB151"/>
      <c r="RCC151"/>
      <c r="RCD151"/>
      <c r="RCE151"/>
      <c r="RCF151"/>
      <c r="RCG151"/>
      <c r="RCH151"/>
      <c r="RCI151"/>
      <c r="RCJ151"/>
      <c r="RCK151"/>
      <c r="RCL151"/>
      <c r="RCM151"/>
      <c r="RCN151"/>
      <c r="RCO151"/>
      <c r="RCP151"/>
      <c r="RCQ151"/>
      <c r="RCR151"/>
      <c r="RCS151"/>
      <c r="RCT151"/>
      <c r="RCU151"/>
      <c r="RCV151"/>
      <c r="RCW151"/>
      <c r="RCX151"/>
      <c r="RCY151"/>
      <c r="RCZ151"/>
      <c r="RDA151"/>
      <c r="RDB151"/>
      <c r="RDC151"/>
      <c r="RDD151"/>
      <c r="RDE151"/>
      <c r="RDF151"/>
      <c r="RDG151"/>
      <c r="RDH151"/>
      <c r="RDI151"/>
      <c r="RDJ151"/>
      <c r="RDK151"/>
      <c r="RDL151"/>
      <c r="RDM151"/>
      <c r="RDN151"/>
      <c r="RDO151"/>
      <c r="RDP151"/>
      <c r="RDQ151"/>
      <c r="RDR151"/>
      <c r="RDS151"/>
      <c r="RDT151"/>
      <c r="RDU151"/>
      <c r="RDV151"/>
      <c r="RDW151"/>
      <c r="RDX151"/>
      <c r="RDY151"/>
      <c r="RDZ151"/>
      <c r="REA151"/>
      <c r="REB151"/>
      <c r="REC151"/>
      <c r="RED151"/>
      <c r="REE151"/>
      <c r="REF151"/>
      <c r="REG151"/>
      <c r="REH151"/>
      <c r="REI151"/>
      <c r="REJ151"/>
      <c r="REK151"/>
      <c r="REL151"/>
      <c r="REM151"/>
      <c r="REN151"/>
      <c r="REO151"/>
      <c r="REP151"/>
      <c r="REQ151"/>
      <c r="RER151"/>
      <c r="RES151"/>
      <c r="RET151"/>
      <c r="REU151"/>
      <c r="REV151"/>
      <c r="REW151"/>
      <c r="REX151"/>
      <c r="REY151"/>
      <c r="REZ151"/>
      <c r="RFA151"/>
      <c r="RFB151"/>
      <c r="RFC151"/>
      <c r="RFD151"/>
      <c r="RFE151"/>
      <c r="RFF151"/>
      <c r="RFG151"/>
      <c r="RFH151"/>
      <c r="RFI151"/>
      <c r="RFJ151"/>
      <c r="RFK151"/>
      <c r="RFL151"/>
      <c r="RFM151"/>
      <c r="RFN151"/>
      <c r="RFO151"/>
      <c r="RFP151"/>
      <c r="RFQ151"/>
      <c r="RFR151"/>
      <c r="RFS151"/>
      <c r="RFT151"/>
      <c r="RFU151"/>
      <c r="RFV151"/>
      <c r="RFW151"/>
      <c r="RFX151"/>
      <c r="RFY151"/>
      <c r="RFZ151"/>
      <c r="RGA151"/>
      <c r="RGB151"/>
      <c r="RGC151"/>
      <c r="RGD151"/>
      <c r="RGE151"/>
      <c r="RGF151"/>
      <c r="RGG151"/>
      <c r="RGH151"/>
      <c r="RGI151"/>
      <c r="RGJ151"/>
      <c r="RGK151"/>
      <c r="RGL151"/>
      <c r="RGM151"/>
      <c r="RGN151"/>
      <c r="RGO151"/>
      <c r="RGP151"/>
      <c r="RGQ151"/>
      <c r="RGR151"/>
      <c r="RGS151"/>
      <c r="RGT151"/>
      <c r="RGU151"/>
      <c r="RGV151"/>
      <c r="RGW151"/>
      <c r="RGX151"/>
      <c r="RGY151"/>
      <c r="RGZ151"/>
      <c r="RHA151"/>
      <c r="RHB151"/>
      <c r="RHC151"/>
      <c r="RHD151"/>
      <c r="RHE151"/>
      <c r="RHF151"/>
      <c r="RHG151"/>
      <c r="RHH151"/>
      <c r="RHI151"/>
      <c r="RHJ151"/>
      <c r="RHK151"/>
      <c r="RHL151"/>
      <c r="RHM151"/>
      <c r="RHN151"/>
      <c r="RHO151"/>
      <c r="RHP151"/>
      <c r="RHQ151"/>
      <c r="RHR151"/>
      <c r="RHS151"/>
      <c r="RHT151"/>
      <c r="RHU151"/>
      <c r="RHV151"/>
      <c r="RHW151"/>
      <c r="RHX151"/>
      <c r="RHY151"/>
      <c r="RHZ151"/>
      <c r="RIA151"/>
      <c r="RIB151"/>
      <c r="RIC151"/>
      <c r="RID151"/>
      <c r="RIE151"/>
      <c r="RIF151"/>
      <c r="RIG151"/>
      <c r="RIH151"/>
      <c r="RII151"/>
      <c r="RIJ151"/>
      <c r="RIK151"/>
      <c r="RIL151"/>
      <c r="RIM151"/>
      <c r="RIN151"/>
      <c r="RIO151"/>
      <c r="RIP151"/>
      <c r="RIQ151"/>
      <c r="RIR151"/>
      <c r="RIS151"/>
      <c r="RIT151"/>
      <c r="RIU151"/>
      <c r="RIV151"/>
      <c r="RIW151"/>
      <c r="RIX151"/>
      <c r="RIY151"/>
      <c r="RIZ151"/>
      <c r="RJA151"/>
      <c r="RJB151"/>
      <c r="RJC151"/>
      <c r="RJD151"/>
      <c r="RJE151"/>
      <c r="RJF151"/>
      <c r="RJG151"/>
      <c r="RJH151"/>
      <c r="RJI151"/>
      <c r="RJJ151"/>
      <c r="RJK151"/>
      <c r="RJL151"/>
      <c r="RJM151"/>
      <c r="RJN151"/>
      <c r="RJO151"/>
      <c r="RJP151"/>
      <c r="RJQ151"/>
      <c r="RJR151"/>
      <c r="RJS151"/>
      <c r="RJT151"/>
      <c r="RJU151"/>
      <c r="RJV151"/>
      <c r="RJW151"/>
      <c r="RJX151"/>
      <c r="RJY151"/>
      <c r="RJZ151"/>
      <c r="RKA151"/>
      <c r="RKB151"/>
      <c r="RKC151"/>
      <c r="RKD151"/>
      <c r="RKE151"/>
      <c r="RKF151"/>
      <c r="RKG151"/>
      <c r="RKH151"/>
      <c r="RKI151"/>
      <c r="RKJ151"/>
      <c r="RKK151"/>
      <c r="RKL151"/>
      <c r="RKM151"/>
      <c r="RKN151"/>
      <c r="RKO151"/>
      <c r="RKP151"/>
      <c r="RKQ151"/>
      <c r="RKR151"/>
      <c r="RKS151"/>
      <c r="RKT151"/>
      <c r="RKU151"/>
      <c r="RKV151"/>
      <c r="RKW151"/>
      <c r="RKX151"/>
      <c r="RKY151"/>
      <c r="RKZ151"/>
      <c r="RLA151"/>
      <c r="RLB151"/>
      <c r="RLC151"/>
      <c r="RLD151"/>
      <c r="RLE151"/>
      <c r="RLF151"/>
      <c r="RLG151"/>
      <c r="RLH151"/>
      <c r="RLI151"/>
      <c r="RLJ151"/>
      <c r="RLK151"/>
      <c r="RLL151"/>
      <c r="RLM151"/>
      <c r="RLN151"/>
      <c r="RLO151"/>
      <c r="RLP151"/>
      <c r="RLQ151"/>
      <c r="RLR151"/>
      <c r="RLS151"/>
      <c r="RLT151"/>
      <c r="RLU151"/>
      <c r="RLV151"/>
      <c r="RLW151"/>
      <c r="RLX151"/>
      <c r="RLY151"/>
      <c r="RLZ151"/>
      <c r="RMA151"/>
      <c r="RMB151"/>
      <c r="RMC151"/>
      <c r="RMD151"/>
      <c r="RME151"/>
      <c r="RMF151"/>
      <c r="RMG151"/>
      <c r="RMH151"/>
      <c r="RMI151"/>
      <c r="RMJ151"/>
      <c r="RMK151"/>
      <c r="RML151"/>
      <c r="RMM151"/>
      <c r="RMN151"/>
      <c r="RMO151"/>
      <c r="RMP151"/>
      <c r="RMQ151"/>
      <c r="RMR151"/>
      <c r="RMS151"/>
      <c r="RMT151"/>
      <c r="RMU151"/>
      <c r="RMV151"/>
      <c r="RMW151"/>
      <c r="RMX151"/>
      <c r="RMY151"/>
      <c r="RMZ151"/>
      <c r="RNA151"/>
      <c r="RNB151"/>
      <c r="RNC151"/>
      <c r="RND151"/>
      <c r="RNE151"/>
      <c r="RNF151"/>
      <c r="RNG151"/>
      <c r="RNH151"/>
      <c r="RNI151"/>
      <c r="RNJ151"/>
      <c r="RNK151"/>
      <c r="RNL151"/>
      <c r="RNM151"/>
      <c r="RNN151"/>
      <c r="RNO151"/>
      <c r="RNP151"/>
      <c r="RNQ151"/>
      <c r="RNR151"/>
      <c r="RNS151"/>
      <c r="RNT151"/>
      <c r="RNU151"/>
      <c r="RNV151"/>
      <c r="RNW151"/>
      <c r="RNX151"/>
      <c r="RNY151"/>
      <c r="RNZ151"/>
      <c r="ROA151"/>
      <c r="ROB151"/>
      <c r="ROC151"/>
      <c r="ROD151"/>
      <c r="ROE151"/>
      <c r="ROF151"/>
      <c r="ROG151"/>
      <c r="ROH151"/>
      <c r="ROI151"/>
      <c r="ROJ151"/>
      <c r="ROK151"/>
      <c r="ROL151"/>
      <c r="ROM151"/>
      <c r="RON151"/>
      <c r="ROO151"/>
      <c r="ROP151"/>
      <c r="ROQ151"/>
      <c r="ROR151"/>
      <c r="ROS151"/>
      <c r="ROT151"/>
      <c r="ROU151"/>
      <c r="ROV151"/>
      <c r="ROW151"/>
      <c r="ROX151"/>
      <c r="ROY151"/>
      <c r="ROZ151"/>
      <c r="RPA151"/>
      <c r="RPB151"/>
      <c r="RPC151"/>
      <c r="RPD151"/>
      <c r="RPE151"/>
      <c r="RPF151"/>
      <c r="RPG151"/>
      <c r="RPH151"/>
      <c r="RPI151"/>
      <c r="RPJ151"/>
      <c r="RPK151"/>
      <c r="RPL151"/>
      <c r="RPM151"/>
      <c r="RPN151"/>
      <c r="RPO151"/>
      <c r="RPP151"/>
      <c r="RPQ151"/>
      <c r="RPR151"/>
      <c r="RPS151"/>
      <c r="RPT151"/>
      <c r="RPU151"/>
      <c r="RPV151"/>
      <c r="RPW151"/>
      <c r="RPX151"/>
      <c r="RPY151"/>
      <c r="RPZ151"/>
      <c r="RQA151"/>
      <c r="RQB151"/>
      <c r="RQC151"/>
      <c r="RQD151"/>
      <c r="RQE151"/>
      <c r="RQF151"/>
      <c r="RQG151"/>
      <c r="RQH151"/>
      <c r="RQI151"/>
      <c r="RQJ151"/>
      <c r="RQK151"/>
      <c r="RQL151"/>
      <c r="RQM151"/>
      <c r="RQN151"/>
      <c r="RQO151"/>
      <c r="RQP151"/>
      <c r="RQQ151"/>
      <c r="RQR151"/>
      <c r="RQS151"/>
      <c r="RQT151"/>
      <c r="RQU151"/>
      <c r="RQV151"/>
      <c r="RQW151"/>
      <c r="RQX151"/>
      <c r="RQY151"/>
      <c r="RQZ151"/>
      <c r="RRA151"/>
      <c r="RRB151"/>
      <c r="RRC151"/>
      <c r="RRD151"/>
      <c r="RRE151"/>
      <c r="RRF151"/>
      <c r="RRG151"/>
      <c r="RRH151"/>
      <c r="RRI151"/>
      <c r="RRJ151"/>
      <c r="RRK151"/>
      <c r="RRL151"/>
      <c r="RRM151"/>
      <c r="RRN151"/>
      <c r="RRO151"/>
      <c r="RRP151"/>
      <c r="RRQ151"/>
      <c r="RRR151"/>
      <c r="RRS151"/>
      <c r="RRT151"/>
      <c r="RRU151"/>
      <c r="RRV151"/>
      <c r="RRW151"/>
      <c r="RRX151"/>
      <c r="RRY151"/>
      <c r="RRZ151"/>
      <c r="RSA151"/>
      <c r="RSB151"/>
      <c r="RSC151"/>
      <c r="RSD151"/>
      <c r="RSE151"/>
      <c r="RSF151"/>
      <c r="RSG151"/>
      <c r="RSH151"/>
      <c r="RSI151"/>
      <c r="RSJ151"/>
      <c r="RSK151"/>
      <c r="RSL151"/>
      <c r="RSM151"/>
      <c r="RSN151"/>
      <c r="RSO151"/>
      <c r="RSP151"/>
      <c r="RSQ151"/>
      <c r="RSR151"/>
      <c r="RSS151"/>
      <c r="RST151"/>
      <c r="RSU151"/>
      <c r="RSV151"/>
      <c r="RSW151"/>
      <c r="RSX151"/>
      <c r="RSY151"/>
      <c r="RSZ151"/>
      <c r="RTA151"/>
      <c r="RTB151"/>
      <c r="RTC151"/>
      <c r="RTD151"/>
      <c r="RTE151"/>
      <c r="RTF151"/>
      <c r="RTG151"/>
      <c r="RTH151"/>
      <c r="RTI151"/>
      <c r="RTJ151"/>
      <c r="RTK151"/>
      <c r="RTL151"/>
      <c r="RTM151"/>
      <c r="RTN151"/>
      <c r="RTO151"/>
      <c r="RTP151"/>
      <c r="RTQ151"/>
      <c r="RTR151"/>
      <c r="RTS151"/>
      <c r="RTT151"/>
      <c r="RTU151"/>
      <c r="RTV151"/>
      <c r="RTW151"/>
      <c r="RTX151"/>
      <c r="RTY151"/>
      <c r="RTZ151"/>
      <c r="RUA151"/>
      <c r="RUB151"/>
      <c r="RUC151"/>
      <c r="RUD151"/>
      <c r="RUE151"/>
      <c r="RUF151"/>
      <c r="RUG151"/>
      <c r="RUH151"/>
      <c r="RUI151"/>
      <c r="RUJ151"/>
      <c r="RUK151"/>
      <c r="RUL151"/>
      <c r="RUM151"/>
      <c r="RUN151"/>
      <c r="RUO151"/>
      <c r="RUP151"/>
      <c r="RUQ151"/>
      <c r="RUR151"/>
      <c r="RUS151"/>
      <c r="RUT151"/>
      <c r="RUU151"/>
      <c r="RUV151"/>
      <c r="RUW151"/>
      <c r="RUX151"/>
      <c r="RUY151"/>
      <c r="RUZ151"/>
      <c r="RVA151"/>
      <c r="RVB151"/>
      <c r="RVC151"/>
      <c r="RVD151"/>
      <c r="RVE151"/>
      <c r="RVF151"/>
      <c r="RVG151"/>
      <c r="RVH151"/>
      <c r="RVI151"/>
      <c r="RVJ151"/>
      <c r="RVK151"/>
      <c r="RVL151"/>
      <c r="RVM151"/>
      <c r="RVN151"/>
      <c r="RVO151"/>
      <c r="RVP151"/>
      <c r="RVQ151"/>
      <c r="RVR151"/>
      <c r="RVS151"/>
      <c r="RVT151"/>
      <c r="RVU151"/>
      <c r="RVV151"/>
      <c r="RVW151"/>
      <c r="RVX151"/>
      <c r="RVY151"/>
      <c r="RVZ151"/>
      <c r="RWA151"/>
      <c r="RWB151"/>
      <c r="RWC151"/>
      <c r="RWD151"/>
      <c r="RWE151"/>
      <c r="RWF151"/>
      <c r="RWG151"/>
      <c r="RWH151"/>
      <c r="RWI151"/>
      <c r="RWJ151"/>
      <c r="RWK151"/>
      <c r="RWL151"/>
      <c r="RWM151"/>
      <c r="RWN151"/>
      <c r="RWO151"/>
      <c r="RWP151"/>
      <c r="RWQ151"/>
      <c r="RWR151"/>
      <c r="RWS151"/>
      <c r="RWT151"/>
      <c r="RWU151"/>
      <c r="RWV151"/>
      <c r="RWW151"/>
      <c r="RWX151"/>
      <c r="RWY151"/>
      <c r="RWZ151"/>
      <c r="RXA151"/>
      <c r="RXB151"/>
      <c r="RXC151"/>
      <c r="RXD151"/>
      <c r="RXE151"/>
      <c r="RXF151"/>
      <c r="RXG151"/>
      <c r="RXH151"/>
      <c r="RXI151"/>
      <c r="RXJ151"/>
      <c r="RXK151"/>
      <c r="RXL151"/>
      <c r="RXM151"/>
      <c r="RXN151"/>
      <c r="RXO151"/>
      <c r="RXP151"/>
      <c r="RXQ151"/>
      <c r="RXR151"/>
      <c r="RXS151"/>
      <c r="RXT151"/>
      <c r="RXU151"/>
      <c r="RXV151"/>
      <c r="RXW151"/>
      <c r="RXX151"/>
      <c r="RXY151"/>
      <c r="RXZ151"/>
      <c r="RYA151"/>
      <c r="RYB151"/>
      <c r="RYC151"/>
      <c r="RYD151"/>
      <c r="RYE151"/>
      <c r="RYF151"/>
      <c r="RYG151"/>
      <c r="RYH151"/>
      <c r="RYI151"/>
      <c r="RYJ151"/>
      <c r="RYK151"/>
      <c r="RYL151"/>
      <c r="RYM151"/>
      <c r="RYN151"/>
      <c r="RYO151"/>
      <c r="RYP151"/>
      <c r="RYQ151"/>
      <c r="RYR151"/>
      <c r="RYS151"/>
      <c r="RYT151"/>
      <c r="RYU151"/>
      <c r="RYV151"/>
      <c r="RYW151"/>
      <c r="RYX151"/>
      <c r="RYY151"/>
      <c r="RYZ151"/>
      <c r="RZA151"/>
      <c r="RZB151"/>
      <c r="RZC151"/>
      <c r="RZD151"/>
      <c r="RZE151"/>
      <c r="RZF151"/>
      <c r="RZG151"/>
      <c r="RZH151"/>
      <c r="RZI151"/>
      <c r="RZJ151"/>
      <c r="RZK151"/>
      <c r="RZL151"/>
      <c r="RZM151"/>
      <c r="RZN151"/>
      <c r="RZO151"/>
      <c r="RZP151"/>
      <c r="RZQ151"/>
      <c r="RZR151"/>
      <c r="RZS151"/>
      <c r="RZT151"/>
      <c r="RZU151"/>
      <c r="RZV151"/>
      <c r="RZW151"/>
      <c r="RZX151"/>
      <c r="RZY151"/>
      <c r="RZZ151"/>
      <c r="SAA151"/>
      <c r="SAB151"/>
      <c r="SAC151"/>
      <c r="SAD151"/>
      <c r="SAE151"/>
      <c r="SAF151"/>
      <c r="SAG151"/>
      <c r="SAH151"/>
      <c r="SAI151"/>
      <c r="SAJ151"/>
      <c r="SAK151"/>
      <c r="SAL151"/>
      <c r="SAM151"/>
      <c r="SAN151"/>
      <c r="SAO151"/>
      <c r="SAP151"/>
      <c r="SAQ151"/>
      <c r="SAR151"/>
      <c r="SAS151"/>
      <c r="SAT151"/>
      <c r="SAU151"/>
      <c r="SAV151"/>
      <c r="SAW151"/>
      <c r="SAX151"/>
      <c r="SAY151"/>
      <c r="SAZ151"/>
      <c r="SBA151"/>
      <c r="SBB151"/>
      <c r="SBC151"/>
      <c r="SBD151"/>
      <c r="SBE151"/>
      <c r="SBF151"/>
      <c r="SBG151"/>
      <c r="SBH151"/>
      <c r="SBI151"/>
      <c r="SBJ151"/>
      <c r="SBK151"/>
      <c r="SBL151"/>
      <c r="SBM151"/>
      <c r="SBN151"/>
      <c r="SBO151"/>
      <c r="SBP151"/>
      <c r="SBQ151"/>
      <c r="SBR151"/>
      <c r="SBS151"/>
      <c r="SBT151"/>
      <c r="SBU151"/>
      <c r="SBV151"/>
      <c r="SBW151"/>
      <c r="SBX151"/>
      <c r="SBY151"/>
      <c r="SBZ151"/>
      <c r="SCA151"/>
      <c r="SCB151"/>
      <c r="SCC151"/>
      <c r="SCD151"/>
      <c r="SCE151"/>
      <c r="SCF151"/>
      <c r="SCG151"/>
      <c r="SCH151"/>
      <c r="SCI151"/>
      <c r="SCJ151"/>
      <c r="SCK151"/>
      <c r="SCL151"/>
      <c r="SCM151"/>
      <c r="SCN151"/>
      <c r="SCO151"/>
      <c r="SCP151"/>
      <c r="SCQ151"/>
      <c r="SCR151"/>
      <c r="SCS151"/>
      <c r="SCT151"/>
      <c r="SCU151"/>
      <c r="SCV151"/>
      <c r="SCW151"/>
      <c r="SCX151"/>
      <c r="SCY151"/>
      <c r="SCZ151"/>
      <c r="SDA151"/>
      <c r="SDB151"/>
      <c r="SDC151"/>
      <c r="SDD151"/>
      <c r="SDE151"/>
      <c r="SDF151"/>
      <c r="SDG151"/>
      <c r="SDH151"/>
      <c r="SDI151"/>
      <c r="SDJ151"/>
      <c r="SDK151"/>
      <c r="SDL151"/>
      <c r="SDM151"/>
      <c r="SDN151"/>
      <c r="SDO151"/>
      <c r="SDP151"/>
      <c r="SDQ151"/>
      <c r="SDR151"/>
      <c r="SDS151"/>
      <c r="SDT151"/>
      <c r="SDU151"/>
      <c r="SDV151"/>
      <c r="SDW151"/>
      <c r="SDX151"/>
      <c r="SDY151"/>
      <c r="SDZ151"/>
      <c r="SEA151"/>
      <c r="SEB151"/>
      <c r="SEC151"/>
      <c r="SED151"/>
      <c r="SEE151"/>
      <c r="SEF151"/>
      <c r="SEG151"/>
      <c r="SEH151"/>
      <c r="SEI151"/>
      <c r="SEJ151"/>
      <c r="SEK151"/>
      <c r="SEL151"/>
      <c r="SEM151"/>
      <c r="SEN151"/>
      <c r="SEO151"/>
      <c r="SEP151"/>
      <c r="SEQ151"/>
      <c r="SER151"/>
      <c r="SES151"/>
      <c r="SET151"/>
      <c r="SEU151"/>
      <c r="SEV151"/>
      <c r="SEW151"/>
      <c r="SEX151"/>
      <c r="SEY151"/>
      <c r="SEZ151"/>
      <c r="SFA151"/>
      <c r="SFB151"/>
      <c r="SFC151"/>
      <c r="SFD151"/>
      <c r="SFE151"/>
      <c r="SFF151"/>
      <c r="SFG151"/>
      <c r="SFH151"/>
      <c r="SFI151"/>
      <c r="SFJ151"/>
      <c r="SFK151"/>
      <c r="SFL151"/>
      <c r="SFM151"/>
      <c r="SFN151"/>
      <c r="SFO151"/>
      <c r="SFP151"/>
      <c r="SFQ151"/>
      <c r="SFR151"/>
      <c r="SFS151"/>
      <c r="SFT151"/>
      <c r="SFU151"/>
      <c r="SFV151"/>
      <c r="SFW151"/>
      <c r="SFX151"/>
      <c r="SFY151"/>
      <c r="SFZ151"/>
      <c r="SGA151"/>
      <c r="SGB151"/>
      <c r="SGC151"/>
      <c r="SGD151"/>
      <c r="SGE151"/>
      <c r="SGF151"/>
      <c r="SGG151"/>
      <c r="SGH151"/>
      <c r="SGI151"/>
      <c r="SGJ151"/>
      <c r="SGK151"/>
      <c r="SGL151"/>
      <c r="SGM151"/>
      <c r="SGN151"/>
      <c r="SGO151"/>
      <c r="SGP151"/>
      <c r="SGQ151"/>
      <c r="SGR151"/>
      <c r="SGS151"/>
      <c r="SGT151"/>
      <c r="SGU151"/>
      <c r="SGV151"/>
      <c r="SGW151"/>
      <c r="SGX151"/>
      <c r="SGY151"/>
      <c r="SGZ151"/>
      <c r="SHA151"/>
      <c r="SHB151"/>
      <c r="SHC151"/>
      <c r="SHD151"/>
      <c r="SHE151"/>
      <c r="SHF151"/>
      <c r="SHG151"/>
      <c r="SHH151"/>
      <c r="SHI151"/>
      <c r="SHJ151"/>
      <c r="SHK151"/>
      <c r="SHL151"/>
      <c r="SHM151"/>
      <c r="SHN151"/>
      <c r="SHO151"/>
      <c r="SHP151"/>
      <c r="SHQ151"/>
      <c r="SHR151"/>
      <c r="SHS151"/>
      <c r="SHT151"/>
      <c r="SHU151"/>
      <c r="SHV151"/>
      <c r="SHW151"/>
      <c r="SHX151"/>
      <c r="SHY151"/>
      <c r="SHZ151"/>
      <c r="SIA151"/>
      <c r="SIB151"/>
      <c r="SIC151"/>
      <c r="SID151"/>
      <c r="SIE151"/>
      <c r="SIF151"/>
      <c r="SIG151"/>
      <c r="SIH151"/>
      <c r="SII151"/>
      <c r="SIJ151"/>
      <c r="SIK151"/>
      <c r="SIL151"/>
      <c r="SIM151"/>
      <c r="SIN151"/>
      <c r="SIO151"/>
      <c r="SIP151"/>
      <c r="SIQ151"/>
      <c r="SIR151"/>
      <c r="SIS151"/>
      <c r="SIT151"/>
      <c r="SIU151"/>
      <c r="SIV151"/>
      <c r="SIW151"/>
      <c r="SIX151"/>
      <c r="SIY151"/>
      <c r="SIZ151"/>
      <c r="SJA151"/>
      <c r="SJB151"/>
      <c r="SJC151"/>
      <c r="SJD151"/>
      <c r="SJE151"/>
      <c r="SJF151"/>
      <c r="SJG151"/>
      <c r="SJH151"/>
      <c r="SJI151"/>
      <c r="SJJ151"/>
      <c r="SJK151"/>
      <c r="SJL151"/>
      <c r="SJM151"/>
      <c r="SJN151"/>
      <c r="SJO151"/>
      <c r="SJP151"/>
      <c r="SJQ151"/>
      <c r="SJR151"/>
      <c r="SJS151"/>
      <c r="SJT151"/>
      <c r="SJU151"/>
      <c r="SJV151"/>
      <c r="SJW151"/>
      <c r="SJX151"/>
      <c r="SJY151"/>
      <c r="SJZ151"/>
      <c r="SKA151"/>
      <c r="SKB151"/>
      <c r="SKC151"/>
      <c r="SKD151"/>
      <c r="SKE151"/>
      <c r="SKF151"/>
      <c r="SKG151"/>
      <c r="SKH151"/>
      <c r="SKI151"/>
      <c r="SKJ151"/>
      <c r="SKK151"/>
      <c r="SKL151"/>
      <c r="SKM151"/>
      <c r="SKN151"/>
      <c r="SKO151"/>
      <c r="SKP151"/>
      <c r="SKQ151"/>
      <c r="SKR151"/>
      <c r="SKS151"/>
      <c r="SKT151"/>
      <c r="SKU151"/>
      <c r="SKV151"/>
      <c r="SKW151"/>
      <c r="SKX151"/>
      <c r="SKY151"/>
      <c r="SKZ151"/>
      <c r="SLA151"/>
      <c r="SLB151"/>
      <c r="SLC151"/>
      <c r="SLD151"/>
      <c r="SLE151"/>
      <c r="SLF151"/>
      <c r="SLG151"/>
      <c r="SLH151"/>
      <c r="SLI151"/>
      <c r="SLJ151"/>
      <c r="SLK151"/>
      <c r="SLL151"/>
      <c r="SLM151"/>
      <c r="SLN151"/>
      <c r="SLO151"/>
      <c r="SLP151"/>
      <c r="SLQ151"/>
      <c r="SLR151"/>
      <c r="SLS151"/>
      <c r="SLT151"/>
      <c r="SLU151"/>
      <c r="SLV151"/>
      <c r="SLW151"/>
      <c r="SLX151"/>
      <c r="SLY151"/>
      <c r="SLZ151"/>
      <c r="SMA151"/>
      <c r="SMB151"/>
      <c r="SMC151"/>
      <c r="SMD151"/>
      <c r="SME151"/>
      <c r="SMF151"/>
      <c r="SMG151"/>
      <c r="SMH151"/>
      <c r="SMI151"/>
      <c r="SMJ151"/>
      <c r="SMK151"/>
      <c r="SML151"/>
      <c r="SMM151"/>
      <c r="SMN151"/>
      <c r="SMO151"/>
      <c r="SMP151"/>
      <c r="SMQ151"/>
      <c r="SMR151"/>
      <c r="SMS151"/>
      <c r="SMT151"/>
      <c r="SMU151"/>
      <c r="SMV151"/>
      <c r="SMW151"/>
      <c r="SMX151"/>
      <c r="SMY151"/>
      <c r="SMZ151"/>
      <c r="SNA151"/>
      <c r="SNB151"/>
      <c r="SNC151"/>
      <c r="SND151"/>
      <c r="SNE151"/>
      <c r="SNF151"/>
      <c r="SNG151"/>
      <c r="SNH151"/>
      <c r="SNI151"/>
      <c r="SNJ151"/>
      <c r="SNK151"/>
      <c r="SNL151"/>
      <c r="SNM151"/>
      <c r="SNN151"/>
      <c r="SNO151"/>
      <c r="SNP151"/>
      <c r="SNQ151"/>
      <c r="SNR151"/>
      <c r="SNS151"/>
      <c r="SNT151"/>
      <c r="SNU151"/>
      <c r="SNV151"/>
      <c r="SNW151"/>
      <c r="SNX151"/>
      <c r="SNY151"/>
      <c r="SNZ151"/>
      <c r="SOA151"/>
      <c r="SOB151"/>
      <c r="SOC151"/>
      <c r="SOD151"/>
      <c r="SOE151"/>
      <c r="SOF151"/>
      <c r="SOG151"/>
      <c r="SOH151"/>
      <c r="SOI151"/>
      <c r="SOJ151"/>
      <c r="SOK151"/>
      <c r="SOL151"/>
      <c r="SOM151"/>
      <c r="SON151"/>
      <c r="SOO151"/>
      <c r="SOP151"/>
      <c r="SOQ151"/>
      <c r="SOR151"/>
      <c r="SOS151"/>
      <c r="SOT151"/>
      <c r="SOU151"/>
      <c r="SOV151"/>
      <c r="SOW151"/>
      <c r="SOX151"/>
      <c r="SOY151"/>
      <c r="SOZ151"/>
      <c r="SPA151"/>
      <c r="SPB151"/>
      <c r="SPC151"/>
      <c r="SPD151"/>
      <c r="SPE151"/>
      <c r="SPF151"/>
      <c r="SPG151"/>
      <c r="SPH151"/>
      <c r="SPI151"/>
      <c r="SPJ151"/>
      <c r="SPK151"/>
      <c r="SPL151"/>
      <c r="SPM151"/>
      <c r="SPN151"/>
      <c r="SPO151"/>
      <c r="SPP151"/>
      <c r="SPQ151"/>
      <c r="SPR151"/>
      <c r="SPS151"/>
      <c r="SPT151"/>
      <c r="SPU151"/>
      <c r="SPV151"/>
      <c r="SPW151"/>
      <c r="SPX151"/>
      <c r="SPY151"/>
      <c r="SPZ151"/>
      <c r="SQA151"/>
      <c r="SQB151"/>
      <c r="SQC151"/>
      <c r="SQD151"/>
      <c r="SQE151"/>
      <c r="SQF151"/>
      <c r="SQG151"/>
      <c r="SQH151"/>
      <c r="SQI151"/>
      <c r="SQJ151"/>
      <c r="SQK151"/>
      <c r="SQL151"/>
      <c r="SQM151"/>
      <c r="SQN151"/>
      <c r="SQO151"/>
      <c r="SQP151"/>
      <c r="SQQ151"/>
      <c r="SQR151"/>
      <c r="SQS151"/>
      <c r="SQT151"/>
      <c r="SQU151"/>
      <c r="SQV151"/>
      <c r="SQW151"/>
      <c r="SQX151"/>
      <c r="SQY151"/>
      <c r="SQZ151"/>
      <c r="SRA151"/>
      <c r="SRB151"/>
      <c r="SRC151"/>
      <c r="SRD151"/>
      <c r="SRE151"/>
      <c r="SRF151"/>
      <c r="SRG151"/>
      <c r="SRH151"/>
      <c r="SRI151"/>
      <c r="SRJ151"/>
      <c r="SRK151"/>
      <c r="SRL151"/>
      <c r="SRM151"/>
      <c r="SRN151"/>
      <c r="SRO151"/>
      <c r="SRP151"/>
      <c r="SRQ151"/>
      <c r="SRR151"/>
      <c r="SRS151"/>
      <c r="SRT151"/>
      <c r="SRU151"/>
      <c r="SRV151"/>
      <c r="SRW151"/>
      <c r="SRX151"/>
      <c r="SRY151"/>
      <c r="SRZ151"/>
      <c r="SSA151"/>
      <c r="SSB151"/>
      <c r="SSC151"/>
      <c r="SSD151"/>
      <c r="SSE151"/>
      <c r="SSF151"/>
      <c r="SSG151"/>
      <c r="SSH151"/>
      <c r="SSI151"/>
      <c r="SSJ151"/>
      <c r="SSK151"/>
      <c r="SSL151"/>
      <c r="SSM151"/>
      <c r="SSN151"/>
      <c r="SSO151"/>
      <c r="SSP151"/>
      <c r="SSQ151"/>
      <c r="SSR151"/>
      <c r="SSS151"/>
      <c r="SST151"/>
      <c r="SSU151"/>
      <c r="SSV151"/>
      <c r="SSW151"/>
      <c r="SSX151"/>
      <c r="SSY151"/>
      <c r="SSZ151"/>
      <c r="STA151"/>
      <c r="STB151"/>
      <c r="STC151"/>
      <c r="STD151"/>
      <c r="STE151"/>
      <c r="STF151"/>
      <c r="STG151"/>
      <c r="STH151"/>
      <c r="STI151"/>
      <c r="STJ151"/>
      <c r="STK151"/>
      <c r="STL151"/>
      <c r="STM151"/>
      <c r="STN151"/>
      <c r="STO151"/>
      <c r="STP151"/>
      <c r="STQ151"/>
      <c r="STR151"/>
      <c r="STS151"/>
      <c r="STT151"/>
      <c r="STU151"/>
      <c r="STV151"/>
      <c r="STW151"/>
      <c r="STX151"/>
      <c r="STY151"/>
      <c r="STZ151"/>
      <c r="SUA151"/>
      <c r="SUB151"/>
      <c r="SUC151"/>
      <c r="SUD151"/>
      <c r="SUE151"/>
      <c r="SUF151"/>
      <c r="SUG151"/>
      <c r="SUH151"/>
      <c r="SUI151"/>
      <c r="SUJ151"/>
      <c r="SUK151"/>
      <c r="SUL151"/>
      <c r="SUM151"/>
      <c r="SUN151"/>
      <c r="SUO151"/>
      <c r="SUP151"/>
      <c r="SUQ151"/>
      <c r="SUR151"/>
      <c r="SUS151"/>
      <c r="SUT151"/>
      <c r="SUU151"/>
      <c r="SUV151"/>
      <c r="SUW151"/>
      <c r="SUX151"/>
      <c r="SUY151"/>
      <c r="SUZ151"/>
      <c r="SVA151"/>
      <c r="SVB151"/>
      <c r="SVC151"/>
      <c r="SVD151"/>
      <c r="SVE151"/>
      <c r="SVF151"/>
      <c r="SVG151"/>
      <c r="SVH151"/>
      <c r="SVI151"/>
      <c r="SVJ151"/>
      <c r="SVK151"/>
      <c r="SVL151"/>
      <c r="SVM151"/>
      <c r="SVN151"/>
      <c r="SVO151"/>
      <c r="SVP151"/>
      <c r="SVQ151"/>
      <c r="SVR151"/>
      <c r="SVS151"/>
      <c r="SVT151"/>
      <c r="SVU151"/>
      <c r="SVV151"/>
      <c r="SVW151"/>
      <c r="SVX151"/>
      <c r="SVY151"/>
      <c r="SVZ151"/>
      <c r="SWA151"/>
      <c r="SWB151"/>
      <c r="SWC151"/>
      <c r="SWD151"/>
      <c r="SWE151"/>
      <c r="SWF151"/>
      <c r="SWG151"/>
      <c r="SWH151"/>
      <c r="SWI151"/>
      <c r="SWJ151"/>
      <c r="SWK151"/>
      <c r="SWL151"/>
      <c r="SWM151"/>
      <c r="SWN151"/>
      <c r="SWO151"/>
      <c r="SWP151"/>
      <c r="SWQ151"/>
      <c r="SWR151"/>
      <c r="SWS151"/>
      <c r="SWT151"/>
      <c r="SWU151"/>
      <c r="SWV151"/>
      <c r="SWW151"/>
      <c r="SWX151"/>
      <c r="SWY151"/>
      <c r="SWZ151"/>
      <c r="SXA151"/>
      <c r="SXB151"/>
      <c r="SXC151"/>
      <c r="SXD151"/>
      <c r="SXE151"/>
      <c r="SXF151"/>
      <c r="SXG151"/>
      <c r="SXH151"/>
      <c r="SXI151"/>
      <c r="SXJ151"/>
      <c r="SXK151"/>
      <c r="SXL151"/>
      <c r="SXM151"/>
      <c r="SXN151"/>
      <c r="SXO151"/>
      <c r="SXP151"/>
      <c r="SXQ151"/>
      <c r="SXR151"/>
      <c r="SXS151"/>
      <c r="SXT151"/>
      <c r="SXU151"/>
      <c r="SXV151"/>
      <c r="SXW151"/>
      <c r="SXX151"/>
      <c r="SXY151"/>
      <c r="SXZ151"/>
      <c r="SYA151"/>
      <c r="SYB151"/>
      <c r="SYC151"/>
      <c r="SYD151"/>
      <c r="SYE151"/>
      <c r="SYF151"/>
      <c r="SYG151"/>
      <c r="SYH151"/>
      <c r="SYI151"/>
      <c r="SYJ151"/>
      <c r="SYK151"/>
      <c r="SYL151"/>
      <c r="SYM151"/>
      <c r="SYN151"/>
      <c r="SYO151"/>
      <c r="SYP151"/>
      <c r="SYQ151"/>
      <c r="SYR151"/>
      <c r="SYS151"/>
      <c r="SYT151"/>
      <c r="SYU151"/>
      <c r="SYV151"/>
      <c r="SYW151"/>
      <c r="SYX151"/>
      <c r="SYY151"/>
      <c r="SYZ151"/>
      <c r="SZA151"/>
      <c r="SZB151"/>
      <c r="SZC151"/>
      <c r="SZD151"/>
      <c r="SZE151"/>
      <c r="SZF151"/>
      <c r="SZG151"/>
      <c r="SZH151"/>
      <c r="SZI151"/>
      <c r="SZJ151"/>
      <c r="SZK151"/>
      <c r="SZL151"/>
      <c r="SZM151"/>
      <c r="SZN151"/>
      <c r="SZO151"/>
      <c r="SZP151"/>
      <c r="SZQ151"/>
      <c r="SZR151"/>
      <c r="SZS151"/>
      <c r="SZT151"/>
      <c r="SZU151"/>
      <c r="SZV151"/>
      <c r="SZW151"/>
      <c r="SZX151"/>
      <c r="SZY151"/>
      <c r="SZZ151"/>
      <c r="TAA151"/>
      <c r="TAB151"/>
      <c r="TAC151"/>
      <c r="TAD151"/>
      <c r="TAE151"/>
      <c r="TAF151"/>
      <c r="TAG151"/>
      <c r="TAH151"/>
      <c r="TAI151"/>
      <c r="TAJ151"/>
      <c r="TAK151"/>
      <c r="TAL151"/>
      <c r="TAM151"/>
      <c r="TAN151"/>
      <c r="TAO151"/>
      <c r="TAP151"/>
      <c r="TAQ151"/>
      <c r="TAR151"/>
      <c r="TAS151"/>
      <c r="TAT151"/>
      <c r="TAU151"/>
      <c r="TAV151"/>
      <c r="TAW151"/>
      <c r="TAX151"/>
      <c r="TAY151"/>
      <c r="TAZ151"/>
      <c r="TBA151"/>
      <c r="TBB151"/>
      <c r="TBC151"/>
      <c r="TBD151"/>
      <c r="TBE151"/>
      <c r="TBF151"/>
      <c r="TBG151"/>
      <c r="TBH151"/>
      <c r="TBI151"/>
      <c r="TBJ151"/>
      <c r="TBK151"/>
      <c r="TBL151"/>
      <c r="TBM151"/>
      <c r="TBN151"/>
      <c r="TBO151"/>
      <c r="TBP151"/>
      <c r="TBQ151"/>
      <c r="TBR151"/>
      <c r="TBS151"/>
      <c r="TBT151"/>
      <c r="TBU151"/>
      <c r="TBV151"/>
      <c r="TBW151"/>
      <c r="TBX151"/>
      <c r="TBY151"/>
      <c r="TBZ151"/>
      <c r="TCA151"/>
      <c r="TCB151"/>
      <c r="TCC151"/>
      <c r="TCD151"/>
      <c r="TCE151"/>
      <c r="TCF151"/>
      <c r="TCG151"/>
      <c r="TCH151"/>
      <c r="TCI151"/>
      <c r="TCJ151"/>
      <c r="TCK151"/>
      <c r="TCL151"/>
      <c r="TCM151"/>
      <c r="TCN151"/>
      <c r="TCO151"/>
      <c r="TCP151"/>
      <c r="TCQ151"/>
      <c r="TCR151"/>
      <c r="TCS151"/>
      <c r="TCT151"/>
      <c r="TCU151"/>
      <c r="TCV151"/>
      <c r="TCW151"/>
      <c r="TCX151"/>
      <c r="TCY151"/>
      <c r="TCZ151"/>
      <c r="TDA151"/>
      <c r="TDB151"/>
      <c r="TDC151"/>
      <c r="TDD151"/>
      <c r="TDE151"/>
      <c r="TDF151"/>
      <c r="TDG151"/>
      <c r="TDH151"/>
      <c r="TDI151"/>
      <c r="TDJ151"/>
      <c r="TDK151"/>
      <c r="TDL151"/>
      <c r="TDM151"/>
      <c r="TDN151"/>
      <c r="TDO151"/>
      <c r="TDP151"/>
      <c r="TDQ151"/>
      <c r="TDR151"/>
      <c r="TDS151"/>
      <c r="TDT151"/>
      <c r="TDU151"/>
      <c r="TDV151"/>
      <c r="TDW151"/>
      <c r="TDX151"/>
      <c r="TDY151"/>
      <c r="TDZ151"/>
      <c r="TEA151"/>
      <c r="TEB151"/>
      <c r="TEC151"/>
      <c r="TED151"/>
      <c r="TEE151"/>
      <c r="TEF151"/>
      <c r="TEG151"/>
      <c r="TEH151"/>
      <c r="TEI151"/>
      <c r="TEJ151"/>
      <c r="TEK151"/>
      <c r="TEL151"/>
      <c r="TEM151"/>
      <c r="TEN151"/>
      <c r="TEO151"/>
      <c r="TEP151"/>
      <c r="TEQ151"/>
      <c r="TER151"/>
      <c r="TES151"/>
      <c r="TET151"/>
      <c r="TEU151"/>
      <c r="TEV151"/>
      <c r="TEW151"/>
      <c r="TEX151"/>
      <c r="TEY151"/>
      <c r="TEZ151"/>
      <c r="TFA151"/>
      <c r="TFB151"/>
      <c r="TFC151"/>
      <c r="TFD151"/>
      <c r="TFE151"/>
      <c r="TFF151"/>
      <c r="TFG151"/>
      <c r="TFH151"/>
      <c r="TFI151"/>
      <c r="TFJ151"/>
      <c r="TFK151"/>
      <c r="TFL151"/>
      <c r="TFM151"/>
      <c r="TFN151"/>
      <c r="TFO151"/>
      <c r="TFP151"/>
      <c r="TFQ151"/>
      <c r="TFR151"/>
      <c r="TFS151"/>
      <c r="TFT151"/>
      <c r="TFU151"/>
      <c r="TFV151"/>
      <c r="TFW151"/>
      <c r="TFX151"/>
      <c r="TFY151"/>
      <c r="TFZ151"/>
      <c r="TGA151"/>
      <c r="TGB151"/>
      <c r="TGC151"/>
      <c r="TGD151"/>
      <c r="TGE151"/>
      <c r="TGF151"/>
      <c r="TGG151"/>
      <c r="TGH151"/>
      <c r="TGI151"/>
      <c r="TGJ151"/>
      <c r="TGK151"/>
      <c r="TGL151"/>
      <c r="TGM151"/>
      <c r="TGN151"/>
      <c r="TGO151"/>
      <c r="TGP151"/>
      <c r="TGQ151"/>
      <c r="TGR151"/>
      <c r="TGS151"/>
      <c r="TGT151"/>
      <c r="TGU151"/>
      <c r="TGV151"/>
      <c r="TGW151"/>
      <c r="TGX151"/>
      <c r="TGY151"/>
      <c r="TGZ151"/>
      <c r="THA151"/>
      <c r="THB151"/>
      <c r="THC151"/>
      <c r="THD151"/>
      <c r="THE151"/>
      <c r="THF151"/>
      <c r="THG151"/>
      <c r="THH151"/>
      <c r="THI151"/>
      <c r="THJ151"/>
      <c r="THK151"/>
      <c r="THL151"/>
      <c r="THM151"/>
      <c r="THN151"/>
      <c r="THO151"/>
      <c r="THP151"/>
      <c r="THQ151"/>
      <c r="THR151"/>
      <c r="THS151"/>
      <c r="THT151"/>
      <c r="THU151"/>
      <c r="THV151"/>
      <c r="THW151"/>
      <c r="THX151"/>
      <c r="THY151"/>
      <c r="THZ151"/>
      <c r="TIA151"/>
      <c r="TIB151"/>
      <c r="TIC151"/>
      <c r="TID151"/>
      <c r="TIE151"/>
      <c r="TIF151"/>
      <c r="TIG151"/>
      <c r="TIH151"/>
      <c r="TII151"/>
      <c r="TIJ151"/>
      <c r="TIK151"/>
      <c r="TIL151"/>
      <c r="TIM151"/>
      <c r="TIN151"/>
      <c r="TIO151"/>
      <c r="TIP151"/>
      <c r="TIQ151"/>
      <c r="TIR151"/>
      <c r="TIS151"/>
      <c r="TIT151"/>
      <c r="TIU151"/>
      <c r="TIV151"/>
      <c r="TIW151"/>
      <c r="TIX151"/>
      <c r="TIY151"/>
      <c r="TIZ151"/>
      <c r="TJA151"/>
      <c r="TJB151"/>
      <c r="TJC151"/>
      <c r="TJD151"/>
      <c r="TJE151"/>
      <c r="TJF151"/>
      <c r="TJG151"/>
      <c r="TJH151"/>
      <c r="TJI151"/>
      <c r="TJJ151"/>
      <c r="TJK151"/>
      <c r="TJL151"/>
      <c r="TJM151"/>
      <c r="TJN151"/>
      <c r="TJO151"/>
      <c r="TJP151"/>
      <c r="TJQ151"/>
      <c r="TJR151"/>
      <c r="TJS151"/>
      <c r="TJT151"/>
      <c r="TJU151"/>
      <c r="TJV151"/>
      <c r="TJW151"/>
      <c r="TJX151"/>
      <c r="TJY151"/>
      <c r="TJZ151"/>
      <c r="TKA151"/>
      <c r="TKB151"/>
      <c r="TKC151"/>
      <c r="TKD151"/>
      <c r="TKE151"/>
      <c r="TKF151"/>
      <c r="TKG151"/>
      <c r="TKH151"/>
      <c r="TKI151"/>
      <c r="TKJ151"/>
      <c r="TKK151"/>
      <c r="TKL151"/>
      <c r="TKM151"/>
      <c r="TKN151"/>
      <c r="TKO151"/>
      <c r="TKP151"/>
      <c r="TKQ151"/>
      <c r="TKR151"/>
      <c r="TKS151"/>
      <c r="TKT151"/>
      <c r="TKU151"/>
      <c r="TKV151"/>
      <c r="TKW151"/>
      <c r="TKX151"/>
      <c r="TKY151"/>
      <c r="TKZ151"/>
      <c r="TLA151"/>
      <c r="TLB151"/>
      <c r="TLC151"/>
      <c r="TLD151"/>
      <c r="TLE151"/>
      <c r="TLF151"/>
      <c r="TLG151"/>
      <c r="TLH151"/>
      <c r="TLI151"/>
      <c r="TLJ151"/>
      <c r="TLK151"/>
      <c r="TLL151"/>
      <c r="TLM151"/>
      <c r="TLN151"/>
      <c r="TLO151"/>
      <c r="TLP151"/>
      <c r="TLQ151"/>
      <c r="TLR151"/>
      <c r="TLS151"/>
      <c r="TLT151"/>
      <c r="TLU151"/>
      <c r="TLV151"/>
      <c r="TLW151"/>
      <c r="TLX151"/>
      <c r="TLY151"/>
      <c r="TLZ151"/>
      <c r="TMA151"/>
      <c r="TMB151"/>
      <c r="TMC151"/>
      <c r="TMD151"/>
      <c r="TME151"/>
      <c r="TMF151"/>
      <c r="TMG151"/>
      <c r="TMH151"/>
      <c r="TMI151"/>
      <c r="TMJ151"/>
      <c r="TMK151"/>
      <c r="TML151"/>
      <c r="TMM151"/>
      <c r="TMN151"/>
      <c r="TMO151"/>
      <c r="TMP151"/>
      <c r="TMQ151"/>
      <c r="TMR151"/>
      <c r="TMS151"/>
      <c r="TMT151"/>
      <c r="TMU151"/>
      <c r="TMV151"/>
      <c r="TMW151"/>
      <c r="TMX151"/>
      <c r="TMY151"/>
      <c r="TMZ151"/>
      <c r="TNA151"/>
      <c r="TNB151"/>
      <c r="TNC151"/>
      <c r="TND151"/>
      <c r="TNE151"/>
      <c r="TNF151"/>
      <c r="TNG151"/>
      <c r="TNH151"/>
      <c r="TNI151"/>
      <c r="TNJ151"/>
      <c r="TNK151"/>
      <c r="TNL151"/>
      <c r="TNM151"/>
      <c r="TNN151"/>
      <c r="TNO151"/>
      <c r="TNP151"/>
      <c r="TNQ151"/>
      <c r="TNR151"/>
      <c r="TNS151"/>
      <c r="TNT151"/>
      <c r="TNU151"/>
      <c r="TNV151"/>
      <c r="TNW151"/>
      <c r="TNX151"/>
      <c r="TNY151"/>
      <c r="TNZ151"/>
      <c r="TOA151"/>
      <c r="TOB151"/>
      <c r="TOC151"/>
      <c r="TOD151"/>
      <c r="TOE151"/>
      <c r="TOF151"/>
      <c r="TOG151"/>
      <c r="TOH151"/>
      <c r="TOI151"/>
      <c r="TOJ151"/>
      <c r="TOK151"/>
      <c r="TOL151"/>
      <c r="TOM151"/>
      <c r="TON151"/>
      <c r="TOO151"/>
      <c r="TOP151"/>
      <c r="TOQ151"/>
      <c r="TOR151"/>
      <c r="TOS151"/>
      <c r="TOT151"/>
      <c r="TOU151"/>
      <c r="TOV151"/>
      <c r="TOW151"/>
      <c r="TOX151"/>
      <c r="TOY151"/>
      <c r="TOZ151"/>
      <c r="TPA151"/>
      <c r="TPB151"/>
      <c r="TPC151"/>
      <c r="TPD151"/>
      <c r="TPE151"/>
      <c r="TPF151"/>
      <c r="TPG151"/>
      <c r="TPH151"/>
      <c r="TPI151"/>
      <c r="TPJ151"/>
      <c r="TPK151"/>
      <c r="TPL151"/>
      <c r="TPM151"/>
      <c r="TPN151"/>
      <c r="TPO151"/>
      <c r="TPP151"/>
      <c r="TPQ151"/>
      <c r="TPR151"/>
      <c r="TPS151"/>
      <c r="TPT151"/>
      <c r="TPU151"/>
      <c r="TPV151"/>
      <c r="TPW151"/>
      <c r="TPX151"/>
      <c r="TPY151"/>
      <c r="TPZ151"/>
      <c r="TQA151"/>
      <c r="TQB151"/>
      <c r="TQC151"/>
      <c r="TQD151"/>
      <c r="TQE151"/>
      <c r="TQF151"/>
      <c r="TQG151"/>
      <c r="TQH151"/>
      <c r="TQI151"/>
      <c r="TQJ151"/>
      <c r="TQK151"/>
      <c r="TQL151"/>
      <c r="TQM151"/>
      <c r="TQN151"/>
      <c r="TQO151"/>
      <c r="TQP151"/>
      <c r="TQQ151"/>
      <c r="TQR151"/>
      <c r="TQS151"/>
      <c r="TQT151"/>
      <c r="TQU151"/>
      <c r="TQV151"/>
      <c r="TQW151"/>
      <c r="TQX151"/>
      <c r="TQY151"/>
      <c r="TQZ151"/>
      <c r="TRA151"/>
      <c r="TRB151"/>
      <c r="TRC151"/>
      <c r="TRD151"/>
      <c r="TRE151"/>
      <c r="TRF151"/>
      <c r="TRG151"/>
      <c r="TRH151"/>
      <c r="TRI151"/>
      <c r="TRJ151"/>
      <c r="TRK151"/>
      <c r="TRL151"/>
      <c r="TRM151"/>
      <c r="TRN151"/>
      <c r="TRO151"/>
      <c r="TRP151"/>
      <c r="TRQ151"/>
      <c r="TRR151"/>
      <c r="TRS151"/>
      <c r="TRT151"/>
      <c r="TRU151"/>
      <c r="TRV151"/>
      <c r="TRW151"/>
      <c r="TRX151"/>
      <c r="TRY151"/>
      <c r="TRZ151"/>
      <c r="TSA151"/>
      <c r="TSB151"/>
      <c r="TSC151"/>
      <c r="TSD151"/>
      <c r="TSE151"/>
      <c r="TSF151"/>
      <c r="TSG151"/>
      <c r="TSH151"/>
      <c r="TSI151"/>
      <c r="TSJ151"/>
      <c r="TSK151"/>
      <c r="TSL151"/>
      <c r="TSM151"/>
      <c r="TSN151"/>
      <c r="TSO151"/>
      <c r="TSP151"/>
      <c r="TSQ151"/>
      <c r="TSR151"/>
      <c r="TSS151"/>
      <c r="TST151"/>
      <c r="TSU151"/>
      <c r="TSV151"/>
      <c r="TSW151"/>
      <c r="TSX151"/>
      <c r="TSY151"/>
      <c r="TSZ151"/>
      <c r="TTA151"/>
      <c r="TTB151"/>
      <c r="TTC151"/>
      <c r="TTD151"/>
      <c r="TTE151"/>
      <c r="TTF151"/>
      <c r="TTG151"/>
      <c r="TTH151"/>
      <c r="TTI151"/>
      <c r="TTJ151"/>
      <c r="TTK151"/>
      <c r="TTL151"/>
      <c r="TTM151"/>
      <c r="TTN151"/>
      <c r="TTO151"/>
      <c r="TTP151"/>
      <c r="TTQ151"/>
      <c r="TTR151"/>
      <c r="TTS151"/>
      <c r="TTT151"/>
      <c r="TTU151"/>
      <c r="TTV151"/>
      <c r="TTW151"/>
      <c r="TTX151"/>
      <c r="TTY151"/>
      <c r="TTZ151"/>
      <c r="TUA151"/>
      <c r="TUB151"/>
      <c r="TUC151"/>
      <c r="TUD151"/>
      <c r="TUE151"/>
      <c r="TUF151"/>
      <c r="TUG151"/>
      <c r="TUH151"/>
      <c r="TUI151"/>
      <c r="TUJ151"/>
      <c r="TUK151"/>
      <c r="TUL151"/>
      <c r="TUM151"/>
      <c r="TUN151"/>
      <c r="TUO151"/>
      <c r="TUP151"/>
      <c r="TUQ151"/>
      <c r="TUR151"/>
      <c r="TUS151"/>
      <c r="TUT151"/>
      <c r="TUU151"/>
      <c r="TUV151"/>
      <c r="TUW151"/>
      <c r="TUX151"/>
      <c r="TUY151"/>
      <c r="TUZ151"/>
      <c r="TVA151"/>
      <c r="TVB151"/>
      <c r="TVC151"/>
      <c r="TVD151"/>
      <c r="TVE151"/>
      <c r="TVF151"/>
      <c r="TVG151"/>
      <c r="TVH151"/>
      <c r="TVI151"/>
      <c r="TVJ151"/>
      <c r="TVK151"/>
      <c r="TVL151"/>
      <c r="TVM151"/>
      <c r="TVN151"/>
      <c r="TVO151"/>
      <c r="TVP151"/>
      <c r="TVQ151"/>
      <c r="TVR151"/>
      <c r="TVS151"/>
      <c r="TVT151"/>
      <c r="TVU151"/>
      <c r="TVV151"/>
      <c r="TVW151"/>
      <c r="TVX151"/>
      <c r="TVY151"/>
      <c r="TVZ151"/>
      <c r="TWA151"/>
      <c r="TWB151"/>
      <c r="TWC151"/>
      <c r="TWD151"/>
      <c r="TWE151"/>
      <c r="TWF151"/>
      <c r="TWG151"/>
      <c r="TWH151"/>
      <c r="TWI151"/>
      <c r="TWJ151"/>
      <c r="TWK151"/>
      <c r="TWL151"/>
      <c r="TWM151"/>
      <c r="TWN151"/>
      <c r="TWO151"/>
      <c r="TWP151"/>
      <c r="TWQ151"/>
      <c r="TWR151"/>
      <c r="TWS151"/>
      <c r="TWT151"/>
      <c r="TWU151"/>
      <c r="TWV151"/>
      <c r="TWW151"/>
      <c r="TWX151"/>
      <c r="TWY151"/>
      <c r="TWZ151"/>
      <c r="TXA151"/>
      <c r="TXB151"/>
      <c r="TXC151"/>
      <c r="TXD151"/>
      <c r="TXE151"/>
      <c r="TXF151"/>
      <c r="TXG151"/>
      <c r="TXH151"/>
      <c r="TXI151"/>
      <c r="TXJ151"/>
      <c r="TXK151"/>
      <c r="TXL151"/>
      <c r="TXM151"/>
      <c r="TXN151"/>
      <c r="TXO151"/>
      <c r="TXP151"/>
      <c r="TXQ151"/>
      <c r="TXR151"/>
      <c r="TXS151"/>
      <c r="TXT151"/>
      <c r="TXU151"/>
      <c r="TXV151"/>
      <c r="TXW151"/>
      <c r="TXX151"/>
      <c r="TXY151"/>
      <c r="TXZ151"/>
      <c r="TYA151"/>
      <c r="TYB151"/>
      <c r="TYC151"/>
      <c r="TYD151"/>
      <c r="TYE151"/>
      <c r="TYF151"/>
      <c r="TYG151"/>
      <c r="TYH151"/>
      <c r="TYI151"/>
      <c r="TYJ151"/>
      <c r="TYK151"/>
      <c r="TYL151"/>
      <c r="TYM151"/>
      <c r="TYN151"/>
      <c r="TYO151"/>
      <c r="TYP151"/>
      <c r="TYQ151"/>
      <c r="TYR151"/>
      <c r="TYS151"/>
      <c r="TYT151"/>
      <c r="TYU151"/>
      <c r="TYV151"/>
      <c r="TYW151"/>
      <c r="TYX151"/>
      <c r="TYY151"/>
      <c r="TYZ151"/>
      <c r="TZA151"/>
      <c r="TZB151"/>
      <c r="TZC151"/>
      <c r="TZD151"/>
      <c r="TZE151"/>
      <c r="TZF151"/>
      <c r="TZG151"/>
      <c r="TZH151"/>
      <c r="TZI151"/>
      <c r="TZJ151"/>
      <c r="TZK151"/>
      <c r="TZL151"/>
      <c r="TZM151"/>
      <c r="TZN151"/>
      <c r="TZO151"/>
      <c r="TZP151"/>
      <c r="TZQ151"/>
      <c r="TZR151"/>
      <c r="TZS151"/>
      <c r="TZT151"/>
      <c r="TZU151"/>
      <c r="TZV151"/>
      <c r="TZW151"/>
      <c r="TZX151"/>
      <c r="TZY151"/>
      <c r="TZZ151"/>
      <c r="UAA151"/>
      <c r="UAB151"/>
      <c r="UAC151"/>
      <c r="UAD151"/>
      <c r="UAE151"/>
      <c r="UAF151"/>
      <c r="UAG151"/>
      <c r="UAH151"/>
      <c r="UAI151"/>
      <c r="UAJ151"/>
      <c r="UAK151"/>
      <c r="UAL151"/>
      <c r="UAM151"/>
      <c r="UAN151"/>
      <c r="UAO151"/>
      <c r="UAP151"/>
      <c r="UAQ151"/>
      <c r="UAR151"/>
      <c r="UAS151"/>
      <c r="UAT151"/>
      <c r="UAU151"/>
      <c r="UAV151"/>
      <c r="UAW151"/>
      <c r="UAX151"/>
      <c r="UAY151"/>
      <c r="UAZ151"/>
      <c r="UBA151"/>
      <c r="UBB151"/>
      <c r="UBC151"/>
      <c r="UBD151"/>
      <c r="UBE151"/>
      <c r="UBF151"/>
      <c r="UBG151"/>
      <c r="UBH151"/>
      <c r="UBI151"/>
      <c r="UBJ151"/>
      <c r="UBK151"/>
      <c r="UBL151"/>
      <c r="UBM151"/>
      <c r="UBN151"/>
      <c r="UBO151"/>
      <c r="UBP151"/>
      <c r="UBQ151"/>
      <c r="UBR151"/>
      <c r="UBS151"/>
      <c r="UBT151"/>
      <c r="UBU151"/>
      <c r="UBV151"/>
      <c r="UBW151"/>
      <c r="UBX151"/>
      <c r="UBY151"/>
      <c r="UBZ151"/>
      <c r="UCA151"/>
      <c r="UCB151"/>
      <c r="UCC151"/>
      <c r="UCD151"/>
      <c r="UCE151"/>
      <c r="UCF151"/>
      <c r="UCG151"/>
      <c r="UCH151"/>
      <c r="UCI151"/>
      <c r="UCJ151"/>
      <c r="UCK151"/>
      <c r="UCL151"/>
      <c r="UCM151"/>
      <c r="UCN151"/>
      <c r="UCO151"/>
      <c r="UCP151"/>
      <c r="UCQ151"/>
      <c r="UCR151"/>
      <c r="UCS151"/>
      <c r="UCT151"/>
      <c r="UCU151"/>
      <c r="UCV151"/>
      <c r="UCW151"/>
      <c r="UCX151"/>
      <c r="UCY151"/>
      <c r="UCZ151"/>
      <c r="UDA151"/>
      <c r="UDB151"/>
      <c r="UDC151"/>
      <c r="UDD151"/>
      <c r="UDE151"/>
      <c r="UDF151"/>
      <c r="UDG151"/>
      <c r="UDH151"/>
      <c r="UDI151"/>
      <c r="UDJ151"/>
      <c r="UDK151"/>
      <c r="UDL151"/>
      <c r="UDM151"/>
      <c r="UDN151"/>
      <c r="UDO151"/>
      <c r="UDP151"/>
      <c r="UDQ151"/>
      <c r="UDR151"/>
      <c r="UDS151"/>
      <c r="UDT151"/>
      <c r="UDU151"/>
      <c r="UDV151"/>
      <c r="UDW151"/>
      <c r="UDX151"/>
      <c r="UDY151"/>
      <c r="UDZ151"/>
      <c r="UEA151"/>
      <c r="UEB151"/>
      <c r="UEC151"/>
      <c r="UED151"/>
      <c r="UEE151"/>
      <c r="UEF151"/>
      <c r="UEG151"/>
      <c r="UEH151"/>
      <c r="UEI151"/>
      <c r="UEJ151"/>
      <c r="UEK151"/>
      <c r="UEL151"/>
      <c r="UEM151"/>
      <c r="UEN151"/>
      <c r="UEO151"/>
      <c r="UEP151"/>
      <c r="UEQ151"/>
      <c r="UER151"/>
      <c r="UES151"/>
      <c r="UET151"/>
      <c r="UEU151"/>
      <c r="UEV151"/>
      <c r="UEW151"/>
      <c r="UEX151"/>
      <c r="UEY151"/>
      <c r="UEZ151"/>
      <c r="UFA151"/>
      <c r="UFB151"/>
      <c r="UFC151"/>
      <c r="UFD151"/>
      <c r="UFE151"/>
      <c r="UFF151"/>
      <c r="UFG151"/>
      <c r="UFH151"/>
      <c r="UFI151"/>
      <c r="UFJ151"/>
      <c r="UFK151"/>
      <c r="UFL151"/>
      <c r="UFM151"/>
      <c r="UFN151"/>
      <c r="UFO151"/>
      <c r="UFP151"/>
      <c r="UFQ151"/>
      <c r="UFR151"/>
      <c r="UFS151"/>
      <c r="UFT151"/>
      <c r="UFU151"/>
      <c r="UFV151"/>
      <c r="UFW151"/>
      <c r="UFX151"/>
      <c r="UFY151"/>
      <c r="UFZ151"/>
      <c r="UGA151"/>
      <c r="UGB151"/>
      <c r="UGC151"/>
      <c r="UGD151"/>
      <c r="UGE151"/>
      <c r="UGF151"/>
      <c r="UGG151"/>
      <c r="UGH151"/>
      <c r="UGI151"/>
      <c r="UGJ151"/>
      <c r="UGK151"/>
      <c r="UGL151"/>
      <c r="UGM151"/>
      <c r="UGN151"/>
      <c r="UGO151"/>
      <c r="UGP151"/>
      <c r="UGQ151"/>
      <c r="UGR151"/>
      <c r="UGS151"/>
      <c r="UGT151"/>
      <c r="UGU151"/>
      <c r="UGV151"/>
      <c r="UGW151"/>
      <c r="UGX151"/>
      <c r="UGY151"/>
      <c r="UGZ151"/>
      <c r="UHA151"/>
      <c r="UHB151"/>
      <c r="UHC151"/>
      <c r="UHD151"/>
      <c r="UHE151"/>
      <c r="UHF151"/>
      <c r="UHG151"/>
      <c r="UHH151"/>
      <c r="UHI151"/>
      <c r="UHJ151"/>
      <c r="UHK151"/>
      <c r="UHL151"/>
      <c r="UHM151"/>
      <c r="UHN151"/>
      <c r="UHO151"/>
      <c r="UHP151"/>
      <c r="UHQ151"/>
      <c r="UHR151"/>
      <c r="UHS151"/>
      <c r="UHT151"/>
      <c r="UHU151"/>
      <c r="UHV151"/>
      <c r="UHW151"/>
      <c r="UHX151"/>
      <c r="UHY151"/>
      <c r="UHZ151"/>
      <c r="UIA151"/>
      <c r="UIB151"/>
      <c r="UIC151"/>
      <c r="UID151"/>
      <c r="UIE151"/>
      <c r="UIF151"/>
      <c r="UIG151"/>
      <c r="UIH151"/>
      <c r="UII151"/>
      <c r="UIJ151"/>
      <c r="UIK151"/>
      <c r="UIL151"/>
      <c r="UIM151"/>
      <c r="UIN151"/>
      <c r="UIO151"/>
      <c r="UIP151"/>
      <c r="UIQ151"/>
      <c r="UIR151"/>
      <c r="UIS151"/>
      <c r="UIT151"/>
      <c r="UIU151"/>
      <c r="UIV151"/>
      <c r="UIW151"/>
      <c r="UIX151"/>
      <c r="UIY151"/>
      <c r="UIZ151"/>
      <c r="UJA151"/>
      <c r="UJB151"/>
      <c r="UJC151"/>
      <c r="UJD151"/>
      <c r="UJE151"/>
      <c r="UJF151"/>
      <c r="UJG151"/>
      <c r="UJH151"/>
      <c r="UJI151"/>
      <c r="UJJ151"/>
      <c r="UJK151"/>
      <c r="UJL151"/>
      <c r="UJM151"/>
      <c r="UJN151"/>
      <c r="UJO151"/>
      <c r="UJP151"/>
      <c r="UJQ151"/>
      <c r="UJR151"/>
      <c r="UJS151"/>
      <c r="UJT151"/>
      <c r="UJU151"/>
      <c r="UJV151"/>
      <c r="UJW151"/>
      <c r="UJX151"/>
      <c r="UJY151"/>
      <c r="UJZ151"/>
      <c r="UKA151"/>
      <c r="UKB151"/>
      <c r="UKC151"/>
      <c r="UKD151"/>
      <c r="UKE151"/>
      <c r="UKF151"/>
      <c r="UKG151"/>
      <c r="UKH151"/>
      <c r="UKI151"/>
      <c r="UKJ151"/>
      <c r="UKK151"/>
      <c r="UKL151"/>
      <c r="UKM151"/>
      <c r="UKN151"/>
      <c r="UKO151"/>
      <c r="UKP151"/>
      <c r="UKQ151"/>
      <c r="UKR151"/>
      <c r="UKS151"/>
      <c r="UKT151"/>
      <c r="UKU151"/>
      <c r="UKV151"/>
      <c r="UKW151"/>
      <c r="UKX151"/>
      <c r="UKY151"/>
      <c r="UKZ151"/>
      <c r="ULA151"/>
      <c r="ULB151"/>
      <c r="ULC151"/>
      <c r="ULD151"/>
      <c r="ULE151"/>
      <c r="ULF151"/>
      <c r="ULG151"/>
      <c r="ULH151"/>
      <c r="ULI151"/>
      <c r="ULJ151"/>
      <c r="ULK151"/>
      <c r="ULL151"/>
      <c r="ULM151"/>
      <c r="ULN151"/>
      <c r="ULO151"/>
      <c r="ULP151"/>
      <c r="ULQ151"/>
      <c r="ULR151"/>
      <c r="ULS151"/>
      <c r="ULT151"/>
      <c r="ULU151"/>
      <c r="ULV151"/>
      <c r="ULW151"/>
      <c r="ULX151"/>
      <c r="ULY151"/>
      <c r="ULZ151"/>
      <c r="UMA151"/>
      <c r="UMB151"/>
      <c r="UMC151"/>
      <c r="UMD151"/>
      <c r="UME151"/>
      <c r="UMF151"/>
      <c r="UMG151"/>
      <c r="UMH151"/>
      <c r="UMI151"/>
      <c r="UMJ151"/>
      <c r="UMK151"/>
      <c r="UML151"/>
      <c r="UMM151"/>
      <c r="UMN151"/>
      <c r="UMO151"/>
      <c r="UMP151"/>
      <c r="UMQ151"/>
      <c r="UMR151"/>
      <c r="UMS151"/>
      <c r="UMT151"/>
      <c r="UMU151"/>
      <c r="UMV151"/>
      <c r="UMW151"/>
      <c r="UMX151"/>
      <c r="UMY151"/>
      <c r="UMZ151"/>
      <c r="UNA151"/>
      <c r="UNB151"/>
      <c r="UNC151"/>
      <c r="UND151"/>
      <c r="UNE151"/>
      <c r="UNF151"/>
      <c r="UNG151"/>
      <c r="UNH151"/>
      <c r="UNI151"/>
      <c r="UNJ151"/>
      <c r="UNK151"/>
      <c r="UNL151"/>
      <c r="UNM151"/>
      <c r="UNN151"/>
      <c r="UNO151"/>
      <c r="UNP151"/>
      <c r="UNQ151"/>
      <c r="UNR151"/>
      <c r="UNS151"/>
      <c r="UNT151"/>
      <c r="UNU151"/>
      <c r="UNV151"/>
      <c r="UNW151"/>
      <c r="UNX151"/>
      <c r="UNY151"/>
      <c r="UNZ151"/>
      <c r="UOA151"/>
      <c r="UOB151"/>
      <c r="UOC151"/>
      <c r="UOD151"/>
      <c r="UOE151"/>
      <c r="UOF151"/>
      <c r="UOG151"/>
      <c r="UOH151"/>
      <c r="UOI151"/>
      <c r="UOJ151"/>
      <c r="UOK151"/>
      <c r="UOL151"/>
      <c r="UOM151"/>
      <c r="UON151"/>
      <c r="UOO151"/>
      <c r="UOP151"/>
      <c r="UOQ151"/>
      <c r="UOR151"/>
      <c r="UOS151"/>
      <c r="UOT151"/>
      <c r="UOU151"/>
      <c r="UOV151"/>
      <c r="UOW151"/>
      <c r="UOX151"/>
      <c r="UOY151"/>
      <c r="UOZ151"/>
      <c r="UPA151"/>
      <c r="UPB151"/>
      <c r="UPC151"/>
      <c r="UPD151"/>
      <c r="UPE151"/>
      <c r="UPF151"/>
      <c r="UPG151"/>
      <c r="UPH151"/>
      <c r="UPI151"/>
      <c r="UPJ151"/>
      <c r="UPK151"/>
      <c r="UPL151"/>
      <c r="UPM151"/>
      <c r="UPN151"/>
      <c r="UPO151"/>
      <c r="UPP151"/>
      <c r="UPQ151"/>
      <c r="UPR151"/>
      <c r="UPS151"/>
      <c r="UPT151"/>
      <c r="UPU151"/>
      <c r="UPV151"/>
      <c r="UPW151"/>
      <c r="UPX151"/>
      <c r="UPY151"/>
      <c r="UPZ151"/>
      <c r="UQA151"/>
      <c r="UQB151"/>
      <c r="UQC151"/>
      <c r="UQD151"/>
      <c r="UQE151"/>
      <c r="UQF151"/>
      <c r="UQG151"/>
      <c r="UQH151"/>
      <c r="UQI151"/>
      <c r="UQJ151"/>
      <c r="UQK151"/>
      <c r="UQL151"/>
      <c r="UQM151"/>
      <c r="UQN151"/>
      <c r="UQO151"/>
      <c r="UQP151"/>
      <c r="UQQ151"/>
      <c r="UQR151"/>
      <c r="UQS151"/>
      <c r="UQT151"/>
      <c r="UQU151"/>
      <c r="UQV151"/>
      <c r="UQW151"/>
      <c r="UQX151"/>
      <c r="UQY151"/>
      <c r="UQZ151"/>
      <c r="URA151"/>
      <c r="URB151"/>
      <c r="URC151"/>
      <c r="URD151"/>
      <c r="URE151"/>
      <c r="URF151"/>
      <c r="URG151"/>
      <c r="URH151"/>
      <c r="URI151"/>
      <c r="URJ151"/>
      <c r="URK151"/>
      <c r="URL151"/>
      <c r="URM151"/>
      <c r="URN151"/>
      <c r="URO151"/>
      <c r="URP151"/>
      <c r="URQ151"/>
      <c r="URR151"/>
      <c r="URS151"/>
      <c r="URT151"/>
      <c r="URU151"/>
      <c r="URV151"/>
      <c r="URW151"/>
      <c r="URX151"/>
      <c r="URY151"/>
      <c r="URZ151"/>
      <c r="USA151"/>
      <c r="USB151"/>
      <c r="USC151"/>
      <c r="USD151"/>
      <c r="USE151"/>
      <c r="USF151"/>
      <c r="USG151"/>
      <c r="USH151"/>
      <c r="USI151"/>
      <c r="USJ151"/>
      <c r="USK151"/>
      <c r="USL151"/>
      <c r="USM151"/>
      <c r="USN151"/>
      <c r="USO151"/>
      <c r="USP151"/>
      <c r="USQ151"/>
      <c r="USR151"/>
      <c r="USS151"/>
      <c r="UST151"/>
      <c r="USU151"/>
      <c r="USV151"/>
      <c r="USW151"/>
      <c r="USX151"/>
      <c r="USY151"/>
      <c r="USZ151"/>
      <c r="UTA151"/>
      <c r="UTB151"/>
      <c r="UTC151"/>
      <c r="UTD151"/>
      <c r="UTE151"/>
      <c r="UTF151"/>
      <c r="UTG151"/>
      <c r="UTH151"/>
      <c r="UTI151"/>
      <c r="UTJ151"/>
      <c r="UTK151"/>
      <c r="UTL151"/>
      <c r="UTM151"/>
      <c r="UTN151"/>
      <c r="UTO151"/>
      <c r="UTP151"/>
      <c r="UTQ151"/>
      <c r="UTR151"/>
      <c r="UTS151"/>
      <c r="UTT151"/>
      <c r="UTU151"/>
      <c r="UTV151"/>
      <c r="UTW151"/>
      <c r="UTX151"/>
      <c r="UTY151"/>
      <c r="UTZ151"/>
      <c r="UUA151"/>
      <c r="UUB151"/>
      <c r="UUC151"/>
      <c r="UUD151"/>
      <c r="UUE151"/>
      <c r="UUF151"/>
      <c r="UUG151"/>
      <c r="UUH151"/>
      <c r="UUI151"/>
      <c r="UUJ151"/>
      <c r="UUK151"/>
      <c r="UUL151"/>
      <c r="UUM151"/>
      <c r="UUN151"/>
      <c r="UUO151"/>
      <c r="UUP151"/>
      <c r="UUQ151"/>
      <c r="UUR151"/>
      <c r="UUS151"/>
      <c r="UUT151"/>
      <c r="UUU151"/>
      <c r="UUV151"/>
      <c r="UUW151"/>
      <c r="UUX151"/>
      <c r="UUY151"/>
      <c r="UUZ151"/>
      <c r="UVA151"/>
      <c r="UVB151"/>
      <c r="UVC151"/>
      <c r="UVD151"/>
      <c r="UVE151"/>
      <c r="UVF151"/>
      <c r="UVG151"/>
      <c r="UVH151"/>
      <c r="UVI151"/>
      <c r="UVJ151"/>
      <c r="UVK151"/>
      <c r="UVL151"/>
      <c r="UVM151"/>
      <c r="UVN151"/>
      <c r="UVO151"/>
      <c r="UVP151"/>
      <c r="UVQ151"/>
      <c r="UVR151"/>
      <c r="UVS151"/>
      <c r="UVT151"/>
      <c r="UVU151"/>
      <c r="UVV151"/>
      <c r="UVW151"/>
      <c r="UVX151"/>
      <c r="UVY151"/>
      <c r="UVZ151"/>
      <c r="UWA151"/>
      <c r="UWB151"/>
      <c r="UWC151"/>
      <c r="UWD151"/>
      <c r="UWE151"/>
      <c r="UWF151"/>
      <c r="UWG151"/>
      <c r="UWH151"/>
      <c r="UWI151"/>
      <c r="UWJ151"/>
      <c r="UWK151"/>
      <c r="UWL151"/>
      <c r="UWM151"/>
      <c r="UWN151"/>
      <c r="UWO151"/>
      <c r="UWP151"/>
      <c r="UWQ151"/>
      <c r="UWR151"/>
      <c r="UWS151"/>
      <c r="UWT151"/>
      <c r="UWU151"/>
      <c r="UWV151"/>
      <c r="UWW151"/>
      <c r="UWX151"/>
      <c r="UWY151"/>
      <c r="UWZ151"/>
      <c r="UXA151"/>
      <c r="UXB151"/>
      <c r="UXC151"/>
      <c r="UXD151"/>
      <c r="UXE151"/>
      <c r="UXF151"/>
      <c r="UXG151"/>
      <c r="UXH151"/>
      <c r="UXI151"/>
      <c r="UXJ151"/>
      <c r="UXK151"/>
      <c r="UXL151"/>
      <c r="UXM151"/>
      <c r="UXN151"/>
      <c r="UXO151"/>
      <c r="UXP151"/>
      <c r="UXQ151"/>
      <c r="UXR151"/>
      <c r="UXS151"/>
      <c r="UXT151"/>
      <c r="UXU151"/>
      <c r="UXV151"/>
      <c r="UXW151"/>
      <c r="UXX151"/>
      <c r="UXY151"/>
      <c r="UXZ151"/>
      <c r="UYA151"/>
      <c r="UYB151"/>
      <c r="UYC151"/>
      <c r="UYD151"/>
      <c r="UYE151"/>
      <c r="UYF151"/>
      <c r="UYG151"/>
      <c r="UYH151"/>
      <c r="UYI151"/>
      <c r="UYJ151"/>
      <c r="UYK151"/>
      <c r="UYL151"/>
      <c r="UYM151"/>
      <c r="UYN151"/>
      <c r="UYO151"/>
      <c r="UYP151"/>
      <c r="UYQ151"/>
      <c r="UYR151"/>
      <c r="UYS151"/>
      <c r="UYT151"/>
      <c r="UYU151"/>
      <c r="UYV151"/>
      <c r="UYW151"/>
      <c r="UYX151"/>
      <c r="UYY151"/>
      <c r="UYZ151"/>
      <c r="UZA151"/>
      <c r="UZB151"/>
      <c r="UZC151"/>
      <c r="UZD151"/>
      <c r="UZE151"/>
      <c r="UZF151"/>
      <c r="UZG151"/>
      <c r="UZH151"/>
      <c r="UZI151"/>
      <c r="UZJ151"/>
      <c r="UZK151"/>
      <c r="UZL151"/>
      <c r="UZM151"/>
      <c r="UZN151"/>
      <c r="UZO151"/>
      <c r="UZP151"/>
      <c r="UZQ151"/>
      <c r="UZR151"/>
      <c r="UZS151"/>
      <c r="UZT151"/>
      <c r="UZU151"/>
      <c r="UZV151"/>
      <c r="UZW151"/>
      <c r="UZX151"/>
      <c r="UZY151"/>
      <c r="UZZ151"/>
      <c r="VAA151"/>
      <c r="VAB151"/>
      <c r="VAC151"/>
      <c r="VAD151"/>
      <c r="VAE151"/>
      <c r="VAF151"/>
      <c r="VAG151"/>
      <c r="VAH151"/>
      <c r="VAI151"/>
      <c r="VAJ151"/>
      <c r="VAK151"/>
      <c r="VAL151"/>
      <c r="VAM151"/>
      <c r="VAN151"/>
      <c r="VAO151"/>
      <c r="VAP151"/>
      <c r="VAQ151"/>
      <c r="VAR151"/>
      <c r="VAS151"/>
      <c r="VAT151"/>
      <c r="VAU151"/>
      <c r="VAV151"/>
      <c r="VAW151"/>
      <c r="VAX151"/>
      <c r="VAY151"/>
      <c r="VAZ151"/>
      <c r="VBA151"/>
      <c r="VBB151"/>
      <c r="VBC151"/>
      <c r="VBD151"/>
      <c r="VBE151"/>
      <c r="VBF151"/>
      <c r="VBG151"/>
      <c r="VBH151"/>
      <c r="VBI151"/>
      <c r="VBJ151"/>
      <c r="VBK151"/>
      <c r="VBL151"/>
      <c r="VBM151"/>
      <c r="VBN151"/>
      <c r="VBO151"/>
      <c r="VBP151"/>
      <c r="VBQ151"/>
      <c r="VBR151"/>
      <c r="VBS151"/>
      <c r="VBT151"/>
      <c r="VBU151"/>
      <c r="VBV151"/>
      <c r="VBW151"/>
      <c r="VBX151"/>
      <c r="VBY151"/>
      <c r="VBZ151"/>
      <c r="VCA151"/>
      <c r="VCB151"/>
      <c r="VCC151"/>
      <c r="VCD151"/>
      <c r="VCE151"/>
      <c r="VCF151"/>
      <c r="VCG151"/>
      <c r="VCH151"/>
      <c r="VCI151"/>
      <c r="VCJ151"/>
      <c r="VCK151"/>
      <c r="VCL151"/>
      <c r="VCM151"/>
      <c r="VCN151"/>
      <c r="VCO151"/>
      <c r="VCP151"/>
      <c r="VCQ151"/>
      <c r="VCR151"/>
      <c r="VCS151"/>
      <c r="VCT151"/>
      <c r="VCU151"/>
      <c r="VCV151"/>
      <c r="VCW151"/>
      <c r="VCX151"/>
      <c r="VCY151"/>
      <c r="VCZ151"/>
      <c r="VDA151"/>
      <c r="VDB151"/>
      <c r="VDC151"/>
      <c r="VDD151"/>
      <c r="VDE151"/>
      <c r="VDF151"/>
      <c r="VDG151"/>
      <c r="VDH151"/>
      <c r="VDI151"/>
      <c r="VDJ151"/>
      <c r="VDK151"/>
      <c r="VDL151"/>
      <c r="VDM151"/>
      <c r="VDN151"/>
      <c r="VDO151"/>
      <c r="VDP151"/>
      <c r="VDQ151"/>
      <c r="VDR151"/>
      <c r="VDS151"/>
      <c r="VDT151"/>
      <c r="VDU151"/>
      <c r="VDV151"/>
      <c r="VDW151"/>
      <c r="VDX151"/>
      <c r="VDY151"/>
      <c r="VDZ151"/>
      <c r="VEA151"/>
      <c r="VEB151"/>
      <c r="VEC151"/>
      <c r="VED151"/>
      <c r="VEE151"/>
      <c r="VEF151"/>
      <c r="VEG151"/>
      <c r="VEH151"/>
      <c r="VEI151"/>
      <c r="VEJ151"/>
      <c r="VEK151"/>
      <c r="VEL151"/>
      <c r="VEM151"/>
      <c r="VEN151"/>
      <c r="VEO151"/>
      <c r="VEP151"/>
      <c r="VEQ151"/>
      <c r="VER151"/>
      <c r="VES151"/>
      <c r="VET151"/>
      <c r="VEU151"/>
      <c r="VEV151"/>
      <c r="VEW151"/>
      <c r="VEX151"/>
      <c r="VEY151"/>
      <c r="VEZ151"/>
      <c r="VFA151"/>
      <c r="VFB151"/>
      <c r="VFC151"/>
      <c r="VFD151"/>
      <c r="VFE151"/>
      <c r="VFF151"/>
      <c r="VFG151"/>
      <c r="VFH151"/>
      <c r="VFI151"/>
      <c r="VFJ151"/>
      <c r="VFK151"/>
      <c r="VFL151"/>
      <c r="VFM151"/>
      <c r="VFN151"/>
      <c r="VFO151"/>
      <c r="VFP151"/>
      <c r="VFQ151"/>
      <c r="VFR151"/>
      <c r="VFS151"/>
      <c r="VFT151"/>
      <c r="VFU151"/>
      <c r="VFV151"/>
      <c r="VFW151"/>
      <c r="VFX151"/>
      <c r="VFY151"/>
      <c r="VFZ151"/>
      <c r="VGA151"/>
      <c r="VGB151"/>
      <c r="VGC151"/>
      <c r="VGD151"/>
      <c r="VGE151"/>
      <c r="VGF151"/>
      <c r="VGG151"/>
      <c r="VGH151"/>
      <c r="VGI151"/>
      <c r="VGJ151"/>
      <c r="VGK151"/>
      <c r="VGL151"/>
      <c r="VGM151"/>
      <c r="VGN151"/>
      <c r="VGO151"/>
      <c r="VGP151"/>
      <c r="VGQ151"/>
      <c r="VGR151"/>
      <c r="VGS151"/>
      <c r="VGT151"/>
      <c r="VGU151"/>
      <c r="VGV151"/>
      <c r="VGW151"/>
      <c r="VGX151"/>
      <c r="VGY151"/>
      <c r="VGZ151"/>
      <c r="VHA151"/>
      <c r="VHB151"/>
      <c r="VHC151"/>
      <c r="VHD151"/>
      <c r="VHE151"/>
      <c r="VHF151"/>
      <c r="VHG151"/>
      <c r="VHH151"/>
      <c r="VHI151"/>
      <c r="VHJ151"/>
      <c r="VHK151"/>
      <c r="VHL151"/>
      <c r="VHM151"/>
      <c r="VHN151"/>
      <c r="VHO151"/>
      <c r="VHP151"/>
      <c r="VHQ151"/>
      <c r="VHR151"/>
      <c r="VHS151"/>
      <c r="VHT151"/>
      <c r="VHU151"/>
      <c r="VHV151"/>
      <c r="VHW151"/>
      <c r="VHX151"/>
      <c r="VHY151"/>
      <c r="VHZ151"/>
      <c r="VIA151"/>
      <c r="VIB151"/>
      <c r="VIC151"/>
      <c r="VID151"/>
      <c r="VIE151"/>
      <c r="VIF151"/>
      <c r="VIG151"/>
      <c r="VIH151"/>
      <c r="VII151"/>
      <c r="VIJ151"/>
      <c r="VIK151"/>
      <c r="VIL151"/>
      <c r="VIM151"/>
      <c r="VIN151"/>
      <c r="VIO151"/>
      <c r="VIP151"/>
      <c r="VIQ151"/>
      <c r="VIR151"/>
      <c r="VIS151"/>
      <c r="VIT151"/>
      <c r="VIU151"/>
      <c r="VIV151"/>
      <c r="VIW151"/>
      <c r="VIX151"/>
      <c r="VIY151"/>
      <c r="VIZ151"/>
      <c r="VJA151"/>
      <c r="VJB151"/>
      <c r="VJC151"/>
      <c r="VJD151"/>
      <c r="VJE151"/>
      <c r="VJF151"/>
      <c r="VJG151"/>
      <c r="VJH151"/>
      <c r="VJI151"/>
      <c r="VJJ151"/>
      <c r="VJK151"/>
      <c r="VJL151"/>
      <c r="VJM151"/>
      <c r="VJN151"/>
      <c r="VJO151"/>
      <c r="VJP151"/>
      <c r="VJQ151"/>
      <c r="VJR151"/>
      <c r="VJS151"/>
      <c r="VJT151"/>
      <c r="VJU151"/>
      <c r="VJV151"/>
      <c r="VJW151"/>
      <c r="VJX151"/>
      <c r="VJY151"/>
      <c r="VJZ151"/>
      <c r="VKA151"/>
      <c r="VKB151"/>
      <c r="VKC151"/>
      <c r="VKD151"/>
      <c r="VKE151"/>
      <c r="VKF151"/>
      <c r="VKG151"/>
      <c r="VKH151"/>
      <c r="VKI151"/>
      <c r="VKJ151"/>
      <c r="VKK151"/>
      <c r="VKL151"/>
      <c r="VKM151"/>
      <c r="VKN151"/>
      <c r="VKO151"/>
      <c r="VKP151"/>
      <c r="VKQ151"/>
      <c r="VKR151"/>
      <c r="VKS151"/>
      <c r="VKT151"/>
      <c r="VKU151"/>
      <c r="VKV151"/>
      <c r="VKW151"/>
      <c r="VKX151"/>
      <c r="VKY151"/>
      <c r="VKZ151"/>
      <c r="VLA151"/>
      <c r="VLB151"/>
      <c r="VLC151"/>
      <c r="VLD151"/>
      <c r="VLE151"/>
      <c r="VLF151"/>
      <c r="VLG151"/>
      <c r="VLH151"/>
      <c r="VLI151"/>
      <c r="VLJ151"/>
      <c r="VLK151"/>
      <c r="VLL151"/>
      <c r="VLM151"/>
      <c r="VLN151"/>
      <c r="VLO151"/>
      <c r="VLP151"/>
      <c r="VLQ151"/>
      <c r="VLR151"/>
      <c r="VLS151"/>
      <c r="VLT151"/>
      <c r="VLU151"/>
      <c r="VLV151"/>
      <c r="VLW151"/>
      <c r="VLX151"/>
      <c r="VLY151"/>
      <c r="VLZ151"/>
      <c r="VMA151"/>
      <c r="VMB151"/>
      <c r="VMC151"/>
      <c r="VMD151"/>
      <c r="VME151"/>
      <c r="VMF151"/>
      <c r="VMG151"/>
      <c r="VMH151"/>
      <c r="VMI151"/>
      <c r="VMJ151"/>
      <c r="VMK151"/>
      <c r="VML151"/>
      <c r="VMM151"/>
      <c r="VMN151"/>
      <c r="VMO151"/>
      <c r="VMP151"/>
      <c r="VMQ151"/>
      <c r="VMR151"/>
      <c r="VMS151"/>
      <c r="VMT151"/>
      <c r="VMU151"/>
      <c r="VMV151"/>
      <c r="VMW151"/>
      <c r="VMX151"/>
      <c r="VMY151"/>
      <c r="VMZ151"/>
      <c r="VNA151"/>
      <c r="VNB151"/>
      <c r="VNC151"/>
      <c r="VND151"/>
      <c r="VNE151"/>
      <c r="VNF151"/>
      <c r="VNG151"/>
      <c r="VNH151"/>
      <c r="VNI151"/>
      <c r="VNJ151"/>
      <c r="VNK151"/>
      <c r="VNL151"/>
      <c r="VNM151"/>
      <c r="VNN151"/>
      <c r="VNO151"/>
      <c r="VNP151"/>
      <c r="VNQ151"/>
      <c r="VNR151"/>
      <c r="VNS151"/>
      <c r="VNT151"/>
      <c r="VNU151"/>
      <c r="VNV151"/>
      <c r="VNW151"/>
      <c r="VNX151"/>
      <c r="VNY151"/>
      <c r="VNZ151"/>
      <c r="VOA151"/>
      <c r="VOB151"/>
      <c r="VOC151"/>
      <c r="VOD151"/>
      <c r="VOE151"/>
      <c r="VOF151"/>
      <c r="VOG151"/>
      <c r="VOH151"/>
      <c r="VOI151"/>
      <c r="VOJ151"/>
      <c r="VOK151"/>
      <c r="VOL151"/>
      <c r="VOM151"/>
      <c r="VON151"/>
      <c r="VOO151"/>
      <c r="VOP151"/>
      <c r="VOQ151"/>
      <c r="VOR151"/>
      <c r="VOS151"/>
      <c r="VOT151"/>
      <c r="VOU151"/>
      <c r="VOV151"/>
      <c r="VOW151"/>
      <c r="VOX151"/>
      <c r="VOY151"/>
      <c r="VOZ151"/>
      <c r="VPA151"/>
      <c r="VPB151"/>
      <c r="VPC151"/>
      <c r="VPD151"/>
      <c r="VPE151"/>
      <c r="VPF151"/>
      <c r="VPG151"/>
      <c r="VPH151"/>
      <c r="VPI151"/>
      <c r="VPJ151"/>
      <c r="VPK151"/>
      <c r="VPL151"/>
      <c r="VPM151"/>
      <c r="VPN151"/>
      <c r="VPO151"/>
      <c r="VPP151"/>
      <c r="VPQ151"/>
      <c r="VPR151"/>
      <c r="VPS151"/>
      <c r="VPT151"/>
      <c r="VPU151"/>
      <c r="VPV151"/>
      <c r="VPW151"/>
      <c r="VPX151"/>
      <c r="VPY151"/>
      <c r="VPZ151"/>
      <c r="VQA151"/>
      <c r="VQB151"/>
      <c r="VQC151"/>
      <c r="VQD151"/>
      <c r="VQE151"/>
      <c r="VQF151"/>
      <c r="VQG151"/>
      <c r="VQH151"/>
      <c r="VQI151"/>
      <c r="VQJ151"/>
      <c r="VQK151"/>
      <c r="VQL151"/>
      <c r="VQM151"/>
      <c r="VQN151"/>
      <c r="VQO151"/>
      <c r="VQP151"/>
      <c r="VQQ151"/>
      <c r="VQR151"/>
      <c r="VQS151"/>
      <c r="VQT151"/>
      <c r="VQU151"/>
      <c r="VQV151"/>
      <c r="VQW151"/>
      <c r="VQX151"/>
      <c r="VQY151"/>
      <c r="VQZ151"/>
      <c r="VRA151"/>
      <c r="VRB151"/>
      <c r="VRC151"/>
      <c r="VRD151"/>
      <c r="VRE151"/>
      <c r="VRF151"/>
      <c r="VRG151"/>
      <c r="VRH151"/>
      <c r="VRI151"/>
      <c r="VRJ151"/>
      <c r="VRK151"/>
      <c r="VRL151"/>
      <c r="VRM151"/>
      <c r="VRN151"/>
      <c r="VRO151"/>
      <c r="VRP151"/>
      <c r="VRQ151"/>
      <c r="VRR151"/>
      <c r="VRS151"/>
      <c r="VRT151"/>
      <c r="VRU151"/>
      <c r="VRV151"/>
      <c r="VRW151"/>
      <c r="VRX151"/>
      <c r="VRY151"/>
      <c r="VRZ151"/>
      <c r="VSA151"/>
      <c r="VSB151"/>
      <c r="VSC151"/>
      <c r="VSD151"/>
      <c r="VSE151"/>
      <c r="VSF151"/>
      <c r="VSG151"/>
      <c r="VSH151"/>
      <c r="VSI151"/>
      <c r="VSJ151"/>
      <c r="VSK151"/>
      <c r="VSL151"/>
      <c r="VSM151"/>
      <c r="VSN151"/>
      <c r="VSO151"/>
      <c r="VSP151"/>
      <c r="VSQ151"/>
      <c r="VSR151"/>
      <c r="VSS151"/>
      <c r="VST151"/>
      <c r="VSU151"/>
      <c r="VSV151"/>
      <c r="VSW151"/>
      <c r="VSX151"/>
      <c r="VSY151"/>
      <c r="VSZ151"/>
      <c r="VTA151"/>
      <c r="VTB151"/>
      <c r="VTC151"/>
      <c r="VTD151"/>
      <c r="VTE151"/>
      <c r="VTF151"/>
      <c r="VTG151"/>
      <c r="VTH151"/>
      <c r="VTI151"/>
      <c r="VTJ151"/>
      <c r="VTK151"/>
      <c r="VTL151"/>
      <c r="VTM151"/>
      <c r="VTN151"/>
      <c r="VTO151"/>
      <c r="VTP151"/>
      <c r="VTQ151"/>
      <c r="VTR151"/>
      <c r="VTS151"/>
      <c r="VTT151"/>
      <c r="VTU151"/>
      <c r="VTV151"/>
      <c r="VTW151"/>
      <c r="VTX151"/>
      <c r="VTY151"/>
      <c r="VTZ151"/>
      <c r="VUA151"/>
      <c r="VUB151"/>
      <c r="VUC151"/>
      <c r="VUD151"/>
      <c r="VUE151"/>
      <c r="VUF151"/>
      <c r="VUG151"/>
      <c r="VUH151"/>
      <c r="VUI151"/>
      <c r="VUJ151"/>
      <c r="VUK151"/>
      <c r="VUL151"/>
      <c r="VUM151"/>
      <c r="VUN151"/>
      <c r="VUO151"/>
      <c r="VUP151"/>
      <c r="VUQ151"/>
      <c r="VUR151"/>
      <c r="VUS151"/>
      <c r="VUT151"/>
      <c r="VUU151"/>
      <c r="VUV151"/>
      <c r="VUW151"/>
      <c r="VUX151"/>
      <c r="VUY151"/>
      <c r="VUZ151"/>
      <c r="VVA151"/>
      <c r="VVB151"/>
      <c r="VVC151"/>
      <c r="VVD151"/>
      <c r="VVE151"/>
      <c r="VVF151"/>
      <c r="VVG151"/>
      <c r="VVH151"/>
      <c r="VVI151"/>
      <c r="VVJ151"/>
      <c r="VVK151"/>
      <c r="VVL151"/>
      <c r="VVM151"/>
      <c r="VVN151"/>
      <c r="VVO151"/>
      <c r="VVP151"/>
      <c r="VVQ151"/>
      <c r="VVR151"/>
      <c r="VVS151"/>
      <c r="VVT151"/>
      <c r="VVU151"/>
      <c r="VVV151"/>
      <c r="VVW151"/>
      <c r="VVX151"/>
      <c r="VVY151"/>
      <c r="VVZ151"/>
      <c r="VWA151"/>
      <c r="VWB151"/>
      <c r="VWC151"/>
      <c r="VWD151"/>
      <c r="VWE151"/>
      <c r="VWF151"/>
      <c r="VWG151"/>
      <c r="VWH151"/>
      <c r="VWI151"/>
      <c r="VWJ151"/>
      <c r="VWK151"/>
      <c r="VWL151"/>
      <c r="VWM151"/>
      <c r="VWN151"/>
      <c r="VWO151"/>
      <c r="VWP151"/>
      <c r="VWQ151"/>
      <c r="VWR151"/>
      <c r="VWS151"/>
      <c r="VWT151"/>
      <c r="VWU151"/>
      <c r="VWV151"/>
      <c r="VWW151"/>
      <c r="VWX151"/>
      <c r="VWY151"/>
      <c r="VWZ151"/>
      <c r="VXA151"/>
      <c r="VXB151"/>
      <c r="VXC151"/>
      <c r="VXD151"/>
      <c r="VXE151"/>
      <c r="VXF151"/>
      <c r="VXG151"/>
      <c r="VXH151"/>
      <c r="VXI151"/>
      <c r="VXJ151"/>
      <c r="VXK151"/>
      <c r="VXL151"/>
      <c r="VXM151"/>
      <c r="VXN151"/>
      <c r="VXO151"/>
      <c r="VXP151"/>
      <c r="VXQ151"/>
      <c r="VXR151"/>
      <c r="VXS151"/>
      <c r="VXT151"/>
      <c r="VXU151"/>
      <c r="VXV151"/>
      <c r="VXW151"/>
      <c r="VXX151"/>
      <c r="VXY151"/>
      <c r="VXZ151"/>
      <c r="VYA151"/>
      <c r="VYB151"/>
      <c r="VYC151"/>
      <c r="VYD151"/>
      <c r="VYE151"/>
      <c r="VYF151"/>
      <c r="VYG151"/>
      <c r="VYH151"/>
      <c r="VYI151"/>
      <c r="VYJ151"/>
      <c r="VYK151"/>
      <c r="VYL151"/>
      <c r="VYM151"/>
      <c r="VYN151"/>
      <c r="VYO151"/>
      <c r="VYP151"/>
      <c r="VYQ151"/>
      <c r="VYR151"/>
      <c r="VYS151"/>
      <c r="VYT151"/>
      <c r="VYU151"/>
      <c r="VYV151"/>
      <c r="VYW151"/>
      <c r="VYX151"/>
      <c r="VYY151"/>
      <c r="VYZ151"/>
      <c r="VZA151"/>
      <c r="VZB151"/>
      <c r="VZC151"/>
      <c r="VZD151"/>
      <c r="VZE151"/>
      <c r="VZF151"/>
      <c r="VZG151"/>
      <c r="VZH151"/>
      <c r="VZI151"/>
      <c r="VZJ151"/>
      <c r="VZK151"/>
      <c r="VZL151"/>
      <c r="VZM151"/>
      <c r="VZN151"/>
      <c r="VZO151"/>
      <c r="VZP151"/>
      <c r="VZQ151"/>
      <c r="VZR151"/>
      <c r="VZS151"/>
      <c r="VZT151"/>
      <c r="VZU151"/>
      <c r="VZV151"/>
      <c r="VZW151"/>
      <c r="VZX151"/>
      <c r="VZY151"/>
      <c r="VZZ151"/>
      <c r="WAA151"/>
      <c r="WAB151"/>
      <c r="WAC151"/>
      <c r="WAD151"/>
      <c r="WAE151"/>
      <c r="WAF151"/>
      <c r="WAG151"/>
      <c r="WAH151"/>
      <c r="WAI151"/>
      <c r="WAJ151"/>
      <c r="WAK151"/>
      <c r="WAL151"/>
      <c r="WAM151"/>
      <c r="WAN151"/>
      <c r="WAO151"/>
      <c r="WAP151"/>
      <c r="WAQ151"/>
      <c r="WAR151"/>
      <c r="WAS151"/>
      <c r="WAT151"/>
      <c r="WAU151"/>
      <c r="WAV151"/>
      <c r="WAW151"/>
      <c r="WAX151"/>
      <c r="WAY151"/>
      <c r="WAZ151"/>
      <c r="WBA151"/>
      <c r="WBB151"/>
      <c r="WBC151"/>
      <c r="WBD151"/>
      <c r="WBE151"/>
      <c r="WBF151"/>
      <c r="WBG151"/>
      <c r="WBH151"/>
      <c r="WBI151"/>
      <c r="WBJ151"/>
      <c r="WBK151"/>
      <c r="WBL151"/>
      <c r="WBM151"/>
      <c r="WBN151"/>
      <c r="WBO151"/>
      <c r="WBP151"/>
      <c r="WBQ151"/>
      <c r="WBR151"/>
      <c r="WBS151"/>
      <c r="WBT151"/>
      <c r="WBU151"/>
      <c r="WBV151"/>
      <c r="WBW151"/>
      <c r="WBX151"/>
      <c r="WBY151"/>
      <c r="WBZ151"/>
      <c r="WCA151"/>
      <c r="WCB151"/>
      <c r="WCC151"/>
      <c r="WCD151"/>
      <c r="WCE151"/>
      <c r="WCF151"/>
      <c r="WCG151"/>
      <c r="WCH151"/>
      <c r="WCI151"/>
      <c r="WCJ151"/>
      <c r="WCK151"/>
      <c r="WCL151"/>
      <c r="WCM151"/>
      <c r="WCN151"/>
      <c r="WCO151"/>
      <c r="WCP151"/>
      <c r="WCQ151"/>
      <c r="WCR151"/>
      <c r="WCS151"/>
      <c r="WCT151"/>
      <c r="WCU151"/>
      <c r="WCV151"/>
      <c r="WCW151"/>
      <c r="WCX151"/>
      <c r="WCY151"/>
      <c r="WCZ151"/>
      <c r="WDA151"/>
      <c r="WDB151"/>
      <c r="WDC151"/>
      <c r="WDD151"/>
      <c r="WDE151"/>
      <c r="WDF151"/>
      <c r="WDG151"/>
      <c r="WDH151"/>
      <c r="WDI151"/>
      <c r="WDJ151"/>
      <c r="WDK151"/>
      <c r="WDL151"/>
      <c r="WDM151"/>
      <c r="WDN151"/>
      <c r="WDO151"/>
      <c r="WDP151"/>
      <c r="WDQ151"/>
      <c r="WDR151"/>
      <c r="WDS151"/>
      <c r="WDT151"/>
      <c r="WDU151"/>
      <c r="WDV151"/>
      <c r="WDW151"/>
      <c r="WDX151"/>
      <c r="WDY151"/>
      <c r="WDZ151"/>
      <c r="WEA151"/>
      <c r="WEB151"/>
      <c r="WEC151"/>
      <c r="WED151"/>
      <c r="WEE151"/>
      <c r="WEF151"/>
      <c r="WEG151"/>
      <c r="WEH151"/>
      <c r="WEI151"/>
      <c r="WEJ151"/>
      <c r="WEK151"/>
      <c r="WEL151"/>
      <c r="WEM151"/>
      <c r="WEN151"/>
      <c r="WEO151"/>
      <c r="WEP151"/>
      <c r="WEQ151"/>
      <c r="WER151"/>
      <c r="WES151"/>
      <c r="WET151"/>
      <c r="WEU151"/>
      <c r="WEV151"/>
      <c r="WEW151"/>
      <c r="WEX151"/>
      <c r="WEY151"/>
      <c r="WEZ151"/>
      <c r="WFA151"/>
      <c r="WFB151"/>
      <c r="WFC151"/>
      <c r="WFD151"/>
      <c r="WFE151"/>
      <c r="WFF151"/>
      <c r="WFG151"/>
      <c r="WFH151"/>
      <c r="WFI151"/>
      <c r="WFJ151"/>
      <c r="WFK151"/>
      <c r="WFL151"/>
      <c r="WFM151"/>
      <c r="WFN151"/>
      <c r="WFO151"/>
      <c r="WFP151"/>
      <c r="WFQ151"/>
      <c r="WFR151"/>
      <c r="WFS151"/>
      <c r="WFT151"/>
      <c r="WFU151"/>
      <c r="WFV151"/>
      <c r="WFW151"/>
      <c r="WFX151"/>
      <c r="WFY151"/>
      <c r="WFZ151"/>
      <c r="WGA151"/>
      <c r="WGB151"/>
      <c r="WGC151"/>
      <c r="WGD151"/>
      <c r="WGE151"/>
      <c r="WGF151"/>
      <c r="WGG151"/>
      <c r="WGH151"/>
      <c r="WGI151"/>
      <c r="WGJ151"/>
      <c r="WGK151"/>
      <c r="WGL151"/>
      <c r="WGM151"/>
      <c r="WGN151"/>
      <c r="WGO151"/>
      <c r="WGP151"/>
      <c r="WGQ151"/>
      <c r="WGR151"/>
      <c r="WGS151"/>
      <c r="WGT151"/>
      <c r="WGU151"/>
      <c r="WGV151"/>
      <c r="WGW151"/>
      <c r="WGX151"/>
      <c r="WGY151"/>
      <c r="WGZ151"/>
      <c r="WHA151"/>
      <c r="WHB151"/>
      <c r="WHC151"/>
      <c r="WHD151"/>
      <c r="WHE151"/>
      <c r="WHF151"/>
      <c r="WHG151"/>
      <c r="WHH151"/>
      <c r="WHI151"/>
      <c r="WHJ151"/>
      <c r="WHK151"/>
      <c r="WHL151"/>
      <c r="WHM151"/>
      <c r="WHN151"/>
      <c r="WHO151"/>
      <c r="WHP151"/>
      <c r="WHQ151"/>
      <c r="WHR151"/>
      <c r="WHS151"/>
      <c r="WHT151"/>
      <c r="WHU151"/>
      <c r="WHV151"/>
      <c r="WHW151"/>
      <c r="WHX151"/>
      <c r="WHY151"/>
      <c r="WHZ151"/>
      <c r="WIA151"/>
      <c r="WIB151"/>
      <c r="WIC151"/>
      <c r="WID151"/>
      <c r="WIE151"/>
      <c r="WIF151"/>
      <c r="WIG151"/>
      <c r="WIH151"/>
      <c r="WII151"/>
      <c r="WIJ151"/>
      <c r="WIK151"/>
      <c r="WIL151"/>
      <c r="WIM151"/>
      <c r="WIN151"/>
      <c r="WIO151"/>
      <c r="WIP151"/>
      <c r="WIQ151"/>
      <c r="WIR151"/>
      <c r="WIS151"/>
      <c r="WIT151"/>
      <c r="WIU151"/>
      <c r="WIV151"/>
      <c r="WIW151"/>
      <c r="WIX151"/>
      <c r="WIY151"/>
      <c r="WIZ151"/>
      <c r="WJA151"/>
      <c r="WJB151"/>
      <c r="WJC151"/>
      <c r="WJD151"/>
      <c r="WJE151"/>
      <c r="WJF151"/>
      <c r="WJG151"/>
      <c r="WJH151"/>
      <c r="WJI151"/>
      <c r="WJJ151"/>
      <c r="WJK151"/>
      <c r="WJL151"/>
      <c r="WJM151"/>
      <c r="WJN151"/>
      <c r="WJO151"/>
      <c r="WJP151"/>
      <c r="WJQ151"/>
      <c r="WJR151"/>
      <c r="WJS151"/>
      <c r="WJT151"/>
      <c r="WJU151"/>
      <c r="WJV151"/>
      <c r="WJW151"/>
      <c r="WJX151"/>
      <c r="WJY151"/>
      <c r="WJZ151"/>
      <c r="WKA151"/>
      <c r="WKB151"/>
      <c r="WKC151"/>
      <c r="WKD151"/>
      <c r="WKE151"/>
      <c r="WKF151"/>
      <c r="WKG151"/>
      <c r="WKH151"/>
      <c r="WKI151"/>
      <c r="WKJ151"/>
      <c r="WKK151"/>
      <c r="WKL151"/>
      <c r="WKM151"/>
      <c r="WKN151"/>
      <c r="WKO151"/>
      <c r="WKP151"/>
      <c r="WKQ151"/>
      <c r="WKR151"/>
      <c r="WKS151"/>
      <c r="WKT151"/>
      <c r="WKU151"/>
      <c r="WKV151"/>
      <c r="WKW151"/>
      <c r="WKX151"/>
      <c r="WKY151"/>
      <c r="WKZ151"/>
      <c r="WLA151"/>
      <c r="WLB151"/>
      <c r="WLC151"/>
      <c r="WLD151"/>
      <c r="WLE151"/>
      <c r="WLF151"/>
      <c r="WLG151"/>
      <c r="WLH151"/>
      <c r="WLI151"/>
      <c r="WLJ151"/>
      <c r="WLK151"/>
      <c r="WLL151"/>
      <c r="WLM151"/>
      <c r="WLN151"/>
      <c r="WLO151"/>
      <c r="WLP151"/>
      <c r="WLQ151"/>
      <c r="WLR151"/>
      <c r="WLS151"/>
      <c r="WLT151"/>
      <c r="WLU151"/>
      <c r="WLV151"/>
      <c r="WLW151"/>
      <c r="WLX151"/>
      <c r="WLY151"/>
      <c r="WLZ151"/>
      <c r="WMA151"/>
      <c r="WMB151"/>
      <c r="WMC151"/>
      <c r="WMD151"/>
      <c r="WME151"/>
      <c r="WMF151"/>
      <c r="WMG151"/>
      <c r="WMH151"/>
      <c r="WMI151"/>
      <c r="WMJ151"/>
      <c r="WMK151"/>
      <c r="WML151"/>
      <c r="WMM151"/>
      <c r="WMN151"/>
      <c r="WMO151"/>
      <c r="WMP151"/>
      <c r="WMQ151"/>
      <c r="WMR151"/>
      <c r="WMS151"/>
      <c r="WMT151"/>
      <c r="WMU151"/>
      <c r="WMV151"/>
      <c r="WMW151"/>
      <c r="WMX151"/>
      <c r="WMY151"/>
      <c r="WMZ151"/>
      <c r="WNA151"/>
      <c r="WNB151"/>
      <c r="WNC151"/>
      <c r="WND151"/>
      <c r="WNE151"/>
      <c r="WNF151"/>
      <c r="WNG151"/>
      <c r="WNH151"/>
      <c r="WNI151"/>
      <c r="WNJ151"/>
      <c r="WNK151"/>
      <c r="WNL151"/>
      <c r="WNM151"/>
      <c r="WNN151"/>
      <c r="WNO151"/>
      <c r="WNP151"/>
      <c r="WNQ151"/>
      <c r="WNR151"/>
      <c r="WNS151"/>
      <c r="WNT151"/>
      <c r="WNU151"/>
      <c r="WNV151"/>
      <c r="WNW151"/>
      <c r="WNX151"/>
      <c r="WNY151"/>
      <c r="WNZ151"/>
      <c r="WOA151"/>
      <c r="WOB151"/>
      <c r="WOC151"/>
      <c r="WOD151"/>
      <c r="WOE151"/>
      <c r="WOF151"/>
      <c r="WOG151"/>
      <c r="WOH151"/>
      <c r="WOI151"/>
      <c r="WOJ151"/>
      <c r="WOK151"/>
      <c r="WOL151"/>
      <c r="WOM151"/>
      <c r="WON151"/>
      <c r="WOO151"/>
      <c r="WOP151"/>
      <c r="WOQ151"/>
      <c r="WOR151"/>
      <c r="WOS151"/>
      <c r="WOT151"/>
      <c r="WOU151"/>
      <c r="WOV151"/>
      <c r="WOW151"/>
      <c r="WOX151"/>
      <c r="WOY151"/>
      <c r="WOZ151"/>
      <c r="WPA151"/>
      <c r="WPB151"/>
      <c r="WPC151"/>
      <c r="WPD151"/>
      <c r="WPE151"/>
      <c r="WPF151"/>
      <c r="WPG151"/>
      <c r="WPH151"/>
      <c r="WPI151"/>
      <c r="WPJ151"/>
      <c r="WPK151"/>
      <c r="WPL151"/>
      <c r="WPM151"/>
      <c r="WPN151"/>
      <c r="WPO151"/>
      <c r="WPP151"/>
      <c r="WPQ151"/>
      <c r="WPR151"/>
      <c r="WPS151"/>
      <c r="WPT151"/>
      <c r="WPU151"/>
      <c r="WPV151"/>
      <c r="WPW151"/>
      <c r="WPX151"/>
      <c r="WPY151"/>
      <c r="WPZ151"/>
      <c r="WQA151"/>
      <c r="WQB151"/>
      <c r="WQC151"/>
      <c r="WQD151"/>
      <c r="WQE151"/>
      <c r="WQF151"/>
      <c r="WQG151"/>
      <c r="WQH151"/>
      <c r="WQI151"/>
      <c r="WQJ151"/>
      <c r="WQK151"/>
      <c r="WQL151"/>
      <c r="WQM151"/>
      <c r="WQN151"/>
      <c r="WQO151"/>
      <c r="WQP151"/>
      <c r="WQQ151"/>
      <c r="WQR151"/>
      <c r="WQS151"/>
      <c r="WQT151"/>
      <c r="WQU151"/>
      <c r="WQV151"/>
      <c r="WQW151"/>
      <c r="WQX151"/>
      <c r="WQY151"/>
      <c r="WQZ151"/>
      <c r="WRA151"/>
      <c r="WRB151"/>
      <c r="WRC151"/>
      <c r="WRD151"/>
      <c r="WRE151"/>
      <c r="WRF151"/>
      <c r="WRG151"/>
      <c r="WRH151"/>
      <c r="WRI151"/>
      <c r="WRJ151"/>
      <c r="WRK151"/>
      <c r="WRL151"/>
      <c r="WRM151"/>
      <c r="WRN151"/>
      <c r="WRO151"/>
      <c r="WRP151"/>
      <c r="WRQ151"/>
      <c r="WRR151"/>
      <c r="WRS151"/>
      <c r="WRT151"/>
      <c r="WRU151"/>
      <c r="WRV151"/>
      <c r="WRW151"/>
      <c r="WRX151"/>
      <c r="WRY151"/>
      <c r="WRZ151"/>
      <c r="WSA151"/>
      <c r="WSB151"/>
      <c r="WSC151"/>
      <c r="WSD151"/>
      <c r="WSE151"/>
      <c r="WSF151"/>
      <c r="WSG151"/>
      <c r="WSH151"/>
      <c r="WSI151"/>
      <c r="WSJ151"/>
      <c r="WSK151"/>
      <c r="WSL151"/>
      <c r="WSM151"/>
      <c r="WSN151"/>
      <c r="WSO151"/>
      <c r="WSP151"/>
      <c r="WSQ151"/>
      <c r="WSR151"/>
      <c r="WSS151"/>
      <c r="WST151"/>
      <c r="WSU151"/>
      <c r="WSV151"/>
      <c r="WSW151"/>
      <c r="WSX151"/>
      <c r="WSY151"/>
      <c r="WSZ151"/>
      <c r="WTA151"/>
      <c r="WTB151"/>
      <c r="WTC151"/>
      <c r="WTD151"/>
      <c r="WTE151"/>
      <c r="WTF151"/>
      <c r="WTG151"/>
      <c r="WTH151"/>
      <c r="WTI151"/>
      <c r="WTJ151"/>
      <c r="WTK151"/>
      <c r="WTL151"/>
      <c r="WTM151"/>
      <c r="WTN151"/>
      <c r="WTO151"/>
      <c r="WTP151"/>
      <c r="WTQ151"/>
      <c r="WTR151"/>
      <c r="WTS151"/>
      <c r="WTT151"/>
      <c r="WTU151"/>
      <c r="WTV151"/>
      <c r="WTW151"/>
      <c r="WTX151"/>
      <c r="WTY151"/>
      <c r="WTZ151"/>
      <c r="WUA151"/>
      <c r="WUB151"/>
      <c r="WUC151"/>
      <c r="WUD151"/>
      <c r="WUE151"/>
      <c r="WUF151"/>
      <c r="WUG151"/>
      <c r="WUH151"/>
      <c r="WUI151"/>
      <c r="WUJ151"/>
      <c r="WUK151"/>
      <c r="WUL151"/>
      <c r="WUM151"/>
      <c r="WUN151"/>
      <c r="WUO151"/>
      <c r="WUP151"/>
      <c r="WUQ151"/>
      <c r="WUR151"/>
      <c r="WUS151"/>
      <c r="WUT151"/>
      <c r="WUU151"/>
      <c r="WUV151"/>
      <c r="WUW151"/>
      <c r="WUX151"/>
      <c r="WUY151"/>
      <c r="WUZ151"/>
      <c r="WVA151"/>
      <c r="WVB151"/>
      <c r="WVC151"/>
      <c r="WVD151"/>
      <c r="WVE151"/>
      <c r="WVF151"/>
      <c r="WVG151"/>
      <c r="WVH151"/>
      <c r="WVI151"/>
      <c r="WVJ151"/>
      <c r="WVK151"/>
      <c r="WVL151"/>
      <c r="WVM151"/>
      <c r="WVN151"/>
      <c r="WVO151"/>
      <c r="WVP151"/>
      <c r="WVQ151"/>
      <c r="WVR151"/>
      <c r="WVS151"/>
      <c r="WVT151"/>
      <c r="WVU151"/>
      <c r="WVV151"/>
      <c r="WVW151"/>
      <c r="WVX151"/>
      <c r="WVY151"/>
      <c r="WVZ151"/>
      <c r="WWA151"/>
      <c r="WWB151"/>
      <c r="WWC151"/>
      <c r="WWD151"/>
      <c r="WWE151"/>
      <c r="WWF151"/>
      <c r="WWG151"/>
      <c r="WWH151"/>
      <c r="WWI151"/>
      <c r="WWJ151"/>
      <c r="WWK151"/>
      <c r="WWL151"/>
      <c r="WWM151"/>
      <c r="WWN151"/>
      <c r="WWO151"/>
      <c r="WWP151"/>
      <c r="WWQ151"/>
      <c r="WWR151"/>
      <c r="WWS151"/>
      <c r="WWT151"/>
      <c r="WWU151"/>
      <c r="WWV151"/>
      <c r="WWW151"/>
      <c r="WWX151"/>
      <c r="WWY151"/>
      <c r="WWZ151"/>
      <c r="WXA151"/>
      <c r="WXB151"/>
      <c r="WXC151"/>
      <c r="WXD151"/>
      <c r="WXE151"/>
      <c r="WXF151"/>
      <c r="WXG151"/>
      <c r="WXH151"/>
      <c r="WXI151"/>
      <c r="WXJ151"/>
      <c r="WXK151"/>
      <c r="WXL151"/>
      <c r="WXM151"/>
      <c r="WXN151"/>
      <c r="WXO151"/>
      <c r="WXP151"/>
      <c r="WXQ151"/>
      <c r="WXR151"/>
      <c r="WXS151"/>
      <c r="WXT151"/>
      <c r="WXU151"/>
      <c r="WXV151"/>
      <c r="WXW151"/>
      <c r="WXX151"/>
      <c r="WXY151"/>
      <c r="WXZ151"/>
      <c r="WYA151"/>
      <c r="WYB151"/>
      <c r="WYC151"/>
      <c r="WYD151"/>
      <c r="WYE151"/>
      <c r="WYF151"/>
      <c r="WYG151"/>
      <c r="WYH151"/>
      <c r="WYI151"/>
      <c r="WYJ151"/>
      <c r="WYK151"/>
      <c r="WYL151"/>
      <c r="WYM151"/>
      <c r="WYN151"/>
      <c r="WYO151"/>
      <c r="WYP151"/>
      <c r="WYQ151"/>
      <c r="WYR151"/>
      <c r="WYS151"/>
      <c r="WYT151"/>
      <c r="WYU151"/>
      <c r="WYV151"/>
      <c r="WYW151"/>
      <c r="WYX151"/>
      <c r="WYY151"/>
      <c r="WYZ151"/>
      <c r="WZA151"/>
      <c r="WZB151"/>
      <c r="WZC151"/>
      <c r="WZD151"/>
      <c r="WZE151"/>
      <c r="WZF151"/>
      <c r="WZG151"/>
      <c r="WZH151"/>
      <c r="WZI151"/>
      <c r="WZJ151"/>
      <c r="WZK151"/>
      <c r="WZL151"/>
      <c r="WZM151"/>
      <c r="WZN151"/>
      <c r="WZO151"/>
      <c r="WZP151"/>
      <c r="WZQ151"/>
      <c r="WZR151"/>
      <c r="WZS151"/>
      <c r="WZT151"/>
      <c r="WZU151"/>
      <c r="WZV151"/>
      <c r="WZW151"/>
      <c r="WZX151"/>
      <c r="WZY151"/>
      <c r="WZZ151"/>
      <c r="XAA151"/>
      <c r="XAB151"/>
      <c r="XAC151"/>
      <c r="XAD151"/>
      <c r="XAE151"/>
      <c r="XAF151"/>
      <c r="XAG151"/>
      <c r="XAH151"/>
      <c r="XAI151"/>
      <c r="XAJ151"/>
      <c r="XAK151"/>
      <c r="XAL151"/>
      <c r="XAM151"/>
      <c r="XAN151"/>
      <c r="XAO151"/>
      <c r="XAP151"/>
      <c r="XAQ151"/>
      <c r="XAR151"/>
      <c r="XAS151"/>
      <c r="XAT151"/>
      <c r="XAU151"/>
      <c r="XAV151"/>
      <c r="XAW151"/>
      <c r="XAX151"/>
      <c r="XAY151"/>
      <c r="XAZ151"/>
      <c r="XBA151"/>
      <c r="XBB151"/>
      <c r="XBC151"/>
      <c r="XBD151"/>
      <c r="XBE151"/>
      <c r="XBF151"/>
      <c r="XBG151"/>
      <c r="XBH151"/>
      <c r="XBI151"/>
      <c r="XBJ151"/>
      <c r="XBK151"/>
      <c r="XBL151"/>
      <c r="XBM151"/>
      <c r="XBN151"/>
      <c r="XBO151"/>
      <c r="XBP151"/>
      <c r="XBQ151"/>
      <c r="XBR151"/>
      <c r="XBS151"/>
      <c r="XBT151"/>
      <c r="XBU151"/>
      <c r="XBV151"/>
      <c r="XBW151"/>
      <c r="XBX151"/>
      <c r="XBY151"/>
      <c r="XBZ151"/>
      <c r="XCA151"/>
      <c r="XCB151"/>
      <c r="XCC151"/>
      <c r="XCD151"/>
      <c r="XCE151"/>
      <c r="XCF151"/>
      <c r="XCG151"/>
      <c r="XCH151"/>
      <c r="XCI151"/>
      <c r="XCJ151"/>
      <c r="XCK151"/>
      <c r="XCL151"/>
      <c r="XCM151"/>
      <c r="XCN151"/>
      <c r="XCO151"/>
      <c r="XCP151"/>
      <c r="XCQ151"/>
      <c r="XCR151"/>
      <c r="XCS151"/>
      <c r="XCT151"/>
      <c r="XCU151"/>
      <c r="XCV151"/>
      <c r="XCW151"/>
      <c r="XCX151"/>
      <c r="XCY151"/>
      <c r="XCZ151"/>
      <c r="XDA151"/>
      <c r="XDB151"/>
      <c r="XDC151"/>
      <c r="XDD151"/>
      <c r="XDE151"/>
      <c r="XDF151"/>
      <c r="XDG151"/>
      <c r="XDH151"/>
      <c r="XDI151"/>
      <c r="XDJ151"/>
      <c r="XDK151"/>
      <c r="XDL151"/>
      <c r="XDM151"/>
      <c r="XDN151"/>
      <c r="XDO151"/>
      <c r="XDP151"/>
      <c r="XDQ151"/>
      <c r="XDR151"/>
      <c r="XDS151"/>
      <c r="XDT151"/>
      <c r="XDU151"/>
      <c r="XDV151"/>
      <c r="XDW151"/>
      <c r="XDX151"/>
      <c r="XDY151"/>
      <c r="XDZ151"/>
      <c r="XEA151"/>
      <c r="XEB151"/>
      <c r="XEC151"/>
      <c r="XED151"/>
      <c r="XEE151"/>
      <c r="XEF151"/>
      <c r="XEG151"/>
      <c r="XEH151"/>
      <c r="XEI151"/>
      <c r="XEJ151"/>
      <c r="XEK151"/>
      <c r="XEL151"/>
      <c r="XEM151"/>
      <c r="XEN151"/>
      <c r="XEO151"/>
      <c r="XEP151"/>
      <c r="XEQ151"/>
      <c r="XER151"/>
      <c r="XES151"/>
      <c r="XET151"/>
      <c r="XEU151"/>
      <c r="XEV151"/>
      <c r="XEW151"/>
      <c r="XEX151"/>
      <c r="XEY151"/>
      <c r="XEZ151"/>
      <c r="XFA151"/>
      <c r="XFB151"/>
      <c r="XFC151"/>
      <c r="XFD151"/>
    </row>
    <row r="152" spans="1:16384" ht="15" customHeight="1">
      <c r="A152" s="69" t="s">
        <v>17</v>
      </c>
      <c r="B152" s="65">
        <v>5034.0709999999999</v>
      </c>
      <c r="C152" s="70">
        <v>4797</v>
      </c>
      <c r="D152" s="70">
        <v>4530</v>
      </c>
      <c r="E152" s="70">
        <v>4483</v>
      </c>
      <c r="F152" s="70">
        <v>4356</v>
      </c>
      <c r="G152" s="65">
        <v>4356</v>
      </c>
      <c r="H152" s="70">
        <v>4531</v>
      </c>
      <c r="I152" s="70">
        <v>4168</v>
      </c>
      <c r="J152" s="70">
        <v>4166</v>
      </c>
      <c r="K152" s="70">
        <v>4136</v>
      </c>
      <c r="L152" s="65">
        <v>4136</v>
      </c>
      <c r="M152" s="70">
        <v>3880</v>
      </c>
      <c r="N152" s="70">
        <v>5229</v>
      </c>
      <c r="O152" s="70">
        <v>5727</v>
      </c>
      <c r="P152" s="70">
        <v>5717</v>
      </c>
      <c r="Q152" s="65">
        <v>5717</v>
      </c>
      <c r="R152" s="70">
        <v>5638</v>
      </c>
      <c r="S152" s="70">
        <v>6984</v>
      </c>
      <c r="T152" s="70">
        <v>9614</v>
      </c>
      <c r="U152" s="70">
        <v>9578</v>
      </c>
      <c r="V152" s="65">
        <v>9578</v>
      </c>
      <c r="W152" s="70">
        <v>9416</v>
      </c>
      <c r="X152" s="70">
        <v>9125</v>
      </c>
      <c r="Y152" s="70">
        <v>8939</v>
      </c>
      <c r="Z152" s="70">
        <v>9546</v>
      </c>
      <c r="AA152" s="65">
        <v>9546</v>
      </c>
      <c r="AB152" s="70">
        <v>9388</v>
      </c>
      <c r="AC152" s="70">
        <v>9939</v>
      </c>
      <c r="AD152" s="70">
        <v>9838</v>
      </c>
      <c r="AE152" s="70">
        <v>9827</v>
      </c>
      <c r="AF152" s="65">
        <v>9827</v>
      </c>
      <c r="AG152" s="70">
        <v>9717</v>
      </c>
      <c r="AH152" s="70">
        <v>9349</v>
      </c>
      <c r="AI152" s="70">
        <v>10363</v>
      </c>
      <c r="AJ152" s="70">
        <v>10087</v>
      </c>
      <c r="AK152" s="65">
        <v>10087</v>
      </c>
      <c r="AL152" s="70">
        <v>11912</v>
      </c>
      <c r="AM152" s="70">
        <v>11368</v>
      </c>
      <c r="AN152" s="70">
        <v>11077</v>
      </c>
      <c r="AO152" s="70">
        <v>10713</v>
      </c>
      <c r="AP152" s="65">
        <v>10713</v>
      </c>
      <c r="AQ152" s="70">
        <v>10605</v>
      </c>
      <c r="AR152" s="70">
        <v>11504</v>
      </c>
      <c r="AS152" s="70">
        <v>11246</v>
      </c>
      <c r="AT152" s="70">
        <v>10953</v>
      </c>
      <c r="AU152" s="65">
        <v>10953</v>
      </c>
      <c r="AV152" s="70">
        <v>10703</v>
      </c>
      <c r="AW152" s="70">
        <v>11519</v>
      </c>
      <c r="AX152" s="70">
        <v>11533</v>
      </c>
      <c r="AY152" s="70">
        <v>11861</v>
      </c>
      <c r="AZ152" s="65">
        <v>11861</v>
      </c>
    </row>
    <row r="153" spans="1:16384" ht="15" customHeight="1">
      <c r="A153" s="69" t="s">
        <v>14</v>
      </c>
      <c r="B153" s="65">
        <v>3445.0709999999999</v>
      </c>
      <c r="C153" s="70">
        <v>3200</v>
      </c>
      <c r="D153" s="70">
        <v>3727</v>
      </c>
      <c r="E153" s="70">
        <v>3227</v>
      </c>
      <c r="F153" s="70">
        <v>3540</v>
      </c>
      <c r="G153" s="65">
        <v>3540</v>
      </c>
      <c r="H153" s="70">
        <v>2795</v>
      </c>
      <c r="I153" s="70">
        <v>3286</v>
      </c>
      <c r="J153" s="70">
        <v>2707</v>
      </c>
      <c r="K153" s="70">
        <v>3402</v>
      </c>
      <c r="L153" s="65">
        <v>3402</v>
      </c>
      <c r="M153" s="70">
        <v>2924</v>
      </c>
      <c r="N153" s="70">
        <v>4987</v>
      </c>
      <c r="O153" s="70">
        <v>4315</v>
      </c>
      <c r="P153" s="70">
        <v>5345</v>
      </c>
      <c r="Q153" s="65">
        <v>5345</v>
      </c>
      <c r="R153" s="70">
        <v>4937</v>
      </c>
      <c r="S153" s="70">
        <v>6497</v>
      </c>
      <c r="T153" s="70">
        <v>5994</v>
      </c>
      <c r="U153" s="70">
        <v>7280</v>
      </c>
      <c r="V153" s="65">
        <v>7280</v>
      </c>
      <c r="W153" s="70">
        <v>6646</v>
      </c>
      <c r="X153" s="70">
        <v>7896</v>
      </c>
      <c r="Y153" s="70">
        <v>7192</v>
      </c>
      <c r="Z153" s="70">
        <v>7999</v>
      </c>
      <c r="AA153" s="65">
        <v>7999</v>
      </c>
      <c r="AB153" s="70">
        <v>7303</v>
      </c>
      <c r="AC153" s="70">
        <v>7932</v>
      </c>
      <c r="AD153" s="70">
        <v>8582</v>
      </c>
      <c r="AE153" s="70">
        <v>8085</v>
      </c>
      <c r="AF153" s="65">
        <v>8085</v>
      </c>
      <c r="AG153" s="70">
        <v>7323</v>
      </c>
      <c r="AH153" s="70">
        <v>6951</v>
      </c>
      <c r="AI153" s="70">
        <v>6269</v>
      </c>
      <c r="AJ153" s="70">
        <v>7204</v>
      </c>
      <c r="AK153" s="65">
        <v>7204</v>
      </c>
      <c r="AL153" s="70">
        <v>8203</v>
      </c>
      <c r="AM153" s="70">
        <v>9543</v>
      </c>
      <c r="AN153" s="70">
        <v>8921</v>
      </c>
      <c r="AO153" s="70">
        <v>9396</v>
      </c>
      <c r="AP153" s="65">
        <v>9396</v>
      </c>
      <c r="AQ153" s="70">
        <v>8828</v>
      </c>
      <c r="AR153" s="70">
        <v>9254</v>
      </c>
      <c r="AS153" s="70">
        <v>9400</v>
      </c>
      <c r="AT153" s="70">
        <v>9719</v>
      </c>
      <c r="AU153" s="65">
        <v>9719</v>
      </c>
      <c r="AV153" s="70">
        <v>9333</v>
      </c>
      <c r="AW153" s="70">
        <v>9646</v>
      </c>
      <c r="AX153" s="70">
        <v>8968</v>
      </c>
      <c r="AY153" s="70">
        <v>9391</v>
      </c>
      <c r="AZ153" s="65">
        <v>9391</v>
      </c>
    </row>
    <row r="154" spans="1:16384" ht="15" customHeight="1">
      <c r="A154" s="79" t="s">
        <v>30</v>
      </c>
      <c r="B154" s="217">
        <f>B153/B39</f>
        <v>0.8994963446475196</v>
      </c>
      <c r="C154" s="218"/>
      <c r="D154" s="218"/>
      <c r="E154" s="218"/>
      <c r="F154" s="219"/>
      <c r="G154" s="217">
        <f>G153/G39</f>
        <v>0.86383601756954609</v>
      </c>
      <c r="H154" s="218">
        <f>H153/(H39+F39+E39+D39)</f>
        <v>0.65625733740314629</v>
      </c>
      <c r="I154" s="218">
        <f>I153/(I39+H39+F39+E39)</f>
        <v>0.76047211293682015</v>
      </c>
      <c r="J154" s="218">
        <f>J153/(J39+I39+H39+F39)</f>
        <v>0.61285940683721984</v>
      </c>
      <c r="K154" s="219">
        <f>K153/(K39+J39+I39+H39)</f>
        <v>0.76329369531074709</v>
      </c>
      <c r="L154" s="217">
        <f>L153/L39</f>
        <v>0.76329369531074709</v>
      </c>
      <c r="M154" s="218">
        <f>M153/(M39+K39+J39+I39)</f>
        <v>0.64920071047957373</v>
      </c>
      <c r="N154" s="218">
        <f>N153/(N39+M39+K39+J39)</f>
        <v>1.0731654831073811</v>
      </c>
      <c r="O154" s="218">
        <f>O153/(O39+N39+M39+K39)</f>
        <v>0.91033755274261607</v>
      </c>
      <c r="P154" s="219">
        <f>P153/(P39+O39+N39+M39)</f>
        <v>1.0372598486318649</v>
      </c>
      <c r="Q154" s="217">
        <f>Q153/Q39</f>
        <v>1.0372598486318649</v>
      </c>
      <c r="R154" s="218">
        <f>R153/(R39+P39+O39+N39)</f>
        <v>1.0002025931928686</v>
      </c>
      <c r="S154" s="218">
        <f>S153/(S39+R39+P39+O39)</f>
        <v>1.331079696783446</v>
      </c>
      <c r="T154" s="218">
        <f>T153/(T39+S39+R39+P39)</f>
        <v>1.2351123016690706</v>
      </c>
      <c r="U154" s="219">
        <f>U153/(U39+T39+S39+R39)</f>
        <v>1.5655913978494624</v>
      </c>
      <c r="V154" s="217">
        <f>V153/V39</f>
        <v>1.5655913978494624</v>
      </c>
      <c r="W154" s="218">
        <f>W153/(W39+U39+T39+S39)</f>
        <v>1.368052696582956</v>
      </c>
      <c r="X154" s="218">
        <f>X153/(X39+W39+U39+T39)</f>
        <v>1.6875400726650993</v>
      </c>
      <c r="Y154" s="218">
        <f>Y153/(Y39+X39+W39+U39)</f>
        <v>1.6330608537693005</v>
      </c>
      <c r="Z154" s="219">
        <f>Z153/(Z39+Y39+X39+W39)</f>
        <v>1.7866875139602412</v>
      </c>
      <c r="AA154" s="217">
        <f>AA153/AA39</f>
        <v>1.7866875139602412</v>
      </c>
      <c r="AB154" s="218">
        <f>AB153/(AB39+Z39+Y39+X39)</f>
        <v>1.6757687012391005</v>
      </c>
      <c r="AC154" s="218">
        <f>AC153/(AC39+AB39+Z39+Y39)</f>
        <v>1.8344125809435707</v>
      </c>
      <c r="AD154" s="218">
        <f>AD153/(AD39+AC39+AB39+Z39)</f>
        <v>1.9737810487580496</v>
      </c>
      <c r="AE154" s="219">
        <f>AE153/(AE39+AD39+AC39+AB39)</f>
        <v>1.9576271186440677</v>
      </c>
      <c r="AF154" s="217">
        <f>AF153/AF39</f>
        <v>1.9576271186440677</v>
      </c>
      <c r="AG154" s="218">
        <f>AG153/(AG39+AE39+AD39+AC39)</f>
        <v>1.8112787534009398</v>
      </c>
      <c r="AH154" s="218">
        <f>AH153/(AH39+AG39+AE39+AD39)</f>
        <v>1.5357931948740611</v>
      </c>
      <c r="AI154" s="218">
        <f>AI153/(AI39+AH39+AG39+AE39)</f>
        <v>1.4012069736253912</v>
      </c>
      <c r="AJ154" s="219">
        <f>AJ153/(AJ39+AI39+AH39+AG39)</f>
        <v>1.5984024850232972</v>
      </c>
      <c r="AK154" s="217">
        <v>1.5984024850232972</v>
      </c>
      <c r="AL154" s="218">
        <v>1.8400628084342754</v>
      </c>
      <c r="AM154" s="218">
        <v>2.2995180722891568</v>
      </c>
      <c r="AN154" s="218">
        <v>2.0936399906125325</v>
      </c>
      <c r="AO154" s="219">
        <v>2.2087447108603668</v>
      </c>
      <c r="AP154" s="217">
        <v>2.2087447108603668</v>
      </c>
      <c r="AQ154" s="218">
        <v>2.0416281221091581</v>
      </c>
      <c r="AR154" s="218">
        <v>2.2379685610640871</v>
      </c>
      <c r="AS154" s="218">
        <v>2.3112859601671993</v>
      </c>
      <c r="AT154" s="219">
        <v>2.3938423645320195</v>
      </c>
      <c r="AU154" s="217">
        <v>2.3938423645320195</v>
      </c>
      <c r="AV154" s="218">
        <v>2.3153063755891838</v>
      </c>
      <c r="AW154" s="218">
        <v>2.4284994964753275</v>
      </c>
      <c r="AX154" s="218">
        <v>2.2930196880593199</v>
      </c>
      <c r="AY154" s="218">
        <v>2.4551633986928105</v>
      </c>
      <c r="AZ154" s="217">
        <v>2.4551633986928105</v>
      </c>
    </row>
    <row r="155" spans="1:16384" ht="15" customHeight="1">
      <c r="A155" s="79"/>
      <c r="B155" s="217"/>
      <c r="C155" s="218"/>
      <c r="D155" s="218"/>
      <c r="E155" s="218"/>
      <c r="F155" s="219"/>
      <c r="G155" s="217"/>
      <c r="H155" s="218"/>
      <c r="I155" s="218"/>
      <c r="J155" s="218"/>
      <c r="K155" s="219"/>
      <c r="L155" s="217"/>
      <c r="M155" s="218"/>
      <c r="N155" s="218"/>
      <c r="O155" s="218"/>
      <c r="P155" s="219"/>
      <c r="Q155" s="217"/>
      <c r="R155" s="218"/>
      <c r="S155" s="218"/>
      <c r="T155" s="218"/>
      <c r="U155" s="219"/>
      <c r="V155" s="217"/>
      <c r="W155" s="218"/>
      <c r="X155" s="218"/>
      <c r="Y155" s="218"/>
      <c r="Z155" s="219"/>
      <c r="AA155" s="217"/>
      <c r="AB155" s="218"/>
      <c r="AC155" s="218"/>
      <c r="AD155" s="218"/>
      <c r="AE155" s="219"/>
      <c r="AF155" s="217"/>
      <c r="AG155" s="218"/>
      <c r="AH155" s="218"/>
      <c r="AI155" s="218"/>
      <c r="AJ155" s="219"/>
      <c r="AK155" s="217"/>
      <c r="AL155" s="218"/>
      <c r="AM155" s="218"/>
      <c r="AN155" s="218"/>
      <c r="AO155" s="219"/>
      <c r="AP155" s="217"/>
      <c r="AQ155" s="218"/>
      <c r="AR155" s="218"/>
      <c r="AS155" s="218"/>
      <c r="AT155" s="219"/>
      <c r="AU155" s="217"/>
      <c r="AV155" s="218"/>
      <c r="AW155" s="218"/>
      <c r="AX155" s="218"/>
      <c r="AY155" s="218"/>
      <c r="AZ155" s="217"/>
    </row>
    <row r="156" spans="1:16384">
      <c r="A156" s="50" t="s">
        <v>47</v>
      </c>
      <c r="B156" s="41"/>
      <c r="C156" s="51"/>
      <c r="D156" s="51"/>
      <c r="E156" s="51"/>
      <c r="F156" s="51"/>
      <c r="G156" s="41"/>
      <c r="H156" s="51"/>
      <c r="I156" s="51"/>
      <c r="J156" s="51"/>
      <c r="K156" s="51"/>
      <c r="L156" s="41"/>
      <c r="M156" s="51"/>
      <c r="N156" s="51"/>
      <c r="O156" s="51"/>
      <c r="P156" s="51"/>
      <c r="Q156" s="41"/>
      <c r="R156" s="51"/>
      <c r="S156" s="51"/>
      <c r="T156" s="51"/>
      <c r="U156" s="51"/>
      <c r="V156" s="41"/>
      <c r="W156" s="51"/>
      <c r="X156" s="51"/>
      <c r="Y156" s="51"/>
      <c r="Z156" s="51"/>
      <c r="AA156" s="41"/>
      <c r="AB156" s="51"/>
      <c r="AC156" s="51"/>
      <c r="AD156" s="51"/>
      <c r="AE156" s="51"/>
      <c r="AF156" s="41"/>
      <c r="AG156" s="51"/>
      <c r="AH156" s="51"/>
      <c r="AI156" s="51"/>
      <c r="AJ156" s="51"/>
      <c r="AK156" s="41"/>
      <c r="AL156" s="51"/>
      <c r="AM156" s="51"/>
      <c r="AN156" s="51"/>
      <c r="AO156" s="51"/>
      <c r="AP156" s="41"/>
      <c r="AQ156" s="51"/>
      <c r="AR156" s="51"/>
      <c r="AS156" s="51"/>
      <c r="AT156" s="51"/>
      <c r="AU156" s="41"/>
      <c r="AV156" s="51"/>
      <c r="AW156" s="51"/>
      <c r="AX156" s="51"/>
      <c r="AY156" s="51"/>
      <c r="AZ156" s="41"/>
    </row>
    <row r="157" spans="1:16384">
      <c r="A157" s="69"/>
      <c r="B157" s="69"/>
      <c r="C157" s="69"/>
      <c r="D157" s="69"/>
      <c r="E157" s="69"/>
      <c r="F157" s="69"/>
      <c r="G157" s="69"/>
      <c r="H157" s="69"/>
      <c r="I157" s="69"/>
      <c r="J157" s="69"/>
      <c r="K157" s="69"/>
      <c r="L157" s="69"/>
      <c r="M157" s="69"/>
      <c r="N157" s="69"/>
      <c r="O157" s="69"/>
      <c r="P157" s="69"/>
      <c r="Q157" s="217"/>
      <c r="R157" s="69"/>
      <c r="S157" s="69"/>
      <c r="T157" s="69"/>
      <c r="U157" s="69"/>
      <c r="V157" s="217"/>
      <c r="W157" s="69"/>
      <c r="X157" s="69"/>
      <c r="Y157" s="69"/>
      <c r="Z157" s="69"/>
      <c r="AA157" s="217"/>
      <c r="AB157" s="69"/>
      <c r="AC157" s="69"/>
      <c r="AD157" s="69"/>
      <c r="AE157" s="69"/>
      <c r="AF157" s="217"/>
      <c r="AG157" s="69"/>
      <c r="AH157" s="69"/>
      <c r="AI157" s="69"/>
      <c r="AJ157" s="69"/>
      <c r="AK157" s="217"/>
      <c r="AL157" s="69"/>
      <c r="AM157" s="69"/>
      <c r="AN157" s="69"/>
      <c r="AO157" s="69"/>
      <c r="AP157" s="217"/>
      <c r="AQ157" s="69"/>
      <c r="AR157" s="69"/>
      <c r="AS157" s="69"/>
      <c r="AT157" s="69"/>
      <c r="AU157" s="217"/>
      <c r="AV157" s="69"/>
      <c r="AW157" s="69"/>
      <c r="AX157" s="69"/>
      <c r="AY157" s="69"/>
      <c r="AZ157" s="217"/>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c r="FC157" s="69"/>
      <c r="FD157" s="69"/>
      <c r="FE157" s="69"/>
      <c r="FF157" s="69"/>
      <c r="FG157" s="69"/>
      <c r="FH157" s="69"/>
      <c r="FI157" s="69"/>
      <c r="FJ157" s="69"/>
      <c r="FK157" s="69"/>
      <c r="FL157" s="69"/>
      <c r="FM157" s="69"/>
      <c r="FN157" s="69"/>
      <c r="FO157" s="69"/>
      <c r="FP157" s="69"/>
      <c r="FQ157" s="69"/>
      <c r="FR157" s="69"/>
      <c r="FS157" s="69"/>
      <c r="FT157" s="69"/>
      <c r="FU157" s="69"/>
      <c r="FV157" s="69"/>
      <c r="FW157" s="69"/>
      <c r="FX157" s="69"/>
      <c r="FY157" s="69"/>
      <c r="FZ157" s="69"/>
      <c r="GA157" s="69"/>
      <c r="GB157" s="69"/>
      <c r="GC157" s="69"/>
      <c r="GD157" s="69"/>
      <c r="GE157" s="69"/>
      <c r="GF157" s="69"/>
      <c r="GG157" s="69"/>
      <c r="GH157" s="69"/>
      <c r="GI157" s="69"/>
      <c r="GJ157" s="69"/>
      <c r="GK157" s="69"/>
      <c r="GL157" s="69"/>
      <c r="GM157" s="69"/>
      <c r="GN157" s="69"/>
      <c r="GO157" s="69"/>
      <c r="GP157" s="69"/>
      <c r="GQ157" s="69"/>
      <c r="GR157" s="69"/>
      <c r="GS157" s="69"/>
      <c r="GT157" s="69"/>
      <c r="GU157" s="69"/>
      <c r="GV157" s="69"/>
      <c r="GW157" s="69"/>
      <c r="GX157" s="69"/>
      <c r="GY157" s="69"/>
      <c r="GZ157" s="69"/>
      <c r="HA157" s="69"/>
      <c r="HB157" s="69"/>
      <c r="HC157" s="69"/>
      <c r="HD157" s="69"/>
      <c r="HE157" s="69"/>
      <c r="HF157" s="69"/>
      <c r="HG157" s="69"/>
      <c r="HH157" s="69"/>
      <c r="HI157" s="69"/>
      <c r="HJ157" s="69"/>
      <c r="HK157" s="69"/>
      <c r="HL157" s="69"/>
      <c r="HM157" s="69"/>
      <c r="HN157" s="69"/>
      <c r="HO157" s="69"/>
      <c r="HP157" s="69"/>
      <c r="HQ157" s="69"/>
      <c r="HR157" s="69"/>
      <c r="HS157" s="69"/>
      <c r="HT157" s="69"/>
      <c r="HU157" s="69"/>
      <c r="HV157" s="69"/>
      <c r="HW157" s="69"/>
      <c r="HX157" s="69"/>
      <c r="HY157" s="69"/>
      <c r="HZ157" s="69"/>
      <c r="IA157" s="69"/>
      <c r="IB157" s="69"/>
      <c r="IC157" s="69"/>
      <c r="ID157" s="69"/>
      <c r="IE157" s="69"/>
      <c r="IF157" s="69"/>
      <c r="IG157" s="69"/>
      <c r="IH157" s="69"/>
      <c r="II157" s="69"/>
      <c r="IJ157" s="69"/>
      <c r="IK157" s="69"/>
      <c r="IL157" s="69"/>
      <c r="IM157" s="69"/>
      <c r="IN157" s="69"/>
      <c r="IO157" s="69"/>
      <c r="IP157" s="69"/>
      <c r="IQ157" s="69"/>
      <c r="IR157" s="69"/>
      <c r="IS157" s="69"/>
      <c r="IT157" s="69"/>
      <c r="IU157" s="69"/>
      <c r="IV157" s="69"/>
      <c r="IW157" s="69"/>
      <c r="IX157" s="69"/>
      <c r="IY157" s="69"/>
      <c r="IZ157" s="69"/>
      <c r="JA157" s="69"/>
      <c r="JB157" s="69"/>
      <c r="JC157" s="69"/>
      <c r="JD157" s="69"/>
      <c r="JE157" s="69"/>
      <c r="JF157" s="69"/>
      <c r="JG157" s="69"/>
      <c r="JH157" s="69"/>
      <c r="JI157" s="69"/>
      <c r="JJ157" s="69"/>
      <c r="JK157" s="69"/>
      <c r="JL157" s="69"/>
      <c r="JM157" s="69"/>
      <c r="JN157" s="69"/>
      <c r="JO157" s="69"/>
      <c r="JP157" s="69"/>
      <c r="JQ157" s="69"/>
      <c r="JR157" s="69"/>
      <c r="JS157" s="69"/>
      <c r="JT157" s="69"/>
      <c r="JU157" s="69"/>
      <c r="JV157" s="69"/>
      <c r="JW157" s="69"/>
      <c r="JX157" s="69"/>
      <c r="JY157" s="69"/>
      <c r="JZ157" s="69"/>
      <c r="KA157" s="69"/>
      <c r="KB157" s="69"/>
      <c r="KC157" s="69"/>
      <c r="KD157" s="69"/>
      <c r="KE157" s="69"/>
      <c r="KF157" s="69"/>
      <c r="KG157" s="69"/>
      <c r="KH157" s="69"/>
      <c r="KI157" s="69"/>
      <c r="KJ157" s="69"/>
      <c r="KK157" s="69"/>
      <c r="KL157" s="69"/>
      <c r="KM157" s="69"/>
      <c r="KN157" s="69"/>
      <c r="KO157" s="69"/>
      <c r="KP157" s="69"/>
      <c r="KQ157" s="69"/>
      <c r="KR157" s="69"/>
      <c r="KS157" s="69"/>
      <c r="KT157" s="69"/>
      <c r="KU157" s="69"/>
      <c r="KV157" s="69"/>
      <c r="KW157" s="69"/>
      <c r="KX157" s="69"/>
      <c r="KY157" s="69"/>
      <c r="KZ157" s="69"/>
      <c r="LA157" s="69"/>
      <c r="LB157" s="69"/>
      <c r="LC157" s="69"/>
      <c r="LD157" s="69"/>
      <c r="LE157" s="69"/>
      <c r="LF157" s="69"/>
      <c r="LG157" s="69"/>
      <c r="LH157" s="69"/>
      <c r="LI157" s="69"/>
      <c r="LJ157" s="69"/>
      <c r="LK157" s="69"/>
      <c r="LL157" s="69"/>
      <c r="LM157" s="69"/>
      <c r="LN157" s="69"/>
      <c r="LO157" s="69"/>
      <c r="LP157" s="69"/>
      <c r="LQ157" s="69"/>
      <c r="LR157" s="69"/>
      <c r="LS157" s="69"/>
      <c r="LT157" s="69"/>
      <c r="LU157" s="69"/>
      <c r="LV157" s="69"/>
      <c r="LW157" s="69"/>
      <c r="LX157" s="69"/>
      <c r="LY157" s="69"/>
      <c r="LZ157" s="69"/>
      <c r="MA157" s="69"/>
      <c r="MB157" s="69"/>
      <c r="MC157" s="69"/>
      <c r="MD157" s="69"/>
      <c r="ME157" s="69"/>
      <c r="MF157" s="69"/>
      <c r="MG157" s="69"/>
      <c r="MH157" s="69"/>
      <c r="MI157" s="69"/>
      <c r="MJ157" s="69"/>
      <c r="MK157" s="69"/>
      <c r="ML157" s="69"/>
      <c r="MM157" s="69"/>
      <c r="MN157" s="69"/>
      <c r="MO157" s="69"/>
      <c r="MP157" s="69"/>
      <c r="MQ157" s="69"/>
      <c r="MR157" s="69"/>
      <c r="MS157" s="69"/>
      <c r="MT157" s="69"/>
      <c r="MU157" s="69"/>
      <c r="MV157" s="69"/>
      <c r="MW157" s="69"/>
      <c r="MX157" s="69"/>
      <c r="MY157" s="69"/>
      <c r="MZ157" s="69"/>
      <c r="NA157" s="69"/>
      <c r="NB157" s="69"/>
      <c r="NC157" s="69"/>
      <c r="ND157" s="69"/>
      <c r="NE157" s="69"/>
      <c r="NF157" s="69"/>
      <c r="NG157" s="69"/>
      <c r="NH157" s="69"/>
      <c r="NI157" s="69"/>
      <c r="NJ157" s="69"/>
      <c r="NK157" s="69"/>
      <c r="NL157" s="69"/>
      <c r="NM157" s="69"/>
      <c r="NN157" s="69"/>
      <c r="NO157" s="69"/>
      <c r="NP157" s="69"/>
      <c r="NQ157" s="69"/>
      <c r="NR157" s="69"/>
      <c r="NS157" s="69"/>
      <c r="NT157" s="69"/>
      <c r="NU157" s="69"/>
      <c r="NV157" s="69"/>
      <c r="NW157" s="69"/>
      <c r="NX157" s="69"/>
      <c r="NY157" s="69"/>
      <c r="NZ157" s="69"/>
      <c r="OA157" s="69"/>
      <c r="OB157" s="69"/>
      <c r="OC157" s="69"/>
      <c r="OD157" s="69"/>
      <c r="OE157" s="69"/>
      <c r="OF157" s="69"/>
      <c r="OG157" s="69"/>
      <c r="OH157" s="69"/>
      <c r="OI157" s="69"/>
      <c r="OJ157" s="69"/>
      <c r="OK157" s="69"/>
      <c r="OL157" s="69"/>
      <c r="OM157" s="69"/>
      <c r="ON157" s="69"/>
      <c r="OO157" s="69"/>
      <c r="OP157" s="69"/>
      <c r="OQ157" s="69"/>
      <c r="OR157" s="69"/>
      <c r="OS157" s="69"/>
      <c r="OT157" s="69"/>
      <c r="OU157" s="69"/>
      <c r="OV157" s="69"/>
      <c r="OW157" s="69"/>
      <c r="OX157" s="69"/>
      <c r="OY157" s="69"/>
      <c r="OZ157" s="69"/>
      <c r="PA157" s="69"/>
      <c r="PB157" s="69"/>
      <c r="PC157" s="69"/>
      <c r="PD157" s="69"/>
      <c r="PE157" s="69"/>
      <c r="PF157" s="69"/>
      <c r="PG157" s="69"/>
      <c r="PH157" s="69"/>
      <c r="PI157" s="69"/>
      <c r="PJ157" s="69"/>
      <c r="PK157" s="69"/>
      <c r="PL157" s="69"/>
      <c r="PM157" s="69"/>
      <c r="PN157" s="69"/>
      <c r="PO157" s="69"/>
      <c r="PP157" s="69"/>
      <c r="PQ157" s="69"/>
      <c r="PR157" s="69"/>
      <c r="PS157" s="69"/>
      <c r="PT157" s="69"/>
      <c r="PU157" s="69"/>
      <c r="PV157" s="69"/>
      <c r="PW157" s="69"/>
      <c r="PX157" s="69"/>
      <c r="PY157" s="69"/>
      <c r="PZ157" s="69"/>
      <c r="QA157" s="69"/>
      <c r="QB157" s="69"/>
      <c r="QC157" s="69"/>
      <c r="QD157" s="69"/>
      <c r="QE157" s="69"/>
      <c r="QF157" s="69"/>
      <c r="QG157" s="69"/>
      <c r="QH157" s="69"/>
      <c r="QI157" s="69"/>
      <c r="QJ157" s="69"/>
      <c r="QK157" s="69"/>
      <c r="QL157" s="69"/>
      <c r="QM157" s="69"/>
      <c r="QN157" s="69"/>
      <c r="QO157" s="69"/>
      <c r="QP157" s="69"/>
      <c r="QQ157" s="69"/>
      <c r="QR157" s="69"/>
      <c r="QS157" s="69"/>
      <c r="QT157" s="69"/>
      <c r="QU157" s="69"/>
      <c r="QV157" s="69"/>
      <c r="QW157" s="69"/>
      <c r="QX157" s="69"/>
      <c r="QY157" s="69"/>
      <c r="QZ157" s="69"/>
      <c r="RA157" s="69"/>
      <c r="RB157" s="69"/>
      <c r="RC157" s="69"/>
      <c r="RD157" s="69"/>
      <c r="RE157" s="69"/>
      <c r="RF157" s="69"/>
      <c r="RG157" s="69"/>
      <c r="RH157" s="69"/>
      <c r="RI157" s="69"/>
      <c r="RJ157" s="69"/>
      <c r="RK157" s="69"/>
      <c r="RL157" s="69"/>
      <c r="RM157" s="69"/>
      <c r="RN157" s="69"/>
      <c r="RO157" s="69"/>
      <c r="RP157" s="69"/>
      <c r="RQ157" s="69"/>
      <c r="RR157" s="69"/>
      <c r="RS157" s="69"/>
      <c r="RT157" s="69"/>
      <c r="RU157" s="69"/>
      <c r="RV157" s="69"/>
      <c r="RW157" s="69"/>
      <c r="RX157" s="69"/>
      <c r="RY157" s="69"/>
      <c r="RZ157" s="69"/>
      <c r="SA157" s="69"/>
      <c r="SB157" s="69"/>
      <c r="SC157" s="69"/>
      <c r="SD157" s="69"/>
      <c r="SE157" s="69"/>
      <c r="SF157" s="69"/>
      <c r="SG157" s="69"/>
      <c r="SH157" s="69"/>
      <c r="SI157" s="69"/>
      <c r="SJ157" s="69"/>
      <c r="SK157" s="69"/>
      <c r="SL157" s="69"/>
      <c r="SM157" s="69"/>
      <c r="SN157" s="69"/>
      <c r="SO157" s="69"/>
      <c r="SP157" s="69"/>
      <c r="SQ157" s="69"/>
      <c r="SR157" s="69"/>
      <c r="SS157" s="69"/>
      <c r="ST157" s="69"/>
      <c r="SU157" s="69"/>
      <c r="SV157" s="69"/>
      <c r="SW157" s="69"/>
      <c r="SX157" s="69"/>
      <c r="SY157" s="69"/>
      <c r="SZ157" s="69"/>
      <c r="TA157" s="69"/>
      <c r="TB157" s="69"/>
      <c r="TC157" s="69"/>
      <c r="TD157" s="69"/>
      <c r="TE157" s="69"/>
      <c r="TF157" s="69"/>
      <c r="TG157" s="69"/>
      <c r="TH157" s="69"/>
      <c r="TI157" s="69"/>
      <c r="TJ157" s="69"/>
      <c r="TK157" s="69"/>
      <c r="TL157" s="69"/>
      <c r="TM157" s="69"/>
      <c r="TN157" s="69"/>
      <c r="TO157" s="69"/>
      <c r="TP157" s="69"/>
      <c r="TQ157" s="69"/>
      <c r="TR157" s="69"/>
      <c r="TS157" s="69"/>
      <c r="TT157" s="69"/>
      <c r="TU157" s="69"/>
      <c r="TV157" s="69"/>
      <c r="TW157" s="69"/>
      <c r="TX157" s="69"/>
      <c r="TY157" s="69"/>
      <c r="TZ157" s="69"/>
      <c r="UA157" s="69"/>
      <c r="UB157" s="69"/>
      <c r="UC157" s="69"/>
      <c r="UD157" s="69"/>
      <c r="UE157" s="69"/>
      <c r="UF157" s="69"/>
      <c r="UG157" s="69"/>
      <c r="UH157" s="69"/>
      <c r="UI157" s="69"/>
      <c r="UJ157" s="69"/>
      <c r="UK157" s="69"/>
      <c r="UL157" s="69"/>
      <c r="UM157" s="69"/>
      <c r="UN157" s="69"/>
      <c r="UO157" s="69"/>
      <c r="UP157" s="69"/>
      <c r="UQ157" s="69"/>
      <c r="UR157" s="69"/>
      <c r="US157" s="69"/>
      <c r="UT157" s="69"/>
      <c r="UU157" s="69"/>
      <c r="UV157" s="69"/>
      <c r="UW157" s="69"/>
      <c r="UX157" s="69"/>
      <c r="UY157" s="69"/>
      <c r="UZ157" s="69"/>
      <c r="VA157" s="69"/>
      <c r="VB157" s="69"/>
      <c r="VC157" s="69"/>
      <c r="VD157" s="69"/>
      <c r="VE157" s="69"/>
      <c r="VF157" s="69"/>
      <c r="VG157" s="69"/>
      <c r="VH157" s="69"/>
      <c r="VI157" s="69"/>
      <c r="VJ157" s="69"/>
      <c r="VK157" s="69"/>
      <c r="VL157" s="69"/>
      <c r="VM157" s="69"/>
      <c r="VN157" s="69"/>
      <c r="VO157" s="69"/>
      <c r="VP157" s="69"/>
      <c r="VQ157" s="69"/>
      <c r="VR157" s="69"/>
      <c r="VS157" s="69"/>
      <c r="VT157" s="69"/>
      <c r="VU157" s="69"/>
      <c r="VV157" s="69"/>
      <c r="VW157" s="69"/>
      <c r="VX157" s="69"/>
      <c r="VY157" s="69"/>
      <c r="VZ157" s="69"/>
      <c r="WA157" s="69"/>
      <c r="WB157" s="69"/>
      <c r="WC157" s="69"/>
      <c r="WD157" s="69"/>
      <c r="WE157" s="69"/>
      <c r="WF157" s="69"/>
      <c r="WG157" s="69"/>
      <c r="WH157" s="69"/>
      <c r="WI157" s="69"/>
      <c r="WJ157" s="69"/>
      <c r="WK157" s="69"/>
      <c r="WL157" s="69"/>
      <c r="WM157" s="69"/>
      <c r="WN157" s="69"/>
      <c r="WO157" s="69"/>
      <c r="WP157" s="69"/>
      <c r="WQ157" s="69"/>
      <c r="WR157" s="69"/>
      <c r="WS157" s="69"/>
      <c r="WT157" s="69"/>
      <c r="WU157" s="69"/>
      <c r="WV157" s="69"/>
      <c r="WW157" s="69"/>
      <c r="WX157" s="69"/>
      <c r="WY157" s="69"/>
      <c r="WZ157" s="69"/>
      <c r="XA157" s="69"/>
      <c r="XB157" s="69"/>
      <c r="XC157" s="69"/>
      <c r="XD157" s="69"/>
      <c r="XE157" s="69"/>
      <c r="XF157" s="69"/>
      <c r="XG157" s="69"/>
      <c r="XH157" s="69"/>
      <c r="XI157" s="69"/>
      <c r="XJ157" s="69"/>
      <c r="XK157" s="69"/>
      <c r="XL157" s="69"/>
      <c r="XM157" s="69"/>
      <c r="XN157" s="69"/>
      <c r="XO157" s="69"/>
      <c r="XP157" s="69"/>
      <c r="XQ157" s="69"/>
      <c r="XR157" s="69"/>
      <c r="XS157" s="69"/>
      <c r="XT157" s="69"/>
      <c r="XU157" s="69"/>
      <c r="XV157" s="69"/>
      <c r="XW157" s="69"/>
      <c r="XX157" s="69"/>
      <c r="XY157" s="69"/>
      <c r="XZ157" s="69"/>
      <c r="YA157" s="69"/>
      <c r="YB157" s="69"/>
      <c r="YC157" s="69"/>
      <c r="YD157" s="69"/>
      <c r="YE157" s="69"/>
      <c r="YF157" s="69"/>
      <c r="YG157" s="69"/>
      <c r="YH157" s="69"/>
      <c r="YI157" s="69"/>
      <c r="YJ157" s="69"/>
      <c r="YK157" s="69"/>
      <c r="YL157" s="69"/>
      <c r="YM157" s="69"/>
      <c r="YN157" s="69"/>
      <c r="YO157" s="69"/>
      <c r="YP157" s="69"/>
      <c r="YQ157" s="69"/>
      <c r="YR157" s="69"/>
      <c r="YS157" s="69"/>
      <c r="YT157" s="69"/>
      <c r="YU157" s="69"/>
      <c r="YV157" s="69"/>
      <c r="YW157" s="69"/>
      <c r="YX157" s="69"/>
      <c r="YY157" s="69"/>
      <c r="YZ157" s="69"/>
      <c r="ZA157" s="69"/>
      <c r="ZB157" s="69"/>
      <c r="ZC157" s="69"/>
      <c r="ZD157" s="69"/>
      <c r="ZE157" s="69"/>
      <c r="ZF157" s="69"/>
      <c r="ZG157" s="69"/>
      <c r="ZH157" s="69"/>
      <c r="ZI157" s="69"/>
      <c r="ZJ157" s="69"/>
      <c r="ZK157" s="69"/>
      <c r="ZL157" s="69"/>
      <c r="ZM157" s="69"/>
      <c r="ZN157" s="69"/>
      <c r="ZO157" s="69"/>
      <c r="ZP157" s="69"/>
      <c r="ZQ157" s="69"/>
      <c r="ZR157" s="69"/>
      <c r="ZS157" s="69"/>
      <c r="ZT157" s="69"/>
      <c r="ZU157" s="69"/>
      <c r="ZV157" s="69"/>
      <c r="ZW157" s="69"/>
      <c r="ZX157" s="69"/>
      <c r="ZY157" s="69"/>
      <c r="ZZ157" s="69"/>
      <c r="AAA157" s="69"/>
      <c r="AAB157" s="69"/>
      <c r="AAC157" s="69"/>
      <c r="AAD157" s="69"/>
      <c r="AAE157" s="69"/>
      <c r="AAF157" s="69"/>
      <c r="AAG157" s="69"/>
      <c r="AAH157" s="69"/>
      <c r="AAI157" s="69"/>
      <c r="AAJ157" s="69"/>
      <c r="AAK157" s="69"/>
      <c r="AAL157" s="69"/>
      <c r="AAM157" s="69"/>
      <c r="AAN157" s="69"/>
      <c r="AAO157" s="69"/>
      <c r="AAP157" s="69"/>
      <c r="AAQ157" s="69"/>
      <c r="AAR157" s="69"/>
      <c r="AAS157" s="69"/>
      <c r="AAT157" s="69"/>
      <c r="AAU157" s="69"/>
      <c r="AAV157" s="69"/>
      <c r="AAW157" s="69"/>
      <c r="AAX157" s="69"/>
      <c r="AAY157" s="69"/>
      <c r="AAZ157" s="69"/>
      <c r="ABA157" s="69"/>
      <c r="ABB157" s="69"/>
      <c r="ABC157" s="69"/>
      <c r="ABD157" s="69"/>
      <c r="ABE157" s="69"/>
      <c r="ABF157" s="69"/>
      <c r="ABG157" s="69"/>
      <c r="ABH157" s="69"/>
      <c r="ABI157" s="69"/>
      <c r="ABJ157" s="69"/>
      <c r="ABK157" s="69"/>
      <c r="ABL157" s="69"/>
      <c r="ABM157" s="69"/>
      <c r="ABN157" s="69"/>
      <c r="ABO157" s="69"/>
      <c r="ABP157" s="69"/>
      <c r="ABQ157" s="69"/>
      <c r="ABR157" s="69"/>
      <c r="ABS157" s="69"/>
      <c r="ABT157" s="69"/>
      <c r="ABU157" s="69"/>
      <c r="ABV157" s="69"/>
      <c r="ABW157" s="69"/>
      <c r="ABX157" s="69"/>
      <c r="ABY157" s="69"/>
      <c r="ABZ157" s="69"/>
      <c r="ACA157" s="69"/>
      <c r="ACB157" s="69"/>
      <c r="ACC157" s="69"/>
      <c r="ACD157" s="69"/>
      <c r="ACE157" s="69"/>
      <c r="ACF157" s="69"/>
      <c r="ACG157" s="69"/>
      <c r="ACH157" s="69"/>
      <c r="ACI157" s="69"/>
      <c r="ACJ157" s="69"/>
      <c r="ACK157" s="69"/>
      <c r="ACL157" s="69"/>
      <c r="ACM157" s="69"/>
      <c r="ACN157" s="69"/>
      <c r="ACO157" s="69"/>
      <c r="ACP157" s="69"/>
      <c r="ACQ157" s="69"/>
      <c r="ACR157" s="69"/>
      <c r="ACS157" s="69"/>
      <c r="ACT157" s="69"/>
      <c r="ACU157" s="69"/>
      <c r="ACV157" s="69"/>
      <c r="ACW157" s="69"/>
      <c r="ACX157" s="69"/>
      <c r="ACY157" s="69"/>
      <c r="ACZ157" s="69"/>
      <c r="ADA157" s="69"/>
      <c r="ADB157" s="69"/>
      <c r="ADC157" s="69"/>
      <c r="ADD157" s="69"/>
      <c r="ADE157" s="69"/>
      <c r="ADF157" s="69"/>
      <c r="ADG157" s="69"/>
      <c r="ADH157" s="69"/>
      <c r="ADI157" s="69"/>
      <c r="ADJ157" s="69"/>
      <c r="ADK157" s="69"/>
      <c r="ADL157" s="69"/>
      <c r="ADM157" s="69"/>
      <c r="ADN157" s="69"/>
      <c r="ADO157" s="69"/>
      <c r="ADP157" s="69"/>
      <c r="ADQ157" s="69"/>
      <c r="ADR157" s="69"/>
      <c r="ADS157" s="69"/>
      <c r="ADT157" s="69"/>
      <c r="ADU157" s="69"/>
      <c r="ADV157" s="69"/>
      <c r="ADW157" s="69"/>
      <c r="ADX157" s="69"/>
      <c r="ADY157" s="69"/>
      <c r="ADZ157" s="69"/>
      <c r="AEA157" s="69"/>
      <c r="AEB157" s="69"/>
      <c r="AEC157" s="69"/>
      <c r="AED157" s="69"/>
      <c r="AEE157" s="69"/>
      <c r="AEF157" s="69"/>
      <c r="AEG157" s="69"/>
      <c r="AEH157" s="69"/>
      <c r="AEI157" s="69"/>
      <c r="AEJ157" s="69"/>
      <c r="AEK157" s="69"/>
      <c r="AEL157" s="69"/>
      <c r="AEM157" s="69"/>
      <c r="AEN157" s="69"/>
      <c r="AEO157" s="69"/>
      <c r="AEP157" s="69"/>
      <c r="AEQ157" s="69"/>
      <c r="AER157" s="69"/>
      <c r="AES157" s="69"/>
      <c r="AET157" s="69"/>
      <c r="AEU157" s="69"/>
      <c r="AEV157" s="69"/>
      <c r="AEW157" s="69"/>
      <c r="AEX157" s="69"/>
      <c r="AEY157" s="69"/>
      <c r="AEZ157" s="69"/>
      <c r="AFA157" s="69"/>
      <c r="AFB157" s="69"/>
      <c r="AFC157" s="69"/>
      <c r="AFD157" s="69"/>
      <c r="AFE157" s="69"/>
      <c r="AFF157" s="69"/>
      <c r="AFG157" s="69"/>
      <c r="AFH157" s="69"/>
      <c r="AFI157" s="69"/>
      <c r="AFJ157" s="69"/>
      <c r="AFK157" s="69"/>
      <c r="AFL157" s="69"/>
      <c r="AFM157" s="69"/>
      <c r="AFN157" s="69"/>
      <c r="AFO157" s="69"/>
      <c r="AFP157" s="69"/>
      <c r="AFQ157" s="69"/>
      <c r="AFR157" s="69"/>
      <c r="AFS157" s="69"/>
      <c r="AFT157" s="69"/>
      <c r="AFU157" s="69"/>
      <c r="AFV157" s="69"/>
      <c r="AFW157" s="69"/>
      <c r="AFX157" s="69"/>
      <c r="AFY157" s="69"/>
      <c r="AFZ157" s="69"/>
      <c r="AGA157" s="69"/>
      <c r="AGB157" s="69"/>
      <c r="AGC157" s="69"/>
      <c r="AGD157" s="69"/>
      <c r="AGE157" s="69"/>
      <c r="AGF157" s="69"/>
      <c r="AGG157" s="69"/>
      <c r="AGH157" s="69"/>
      <c r="AGI157" s="69"/>
      <c r="AGJ157" s="69"/>
      <c r="AGK157" s="69"/>
      <c r="AGL157" s="69"/>
      <c r="AGM157" s="69"/>
      <c r="AGN157" s="69"/>
      <c r="AGO157" s="69"/>
      <c r="AGP157" s="69"/>
      <c r="AGQ157" s="69"/>
      <c r="AGR157" s="69"/>
      <c r="AGS157" s="69"/>
      <c r="AGT157" s="69"/>
      <c r="AGU157" s="69"/>
      <c r="AGV157" s="69"/>
      <c r="AGW157" s="69"/>
      <c r="AGX157" s="69"/>
      <c r="AGY157" s="69"/>
      <c r="AGZ157" s="69"/>
      <c r="AHA157" s="69"/>
      <c r="AHB157" s="69"/>
      <c r="AHC157" s="69"/>
      <c r="AHD157" s="69"/>
      <c r="AHE157" s="69"/>
      <c r="AHF157" s="69"/>
      <c r="AHG157" s="69"/>
      <c r="AHH157" s="69"/>
      <c r="AHI157" s="69"/>
      <c r="AHJ157" s="69"/>
      <c r="AHK157" s="69"/>
      <c r="AHL157" s="69"/>
      <c r="AHM157" s="69"/>
      <c r="AHN157" s="69"/>
      <c r="AHO157" s="69"/>
      <c r="AHP157" s="69"/>
      <c r="AHQ157" s="69"/>
      <c r="AHR157" s="69"/>
      <c r="AHS157" s="69"/>
      <c r="AHT157" s="69"/>
      <c r="AHU157" s="69"/>
      <c r="AHV157" s="69"/>
      <c r="AHW157" s="69"/>
      <c r="AHX157" s="69"/>
      <c r="AHY157" s="69"/>
      <c r="AHZ157" s="69"/>
      <c r="AIA157" s="69"/>
      <c r="AIB157" s="69"/>
      <c r="AIC157" s="69"/>
      <c r="AID157" s="69"/>
      <c r="AIE157" s="69"/>
      <c r="AIF157" s="69"/>
      <c r="AIG157" s="69"/>
      <c r="AIH157" s="69"/>
      <c r="AII157" s="69"/>
      <c r="AIJ157" s="69"/>
      <c r="AIK157" s="69"/>
      <c r="AIL157" s="69"/>
      <c r="AIM157" s="69"/>
      <c r="AIN157" s="69"/>
      <c r="AIO157" s="69"/>
      <c r="AIP157" s="69"/>
      <c r="AIQ157" s="69"/>
      <c r="AIR157" s="69"/>
      <c r="AIS157" s="69"/>
      <c r="AIT157" s="69"/>
      <c r="AIU157" s="69"/>
      <c r="AIV157" s="69"/>
      <c r="AIW157" s="69"/>
      <c r="AIX157" s="69"/>
      <c r="AIY157" s="69"/>
      <c r="AIZ157" s="69"/>
      <c r="AJA157" s="69"/>
      <c r="AJB157" s="69"/>
      <c r="AJC157" s="69"/>
      <c r="AJD157" s="69"/>
      <c r="AJE157" s="69"/>
      <c r="AJF157" s="69"/>
      <c r="AJG157" s="69"/>
      <c r="AJH157" s="69"/>
      <c r="AJI157" s="69"/>
      <c r="AJJ157" s="69"/>
      <c r="AJK157" s="69"/>
      <c r="AJL157" s="69"/>
      <c r="AJM157" s="69"/>
      <c r="AJN157" s="69"/>
      <c r="AJO157" s="69"/>
      <c r="AJP157" s="69"/>
      <c r="AJQ157" s="69"/>
      <c r="AJR157" s="69"/>
      <c r="AJS157" s="69"/>
      <c r="AJT157" s="69"/>
      <c r="AJU157" s="69"/>
      <c r="AJV157" s="69"/>
      <c r="AJW157" s="69"/>
      <c r="AJX157" s="69"/>
      <c r="AJY157" s="69"/>
      <c r="AJZ157" s="69"/>
      <c r="AKA157" s="69"/>
      <c r="AKB157" s="69"/>
      <c r="AKC157" s="69"/>
      <c r="AKD157" s="69"/>
      <c r="AKE157" s="69"/>
      <c r="AKF157" s="69"/>
      <c r="AKG157" s="69"/>
      <c r="AKH157" s="69"/>
      <c r="AKI157" s="69"/>
      <c r="AKJ157" s="69"/>
      <c r="AKK157" s="69"/>
      <c r="AKL157" s="69"/>
      <c r="AKM157" s="69"/>
      <c r="AKN157" s="69"/>
      <c r="AKO157" s="69"/>
      <c r="AKP157" s="69"/>
      <c r="AKQ157" s="69"/>
      <c r="AKR157" s="69"/>
      <c r="AKS157" s="69"/>
      <c r="AKT157" s="69"/>
      <c r="AKU157" s="69"/>
      <c r="AKV157" s="69"/>
      <c r="AKW157" s="69"/>
      <c r="AKX157" s="69"/>
      <c r="AKY157" s="69"/>
      <c r="AKZ157" s="69"/>
      <c r="ALA157" s="69"/>
      <c r="ALB157" s="69"/>
      <c r="ALC157" s="69"/>
      <c r="ALD157" s="69"/>
      <c r="ALE157" s="69"/>
      <c r="ALF157" s="69"/>
      <c r="ALG157" s="69"/>
      <c r="ALH157" s="69"/>
      <c r="ALI157" s="69"/>
      <c r="ALJ157" s="69"/>
      <c r="ALK157" s="69"/>
      <c r="ALL157" s="69"/>
      <c r="ALM157" s="69"/>
      <c r="ALN157" s="69"/>
      <c r="ALO157" s="69"/>
      <c r="ALP157" s="69"/>
      <c r="ALQ157" s="69"/>
      <c r="ALR157" s="69"/>
      <c r="ALS157" s="69"/>
      <c r="ALT157" s="69"/>
      <c r="ALU157" s="69"/>
      <c r="ALV157" s="69"/>
      <c r="ALW157" s="69"/>
      <c r="ALX157" s="69"/>
      <c r="ALY157" s="69"/>
      <c r="ALZ157" s="69"/>
      <c r="AMA157" s="69"/>
      <c r="AMB157" s="69"/>
      <c r="AMC157" s="69"/>
      <c r="AMD157" s="69"/>
      <c r="AME157" s="69"/>
      <c r="AMF157" s="69"/>
      <c r="AMG157" s="69"/>
      <c r="AMH157" s="69"/>
      <c r="AMI157" s="69"/>
      <c r="AMJ157" s="69"/>
      <c r="AMK157" s="69"/>
      <c r="AML157" s="69"/>
      <c r="AMM157" s="69"/>
      <c r="AMN157" s="69"/>
      <c r="AMO157" s="69"/>
      <c r="AMP157" s="69"/>
      <c r="AMQ157" s="69"/>
      <c r="AMR157" s="69"/>
      <c r="AMS157" s="69"/>
      <c r="AMT157" s="69"/>
      <c r="AMU157" s="69"/>
      <c r="AMV157" s="69"/>
      <c r="AMW157" s="69"/>
      <c r="AMX157" s="69"/>
      <c r="AMY157" s="69"/>
      <c r="AMZ157" s="69"/>
      <c r="ANA157" s="69"/>
      <c r="ANB157" s="69"/>
      <c r="ANC157" s="69"/>
      <c r="AND157" s="69"/>
      <c r="ANE157" s="69"/>
      <c r="ANF157" s="69"/>
      <c r="ANG157" s="69"/>
      <c r="ANH157" s="69"/>
      <c r="ANI157" s="69"/>
      <c r="ANJ157" s="69"/>
      <c r="ANK157" s="69"/>
      <c r="ANL157" s="69"/>
      <c r="ANM157" s="69"/>
      <c r="ANN157" s="69"/>
      <c r="ANO157" s="69"/>
      <c r="ANP157" s="69"/>
      <c r="ANQ157" s="69"/>
      <c r="ANR157" s="69"/>
      <c r="ANS157" s="69"/>
      <c r="ANT157" s="69"/>
      <c r="ANU157" s="69"/>
      <c r="ANV157" s="69"/>
      <c r="ANW157" s="69"/>
      <c r="ANX157" s="69"/>
      <c r="ANY157" s="69"/>
      <c r="ANZ157" s="69"/>
      <c r="AOA157" s="69"/>
      <c r="AOB157" s="69"/>
      <c r="AOC157" s="69"/>
      <c r="AOD157" s="69"/>
      <c r="AOE157" s="69"/>
      <c r="AOF157" s="69"/>
      <c r="AOG157" s="69"/>
      <c r="AOH157" s="69"/>
      <c r="AOI157" s="69"/>
      <c r="AOJ157" s="69"/>
      <c r="AOK157" s="69"/>
      <c r="AOL157" s="69"/>
      <c r="AOM157" s="69"/>
      <c r="AON157" s="69"/>
      <c r="AOO157" s="69"/>
      <c r="AOP157" s="69"/>
      <c r="AOQ157" s="69"/>
      <c r="AOR157" s="69"/>
      <c r="AOS157" s="69"/>
      <c r="AOT157" s="69"/>
      <c r="AOU157" s="69"/>
      <c r="AOV157" s="69"/>
      <c r="AOW157" s="69"/>
      <c r="AOX157" s="69"/>
      <c r="AOY157" s="69"/>
      <c r="AOZ157" s="69"/>
      <c r="APA157" s="69"/>
      <c r="APB157" s="69"/>
      <c r="APC157" s="69"/>
      <c r="APD157" s="69"/>
      <c r="APE157" s="69"/>
      <c r="APF157" s="69"/>
      <c r="APG157" s="69"/>
      <c r="APH157" s="69"/>
      <c r="API157" s="69"/>
      <c r="APJ157" s="69"/>
      <c r="APK157" s="69"/>
      <c r="APL157" s="69"/>
      <c r="APM157" s="69"/>
      <c r="APN157" s="69"/>
      <c r="APO157" s="69"/>
      <c r="APP157" s="69"/>
      <c r="APQ157" s="69"/>
      <c r="APR157" s="69"/>
      <c r="APS157" s="69"/>
      <c r="APT157" s="69"/>
      <c r="APU157" s="69"/>
      <c r="APV157" s="69"/>
      <c r="APW157" s="69"/>
      <c r="APX157" s="69"/>
      <c r="APY157" s="69"/>
      <c r="APZ157" s="69"/>
      <c r="AQA157" s="69"/>
      <c r="AQB157" s="69"/>
      <c r="AQC157" s="69"/>
      <c r="AQD157" s="69"/>
      <c r="AQE157" s="69"/>
      <c r="AQF157" s="69"/>
      <c r="AQG157" s="69"/>
      <c r="AQH157" s="69"/>
      <c r="AQI157" s="69"/>
      <c r="AQJ157" s="69"/>
      <c r="AQK157" s="69"/>
      <c r="AQL157" s="69"/>
      <c r="AQM157" s="69"/>
      <c r="AQN157" s="69"/>
      <c r="AQO157" s="69"/>
      <c r="AQP157" s="69"/>
      <c r="AQQ157" s="69"/>
      <c r="AQR157" s="69"/>
      <c r="AQS157" s="69"/>
      <c r="AQT157" s="69"/>
      <c r="AQU157" s="69"/>
      <c r="AQV157" s="69"/>
      <c r="AQW157" s="69"/>
      <c r="AQX157" s="69"/>
      <c r="AQY157" s="69"/>
      <c r="AQZ157" s="69"/>
      <c r="ARA157" s="69"/>
      <c r="ARB157" s="69"/>
      <c r="ARC157" s="69"/>
      <c r="ARD157" s="69"/>
      <c r="ARE157" s="69"/>
      <c r="ARF157" s="69"/>
      <c r="ARG157" s="69"/>
      <c r="ARH157" s="69"/>
      <c r="ARI157" s="69"/>
      <c r="ARJ157" s="69"/>
      <c r="ARK157" s="69"/>
      <c r="ARL157" s="69"/>
      <c r="ARM157" s="69"/>
      <c r="ARN157" s="69"/>
      <c r="ARO157" s="69"/>
      <c r="ARP157" s="69"/>
      <c r="ARQ157" s="69"/>
      <c r="ARR157" s="69"/>
      <c r="ARS157" s="69"/>
      <c r="ART157" s="69"/>
      <c r="ARU157" s="69"/>
      <c r="ARV157" s="69"/>
      <c r="ARW157" s="69"/>
      <c r="ARX157" s="69"/>
      <c r="ARY157" s="69"/>
      <c r="ARZ157" s="69"/>
      <c r="ASA157" s="69"/>
      <c r="ASB157" s="69"/>
      <c r="ASC157" s="69"/>
      <c r="ASD157" s="69"/>
      <c r="ASE157" s="69"/>
      <c r="ASF157" s="69"/>
      <c r="ASG157" s="69"/>
      <c r="ASH157" s="69"/>
      <c r="ASI157" s="69"/>
      <c r="ASJ157" s="69"/>
      <c r="ASK157" s="69"/>
      <c r="ASL157" s="69"/>
      <c r="ASM157" s="69"/>
      <c r="ASN157" s="69"/>
      <c r="ASO157" s="69"/>
      <c r="ASP157" s="69"/>
      <c r="ASQ157" s="69"/>
      <c r="ASR157" s="69"/>
      <c r="ASS157" s="69"/>
      <c r="AST157" s="69"/>
      <c r="ASU157" s="69"/>
      <c r="ASV157" s="69"/>
      <c r="ASW157" s="69"/>
      <c r="ASX157" s="69"/>
      <c r="ASY157" s="69"/>
      <c r="ASZ157" s="69"/>
      <c r="ATA157" s="69"/>
      <c r="ATB157" s="69"/>
      <c r="ATC157" s="69"/>
      <c r="ATD157" s="69"/>
      <c r="ATE157" s="69"/>
      <c r="ATF157" s="69"/>
      <c r="ATG157" s="69"/>
      <c r="ATH157" s="69"/>
      <c r="ATI157" s="69"/>
      <c r="ATJ157" s="69"/>
      <c r="ATK157" s="69"/>
      <c r="ATL157" s="69"/>
      <c r="ATM157" s="69"/>
      <c r="ATN157" s="69"/>
      <c r="ATO157" s="69"/>
      <c r="ATP157" s="69"/>
      <c r="ATQ157" s="69"/>
      <c r="ATR157" s="69"/>
      <c r="ATS157" s="69"/>
      <c r="ATT157" s="69"/>
      <c r="ATU157" s="69"/>
      <c r="ATV157" s="69"/>
      <c r="ATW157" s="69"/>
      <c r="ATX157" s="69"/>
      <c r="ATY157" s="69"/>
      <c r="ATZ157" s="69"/>
      <c r="AUA157" s="69"/>
      <c r="AUB157" s="69"/>
      <c r="AUC157" s="69"/>
      <c r="AUD157" s="69"/>
      <c r="AUE157" s="69"/>
      <c r="AUF157" s="69"/>
      <c r="AUG157" s="69"/>
      <c r="AUH157" s="69"/>
      <c r="AUI157" s="69"/>
      <c r="AUJ157" s="69"/>
      <c r="AUK157" s="69"/>
      <c r="AUL157" s="69"/>
      <c r="AUM157" s="69"/>
      <c r="AUN157" s="69"/>
      <c r="AUO157" s="69"/>
      <c r="AUP157" s="69"/>
      <c r="AUQ157" s="69"/>
      <c r="AUR157" s="69"/>
      <c r="AUS157" s="69"/>
      <c r="AUT157" s="69"/>
      <c r="AUU157" s="69"/>
      <c r="AUV157" s="69"/>
      <c r="AUW157" s="69"/>
      <c r="AUX157" s="69"/>
      <c r="AUY157" s="69"/>
      <c r="AUZ157" s="69"/>
      <c r="AVA157" s="69"/>
      <c r="AVB157" s="69"/>
      <c r="AVC157" s="69"/>
      <c r="AVD157" s="69"/>
      <c r="AVE157" s="69"/>
      <c r="AVF157" s="69"/>
      <c r="AVG157" s="69"/>
      <c r="AVH157" s="69"/>
      <c r="AVI157" s="69"/>
      <c r="AVJ157" s="69"/>
      <c r="AVK157" s="69"/>
      <c r="AVL157" s="69"/>
      <c r="AVM157" s="69"/>
      <c r="AVN157" s="69"/>
      <c r="AVO157" s="69"/>
      <c r="AVP157" s="69"/>
      <c r="AVQ157" s="69"/>
      <c r="AVR157" s="69"/>
      <c r="AVS157" s="69"/>
      <c r="AVT157" s="69"/>
      <c r="AVU157" s="69"/>
      <c r="AVV157" s="69"/>
      <c r="AVW157" s="69"/>
      <c r="AVX157" s="69"/>
      <c r="AVY157" s="69"/>
      <c r="AVZ157" s="69"/>
      <c r="AWA157" s="69"/>
      <c r="AWB157" s="69"/>
      <c r="AWC157" s="69"/>
      <c r="AWD157" s="69"/>
      <c r="AWE157" s="69"/>
      <c r="AWF157" s="69"/>
      <c r="AWG157" s="69"/>
      <c r="AWH157" s="69"/>
      <c r="AWI157" s="69"/>
      <c r="AWJ157" s="69"/>
      <c r="AWK157" s="69"/>
      <c r="AWL157" s="69"/>
      <c r="AWM157" s="69"/>
      <c r="AWN157" s="69"/>
      <c r="AWO157" s="69"/>
      <c r="AWP157" s="69"/>
      <c r="AWQ157" s="69"/>
      <c r="AWR157" s="69"/>
      <c r="AWS157" s="69"/>
      <c r="AWT157" s="69"/>
      <c r="AWU157" s="69"/>
      <c r="AWV157" s="69"/>
      <c r="AWW157" s="69"/>
      <c r="AWX157" s="69"/>
      <c r="AWY157" s="69"/>
      <c r="AWZ157" s="69"/>
      <c r="AXA157" s="69"/>
      <c r="AXB157" s="69"/>
      <c r="AXC157" s="69"/>
      <c r="AXD157" s="69"/>
      <c r="AXE157" s="69"/>
      <c r="AXF157" s="69"/>
      <c r="AXG157" s="69"/>
      <c r="AXH157" s="69"/>
      <c r="AXI157" s="69"/>
      <c r="AXJ157" s="69"/>
      <c r="AXK157" s="69"/>
      <c r="AXL157" s="69"/>
      <c r="AXM157" s="69"/>
      <c r="AXN157" s="69"/>
      <c r="AXO157" s="69"/>
      <c r="AXP157" s="69"/>
      <c r="AXQ157" s="69"/>
      <c r="AXR157" s="69"/>
      <c r="AXS157" s="69"/>
      <c r="AXT157" s="69"/>
      <c r="AXU157" s="69"/>
      <c r="AXV157" s="69"/>
      <c r="AXW157" s="69"/>
      <c r="AXX157" s="69"/>
      <c r="AXY157" s="69"/>
      <c r="AXZ157" s="69"/>
      <c r="AYA157" s="69"/>
      <c r="AYB157" s="69"/>
      <c r="AYC157" s="69"/>
      <c r="AYD157" s="69"/>
      <c r="AYE157" s="69"/>
      <c r="AYF157" s="69"/>
      <c r="AYG157" s="69"/>
      <c r="AYH157" s="69"/>
      <c r="AYI157" s="69"/>
      <c r="AYJ157" s="69"/>
      <c r="AYK157" s="69"/>
      <c r="AYL157" s="69"/>
      <c r="AYM157" s="69"/>
      <c r="AYN157" s="69"/>
      <c r="AYO157" s="69"/>
      <c r="AYP157" s="69"/>
      <c r="AYQ157" s="69"/>
      <c r="AYR157" s="69"/>
      <c r="AYS157" s="69"/>
      <c r="AYT157" s="69"/>
      <c r="AYU157" s="69"/>
      <c r="AYV157" s="69"/>
      <c r="AYW157" s="69"/>
      <c r="AYX157" s="69"/>
      <c r="AYY157" s="69"/>
      <c r="AYZ157" s="69"/>
      <c r="AZA157" s="69"/>
      <c r="AZB157" s="69"/>
      <c r="AZC157" s="69"/>
      <c r="AZD157" s="69"/>
      <c r="AZE157" s="69"/>
      <c r="AZF157" s="69"/>
      <c r="AZG157" s="69"/>
      <c r="AZH157" s="69"/>
      <c r="AZI157" s="69"/>
      <c r="AZJ157" s="69"/>
      <c r="AZK157" s="69"/>
      <c r="AZL157" s="69"/>
      <c r="AZM157" s="69"/>
      <c r="AZN157" s="69"/>
      <c r="AZO157" s="69"/>
      <c r="AZP157" s="69"/>
      <c r="AZQ157" s="69"/>
      <c r="AZR157" s="69"/>
      <c r="AZS157" s="69"/>
      <c r="AZT157" s="69"/>
      <c r="AZU157" s="69"/>
      <c r="AZV157" s="69"/>
      <c r="AZW157" s="69"/>
      <c r="AZX157" s="69"/>
      <c r="AZY157" s="69"/>
      <c r="AZZ157" s="69"/>
      <c r="BAA157" s="69"/>
      <c r="BAB157" s="69"/>
      <c r="BAC157" s="69"/>
      <c r="BAD157" s="69"/>
      <c r="BAE157" s="69"/>
      <c r="BAF157" s="69"/>
      <c r="BAG157" s="69"/>
      <c r="BAH157" s="69"/>
      <c r="BAI157" s="69"/>
      <c r="BAJ157" s="69"/>
      <c r="BAK157" s="69"/>
      <c r="BAL157" s="69"/>
      <c r="BAM157" s="69"/>
      <c r="BAN157" s="69"/>
      <c r="BAO157" s="69"/>
      <c r="BAP157" s="69"/>
      <c r="BAQ157" s="69"/>
      <c r="BAR157" s="69"/>
      <c r="BAS157" s="69"/>
      <c r="BAT157" s="69"/>
      <c r="BAU157" s="69"/>
      <c r="BAV157" s="69"/>
      <c r="BAW157" s="69"/>
      <c r="BAX157" s="69"/>
      <c r="BAY157" s="69"/>
      <c r="BAZ157" s="69"/>
      <c r="BBA157" s="69"/>
      <c r="BBB157" s="69"/>
      <c r="BBC157" s="69"/>
      <c r="BBD157" s="69"/>
      <c r="BBE157" s="69"/>
      <c r="BBF157" s="69"/>
      <c r="BBG157" s="69"/>
      <c r="BBH157" s="69"/>
      <c r="BBI157" s="69"/>
      <c r="BBJ157" s="69"/>
      <c r="BBK157" s="69"/>
      <c r="BBL157" s="69"/>
      <c r="BBM157" s="69"/>
      <c r="BBN157" s="69"/>
      <c r="BBO157" s="69"/>
      <c r="BBP157" s="69"/>
      <c r="BBQ157" s="69"/>
      <c r="BBR157" s="69"/>
      <c r="BBS157" s="69"/>
      <c r="BBT157" s="69"/>
      <c r="BBU157" s="69"/>
      <c r="BBV157" s="69"/>
      <c r="BBW157" s="69"/>
      <c r="BBX157" s="69"/>
      <c r="BBY157" s="69"/>
      <c r="BBZ157" s="69"/>
      <c r="BCA157" s="69"/>
      <c r="BCB157" s="69"/>
      <c r="BCC157" s="69"/>
      <c r="BCD157" s="69"/>
      <c r="BCE157" s="69"/>
      <c r="BCF157" s="69"/>
      <c r="BCG157" s="69"/>
      <c r="BCH157" s="69"/>
      <c r="BCI157" s="69"/>
      <c r="BCJ157" s="69"/>
      <c r="BCK157" s="69"/>
      <c r="BCL157" s="69"/>
      <c r="BCM157" s="69"/>
      <c r="BCN157" s="69"/>
      <c r="BCO157" s="69"/>
      <c r="BCP157" s="69"/>
      <c r="BCQ157" s="69"/>
      <c r="BCR157" s="69"/>
      <c r="BCS157" s="69"/>
      <c r="BCT157" s="69"/>
      <c r="BCU157" s="69"/>
      <c r="BCV157" s="69"/>
      <c r="BCW157" s="69"/>
      <c r="BCX157" s="69"/>
      <c r="BCY157" s="69"/>
      <c r="BCZ157" s="69"/>
      <c r="BDA157" s="69"/>
      <c r="BDB157" s="69"/>
      <c r="BDC157" s="69"/>
      <c r="BDD157" s="69"/>
      <c r="BDE157" s="69"/>
      <c r="BDF157" s="69"/>
      <c r="BDG157" s="69"/>
      <c r="BDH157" s="69"/>
      <c r="BDI157" s="69"/>
      <c r="BDJ157" s="69"/>
      <c r="BDK157" s="69"/>
      <c r="BDL157" s="69"/>
      <c r="BDM157" s="69"/>
      <c r="BDN157" s="69"/>
      <c r="BDO157" s="69"/>
      <c r="BDP157" s="69"/>
      <c r="BDQ157" s="69"/>
      <c r="BDR157" s="69"/>
      <c r="BDS157" s="69"/>
      <c r="BDT157" s="69"/>
      <c r="BDU157" s="69"/>
      <c r="BDV157" s="69"/>
      <c r="BDW157" s="69"/>
      <c r="BDX157" s="69"/>
      <c r="BDY157" s="69"/>
      <c r="BDZ157" s="69"/>
      <c r="BEA157" s="69"/>
      <c r="BEB157" s="69"/>
      <c r="BEC157" s="69"/>
      <c r="BED157" s="69"/>
      <c r="BEE157" s="69"/>
      <c r="BEF157" s="69"/>
      <c r="BEG157" s="69"/>
      <c r="BEH157" s="69"/>
      <c r="BEI157" s="69"/>
      <c r="BEJ157" s="69"/>
      <c r="BEK157" s="69"/>
      <c r="BEL157" s="69"/>
      <c r="BEM157" s="69"/>
      <c r="BEN157" s="69"/>
      <c r="BEO157" s="69"/>
      <c r="BEP157" s="69"/>
      <c r="BEQ157" s="69"/>
      <c r="BER157" s="69"/>
      <c r="BES157" s="69"/>
      <c r="BET157" s="69"/>
      <c r="BEU157" s="69"/>
      <c r="BEV157" s="69"/>
      <c r="BEW157" s="69"/>
      <c r="BEX157" s="69"/>
      <c r="BEY157" s="69"/>
      <c r="BEZ157" s="69"/>
      <c r="BFA157" s="69"/>
      <c r="BFB157" s="69"/>
      <c r="BFC157" s="69"/>
      <c r="BFD157" s="69"/>
      <c r="BFE157" s="69"/>
      <c r="BFF157" s="69"/>
      <c r="BFG157" s="69"/>
      <c r="BFH157" s="69"/>
      <c r="BFI157" s="69"/>
      <c r="BFJ157" s="69"/>
      <c r="BFK157" s="69"/>
      <c r="BFL157" s="69"/>
      <c r="BFM157" s="69"/>
      <c r="BFN157" s="69"/>
      <c r="BFO157" s="69"/>
      <c r="BFP157" s="69"/>
      <c r="BFQ157" s="69"/>
      <c r="BFR157" s="69"/>
      <c r="BFS157" s="69"/>
      <c r="BFT157" s="69"/>
      <c r="BFU157" s="69"/>
      <c r="BFV157" s="69"/>
      <c r="BFW157" s="69"/>
      <c r="BFX157" s="69"/>
      <c r="BFY157" s="69"/>
      <c r="BFZ157" s="69"/>
      <c r="BGA157" s="69"/>
      <c r="BGB157" s="69"/>
      <c r="BGC157" s="69"/>
      <c r="BGD157" s="69"/>
      <c r="BGE157" s="69"/>
      <c r="BGF157" s="69"/>
      <c r="BGG157" s="69"/>
      <c r="BGH157" s="69"/>
      <c r="BGI157" s="69"/>
      <c r="BGJ157" s="69"/>
      <c r="BGK157" s="69"/>
      <c r="BGL157" s="69"/>
      <c r="BGM157" s="69"/>
      <c r="BGN157" s="69"/>
      <c r="BGO157" s="69"/>
      <c r="BGP157" s="69"/>
      <c r="BGQ157" s="69"/>
      <c r="BGR157" s="69"/>
      <c r="BGS157" s="69"/>
      <c r="BGT157" s="69"/>
      <c r="BGU157" s="69"/>
      <c r="BGV157" s="69"/>
      <c r="BGW157" s="69"/>
      <c r="BGX157" s="69"/>
      <c r="BGY157" s="69"/>
      <c r="BGZ157" s="69"/>
      <c r="BHA157" s="69"/>
      <c r="BHB157" s="69"/>
      <c r="BHC157" s="69"/>
      <c r="BHD157" s="69"/>
      <c r="BHE157" s="69"/>
      <c r="BHF157" s="69"/>
      <c r="BHG157" s="69"/>
      <c r="BHH157" s="69"/>
      <c r="BHI157" s="69"/>
      <c r="BHJ157" s="69"/>
      <c r="BHK157" s="69"/>
      <c r="BHL157" s="69"/>
      <c r="BHM157" s="69"/>
      <c r="BHN157" s="69"/>
      <c r="BHO157" s="69"/>
      <c r="BHP157" s="69"/>
      <c r="BHQ157" s="69"/>
      <c r="BHR157" s="69"/>
      <c r="BHS157" s="69"/>
      <c r="BHT157" s="69"/>
      <c r="BHU157" s="69"/>
      <c r="BHV157" s="69"/>
      <c r="BHW157" s="69"/>
      <c r="BHX157" s="69"/>
      <c r="BHY157" s="69"/>
      <c r="BHZ157" s="69"/>
      <c r="BIA157" s="69"/>
      <c r="BIB157" s="69"/>
      <c r="BIC157" s="69"/>
      <c r="BID157" s="69"/>
      <c r="BIE157" s="69"/>
      <c r="BIF157" s="69"/>
      <c r="BIG157" s="69"/>
      <c r="BIH157" s="69"/>
      <c r="BII157" s="69"/>
      <c r="BIJ157" s="69"/>
      <c r="BIK157" s="69"/>
      <c r="BIL157" s="69"/>
      <c r="BIM157" s="69"/>
      <c r="BIN157" s="69"/>
      <c r="BIO157" s="69"/>
      <c r="BIP157" s="69"/>
      <c r="BIQ157" s="69"/>
      <c r="BIR157" s="69"/>
      <c r="BIS157" s="69"/>
      <c r="BIT157" s="69"/>
      <c r="BIU157" s="69"/>
      <c r="BIV157" s="69"/>
      <c r="BIW157" s="69"/>
      <c r="BIX157" s="69"/>
      <c r="BIY157" s="69"/>
      <c r="BIZ157" s="69"/>
      <c r="BJA157" s="69"/>
      <c r="BJB157" s="69"/>
      <c r="BJC157" s="69"/>
      <c r="BJD157" s="69"/>
      <c r="BJE157" s="69"/>
      <c r="BJF157" s="69"/>
      <c r="BJG157" s="69"/>
      <c r="BJH157" s="69"/>
      <c r="BJI157" s="69"/>
      <c r="BJJ157" s="69"/>
      <c r="BJK157" s="69"/>
      <c r="BJL157" s="69"/>
      <c r="BJM157" s="69"/>
      <c r="BJN157" s="69"/>
      <c r="BJO157" s="69"/>
      <c r="BJP157" s="69"/>
      <c r="BJQ157" s="69"/>
      <c r="BJR157" s="69"/>
      <c r="BJS157" s="69"/>
      <c r="BJT157" s="69"/>
      <c r="BJU157" s="69"/>
      <c r="BJV157" s="69"/>
      <c r="BJW157" s="69"/>
      <c r="BJX157" s="69"/>
      <c r="BJY157" s="69"/>
      <c r="BJZ157" s="69"/>
      <c r="BKA157" s="69"/>
      <c r="BKB157" s="69"/>
      <c r="BKC157" s="69"/>
      <c r="BKD157" s="69"/>
      <c r="BKE157" s="69"/>
      <c r="BKF157" s="69"/>
      <c r="BKG157" s="69"/>
      <c r="BKH157" s="69"/>
      <c r="BKI157" s="69"/>
      <c r="BKJ157" s="69"/>
      <c r="BKK157" s="69"/>
      <c r="BKL157" s="69"/>
      <c r="BKM157" s="69"/>
      <c r="BKN157" s="69"/>
      <c r="BKO157" s="69"/>
      <c r="BKP157" s="69"/>
      <c r="BKQ157" s="69"/>
      <c r="BKR157" s="69"/>
      <c r="BKS157" s="69"/>
      <c r="BKT157" s="69"/>
      <c r="BKU157" s="69"/>
      <c r="BKV157" s="69"/>
      <c r="BKW157" s="69"/>
      <c r="BKX157" s="69"/>
      <c r="BKY157" s="69"/>
      <c r="BKZ157" s="69"/>
      <c r="BLA157" s="69"/>
      <c r="BLB157" s="69"/>
      <c r="BLC157" s="69"/>
      <c r="BLD157" s="69"/>
      <c r="BLE157" s="69"/>
      <c r="BLF157" s="69"/>
      <c r="BLG157" s="69"/>
      <c r="BLH157" s="69"/>
      <c r="BLI157" s="69"/>
      <c r="BLJ157" s="69"/>
      <c r="BLK157" s="69"/>
      <c r="BLL157" s="69"/>
      <c r="BLM157" s="69"/>
      <c r="BLN157" s="69"/>
      <c r="BLO157" s="69"/>
      <c r="BLP157" s="69"/>
      <c r="BLQ157" s="69"/>
      <c r="BLR157" s="69"/>
      <c r="BLS157" s="69"/>
      <c r="BLT157" s="69"/>
      <c r="BLU157" s="69"/>
      <c r="BLV157" s="69"/>
      <c r="BLW157" s="69"/>
      <c r="BLX157" s="69"/>
      <c r="BLY157" s="69"/>
      <c r="BLZ157" s="69"/>
      <c r="BMA157" s="69"/>
      <c r="BMB157" s="69"/>
      <c r="BMC157" s="69"/>
      <c r="BMD157" s="69"/>
      <c r="BME157" s="69"/>
      <c r="BMF157" s="69"/>
      <c r="BMG157" s="69"/>
      <c r="BMH157" s="69"/>
      <c r="BMI157" s="69"/>
      <c r="BMJ157" s="69"/>
      <c r="BMK157" s="69"/>
      <c r="BML157" s="69"/>
      <c r="BMM157" s="69"/>
      <c r="BMN157" s="69"/>
      <c r="BMO157" s="69"/>
      <c r="BMP157" s="69"/>
      <c r="BMQ157" s="69"/>
      <c r="BMR157" s="69"/>
      <c r="BMS157" s="69"/>
      <c r="BMT157" s="69"/>
      <c r="BMU157" s="69"/>
      <c r="BMV157" s="69"/>
      <c r="BMW157" s="69"/>
      <c r="BMX157" s="69"/>
      <c r="BMY157" s="69"/>
      <c r="BMZ157" s="69"/>
      <c r="BNA157" s="69"/>
      <c r="BNB157" s="69"/>
      <c r="BNC157" s="69"/>
      <c r="BND157" s="69"/>
      <c r="BNE157" s="69"/>
      <c r="BNF157" s="69"/>
      <c r="BNG157" s="69"/>
      <c r="BNH157" s="69"/>
      <c r="BNI157" s="69"/>
      <c r="BNJ157" s="69"/>
      <c r="BNK157" s="69"/>
      <c r="BNL157" s="69"/>
      <c r="BNM157" s="69"/>
      <c r="BNN157" s="69"/>
      <c r="BNO157" s="69"/>
      <c r="BNP157" s="69"/>
      <c r="BNQ157" s="69"/>
      <c r="BNR157" s="69"/>
      <c r="BNS157" s="69"/>
      <c r="BNT157" s="69"/>
      <c r="BNU157" s="69"/>
      <c r="BNV157" s="69"/>
      <c r="BNW157" s="69"/>
      <c r="BNX157" s="69"/>
      <c r="BNY157" s="69"/>
      <c r="BNZ157" s="69"/>
      <c r="BOA157" s="69"/>
      <c r="BOB157" s="69"/>
      <c r="BOC157" s="69"/>
      <c r="BOD157" s="69"/>
      <c r="BOE157" s="69"/>
      <c r="BOF157" s="69"/>
      <c r="BOG157" s="69"/>
      <c r="BOH157" s="69"/>
      <c r="BOI157" s="69"/>
      <c r="BOJ157" s="69"/>
      <c r="BOK157" s="69"/>
      <c r="BOL157" s="69"/>
      <c r="BOM157" s="69"/>
      <c r="BON157" s="69"/>
      <c r="BOO157" s="69"/>
      <c r="BOP157" s="69"/>
      <c r="BOQ157" s="69"/>
      <c r="BOR157" s="69"/>
      <c r="BOS157" s="69"/>
      <c r="BOT157" s="69"/>
      <c r="BOU157" s="69"/>
      <c r="BOV157" s="69"/>
      <c r="BOW157" s="69"/>
      <c r="BOX157" s="69"/>
      <c r="BOY157" s="69"/>
      <c r="BOZ157" s="69"/>
      <c r="BPA157" s="69"/>
      <c r="BPB157" s="69"/>
      <c r="BPC157" s="69"/>
      <c r="BPD157" s="69"/>
      <c r="BPE157" s="69"/>
      <c r="BPF157" s="69"/>
      <c r="BPG157" s="69"/>
      <c r="BPH157" s="69"/>
      <c r="BPI157" s="69"/>
      <c r="BPJ157" s="69"/>
      <c r="BPK157" s="69"/>
      <c r="BPL157" s="69"/>
      <c r="BPM157" s="69"/>
      <c r="BPN157" s="69"/>
      <c r="BPO157" s="69"/>
      <c r="BPP157" s="69"/>
      <c r="BPQ157" s="69"/>
      <c r="BPR157" s="69"/>
      <c r="BPS157" s="69"/>
      <c r="BPT157" s="69"/>
      <c r="BPU157" s="69"/>
      <c r="BPV157" s="69"/>
      <c r="BPW157" s="69"/>
      <c r="BPX157" s="69"/>
      <c r="BPY157" s="69"/>
      <c r="BPZ157" s="69"/>
      <c r="BQA157" s="69"/>
      <c r="BQB157" s="69"/>
      <c r="BQC157" s="69"/>
      <c r="BQD157" s="69"/>
      <c r="BQE157" s="69"/>
      <c r="BQF157" s="69"/>
      <c r="BQG157" s="69"/>
      <c r="BQH157" s="69"/>
      <c r="BQI157" s="69"/>
      <c r="BQJ157" s="69"/>
      <c r="BQK157" s="69"/>
      <c r="BQL157" s="69"/>
      <c r="BQM157" s="69"/>
      <c r="BQN157" s="69"/>
      <c r="BQO157" s="69"/>
      <c r="BQP157" s="69"/>
      <c r="BQQ157" s="69"/>
      <c r="BQR157" s="69"/>
      <c r="BQS157" s="69"/>
      <c r="BQT157" s="69"/>
      <c r="BQU157" s="69"/>
      <c r="BQV157" s="69"/>
      <c r="BQW157" s="69"/>
      <c r="BQX157" s="69"/>
      <c r="BQY157" s="69"/>
      <c r="BQZ157" s="69"/>
      <c r="BRA157" s="69"/>
      <c r="BRB157" s="69"/>
      <c r="BRC157" s="69"/>
      <c r="BRD157" s="69"/>
      <c r="BRE157" s="69"/>
      <c r="BRF157" s="69"/>
      <c r="BRG157" s="69"/>
      <c r="BRH157" s="69"/>
      <c r="BRI157" s="69"/>
      <c r="BRJ157" s="69"/>
      <c r="BRK157" s="69"/>
      <c r="BRL157" s="69"/>
      <c r="BRM157" s="69"/>
      <c r="BRN157" s="69"/>
      <c r="BRO157" s="69"/>
      <c r="BRP157" s="69"/>
      <c r="BRQ157" s="69"/>
      <c r="BRR157" s="69"/>
      <c r="BRS157" s="69"/>
      <c r="BRT157" s="69"/>
      <c r="BRU157" s="69"/>
      <c r="BRV157" s="69"/>
      <c r="BRW157" s="69"/>
      <c r="BRX157" s="69"/>
      <c r="BRY157" s="69"/>
      <c r="BRZ157" s="69"/>
      <c r="BSA157" s="69"/>
      <c r="BSB157" s="69"/>
      <c r="BSC157" s="69"/>
      <c r="BSD157" s="69"/>
      <c r="BSE157" s="69"/>
      <c r="BSF157" s="69"/>
      <c r="BSG157" s="69"/>
      <c r="BSH157" s="69"/>
      <c r="BSI157" s="69"/>
      <c r="BSJ157" s="69"/>
      <c r="BSK157" s="69"/>
      <c r="BSL157" s="69"/>
      <c r="BSM157" s="69"/>
      <c r="BSN157" s="69"/>
      <c r="BSO157" s="69"/>
      <c r="BSP157" s="69"/>
      <c r="BSQ157" s="69"/>
      <c r="BSR157" s="69"/>
      <c r="BSS157" s="69"/>
      <c r="BST157" s="69"/>
      <c r="BSU157" s="69"/>
      <c r="BSV157" s="69"/>
      <c r="BSW157" s="69"/>
      <c r="BSX157" s="69"/>
      <c r="BSY157" s="69"/>
      <c r="BSZ157" s="69"/>
      <c r="BTA157" s="69"/>
      <c r="BTB157" s="69"/>
      <c r="BTC157" s="69"/>
      <c r="BTD157" s="69"/>
      <c r="BTE157" s="69"/>
      <c r="BTF157" s="69"/>
      <c r="BTG157" s="69"/>
      <c r="BTH157" s="69"/>
      <c r="BTI157" s="69"/>
      <c r="BTJ157" s="69"/>
      <c r="BTK157" s="69"/>
      <c r="BTL157" s="69"/>
      <c r="BTM157" s="69"/>
      <c r="BTN157" s="69"/>
      <c r="BTO157" s="69"/>
      <c r="BTP157" s="69"/>
      <c r="BTQ157" s="69"/>
      <c r="BTR157" s="69"/>
      <c r="BTS157" s="69"/>
      <c r="BTT157" s="69"/>
      <c r="BTU157" s="69"/>
      <c r="BTV157" s="69"/>
      <c r="BTW157" s="69"/>
      <c r="BTX157" s="69"/>
      <c r="BTY157" s="69"/>
      <c r="BTZ157" s="69"/>
      <c r="BUA157" s="69"/>
      <c r="BUB157" s="69"/>
      <c r="BUC157" s="69"/>
      <c r="BUD157" s="69"/>
      <c r="BUE157" s="69"/>
      <c r="BUF157" s="69"/>
      <c r="BUG157" s="69"/>
      <c r="BUH157" s="69"/>
      <c r="BUI157" s="69"/>
      <c r="BUJ157" s="69"/>
      <c r="BUK157" s="69"/>
      <c r="BUL157" s="69"/>
      <c r="BUM157" s="69"/>
      <c r="BUN157" s="69"/>
      <c r="BUO157" s="69"/>
      <c r="BUP157" s="69"/>
      <c r="BUQ157" s="69"/>
      <c r="BUR157" s="69"/>
      <c r="BUS157" s="69"/>
      <c r="BUT157" s="69"/>
      <c r="BUU157" s="69"/>
      <c r="BUV157" s="69"/>
      <c r="BUW157" s="69"/>
      <c r="BUX157" s="69"/>
      <c r="BUY157" s="69"/>
      <c r="BUZ157" s="69"/>
      <c r="BVA157" s="69"/>
      <c r="BVB157" s="69"/>
      <c r="BVC157" s="69"/>
      <c r="BVD157" s="69"/>
      <c r="BVE157" s="69"/>
      <c r="BVF157" s="69"/>
      <c r="BVG157" s="69"/>
      <c r="BVH157" s="69"/>
      <c r="BVI157" s="69"/>
      <c r="BVJ157" s="69"/>
      <c r="BVK157" s="69"/>
      <c r="BVL157" s="69"/>
      <c r="BVM157" s="69"/>
      <c r="BVN157" s="69"/>
      <c r="BVO157" s="69"/>
      <c r="BVP157" s="69"/>
      <c r="BVQ157" s="69"/>
      <c r="BVR157" s="69"/>
      <c r="BVS157" s="69"/>
      <c r="BVT157" s="69"/>
      <c r="BVU157" s="69"/>
      <c r="BVV157" s="69"/>
      <c r="BVW157" s="69"/>
      <c r="BVX157" s="69"/>
      <c r="BVY157" s="69"/>
      <c r="BVZ157" s="69"/>
      <c r="BWA157" s="69"/>
      <c r="BWB157" s="69"/>
      <c r="BWC157" s="69"/>
      <c r="BWD157" s="69"/>
      <c r="BWE157" s="69"/>
      <c r="BWF157" s="69"/>
      <c r="BWG157" s="69"/>
      <c r="BWH157" s="69"/>
      <c r="BWI157" s="69"/>
      <c r="BWJ157" s="69"/>
      <c r="BWK157" s="69"/>
      <c r="BWL157" s="69"/>
      <c r="BWM157" s="69"/>
      <c r="BWN157" s="69"/>
      <c r="BWO157" s="69"/>
      <c r="BWP157" s="69"/>
      <c r="BWQ157" s="69"/>
      <c r="BWR157" s="69"/>
      <c r="BWS157" s="69"/>
      <c r="BWT157" s="69"/>
      <c r="BWU157" s="69"/>
      <c r="BWV157" s="69"/>
      <c r="BWW157" s="69"/>
      <c r="BWX157" s="69"/>
      <c r="BWY157" s="69"/>
      <c r="BWZ157" s="69"/>
      <c r="BXA157" s="69"/>
      <c r="BXB157" s="69"/>
      <c r="BXC157" s="69"/>
      <c r="BXD157" s="69"/>
      <c r="BXE157" s="69"/>
      <c r="BXF157" s="69"/>
      <c r="BXG157" s="69"/>
      <c r="BXH157" s="69"/>
      <c r="BXI157" s="69"/>
      <c r="BXJ157" s="69"/>
      <c r="BXK157" s="69"/>
      <c r="BXL157" s="69"/>
      <c r="BXM157" s="69"/>
      <c r="BXN157" s="69"/>
      <c r="BXO157" s="69"/>
      <c r="BXP157" s="69"/>
      <c r="BXQ157" s="69"/>
      <c r="BXR157" s="69"/>
      <c r="BXS157" s="69"/>
      <c r="BXT157" s="69"/>
      <c r="BXU157" s="69"/>
      <c r="BXV157" s="69"/>
      <c r="BXW157" s="69"/>
      <c r="BXX157" s="69"/>
      <c r="BXY157" s="69"/>
      <c r="BXZ157" s="69"/>
      <c r="BYA157" s="69"/>
      <c r="BYB157" s="69"/>
      <c r="BYC157" s="69"/>
      <c r="BYD157" s="69"/>
      <c r="BYE157" s="69"/>
      <c r="BYF157" s="69"/>
      <c r="BYG157" s="69"/>
      <c r="BYH157" s="69"/>
      <c r="BYI157" s="69"/>
      <c r="BYJ157" s="69"/>
      <c r="BYK157" s="69"/>
      <c r="BYL157" s="69"/>
      <c r="BYM157" s="69"/>
      <c r="BYN157" s="69"/>
      <c r="BYO157" s="69"/>
      <c r="BYP157" s="69"/>
      <c r="BYQ157" s="69"/>
      <c r="BYR157" s="69"/>
      <c r="BYS157" s="69"/>
      <c r="BYT157" s="69"/>
      <c r="BYU157" s="69"/>
      <c r="BYV157" s="69"/>
      <c r="BYW157" s="69"/>
      <c r="BYX157" s="69"/>
      <c r="BYY157" s="69"/>
      <c r="BYZ157" s="69"/>
      <c r="BZA157" s="69"/>
      <c r="BZB157" s="69"/>
      <c r="BZC157" s="69"/>
      <c r="BZD157" s="69"/>
      <c r="BZE157" s="69"/>
      <c r="BZF157" s="69"/>
      <c r="BZG157" s="69"/>
      <c r="BZH157" s="69"/>
      <c r="BZI157" s="69"/>
      <c r="BZJ157" s="69"/>
      <c r="BZK157" s="69"/>
      <c r="BZL157" s="69"/>
      <c r="BZM157" s="69"/>
      <c r="BZN157" s="69"/>
      <c r="BZO157" s="69"/>
      <c r="BZP157" s="69"/>
      <c r="BZQ157" s="69"/>
      <c r="BZR157" s="69"/>
      <c r="BZS157" s="69"/>
      <c r="BZT157" s="69"/>
      <c r="BZU157" s="69"/>
      <c r="BZV157" s="69"/>
      <c r="BZW157" s="69"/>
      <c r="BZX157" s="69"/>
      <c r="BZY157" s="69"/>
      <c r="BZZ157" s="69"/>
      <c r="CAA157" s="69"/>
      <c r="CAB157" s="69"/>
      <c r="CAC157" s="69"/>
      <c r="CAD157" s="69"/>
      <c r="CAE157" s="69"/>
      <c r="CAF157" s="69"/>
      <c r="CAG157" s="69"/>
      <c r="CAH157" s="69"/>
      <c r="CAI157" s="69"/>
      <c r="CAJ157" s="69"/>
      <c r="CAK157" s="69"/>
      <c r="CAL157" s="69"/>
      <c r="CAM157" s="69"/>
      <c r="CAN157" s="69"/>
      <c r="CAO157" s="69"/>
      <c r="CAP157" s="69"/>
      <c r="CAQ157" s="69"/>
      <c r="CAR157" s="69"/>
      <c r="CAS157" s="69"/>
      <c r="CAT157" s="69"/>
      <c r="CAU157" s="69"/>
      <c r="CAV157" s="69"/>
      <c r="CAW157" s="69"/>
      <c r="CAX157" s="69"/>
      <c r="CAY157" s="69"/>
      <c r="CAZ157" s="69"/>
      <c r="CBA157" s="69"/>
      <c r="CBB157" s="69"/>
      <c r="CBC157" s="69"/>
      <c r="CBD157" s="69"/>
      <c r="CBE157" s="69"/>
      <c r="CBF157" s="69"/>
      <c r="CBG157" s="69"/>
      <c r="CBH157" s="69"/>
      <c r="CBI157" s="69"/>
      <c r="CBJ157" s="69"/>
      <c r="CBK157" s="69"/>
      <c r="CBL157" s="69"/>
      <c r="CBM157" s="69"/>
      <c r="CBN157" s="69"/>
      <c r="CBO157" s="69"/>
      <c r="CBP157" s="69"/>
      <c r="CBQ157" s="69"/>
      <c r="CBR157" s="69"/>
      <c r="CBS157" s="69"/>
      <c r="CBT157" s="69"/>
      <c r="CBU157" s="69"/>
      <c r="CBV157" s="69"/>
      <c r="CBW157" s="69"/>
      <c r="CBX157" s="69"/>
      <c r="CBY157" s="69"/>
      <c r="CBZ157" s="69"/>
      <c r="CCA157" s="69"/>
      <c r="CCB157" s="69"/>
      <c r="CCC157" s="69"/>
      <c r="CCD157" s="69"/>
      <c r="CCE157" s="69"/>
      <c r="CCF157" s="69"/>
      <c r="CCG157" s="69"/>
      <c r="CCH157" s="69"/>
      <c r="CCI157" s="69"/>
      <c r="CCJ157" s="69"/>
      <c r="CCK157" s="69"/>
      <c r="CCL157" s="69"/>
      <c r="CCM157" s="69"/>
      <c r="CCN157" s="69"/>
      <c r="CCO157" s="69"/>
      <c r="CCP157" s="69"/>
      <c r="CCQ157" s="69"/>
      <c r="CCR157" s="69"/>
      <c r="CCS157" s="69"/>
      <c r="CCT157" s="69"/>
      <c r="CCU157" s="69"/>
      <c r="CCV157" s="69"/>
      <c r="CCW157" s="69"/>
      <c r="CCX157" s="69"/>
      <c r="CCY157" s="69"/>
      <c r="CCZ157" s="69"/>
      <c r="CDA157" s="69"/>
      <c r="CDB157" s="69"/>
      <c r="CDC157" s="69"/>
      <c r="CDD157" s="69"/>
      <c r="CDE157" s="69"/>
      <c r="CDF157" s="69"/>
      <c r="CDG157" s="69"/>
      <c r="CDH157" s="69"/>
      <c r="CDI157" s="69"/>
      <c r="CDJ157" s="69"/>
      <c r="CDK157" s="69"/>
      <c r="CDL157" s="69"/>
      <c r="CDM157" s="69"/>
      <c r="CDN157" s="69"/>
      <c r="CDO157" s="69"/>
      <c r="CDP157" s="69"/>
      <c r="CDQ157" s="69"/>
      <c r="CDR157" s="69"/>
      <c r="CDS157" s="69"/>
      <c r="CDT157" s="69"/>
      <c r="CDU157" s="69"/>
      <c r="CDV157" s="69"/>
      <c r="CDW157" s="69"/>
      <c r="CDX157" s="69"/>
      <c r="CDY157" s="69"/>
      <c r="CDZ157" s="69"/>
      <c r="CEA157" s="69"/>
      <c r="CEB157" s="69"/>
      <c r="CEC157" s="69"/>
      <c r="CED157" s="69"/>
      <c r="CEE157" s="69"/>
      <c r="CEF157" s="69"/>
      <c r="CEG157" s="69"/>
      <c r="CEH157" s="69"/>
      <c r="CEI157" s="69"/>
      <c r="CEJ157" s="69"/>
      <c r="CEK157" s="69"/>
      <c r="CEL157" s="69"/>
      <c r="CEM157" s="69"/>
      <c r="CEN157" s="69"/>
      <c r="CEO157" s="69"/>
      <c r="CEP157" s="69"/>
      <c r="CEQ157" s="69"/>
      <c r="CER157" s="69"/>
      <c r="CES157" s="69"/>
      <c r="CET157" s="69"/>
      <c r="CEU157" s="69"/>
      <c r="CEV157" s="69"/>
      <c r="CEW157" s="69"/>
      <c r="CEX157" s="69"/>
      <c r="CEY157" s="69"/>
      <c r="CEZ157" s="69"/>
      <c r="CFA157" s="69"/>
      <c r="CFB157" s="69"/>
      <c r="CFC157" s="69"/>
      <c r="CFD157" s="69"/>
      <c r="CFE157" s="69"/>
      <c r="CFF157" s="69"/>
      <c r="CFG157" s="69"/>
      <c r="CFH157" s="69"/>
      <c r="CFI157" s="69"/>
      <c r="CFJ157" s="69"/>
      <c r="CFK157" s="69"/>
      <c r="CFL157" s="69"/>
      <c r="CFM157" s="69"/>
      <c r="CFN157" s="69"/>
      <c r="CFO157" s="69"/>
      <c r="CFP157" s="69"/>
      <c r="CFQ157" s="69"/>
      <c r="CFR157" s="69"/>
      <c r="CFS157" s="69"/>
      <c r="CFT157" s="69"/>
      <c r="CFU157" s="69"/>
      <c r="CFV157" s="69"/>
      <c r="CFW157" s="69"/>
      <c r="CFX157" s="69"/>
      <c r="CFY157" s="69"/>
      <c r="CFZ157" s="69"/>
      <c r="CGA157" s="69"/>
      <c r="CGB157" s="69"/>
      <c r="CGC157" s="69"/>
      <c r="CGD157" s="69"/>
      <c r="CGE157" s="69"/>
      <c r="CGF157" s="69"/>
      <c r="CGG157" s="69"/>
      <c r="CGH157" s="69"/>
      <c r="CGI157" s="69"/>
      <c r="CGJ157" s="69"/>
      <c r="CGK157" s="69"/>
      <c r="CGL157" s="69"/>
      <c r="CGM157" s="69"/>
      <c r="CGN157" s="69"/>
      <c r="CGO157" s="69"/>
      <c r="CGP157" s="69"/>
      <c r="CGQ157" s="69"/>
      <c r="CGR157" s="69"/>
      <c r="CGS157" s="69"/>
      <c r="CGT157" s="69"/>
      <c r="CGU157" s="69"/>
      <c r="CGV157" s="69"/>
      <c r="CGW157" s="69"/>
      <c r="CGX157" s="69"/>
      <c r="CGY157" s="69"/>
      <c r="CGZ157" s="69"/>
      <c r="CHA157" s="69"/>
      <c r="CHB157" s="69"/>
      <c r="CHC157" s="69"/>
      <c r="CHD157" s="69"/>
      <c r="CHE157" s="69"/>
      <c r="CHF157" s="69"/>
      <c r="CHG157" s="69"/>
      <c r="CHH157" s="69"/>
      <c r="CHI157" s="69"/>
      <c r="CHJ157" s="69"/>
      <c r="CHK157" s="69"/>
      <c r="CHL157" s="69"/>
      <c r="CHM157" s="69"/>
      <c r="CHN157" s="69"/>
      <c r="CHO157" s="69"/>
      <c r="CHP157" s="69"/>
      <c r="CHQ157" s="69"/>
      <c r="CHR157" s="69"/>
      <c r="CHS157" s="69"/>
      <c r="CHT157" s="69"/>
      <c r="CHU157" s="69"/>
      <c r="CHV157" s="69"/>
      <c r="CHW157" s="69"/>
      <c r="CHX157" s="69"/>
      <c r="CHY157" s="69"/>
      <c r="CHZ157" s="69"/>
      <c r="CIA157" s="69"/>
      <c r="CIB157" s="69"/>
      <c r="CIC157" s="69"/>
      <c r="CID157" s="69"/>
      <c r="CIE157" s="69"/>
      <c r="CIF157" s="69"/>
      <c r="CIG157" s="69"/>
      <c r="CIH157" s="69"/>
      <c r="CII157" s="69"/>
      <c r="CIJ157" s="69"/>
      <c r="CIK157" s="69"/>
      <c r="CIL157" s="69"/>
      <c r="CIM157" s="69"/>
      <c r="CIN157" s="69"/>
      <c r="CIO157" s="69"/>
      <c r="CIP157" s="69"/>
      <c r="CIQ157" s="69"/>
      <c r="CIR157" s="69"/>
      <c r="CIS157" s="69"/>
      <c r="CIT157" s="69"/>
      <c r="CIU157" s="69"/>
      <c r="CIV157" s="69"/>
      <c r="CIW157" s="69"/>
      <c r="CIX157" s="69"/>
      <c r="CIY157" s="69"/>
      <c r="CIZ157" s="69"/>
      <c r="CJA157" s="69"/>
      <c r="CJB157" s="69"/>
      <c r="CJC157" s="69"/>
      <c r="CJD157" s="69"/>
      <c r="CJE157" s="69"/>
      <c r="CJF157" s="69"/>
      <c r="CJG157" s="69"/>
      <c r="CJH157" s="69"/>
      <c r="CJI157" s="69"/>
      <c r="CJJ157" s="69"/>
      <c r="CJK157" s="69"/>
      <c r="CJL157" s="69"/>
      <c r="CJM157" s="69"/>
      <c r="CJN157" s="69"/>
      <c r="CJO157" s="69"/>
      <c r="CJP157" s="69"/>
      <c r="CJQ157" s="69"/>
      <c r="CJR157" s="69"/>
      <c r="CJS157" s="69"/>
      <c r="CJT157" s="69"/>
      <c r="CJU157" s="69"/>
      <c r="CJV157" s="69"/>
      <c r="CJW157" s="69"/>
      <c r="CJX157" s="69"/>
      <c r="CJY157" s="69"/>
      <c r="CJZ157" s="69"/>
      <c r="CKA157" s="69"/>
      <c r="CKB157" s="69"/>
      <c r="CKC157" s="69"/>
      <c r="CKD157" s="69"/>
      <c r="CKE157" s="69"/>
      <c r="CKF157" s="69"/>
      <c r="CKG157" s="69"/>
      <c r="CKH157" s="69"/>
      <c r="CKI157" s="69"/>
      <c r="CKJ157" s="69"/>
      <c r="CKK157" s="69"/>
      <c r="CKL157" s="69"/>
      <c r="CKM157" s="69"/>
      <c r="CKN157" s="69"/>
      <c r="CKO157" s="69"/>
      <c r="CKP157" s="69"/>
      <c r="CKQ157" s="69"/>
      <c r="CKR157" s="69"/>
      <c r="CKS157" s="69"/>
      <c r="CKT157" s="69"/>
      <c r="CKU157" s="69"/>
      <c r="CKV157" s="69"/>
      <c r="CKW157" s="69"/>
      <c r="CKX157" s="69"/>
      <c r="CKY157" s="69"/>
      <c r="CKZ157" s="69"/>
      <c r="CLA157" s="69"/>
      <c r="CLB157" s="69"/>
      <c r="CLC157" s="69"/>
      <c r="CLD157" s="69"/>
      <c r="CLE157" s="69"/>
      <c r="CLF157" s="69"/>
      <c r="CLG157" s="69"/>
      <c r="CLH157" s="69"/>
      <c r="CLI157" s="69"/>
      <c r="CLJ157" s="69"/>
      <c r="CLK157" s="69"/>
      <c r="CLL157" s="69"/>
      <c r="CLM157" s="69"/>
      <c r="CLN157" s="69"/>
      <c r="CLO157" s="69"/>
      <c r="CLP157" s="69"/>
      <c r="CLQ157" s="69"/>
      <c r="CLR157" s="69"/>
      <c r="CLS157" s="69"/>
      <c r="CLT157" s="69"/>
      <c r="CLU157" s="69"/>
      <c r="CLV157" s="69"/>
      <c r="CLW157" s="69"/>
      <c r="CLX157" s="69"/>
      <c r="CLY157" s="69"/>
      <c r="CLZ157" s="69"/>
      <c r="CMA157" s="69"/>
      <c r="CMB157" s="69"/>
      <c r="CMC157" s="69"/>
      <c r="CMD157" s="69"/>
      <c r="CME157" s="69"/>
      <c r="CMF157" s="69"/>
      <c r="CMG157" s="69"/>
      <c r="CMH157" s="69"/>
      <c r="CMI157" s="69"/>
      <c r="CMJ157" s="69"/>
      <c r="CMK157" s="69"/>
      <c r="CML157" s="69"/>
      <c r="CMM157" s="69"/>
      <c r="CMN157" s="69"/>
      <c r="CMO157" s="69"/>
      <c r="CMP157" s="69"/>
      <c r="CMQ157" s="69"/>
      <c r="CMR157" s="69"/>
      <c r="CMS157" s="69"/>
      <c r="CMT157" s="69"/>
      <c r="CMU157" s="69"/>
      <c r="CMV157" s="69"/>
      <c r="CMW157" s="69"/>
      <c r="CMX157" s="69"/>
      <c r="CMY157" s="69"/>
      <c r="CMZ157" s="69"/>
      <c r="CNA157" s="69"/>
      <c r="CNB157" s="69"/>
      <c r="CNC157" s="69"/>
      <c r="CND157" s="69"/>
      <c r="CNE157" s="69"/>
      <c r="CNF157" s="69"/>
      <c r="CNG157" s="69"/>
      <c r="CNH157" s="69"/>
      <c r="CNI157" s="69"/>
      <c r="CNJ157" s="69"/>
      <c r="CNK157" s="69"/>
      <c r="CNL157" s="69"/>
      <c r="CNM157" s="69"/>
      <c r="CNN157" s="69"/>
      <c r="CNO157" s="69"/>
      <c r="CNP157" s="69"/>
      <c r="CNQ157" s="69"/>
      <c r="CNR157" s="69"/>
      <c r="CNS157" s="69"/>
      <c r="CNT157" s="69"/>
      <c r="CNU157" s="69"/>
      <c r="CNV157" s="69"/>
      <c r="CNW157" s="69"/>
      <c r="CNX157" s="69"/>
      <c r="CNY157" s="69"/>
      <c r="CNZ157" s="69"/>
      <c r="COA157" s="69"/>
      <c r="COB157" s="69"/>
      <c r="COC157" s="69"/>
      <c r="COD157" s="69"/>
      <c r="COE157" s="69"/>
      <c r="COF157" s="69"/>
      <c r="COG157" s="69"/>
      <c r="COH157" s="69"/>
      <c r="COI157" s="69"/>
      <c r="COJ157" s="69"/>
      <c r="COK157" s="69"/>
      <c r="COL157" s="69"/>
      <c r="COM157" s="69"/>
      <c r="CON157" s="69"/>
      <c r="COO157" s="69"/>
      <c r="COP157" s="69"/>
      <c r="COQ157" s="69"/>
      <c r="COR157" s="69"/>
      <c r="COS157" s="69"/>
      <c r="COT157" s="69"/>
      <c r="COU157" s="69"/>
      <c r="COV157" s="69"/>
      <c r="COW157" s="69"/>
      <c r="COX157" s="69"/>
      <c r="COY157" s="69"/>
      <c r="COZ157" s="69"/>
      <c r="CPA157" s="69"/>
      <c r="CPB157" s="69"/>
      <c r="CPC157" s="69"/>
      <c r="CPD157" s="69"/>
      <c r="CPE157" s="69"/>
      <c r="CPF157" s="69"/>
      <c r="CPG157" s="69"/>
      <c r="CPH157" s="69"/>
      <c r="CPI157" s="69"/>
      <c r="CPJ157" s="69"/>
      <c r="CPK157" s="69"/>
      <c r="CPL157" s="69"/>
      <c r="CPM157" s="69"/>
      <c r="CPN157" s="69"/>
      <c r="CPO157" s="69"/>
      <c r="CPP157" s="69"/>
      <c r="CPQ157" s="69"/>
      <c r="CPR157" s="69"/>
      <c r="CPS157" s="69"/>
      <c r="CPT157" s="69"/>
      <c r="CPU157" s="69"/>
      <c r="CPV157" s="69"/>
      <c r="CPW157" s="69"/>
      <c r="CPX157" s="69"/>
      <c r="CPY157" s="69"/>
      <c r="CPZ157" s="69"/>
      <c r="CQA157" s="69"/>
      <c r="CQB157" s="69"/>
      <c r="CQC157" s="69"/>
      <c r="CQD157" s="69"/>
      <c r="CQE157" s="69"/>
      <c r="CQF157" s="69"/>
      <c r="CQG157" s="69"/>
      <c r="CQH157" s="69"/>
      <c r="CQI157" s="69"/>
      <c r="CQJ157" s="69"/>
      <c r="CQK157" s="69"/>
      <c r="CQL157" s="69"/>
      <c r="CQM157" s="69"/>
      <c r="CQN157" s="69"/>
      <c r="CQO157" s="69"/>
      <c r="CQP157" s="69"/>
      <c r="CQQ157" s="69"/>
      <c r="CQR157" s="69"/>
      <c r="CQS157" s="69"/>
      <c r="CQT157" s="69"/>
      <c r="CQU157" s="69"/>
      <c r="CQV157" s="69"/>
      <c r="CQW157" s="69"/>
      <c r="CQX157" s="69"/>
      <c r="CQY157" s="69"/>
      <c r="CQZ157" s="69"/>
      <c r="CRA157" s="69"/>
      <c r="CRB157" s="69"/>
      <c r="CRC157" s="69"/>
      <c r="CRD157" s="69"/>
      <c r="CRE157" s="69"/>
      <c r="CRF157" s="69"/>
      <c r="CRG157" s="69"/>
      <c r="CRH157" s="69"/>
      <c r="CRI157" s="69"/>
      <c r="CRJ157" s="69"/>
      <c r="CRK157" s="69"/>
      <c r="CRL157" s="69"/>
      <c r="CRM157" s="69"/>
      <c r="CRN157" s="69"/>
      <c r="CRO157" s="69"/>
      <c r="CRP157" s="69"/>
      <c r="CRQ157" s="69"/>
      <c r="CRR157" s="69"/>
      <c r="CRS157" s="69"/>
      <c r="CRT157" s="69"/>
      <c r="CRU157" s="69"/>
      <c r="CRV157" s="69"/>
      <c r="CRW157" s="69"/>
      <c r="CRX157" s="69"/>
      <c r="CRY157" s="69"/>
      <c r="CRZ157" s="69"/>
      <c r="CSA157" s="69"/>
      <c r="CSB157" s="69"/>
      <c r="CSC157" s="69"/>
      <c r="CSD157" s="69"/>
      <c r="CSE157" s="69"/>
      <c r="CSF157" s="69"/>
      <c r="CSG157" s="69"/>
      <c r="CSH157" s="69"/>
      <c r="CSI157" s="69"/>
      <c r="CSJ157" s="69"/>
      <c r="CSK157" s="69"/>
      <c r="CSL157" s="69"/>
      <c r="CSM157" s="69"/>
      <c r="CSN157" s="69"/>
      <c r="CSO157" s="69"/>
      <c r="CSP157" s="69"/>
      <c r="CSQ157" s="69"/>
      <c r="CSR157" s="69"/>
      <c r="CSS157" s="69"/>
      <c r="CST157" s="69"/>
      <c r="CSU157" s="69"/>
      <c r="CSV157" s="69"/>
      <c r="CSW157" s="69"/>
      <c r="CSX157" s="69"/>
      <c r="CSY157" s="69"/>
      <c r="CSZ157" s="69"/>
      <c r="CTA157" s="69"/>
      <c r="CTB157" s="69"/>
      <c r="CTC157" s="69"/>
      <c r="CTD157" s="69"/>
      <c r="CTE157" s="69"/>
      <c r="CTF157" s="69"/>
      <c r="CTG157" s="69"/>
      <c r="CTH157" s="69"/>
      <c r="CTI157" s="69"/>
      <c r="CTJ157" s="69"/>
      <c r="CTK157" s="69"/>
      <c r="CTL157" s="69"/>
      <c r="CTM157" s="69"/>
      <c r="CTN157" s="69"/>
      <c r="CTO157" s="69"/>
      <c r="CTP157" s="69"/>
      <c r="CTQ157" s="69"/>
      <c r="CTR157" s="69"/>
      <c r="CTS157" s="69"/>
      <c r="CTT157" s="69"/>
      <c r="CTU157" s="69"/>
      <c r="CTV157" s="69"/>
      <c r="CTW157" s="69"/>
      <c r="CTX157" s="69"/>
      <c r="CTY157" s="69"/>
      <c r="CTZ157" s="69"/>
      <c r="CUA157" s="69"/>
      <c r="CUB157" s="69"/>
      <c r="CUC157" s="69"/>
      <c r="CUD157" s="69"/>
      <c r="CUE157" s="69"/>
      <c r="CUF157" s="69"/>
      <c r="CUG157" s="69"/>
      <c r="CUH157" s="69"/>
      <c r="CUI157" s="69"/>
      <c r="CUJ157" s="69"/>
      <c r="CUK157" s="69"/>
      <c r="CUL157" s="69"/>
      <c r="CUM157" s="69"/>
      <c r="CUN157" s="69"/>
      <c r="CUO157" s="69"/>
      <c r="CUP157" s="69"/>
      <c r="CUQ157" s="69"/>
      <c r="CUR157" s="69"/>
      <c r="CUS157" s="69"/>
      <c r="CUT157" s="69"/>
      <c r="CUU157" s="69"/>
      <c r="CUV157" s="69"/>
      <c r="CUW157" s="69"/>
      <c r="CUX157" s="69"/>
      <c r="CUY157" s="69"/>
      <c r="CUZ157" s="69"/>
      <c r="CVA157" s="69"/>
      <c r="CVB157" s="69"/>
      <c r="CVC157" s="69"/>
      <c r="CVD157" s="69"/>
      <c r="CVE157" s="69"/>
      <c r="CVF157" s="69"/>
      <c r="CVG157" s="69"/>
      <c r="CVH157" s="69"/>
      <c r="CVI157" s="69"/>
      <c r="CVJ157" s="69"/>
      <c r="CVK157" s="69"/>
      <c r="CVL157" s="69"/>
      <c r="CVM157" s="69"/>
      <c r="CVN157" s="69"/>
      <c r="CVO157" s="69"/>
      <c r="CVP157" s="69"/>
      <c r="CVQ157" s="69"/>
      <c r="CVR157" s="69"/>
      <c r="CVS157" s="69"/>
      <c r="CVT157" s="69"/>
      <c r="CVU157" s="69"/>
      <c r="CVV157" s="69"/>
      <c r="CVW157" s="69"/>
      <c r="CVX157" s="69"/>
      <c r="CVY157" s="69"/>
      <c r="CVZ157" s="69"/>
      <c r="CWA157" s="69"/>
      <c r="CWB157" s="69"/>
      <c r="CWC157" s="69"/>
      <c r="CWD157" s="69"/>
      <c r="CWE157" s="69"/>
      <c r="CWF157" s="69"/>
      <c r="CWG157" s="69"/>
      <c r="CWH157" s="69"/>
      <c r="CWI157" s="69"/>
      <c r="CWJ157" s="69"/>
      <c r="CWK157" s="69"/>
      <c r="CWL157" s="69"/>
      <c r="CWM157" s="69"/>
      <c r="CWN157" s="69"/>
      <c r="CWO157" s="69"/>
      <c r="CWP157" s="69"/>
      <c r="CWQ157" s="69"/>
      <c r="CWR157" s="69"/>
      <c r="CWS157" s="69"/>
      <c r="CWT157" s="69"/>
      <c r="CWU157" s="69"/>
      <c r="CWV157" s="69"/>
      <c r="CWW157" s="69"/>
      <c r="CWX157" s="69"/>
      <c r="CWY157" s="69"/>
      <c r="CWZ157" s="69"/>
      <c r="CXA157" s="69"/>
      <c r="CXB157" s="69"/>
      <c r="CXC157" s="69"/>
      <c r="CXD157" s="69"/>
      <c r="CXE157" s="69"/>
      <c r="CXF157" s="69"/>
      <c r="CXG157" s="69"/>
      <c r="CXH157" s="69"/>
      <c r="CXI157" s="69"/>
      <c r="CXJ157" s="69"/>
      <c r="CXK157" s="69"/>
      <c r="CXL157" s="69"/>
      <c r="CXM157" s="69"/>
      <c r="CXN157" s="69"/>
      <c r="CXO157" s="69"/>
      <c r="CXP157" s="69"/>
      <c r="CXQ157" s="69"/>
      <c r="CXR157" s="69"/>
      <c r="CXS157" s="69"/>
      <c r="CXT157" s="69"/>
      <c r="CXU157" s="69"/>
      <c r="CXV157" s="69"/>
      <c r="CXW157" s="69"/>
      <c r="CXX157" s="69"/>
      <c r="CXY157" s="69"/>
      <c r="CXZ157" s="69"/>
      <c r="CYA157" s="69"/>
      <c r="CYB157" s="69"/>
      <c r="CYC157" s="69"/>
      <c r="CYD157" s="69"/>
      <c r="CYE157" s="69"/>
      <c r="CYF157" s="69"/>
      <c r="CYG157" s="69"/>
      <c r="CYH157" s="69"/>
      <c r="CYI157" s="69"/>
      <c r="CYJ157" s="69"/>
      <c r="CYK157" s="69"/>
      <c r="CYL157" s="69"/>
      <c r="CYM157" s="69"/>
      <c r="CYN157" s="69"/>
      <c r="CYO157" s="69"/>
      <c r="CYP157" s="69"/>
      <c r="CYQ157" s="69"/>
      <c r="CYR157" s="69"/>
      <c r="CYS157" s="69"/>
      <c r="CYT157" s="69"/>
      <c r="CYU157" s="69"/>
      <c r="CYV157" s="69"/>
      <c r="CYW157" s="69"/>
      <c r="CYX157" s="69"/>
      <c r="CYY157" s="69"/>
      <c r="CYZ157" s="69"/>
      <c r="CZA157" s="69"/>
      <c r="CZB157" s="69"/>
      <c r="CZC157" s="69"/>
      <c r="CZD157" s="69"/>
      <c r="CZE157" s="69"/>
      <c r="CZF157" s="69"/>
      <c r="CZG157" s="69"/>
      <c r="CZH157" s="69"/>
      <c r="CZI157" s="69"/>
      <c r="CZJ157" s="69"/>
      <c r="CZK157" s="69"/>
      <c r="CZL157" s="69"/>
      <c r="CZM157" s="69"/>
      <c r="CZN157" s="69"/>
      <c r="CZO157" s="69"/>
      <c r="CZP157" s="69"/>
      <c r="CZQ157" s="69"/>
      <c r="CZR157" s="69"/>
      <c r="CZS157" s="69"/>
      <c r="CZT157" s="69"/>
      <c r="CZU157" s="69"/>
      <c r="CZV157" s="69"/>
      <c r="CZW157" s="69"/>
      <c r="CZX157" s="69"/>
      <c r="CZY157" s="69"/>
      <c r="CZZ157" s="69"/>
      <c r="DAA157" s="69"/>
      <c r="DAB157" s="69"/>
      <c r="DAC157" s="69"/>
      <c r="DAD157" s="69"/>
      <c r="DAE157" s="69"/>
      <c r="DAF157" s="69"/>
      <c r="DAG157" s="69"/>
      <c r="DAH157" s="69"/>
      <c r="DAI157" s="69"/>
      <c r="DAJ157" s="69"/>
      <c r="DAK157" s="69"/>
      <c r="DAL157" s="69"/>
      <c r="DAM157" s="69"/>
      <c r="DAN157" s="69"/>
      <c r="DAO157" s="69"/>
      <c r="DAP157" s="69"/>
      <c r="DAQ157" s="69"/>
      <c r="DAR157" s="69"/>
      <c r="DAS157" s="69"/>
      <c r="DAT157" s="69"/>
      <c r="DAU157" s="69"/>
      <c r="DAV157" s="69"/>
      <c r="DAW157" s="69"/>
      <c r="DAX157" s="69"/>
      <c r="DAY157" s="69"/>
      <c r="DAZ157" s="69"/>
      <c r="DBA157" s="69"/>
      <c r="DBB157" s="69"/>
      <c r="DBC157" s="69"/>
      <c r="DBD157" s="69"/>
      <c r="DBE157" s="69"/>
      <c r="DBF157" s="69"/>
      <c r="DBG157" s="69"/>
      <c r="DBH157" s="69"/>
      <c r="DBI157" s="69"/>
      <c r="DBJ157" s="69"/>
      <c r="DBK157" s="69"/>
      <c r="DBL157" s="69"/>
      <c r="DBM157" s="69"/>
      <c r="DBN157" s="69"/>
      <c r="DBO157" s="69"/>
      <c r="DBP157" s="69"/>
      <c r="DBQ157" s="69"/>
      <c r="DBR157" s="69"/>
      <c r="DBS157" s="69"/>
      <c r="DBT157" s="69"/>
      <c r="DBU157" s="69"/>
      <c r="DBV157" s="69"/>
      <c r="DBW157" s="69"/>
      <c r="DBX157" s="69"/>
      <c r="DBY157" s="69"/>
      <c r="DBZ157" s="69"/>
      <c r="DCA157" s="69"/>
      <c r="DCB157" s="69"/>
      <c r="DCC157" s="69"/>
      <c r="DCD157" s="69"/>
      <c r="DCE157" s="69"/>
      <c r="DCF157" s="69"/>
      <c r="DCG157" s="69"/>
      <c r="DCH157" s="69"/>
      <c r="DCI157" s="69"/>
      <c r="DCJ157" s="69"/>
      <c r="DCK157" s="69"/>
      <c r="DCL157" s="69"/>
      <c r="DCM157" s="69"/>
      <c r="DCN157" s="69"/>
      <c r="DCO157" s="69"/>
      <c r="DCP157" s="69"/>
      <c r="DCQ157" s="69"/>
      <c r="DCR157" s="69"/>
      <c r="DCS157" s="69"/>
      <c r="DCT157" s="69"/>
      <c r="DCU157" s="69"/>
      <c r="DCV157" s="69"/>
      <c r="DCW157" s="69"/>
      <c r="DCX157" s="69"/>
      <c r="DCY157" s="69"/>
      <c r="DCZ157" s="69"/>
      <c r="DDA157" s="69"/>
      <c r="DDB157" s="69"/>
      <c r="DDC157" s="69"/>
      <c r="DDD157" s="69"/>
      <c r="DDE157" s="69"/>
      <c r="DDF157" s="69"/>
      <c r="DDG157" s="69"/>
      <c r="DDH157" s="69"/>
      <c r="DDI157" s="69"/>
      <c r="DDJ157" s="69"/>
      <c r="DDK157" s="69"/>
      <c r="DDL157" s="69"/>
      <c r="DDM157" s="69"/>
      <c r="DDN157" s="69"/>
      <c r="DDO157" s="69"/>
      <c r="DDP157" s="69"/>
      <c r="DDQ157" s="69"/>
      <c r="DDR157" s="69"/>
      <c r="DDS157" s="69"/>
      <c r="DDT157" s="69"/>
      <c r="DDU157" s="69"/>
      <c r="DDV157" s="69"/>
      <c r="DDW157" s="69"/>
      <c r="DDX157" s="69"/>
      <c r="DDY157" s="69"/>
      <c r="DDZ157" s="69"/>
      <c r="DEA157" s="69"/>
      <c r="DEB157" s="69"/>
      <c r="DEC157" s="69"/>
      <c r="DED157" s="69"/>
      <c r="DEE157" s="69"/>
      <c r="DEF157" s="69"/>
      <c r="DEG157" s="69"/>
      <c r="DEH157" s="69"/>
      <c r="DEI157" s="69"/>
      <c r="DEJ157" s="69"/>
      <c r="DEK157" s="69"/>
      <c r="DEL157" s="69"/>
      <c r="DEM157" s="69"/>
      <c r="DEN157" s="69"/>
      <c r="DEO157" s="69"/>
      <c r="DEP157" s="69"/>
      <c r="DEQ157" s="69"/>
      <c r="DER157" s="69"/>
      <c r="DES157" s="69"/>
      <c r="DET157" s="69"/>
      <c r="DEU157" s="69"/>
      <c r="DEV157" s="69"/>
      <c r="DEW157" s="69"/>
      <c r="DEX157" s="69"/>
      <c r="DEY157" s="69"/>
      <c r="DEZ157" s="69"/>
      <c r="DFA157" s="69"/>
      <c r="DFB157" s="69"/>
      <c r="DFC157" s="69"/>
      <c r="DFD157" s="69"/>
      <c r="DFE157" s="69"/>
      <c r="DFF157" s="69"/>
      <c r="DFG157" s="69"/>
      <c r="DFH157" s="69"/>
      <c r="DFI157" s="69"/>
      <c r="DFJ157" s="69"/>
      <c r="DFK157" s="69"/>
      <c r="DFL157" s="69"/>
      <c r="DFM157" s="69"/>
      <c r="DFN157" s="69"/>
      <c r="DFO157" s="69"/>
      <c r="DFP157" s="69"/>
      <c r="DFQ157" s="69"/>
      <c r="DFR157" s="69"/>
      <c r="DFS157" s="69"/>
      <c r="DFT157" s="69"/>
      <c r="DFU157" s="69"/>
      <c r="DFV157" s="69"/>
      <c r="DFW157" s="69"/>
      <c r="DFX157" s="69"/>
      <c r="DFY157" s="69"/>
      <c r="DFZ157" s="69"/>
      <c r="DGA157" s="69"/>
      <c r="DGB157" s="69"/>
      <c r="DGC157" s="69"/>
      <c r="DGD157" s="69"/>
      <c r="DGE157" s="69"/>
      <c r="DGF157" s="69"/>
      <c r="DGG157" s="69"/>
      <c r="DGH157" s="69"/>
      <c r="DGI157" s="69"/>
      <c r="DGJ157" s="69"/>
      <c r="DGK157" s="69"/>
      <c r="DGL157" s="69"/>
      <c r="DGM157" s="69"/>
      <c r="DGN157" s="69"/>
      <c r="DGO157" s="69"/>
      <c r="DGP157" s="69"/>
      <c r="DGQ157" s="69"/>
      <c r="DGR157" s="69"/>
      <c r="DGS157" s="69"/>
      <c r="DGT157" s="69"/>
      <c r="DGU157" s="69"/>
      <c r="DGV157" s="69"/>
      <c r="DGW157" s="69"/>
      <c r="DGX157" s="69"/>
      <c r="DGY157" s="69"/>
      <c r="DGZ157" s="69"/>
      <c r="DHA157" s="69"/>
      <c r="DHB157" s="69"/>
      <c r="DHC157" s="69"/>
      <c r="DHD157" s="69"/>
      <c r="DHE157" s="69"/>
      <c r="DHF157" s="69"/>
      <c r="DHG157" s="69"/>
      <c r="DHH157" s="69"/>
      <c r="DHI157" s="69"/>
      <c r="DHJ157" s="69"/>
      <c r="DHK157" s="69"/>
      <c r="DHL157" s="69"/>
      <c r="DHM157" s="69"/>
      <c r="DHN157" s="69"/>
      <c r="DHO157" s="69"/>
      <c r="DHP157" s="69"/>
      <c r="DHQ157" s="69"/>
      <c r="DHR157" s="69"/>
      <c r="DHS157" s="69"/>
      <c r="DHT157" s="69"/>
      <c r="DHU157" s="69"/>
      <c r="DHV157" s="69"/>
      <c r="DHW157" s="69"/>
      <c r="DHX157" s="69"/>
      <c r="DHY157" s="69"/>
      <c r="DHZ157" s="69"/>
      <c r="DIA157" s="69"/>
      <c r="DIB157" s="69"/>
      <c r="DIC157" s="69"/>
      <c r="DID157" s="69"/>
      <c r="DIE157" s="69"/>
      <c r="DIF157" s="69"/>
      <c r="DIG157" s="69"/>
      <c r="DIH157" s="69"/>
      <c r="DII157" s="69"/>
      <c r="DIJ157" s="69"/>
      <c r="DIK157" s="69"/>
      <c r="DIL157" s="69"/>
      <c r="DIM157" s="69"/>
      <c r="DIN157" s="69"/>
      <c r="DIO157" s="69"/>
      <c r="DIP157" s="69"/>
      <c r="DIQ157" s="69"/>
      <c r="DIR157" s="69"/>
      <c r="DIS157" s="69"/>
      <c r="DIT157" s="69"/>
      <c r="DIU157" s="69"/>
      <c r="DIV157" s="69"/>
      <c r="DIW157" s="69"/>
      <c r="DIX157" s="69"/>
      <c r="DIY157" s="69"/>
      <c r="DIZ157" s="69"/>
      <c r="DJA157" s="69"/>
      <c r="DJB157" s="69"/>
      <c r="DJC157" s="69"/>
      <c r="DJD157" s="69"/>
      <c r="DJE157" s="69"/>
      <c r="DJF157" s="69"/>
      <c r="DJG157" s="69"/>
      <c r="DJH157" s="69"/>
      <c r="DJI157" s="69"/>
      <c r="DJJ157" s="69"/>
      <c r="DJK157" s="69"/>
      <c r="DJL157" s="69"/>
      <c r="DJM157" s="69"/>
      <c r="DJN157" s="69"/>
      <c r="DJO157" s="69"/>
      <c r="DJP157" s="69"/>
      <c r="DJQ157" s="69"/>
      <c r="DJR157" s="69"/>
      <c r="DJS157" s="69"/>
      <c r="DJT157" s="69"/>
      <c r="DJU157" s="69"/>
      <c r="DJV157" s="69"/>
      <c r="DJW157" s="69"/>
      <c r="DJX157" s="69"/>
      <c r="DJY157" s="69"/>
      <c r="DJZ157" s="69"/>
      <c r="DKA157" s="69"/>
      <c r="DKB157" s="69"/>
      <c r="DKC157" s="69"/>
      <c r="DKD157" s="69"/>
      <c r="DKE157" s="69"/>
      <c r="DKF157" s="69"/>
      <c r="DKG157" s="69"/>
      <c r="DKH157" s="69"/>
      <c r="DKI157" s="69"/>
      <c r="DKJ157" s="69"/>
      <c r="DKK157" s="69"/>
      <c r="DKL157" s="69"/>
      <c r="DKM157" s="69"/>
      <c r="DKN157" s="69"/>
      <c r="DKO157" s="69"/>
      <c r="DKP157" s="69"/>
      <c r="DKQ157" s="69"/>
      <c r="DKR157" s="69"/>
      <c r="DKS157" s="69"/>
      <c r="DKT157" s="69"/>
      <c r="DKU157" s="69"/>
      <c r="DKV157" s="69"/>
      <c r="DKW157" s="69"/>
      <c r="DKX157" s="69"/>
      <c r="DKY157" s="69"/>
      <c r="DKZ157" s="69"/>
      <c r="DLA157" s="69"/>
      <c r="DLB157" s="69"/>
      <c r="DLC157" s="69"/>
      <c r="DLD157" s="69"/>
      <c r="DLE157" s="69"/>
      <c r="DLF157" s="69"/>
      <c r="DLG157" s="69"/>
      <c r="DLH157" s="69"/>
      <c r="DLI157" s="69"/>
      <c r="DLJ157" s="69"/>
      <c r="DLK157" s="69"/>
      <c r="DLL157" s="69"/>
      <c r="DLM157" s="69"/>
      <c r="DLN157" s="69"/>
      <c r="DLO157" s="69"/>
      <c r="DLP157" s="69"/>
      <c r="DLQ157" s="69"/>
      <c r="DLR157" s="69"/>
      <c r="DLS157" s="69"/>
      <c r="DLT157" s="69"/>
      <c r="DLU157" s="69"/>
      <c r="DLV157" s="69"/>
      <c r="DLW157" s="69"/>
      <c r="DLX157" s="69"/>
      <c r="DLY157" s="69"/>
      <c r="DLZ157" s="69"/>
      <c r="DMA157" s="69"/>
      <c r="DMB157" s="69"/>
      <c r="DMC157" s="69"/>
      <c r="DMD157" s="69"/>
      <c r="DME157" s="69"/>
      <c r="DMF157" s="69"/>
      <c r="DMG157" s="69"/>
      <c r="DMH157" s="69"/>
      <c r="DMI157" s="69"/>
      <c r="DMJ157" s="69"/>
      <c r="DMK157" s="69"/>
      <c r="DML157" s="69"/>
      <c r="DMM157" s="69"/>
      <c r="DMN157" s="69"/>
      <c r="DMO157" s="69"/>
      <c r="DMP157" s="69"/>
      <c r="DMQ157" s="69"/>
      <c r="DMR157" s="69"/>
      <c r="DMS157" s="69"/>
      <c r="DMT157" s="69"/>
      <c r="DMU157" s="69"/>
      <c r="DMV157" s="69"/>
      <c r="DMW157" s="69"/>
      <c r="DMX157" s="69"/>
      <c r="DMY157" s="69"/>
      <c r="DMZ157" s="69"/>
      <c r="DNA157" s="69"/>
      <c r="DNB157" s="69"/>
      <c r="DNC157" s="69"/>
      <c r="DND157" s="69"/>
      <c r="DNE157" s="69"/>
      <c r="DNF157" s="69"/>
      <c r="DNG157" s="69"/>
      <c r="DNH157" s="69"/>
      <c r="DNI157" s="69"/>
      <c r="DNJ157" s="69"/>
      <c r="DNK157" s="69"/>
      <c r="DNL157" s="69"/>
      <c r="DNM157" s="69"/>
      <c r="DNN157" s="69"/>
      <c r="DNO157" s="69"/>
      <c r="DNP157" s="69"/>
      <c r="DNQ157" s="69"/>
      <c r="DNR157" s="69"/>
      <c r="DNS157" s="69"/>
      <c r="DNT157" s="69"/>
      <c r="DNU157" s="69"/>
      <c r="DNV157" s="69"/>
      <c r="DNW157" s="69"/>
      <c r="DNX157" s="69"/>
      <c r="DNY157" s="69"/>
      <c r="DNZ157" s="69"/>
      <c r="DOA157" s="69"/>
      <c r="DOB157" s="69"/>
      <c r="DOC157" s="69"/>
      <c r="DOD157" s="69"/>
      <c r="DOE157" s="69"/>
      <c r="DOF157" s="69"/>
      <c r="DOG157" s="69"/>
      <c r="DOH157" s="69"/>
      <c r="DOI157" s="69"/>
      <c r="DOJ157" s="69"/>
      <c r="DOK157" s="69"/>
      <c r="DOL157" s="69"/>
      <c r="DOM157" s="69"/>
      <c r="DON157" s="69"/>
      <c r="DOO157" s="69"/>
      <c r="DOP157" s="69"/>
      <c r="DOQ157" s="69"/>
      <c r="DOR157" s="69"/>
      <c r="DOS157" s="69"/>
      <c r="DOT157" s="69"/>
      <c r="DOU157" s="69"/>
      <c r="DOV157" s="69"/>
      <c r="DOW157" s="69"/>
      <c r="DOX157" s="69"/>
      <c r="DOY157" s="69"/>
      <c r="DOZ157" s="69"/>
      <c r="DPA157" s="69"/>
      <c r="DPB157" s="69"/>
      <c r="DPC157" s="69"/>
      <c r="DPD157" s="69"/>
      <c r="DPE157" s="69"/>
      <c r="DPF157" s="69"/>
      <c r="DPG157" s="69"/>
      <c r="DPH157" s="69"/>
      <c r="DPI157" s="69"/>
      <c r="DPJ157" s="69"/>
      <c r="DPK157" s="69"/>
      <c r="DPL157" s="69"/>
      <c r="DPM157" s="69"/>
      <c r="DPN157" s="69"/>
      <c r="DPO157" s="69"/>
      <c r="DPP157" s="69"/>
      <c r="DPQ157" s="69"/>
      <c r="DPR157" s="69"/>
      <c r="DPS157" s="69"/>
      <c r="DPT157" s="69"/>
      <c r="DPU157" s="69"/>
      <c r="DPV157" s="69"/>
      <c r="DPW157" s="69"/>
      <c r="DPX157" s="69"/>
      <c r="DPY157" s="69"/>
      <c r="DPZ157" s="69"/>
      <c r="DQA157" s="69"/>
      <c r="DQB157" s="69"/>
      <c r="DQC157" s="69"/>
      <c r="DQD157" s="69"/>
      <c r="DQE157" s="69"/>
      <c r="DQF157" s="69"/>
      <c r="DQG157" s="69"/>
      <c r="DQH157" s="69"/>
      <c r="DQI157" s="69"/>
      <c r="DQJ157" s="69"/>
      <c r="DQK157" s="69"/>
      <c r="DQL157" s="69"/>
      <c r="DQM157" s="69"/>
      <c r="DQN157" s="69"/>
      <c r="DQO157" s="69"/>
      <c r="DQP157" s="69"/>
      <c r="DQQ157" s="69"/>
      <c r="DQR157" s="69"/>
      <c r="DQS157" s="69"/>
      <c r="DQT157" s="69"/>
      <c r="DQU157" s="69"/>
      <c r="DQV157" s="69"/>
      <c r="DQW157" s="69"/>
      <c r="DQX157" s="69"/>
      <c r="DQY157" s="69"/>
      <c r="DQZ157" s="69"/>
      <c r="DRA157" s="69"/>
      <c r="DRB157" s="69"/>
      <c r="DRC157" s="69"/>
      <c r="DRD157" s="69"/>
      <c r="DRE157" s="69"/>
      <c r="DRF157" s="69"/>
      <c r="DRG157" s="69"/>
      <c r="DRH157" s="69"/>
      <c r="DRI157" s="69"/>
      <c r="DRJ157" s="69"/>
      <c r="DRK157" s="69"/>
      <c r="DRL157" s="69"/>
      <c r="DRM157" s="69"/>
      <c r="DRN157" s="69"/>
      <c r="DRO157" s="69"/>
      <c r="DRP157" s="69"/>
      <c r="DRQ157" s="69"/>
      <c r="DRR157" s="69"/>
      <c r="DRS157" s="69"/>
      <c r="DRT157" s="69"/>
      <c r="DRU157" s="69"/>
      <c r="DRV157" s="69"/>
      <c r="DRW157" s="69"/>
      <c r="DRX157" s="69"/>
      <c r="DRY157" s="69"/>
      <c r="DRZ157" s="69"/>
      <c r="DSA157" s="69"/>
      <c r="DSB157" s="69"/>
      <c r="DSC157" s="69"/>
      <c r="DSD157" s="69"/>
      <c r="DSE157" s="69"/>
      <c r="DSF157" s="69"/>
      <c r="DSG157" s="69"/>
      <c r="DSH157" s="69"/>
      <c r="DSI157" s="69"/>
      <c r="DSJ157" s="69"/>
      <c r="DSK157" s="69"/>
      <c r="DSL157" s="69"/>
      <c r="DSM157" s="69"/>
      <c r="DSN157" s="69"/>
      <c r="DSO157" s="69"/>
      <c r="DSP157" s="69"/>
      <c r="DSQ157" s="69"/>
      <c r="DSR157" s="69"/>
      <c r="DSS157" s="69"/>
      <c r="DST157" s="69"/>
      <c r="DSU157" s="69"/>
      <c r="DSV157" s="69"/>
      <c r="DSW157" s="69"/>
      <c r="DSX157" s="69"/>
      <c r="DSY157" s="69"/>
      <c r="DSZ157" s="69"/>
      <c r="DTA157" s="69"/>
      <c r="DTB157" s="69"/>
      <c r="DTC157" s="69"/>
      <c r="DTD157" s="69"/>
      <c r="DTE157" s="69"/>
      <c r="DTF157" s="69"/>
      <c r="DTG157" s="69"/>
      <c r="DTH157" s="69"/>
      <c r="DTI157" s="69"/>
      <c r="DTJ157" s="69"/>
      <c r="DTK157" s="69"/>
      <c r="DTL157" s="69"/>
      <c r="DTM157" s="69"/>
      <c r="DTN157" s="69"/>
      <c r="DTO157" s="69"/>
      <c r="DTP157" s="69"/>
      <c r="DTQ157" s="69"/>
      <c r="DTR157" s="69"/>
      <c r="DTS157" s="69"/>
      <c r="DTT157" s="69"/>
      <c r="DTU157" s="69"/>
      <c r="DTV157" s="69"/>
      <c r="DTW157" s="69"/>
      <c r="DTX157" s="69"/>
      <c r="DTY157" s="69"/>
      <c r="DTZ157" s="69"/>
      <c r="DUA157" s="69"/>
      <c r="DUB157" s="69"/>
      <c r="DUC157" s="69"/>
      <c r="DUD157" s="69"/>
      <c r="DUE157" s="69"/>
      <c r="DUF157" s="69"/>
      <c r="DUG157" s="69"/>
      <c r="DUH157" s="69"/>
      <c r="DUI157" s="69"/>
      <c r="DUJ157" s="69"/>
      <c r="DUK157" s="69"/>
      <c r="DUL157" s="69"/>
      <c r="DUM157" s="69"/>
      <c r="DUN157" s="69"/>
      <c r="DUO157" s="69"/>
      <c r="DUP157" s="69"/>
      <c r="DUQ157" s="69"/>
      <c r="DUR157" s="69"/>
      <c r="DUS157" s="69"/>
      <c r="DUT157" s="69"/>
      <c r="DUU157" s="69"/>
      <c r="DUV157" s="69"/>
      <c r="DUW157" s="69"/>
      <c r="DUX157" s="69"/>
      <c r="DUY157" s="69"/>
      <c r="DUZ157" s="69"/>
      <c r="DVA157" s="69"/>
      <c r="DVB157" s="69"/>
      <c r="DVC157" s="69"/>
      <c r="DVD157" s="69"/>
      <c r="DVE157" s="69"/>
      <c r="DVF157" s="69"/>
      <c r="DVG157" s="69"/>
      <c r="DVH157" s="69"/>
      <c r="DVI157" s="69"/>
      <c r="DVJ157" s="69"/>
      <c r="DVK157" s="69"/>
      <c r="DVL157" s="69"/>
      <c r="DVM157" s="69"/>
      <c r="DVN157" s="69"/>
      <c r="DVO157" s="69"/>
      <c r="DVP157" s="69"/>
      <c r="DVQ157" s="69"/>
      <c r="DVR157" s="69"/>
      <c r="DVS157" s="69"/>
      <c r="DVT157" s="69"/>
      <c r="DVU157" s="69"/>
      <c r="DVV157" s="69"/>
      <c r="DVW157" s="69"/>
      <c r="DVX157" s="69"/>
      <c r="DVY157" s="69"/>
      <c r="DVZ157" s="69"/>
      <c r="DWA157" s="69"/>
      <c r="DWB157" s="69"/>
      <c r="DWC157" s="69"/>
      <c r="DWD157" s="69"/>
      <c r="DWE157" s="69"/>
      <c r="DWF157" s="69"/>
      <c r="DWG157" s="69"/>
      <c r="DWH157" s="69"/>
      <c r="DWI157" s="69"/>
      <c r="DWJ157" s="69"/>
      <c r="DWK157" s="69"/>
      <c r="DWL157" s="69"/>
      <c r="DWM157" s="69"/>
      <c r="DWN157" s="69"/>
      <c r="DWO157" s="69"/>
      <c r="DWP157" s="69"/>
      <c r="DWQ157" s="69"/>
      <c r="DWR157" s="69"/>
      <c r="DWS157" s="69"/>
      <c r="DWT157" s="69"/>
      <c r="DWU157" s="69"/>
      <c r="DWV157" s="69"/>
      <c r="DWW157" s="69"/>
      <c r="DWX157" s="69"/>
      <c r="DWY157" s="69"/>
      <c r="DWZ157" s="69"/>
      <c r="DXA157" s="69"/>
      <c r="DXB157" s="69"/>
      <c r="DXC157" s="69"/>
      <c r="DXD157" s="69"/>
      <c r="DXE157" s="69"/>
      <c r="DXF157" s="69"/>
      <c r="DXG157" s="69"/>
      <c r="DXH157" s="69"/>
      <c r="DXI157" s="69"/>
      <c r="DXJ157" s="69"/>
      <c r="DXK157" s="69"/>
      <c r="DXL157" s="69"/>
      <c r="DXM157" s="69"/>
      <c r="DXN157" s="69"/>
      <c r="DXO157" s="69"/>
      <c r="DXP157" s="69"/>
      <c r="DXQ157" s="69"/>
      <c r="DXR157" s="69"/>
      <c r="DXS157" s="69"/>
      <c r="DXT157" s="69"/>
      <c r="DXU157" s="69"/>
      <c r="DXV157" s="69"/>
      <c r="DXW157" s="69"/>
      <c r="DXX157" s="69"/>
      <c r="DXY157" s="69"/>
      <c r="DXZ157" s="69"/>
      <c r="DYA157" s="69"/>
      <c r="DYB157" s="69"/>
      <c r="DYC157" s="69"/>
      <c r="DYD157" s="69"/>
      <c r="DYE157" s="69"/>
      <c r="DYF157" s="69"/>
      <c r="DYG157" s="69"/>
      <c r="DYH157" s="69"/>
      <c r="DYI157" s="69"/>
      <c r="DYJ157" s="69"/>
      <c r="DYK157" s="69"/>
      <c r="DYL157" s="69"/>
      <c r="DYM157" s="69"/>
      <c r="DYN157" s="69"/>
      <c r="DYO157" s="69"/>
      <c r="DYP157" s="69"/>
      <c r="DYQ157" s="69"/>
      <c r="DYR157" s="69"/>
      <c r="DYS157" s="69"/>
      <c r="DYT157" s="69"/>
      <c r="DYU157" s="69"/>
      <c r="DYV157" s="69"/>
      <c r="DYW157" s="69"/>
      <c r="DYX157" s="69"/>
      <c r="DYY157" s="69"/>
      <c r="DYZ157" s="69"/>
      <c r="DZA157" s="69"/>
      <c r="DZB157" s="69"/>
      <c r="DZC157" s="69"/>
      <c r="DZD157" s="69"/>
      <c r="DZE157" s="69"/>
      <c r="DZF157" s="69"/>
      <c r="DZG157" s="69"/>
      <c r="DZH157" s="69"/>
      <c r="DZI157" s="69"/>
      <c r="DZJ157" s="69"/>
      <c r="DZK157" s="69"/>
      <c r="DZL157" s="69"/>
      <c r="DZM157" s="69"/>
      <c r="DZN157" s="69"/>
      <c r="DZO157" s="69"/>
      <c r="DZP157" s="69"/>
      <c r="DZQ157" s="69"/>
      <c r="DZR157" s="69"/>
      <c r="DZS157" s="69"/>
      <c r="DZT157" s="69"/>
      <c r="DZU157" s="69"/>
      <c r="DZV157" s="69"/>
      <c r="DZW157" s="69"/>
      <c r="DZX157" s="69"/>
      <c r="DZY157" s="69"/>
      <c r="DZZ157" s="69"/>
      <c r="EAA157" s="69"/>
      <c r="EAB157" s="69"/>
      <c r="EAC157" s="69"/>
      <c r="EAD157" s="69"/>
      <c r="EAE157" s="69"/>
      <c r="EAF157" s="69"/>
      <c r="EAG157" s="69"/>
      <c r="EAH157" s="69"/>
      <c r="EAI157" s="69"/>
      <c r="EAJ157" s="69"/>
      <c r="EAK157" s="69"/>
      <c r="EAL157" s="69"/>
      <c r="EAM157" s="69"/>
      <c r="EAN157" s="69"/>
      <c r="EAO157" s="69"/>
      <c r="EAP157" s="69"/>
      <c r="EAQ157" s="69"/>
      <c r="EAR157" s="69"/>
      <c r="EAS157" s="69"/>
      <c r="EAT157" s="69"/>
      <c r="EAU157" s="69"/>
      <c r="EAV157" s="69"/>
      <c r="EAW157" s="69"/>
      <c r="EAX157" s="69"/>
      <c r="EAY157" s="69"/>
      <c r="EAZ157" s="69"/>
      <c r="EBA157" s="69"/>
      <c r="EBB157" s="69"/>
      <c r="EBC157" s="69"/>
      <c r="EBD157" s="69"/>
      <c r="EBE157" s="69"/>
      <c r="EBF157" s="69"/>
      <c r="EBG157" s="69"/>
      <c r="EBH157" s="69"/>
      <c r="EBI157" s="69"/>
      <c r="EBJ157" s="69"/>
      <c r="EBK157" s="69"/>
      <c r="EBL157" s="69"/>
      <c r="EBM157" s="69"/>
      <c r="EBN157" s="69"/>
      <c r="EBO157" s="69"/>
      <c r="EBP157" s="69"/>
      <c r="EBQ157" s="69"/>
      <c r="EBR157" s="69"/>
      <c r="EBS157" s="69"/>
      <c r="EBT157" s="69"/>
      <c r="EBU157" s="69"/>
      <c r="EBV157" s="69"/>
      <c r="EBW157" s="69"/>
      <c r="EBX157" s="69"/>
      <c r="EBY157" s="69"/>
      <c r="EBZ157" s="69"/>
      <c r="ECA157" s="69"/>
      <c r="ECB157" s="69"/>
      <c r="ECC157" s="69"/>
      <c r="ECD157" s="69"/>
      <c r="ECE157" s="69"/>
      <c r="ECF157" s="69"/>
      <c r="ECG157" s="69"/>
      <c r="ECH157" s="69"/>
      <c r="ECI157" s="69"/>
      <c r="ECJ157" s="69"/>
      <c r="ECK157" s="69"/>
      <c r="ECL157" s="69"/>
      <c r="ECM157" s="69"/>
      <c r="ECN157" s="69"/>
      <c r="ECO157" s="69"/>
      <c r="ECP157" s="69"/>
      <c r="ECQ157" s="69"/>
      <c r="ECR157" s="69"/>
      <c r="ECS157" s="69"/>
      <c r="ECT157" s="69"/>
      <c r="ECU157" s="69"/>
      <c r="ECV157" s="69"/>
      <c r="ECW157" s="69"/>
      <c r="ECX157" s="69"/>
      <c r="ECY157" s="69"/>
      <c r="ECZ157" s="69"/>
      <c r="EDA157" s="69"/>
      <c r="EDB157" s="69"/>
      <c r="EDC157" s="69"/>
      <c r="EDD157" s="69"/>
      <c r="EDE157" s="69"/>
      <c r="EDF157" s="69"/>
      <c r="EDG157" s="69"/>
      <c r="EDH157" s="69"/>
      <c r="EDI157" s="69"/>
      <c r="EDJ157" s="69"/>
      <c r="EDK157" s="69"/>
      <c r="EDL157" s="69"/>
      <c r="EDM157" s="69"/>
      <c r="EDN157" s="69"/>
      <c r="EDO157" s="69"/>
      <c r="EDP157" s="69"/>
      <c r="EDQ157" s="69"/>
      <c r="EDR157" s="69"/>
      <c r="EDS157" s="69"/>
      <c r="EDT157" s="69"/>
      <c r="EDU157" s="69"/>
      <c r="EDV157" s="69"/>
      <c r="EDW157" s="69"/>
      <c r="EDX157" s="69"/>
      <c r="EDY157" s="69"/>
      <c r="EDZ157" s="69"/>
      <c r="EEA157" s="69"/>
      <c r="EEB157" s="69"/>
      <c r="EEC157" s="69"/>
      <c r="EED157" s="69"/>
      <c r="EEE157" s="69"/>
      <c r="EEF157" s="69"/>
      <c r="EEG157" s="69"/>
      <c r="EEH157" s="69"/>
      <c r="EEI157" s="69"/>
      <c r="EEJ157" s="69"/>
      <c r="EEK157" s="69"/>
      <c r="EEL157" s="69"/>
      <c r="EEM157" s="69"/>
      <c r="EEN157" s="69"/>
      <c r="EEO157" s="69"/>
      <c r="EEP157" s="69"/>
      <c r="EEQ157" s="69"/>
      <c r="EER157" s="69"/>
      <c r="EES157" s="69"/>
      <c r="EET157" s="69"/>
      <c r="EEU157" s="69"/>
      <c r="EEV157" s="69"/>
      <c r="EEW157" s="69"/>
      <c r="EEX157" s="69"/>
      <c r="EEY157" s="69"/>
      <c r="EEZ157" s="69"/>
      <c r="EFA157" s="69"/>
      <c r="EFB157" s="69"/>
      <c r="EFC157" s="69"/>
      <c r="EFD157" s="69"/>
      <c r="EFE157" s="69"/>
      <c r="EFF157" s="69"/>
      <c r="EFG157" s="69"/>
      <c r="EFH157" s="69"/>
      <c r="EFI157" s="69"/>
      <c r="EFJ157" s="69"/>
      <c r="EFK157" s="69"/>
      <c r="EFL157" s="69"/>
      <c r="EFM157" s="69"/>
      <c r="EFN157" s="69"/>
      <c r="EFO157" s="69"/>
      <c r="EFP157" s="69"/>
      <c r="EFQ157" s="69"/>
      <c r="EFR157" s="69"/>
      <c r="EFS157" s="69"/>
      <c r="EFT157" s="69"/>
      <c r="EFU157" s="69"/>
      <c r="EFV157" s="69"/>
      <c r="EFW157" s="69"/>
      <c r="EFX157" s="69"/>
      <c r="EFY157" s="69"/>
      <c r="EFZ157" s="69"/>
      <c r="EGA157" s="69"/>
      <c r="EGB157" s="69"/>
      <c r="EGC157" s="69"/>
      <c r="EGD157" s="69"/>
      <c r="EGE157" s="69"/>
      <c r="EGF157" s="69"/>
      <c r="EGG157" s="69"/>
      <c r="EGH157" s="69"/>
      <c r="EGI157" s="69"/>
      <c r="EGJ157" s="69"/>
      <c r="EGK157" s="69"/>
      <c r="EGL157" s="69"/>
      <c r="EGM157" s="69"/>
      <c r="EGN157" s="69"/>
      <c r="EGO157" s="69"/>
      <c r="EGP157" s="69"/>
      <c r="EGQ157" s="69"/>
      <c r="EGR157" s="69"/>
      <c r="EGS157" s="69"/>
      <c r="EGT157" s="69"/>
      <c r="EGU157" s="69"/>
      <c r="EGV157" s="69"/>
      <c r="EGW157" s="69"/>
      <c r="EGX157" s="69"/>
      <c r="EGY157" s="69"/>
      <c r="EGZ157" s="69"/>
      <c r="EHA157" s="69"/>
      <c r="EHB157" s="69"/>
      <c r="EHC157" s="69"/>
      <c r="EHD157" s="69"/>
      <c r="EHE157" s="69"/>
      <c r="EHF157" s="69"/>
      <c r="EHG157" s="69"/>
      <c r="EHH157" s="69"/>
      <c r="EHI157" s="69"/>
      <c r="EHJ157" s="69"/>
      <c r="EHK157" s="69"/>
      <c r="EHL157" s="69"/>
      <c r="EHM157" s="69"/>
      <c r="EHN157" s="69"/>
      <c r="EHO157" s="69"/>
      <c r="EHP157" s="69"/>
      <c r="EHQ157" s="69"/>
      <c r="EHR157" s="69"/>
      <c r="EHS157" s="69"/>
      <c r="EHT157" s="69"/>
      <c r="EHU157" s="69"/>
      <c r="EHV157" s="69"/>
      <c r="EHW157" s="69"/>
      <c r="EHX157" s="69"/>
      <c r="EHY157" s="69"/>
      <c r="EHZ157" s="69"/>
      <c r="EIA157" s="69"/>
      <c r="EIB157" s="69"/>
      <c r="EIC157" s="69"/>
      <c r="EID157" s="69"/>
      <c r="EIE157" s="69"/>
      <c r="EIF157" s="69"/>
      <c r="EIG157" s="69"/>
      <c r="EIH157" s="69"/>
      <c r="EII157" s="69"/>
      <c r="EIJ157" s="69"/>
      <c r="EIK157" s="69"/>
      <c r="EIL157" s="69"/>
      <c r="EIM157" s="69"/>
      <c r="EIN157" s="69"/>
      <c r="EIO157" s="69"/>
      <c r="EIP157" s="69"/>
      <c r="EIQ157" s="69"/>
      <c r="EIR157" s="69"/>
      <c r="EIS157" s="69"/>
      <c r="EIT157" s="69"/>
      <c r="EIU157" s="69"/>
      <c r="EIV157" s="69"/>
      <c r="EIW157" s="69"/>
      <c r="EIX157" s="69"/>
      <c r="EIY157" s="69"/>
      <c r="EIZ157" s="69"/>
      <c r="EJA157" s="69"/>
      <c r="EJB157" s="69"/>
      <c r="EJC157" s="69"/>
      <c r="EJD157" s="69"/>
      <c r="EJE157" s="69"/>
      <c r="EJF157" s="69"/>
      <c r="EJG157" s="69"/>
      <c r="EJH157" s="69"/>
      <c r="EJI157" s="69"/>
      <c r="EJJ157" s="69"/>
      <c r="EJK157" s="69"/>
      <c r="EJL157" s="69"/>
      <c r="EJM157" s="69"/>
      <c r="EJN157" s="69"/>
      <c r="EJO157" s="69"/>
      <c r="EJP157" s="69"/>
      <c r="EJQ157" s="69"/>
      <c r="EJR157" s="69"/>
      <c r="EJS157" s="69"/>
      <c r="EJT157" s="69"/>
      <c r="EJU157" s="69"/>
      <c r="EJV157" s="69"/>
      <c r="EJW157" s="69"/>
      <c r="EJX157" s="69"/>
      <c r="EJY157" s="69"/>
      <c r="EJZ157" s="69"/>
      <c r="EKA157" s="69"/>
      <c r="EKB157" s="69"/>
      <c r="EKC157" s="69"/>
      <c r="EKD157" s="69"/>
      <c r="EKE157" s="69"/>
      <c r="EKF157" s="69"/>
      <c r="EKG157" s="69"/>
      <c r="EKH157" s="69"/>
      <c r="EKI157" s="69"/>
      <c r="EKJ157" s="69"/>
      <c r="EKK157" s="69"/>
      <c r="EKL157" s="69"/>
      <c r="EKM157" s="69"/>
      <c r="EKN157" s="69"/>
      <c r="EKO157" s="69"/>
      <c r="EKP157" s="69"/>
      <c r="EKQ157" s="69"/>
      <c r="EKR157" s="69"/>
      <c r="EKS157" s="69"/>
      <c r="EKT157" s="69"/>
      <c r="EKU157" s="69"/>
      <c r="EKV157" s="69"/>
      <c r="EKW157" s="69"/>
      <c r="EKX157" s="69"/>
      <c r="EKY157" s="69"/>
      <c r="EKZ157" s="69"/>
      <c r="ELA157" s="69"/>
      <c r="ELB157" s="69"/>
      <c r="ELC157" s="69"/>
      <c r="ELD157" s="69"/>
      <c r="ELE157" s="69"/>
      <c r="ELF157" s="69"/>
      <c r="ELG157" s="69"/>
      <c r="ELH157" s="69"/>
      <c r="ELI157" s="69"/>
      <c r="ELJ157" s="69"/>
      <c r="ELK157" s="69"/>
      <c r="ELL157" s="69"/>
      <c r="ELM157" s="69"/>
      <c r="ELN157" s="69"/>
      <c r="ELO157" s="69"/>
      <c r="ELP157" s="69"/>
      <c r="ELQ157" s="69"/>
      <c r="ELR157" s="69"/>
      <c r="ELS157" s="69"/>
      <c r="ELT157" s="69"/>
      <c r="ELU157" s="69"/>
      <c r="ELV157" s="69"/>
      <c r="ELW157" s="69"/>
      <c r="ELX157" s="69"/>
      <c r="ELY157" s="69"/>
      <c r="ELZ157" s="69"/>
      <c r="EMA157" s="69"/>
      <c r="EMB157" s="69"/>
      <c r="EMC157" s="69"/>
      <c r="EMD157" s="69"/>
      <c r="EME157" s="69"/>
      <c r="EMF157" s="69"/>
      <c r="EMG157" s="69"/>
      <c r="EMH157" s="69"/>
      <c r="EMI157" s="69"/>
      <c r="EMJ157" s="69"/>
      <c r="EMK157" s="69"/>
      <c r="EML157" s="69"/>
      <c r="EMM157" s="69"/>
      <c r="EMN157" s="69"/>
      <c r="EMO157" s="69"/>
      <c r="EMP157" s="69"/>
      <c r="EMQ157" s="69"/>
      <c r="EMR157" s="69"/>
      <c r="EMS157" s="69"/>
      <c r="EMT157" s="69"/>
      <c r="EMU157" s="69"/>
      <c r="EMV157" s="69"/>
      <c r="EMW157" s="69"/>
      <c r="EMX157" s="69"/>
      <c r="EMY157" s="69"/>
      <c r="EMZ157" s="69"/>
      <c r="ENA157" s="69"/>
      <c r="ENB157" s="69"/>
      <c r="ENC157" s="69"/>
      <c r="END157" s="69"/>
      <c r="ENE157" s="69"/>
      <c r="ENF157" s="69"/>
      <c r="ENG157" s="69"/>
      <c r="ENH157" s="69"/>
      <c r="ENI157" s="69"/>
      <c r="ENJ157" s="69"/>
      <c r="ENK157" s="69"/>
      <c r="ENL157" s="69"/>
      <c r="ENM157" s="69"/>
      <c r="ENN157" s="69"/>
      <c r="ENO157" s="69"/>
      <c r="ENP157" s="69"/>
      <c r="ENQ157" s="69"/>
      <c r="ENR157" s="69"/>
      <c r="ENS157" s="69"/>
      <c r="ENT157" s="69"/>
      <c r="ENU157" s="69"/>
      <c r="ENV157" s="69"/>
      <c r="ENW157" s="69"/>
      <c r="ENX157" s="69"/>
      <c r="ENY157" s="69"/>
      <c r="ENZ157" s="69"/>
      <c r="EOA157" s="69"/>
      <c r="EOB157" s="69"/>
      <c r="EOC157" s="69"/>
      <c r="EOD157" s="69"/>
      <c r="EOE157" s="69"/>
      <c r="EOF157" s="69"/>
      <c r="EOG157" s="69"/>
      <c r="EOH157" s="69"/>
      <c r="EOI157" s="69"/>
      <c r="EOJ157" s="69"/>
      <c r="EOK157" s="69"/>
      <c r="EOL157" s="69"/>
      <c r="EOM157" s="69"/>
      <c r="EON157" s="69"/>
      <c r="EOO157" s="69"/>
      <c r="EOP157" s="69"/>
      <c r="EOQ157" s="69"/>
      <c r="EOR157" s="69"/>
      <c r="EOS157" s="69"/>
      <c r="EOT157" s="69"/>
      <c r="EOU157" s="69"/>
      <c r="EOV157" s="69"/>
      <c r="EOW157" s="69"/>
      <c r="EOX157" s="69"/>
      <c r="EOY157" s="69"/>
      <c r="EOZ157" s="69"/>
      <c r="EPA157" s="69"/>
      <c r="EPB157" s="69"/>
      <c r="EPC157" s="69"/>
      <c r="EPD157" s="69"/>
      <c r="EPE157" s="69"/>
      <c r="EPF157" s="69"/>
      <c r="EPG157" s="69"/>
      <c r="EPH157" s="69"/>
      <c r="EPI157" s="69"/>
      <c r="EPJ157" s="69"/>
      <c r="EPK157" s="69"/>
      <c r="EPL157" s="69"/>
      <c r="EPM157" s="69"/>
      <c r="EPN157" s="69"/>
      <c r="EPO157" s="69"/>
      <c r="EPP157" s="69"/>
      <c r="EPQ157" s="69"/>
      <c r="EPR157" s="69"/>
      <c r="EPS157" s="69"/>
      <c r="EPT157" s="69"/>
      <c r="EPU157" s="69"/>
      <c r="EPV157" s="69"/>
      <c r="EPW157" s="69"/>
      <c r="EPX157" s="69"/>
      <c r="EPY157" s="69"/>
      <c r="EPZ157" s="69"/>
      <c r="EQA157" s="69"/>
      <c r="EQB157" s="69"/>
      <c r="EQC157" s="69"/>
      <c r="EQD157" s="69"/>
      <c r="EQE157" s="69"/>
      <c r="EQF157" s="69"/>
      <c r="EQG157" s="69"/>
      <c r="EQH157" s="69"/>
      <c r="EQI157" s="69"/>
      <c r="EQJ157" s="69"/>
      <c r="EQK157" s="69"/>
      <c r="EQL157" s="69"/>
      <c r="EQM157" s="69"/>
      <c r="EQN157" s="69"/>
      <c r="EQO157" s="69"/>
      <c r="EQP157" s="69"/>
      <c r="EQQ157" s="69"/>
      <c r="EQR157" s="69"/>
      <c r="EQS157" s="69"/>
      <c r="EQT157" s="69"/>
      <c r="EQU157" s="69"/>
      <c r="EQV157" s="69"/>
      <c r="EQW157" s="69"/>
      <c r="EQX157" s="69"/>
      <c r="EQY157" s="69"/>
      <c r="EQZ157" s="69"/>
      <c r="ERA157" s="69"/>
      <c r="ERB157" s="69"/>
      <c r="ERC157" s="69"/>
      <c r="ERD157" s="69"/>
      <c r="ERE157" s="69"/>
      <c r="ERF157" s="69"/>
      <c r="ERG157" s="69"/>
      <c r="ERH157" s="69"/>
      <c r="ERI157" s="69"/>
      <c r="ERJ157" s="69"/>
      <c r="ERK157" s="69"/>
      <c r="ERL157" s="69"/>
      <c r="ERM157" s="69"/>
      <c r="ERN157" s="69"/>
      <c r="ERO157" s="69"/>
      <c r="ERP157" s="69"/>
      <c r="ERQ157" s="69"/>
      <c r="ERR157" s="69"/>
      <c r="ERS157" s="69"/>
      <c r="ERT157" s="69"/>
      <c r="ERU157" s="69"/>
      <c r="ERV157" s="69"/>
      <c r="ERW157" s="69"/>
      <c r="ERX157" s="69"/>
      <c r="ERY157" s="69"/>
      <c r="ERZ157" s="69"/>
      <c r="ESA157" s="69"/>
      <c r="ESB157" s="69"/>
      <c r="ESC157" s="69"/>
      <c r="ESD157" s="69"/>
      <c r="ESE157" s="69"/>
      <c r="ESF157" s="69"/>
      <c r="ESG157" s="69"/>
      <c r="ESH157" s="69"/>
      <c r="ESI157" s="69"/>
      <c r="ESJ157" s="69"/>
      <c r="ESK157" s="69"/>
      <c r="ESL157" s="69"/>
      <c r="ESM157" s="69"/>
      <c r="ESN157" s="69"/>
      <c r="ESO157" s="69"/>
      <c r="ESP157" s="69"/>
      <c r="ESQ157" s="69"/>
      <c r="ESR157" s="69"/>
      <c r="ESS157" s="69"/>
      <c r="EST157" s="69"/>
      <c r="ESU157" s="69"/>
      <c r="ESV157" s="69"/>
      <c r="ESW157" s="69"/>
      <c r="ESX157" s="69"/>
      <c r="ESY157" s="69"/>
      <c r="ESZ157" s="69"/>
      <c r="ETA157" s="69"/>
      <c r="ETB157" s="69"/>
      <c r="ETC157" s="69"/>
      <c r="ETD157" s="69"/>
      <c r="ETE157" s="69"/>
      <c r="ETF157" s="69"/>
      <c r="ETG157" s="69"/>
      <c r="ETH157" s="69"/>
      <c r="ETI157" s="69"/>
      <c r="ETJ157" s="69"/>
      <c r="ETK157" s="69"/>
      <c r="ETL157" s="69"/>
      <c r="ETM157" s="69"/>
      <c r="ETN157" s="69"/>
      <c r="ETO157" s="69"/>
      <c r="ETP157" s="69"/>
      <c r="ETQ157" s="69"/>
      <c r="ETR157" s="69"/>
      <c r="ETS157" s="69"/>
      <c r="ETT157" s="69"/>
      <c r="ETU157" s="69"/>
      <c r="ETV157" s="69"/>
      <c r="ETW157" s="69"/>
      <c r="ETX157" s="69"/>
      <c r="ETY157" s="69"/>
      <c r="ETZ157" s="69"/>
      <c r="EUA157" s="69"/>
      <c r="EUB157" s="69"/>
      <c r="EUC157" s="69"/>
      <c r="EUD157" s="69"/>
      <c r="EUE157" s="69"/>
      <c r="EUF157" s="69"/>
      <c r="EUG157" s="69"/>
      <c r="EUH157" s="69"/>
      <c r="EUI157" s="69"/>
      <c r="EUJ157" s="69"/>
      <c r="EUK157" s="69"/>
      <c r="EUL157" s="69"/>
      <c r="EUM157" s="69"/>
      <c r="EUN157" s="69"/>
      <c r="EUO157" s="69"/>
      <c r="EUP157" s="69"/>
      <c r="EUQ157" s="69"/>
      <c r="EUR157" s="69"/>
      <c r="EUS157" s="69"/>
      <c r="EUT157" s="69"/>
      <c r="EUU157" s="69"/>
      <c r="EUV157" s="69"/>
      <c r="EUW157" s="69"/>
      <c r="EUX157" s="69"/>
      <c r="EUY157" s="69"/>
      <c r="EUZ157" s="69"/>
      <c r="EVA157" s="69"/>
      <c r="EVB157" s="69"/>
      <c r="EVC157" s="69"/>
      <c r="EVD157" s="69"/>
      <c r="EVE157" s="69"/>
      <c r="EVF157" s="69"/>
      <c r="EVG157" s="69"/>
      <c r="EVH157" s="69"/>
      <c r="EVI157" s="69"/>
      <c r="EVJ157" s="69"/>
      <c r="EVK157" s="69"/>
      <c r="EVL157" s="69"/>
      <c r="EVM157" s="69"/>
      <c r="EVN157" s="69"/>
      <c r="EVO157" s="69"/>
      <c r="EVP157" s="69"/>
      <c r="EVQ157" s="69"/>
      <c r="EVR157" s="69"/>
      <c r="EVS157" s="69"/>
      <c r="EVT157" s="69"/>
      <c r="EVU157" s="69"/>
      <c r="EVV157" s="69"/>
      <c r="EVW157" s="69"/>
      <c r="EVX157" s="69"/>
      <c r="EVY157" s="69"/>
      <c r="EVZ157" s="69"/>
      <c r="EWA157" s="69"/>
      <c r="EWB157" s="69"/>
      <c r="EWC157" s="69"/>
      <c r="EWD157" s="69"/>
      <c r="EWE157" s="69"/>
      <c r="EWF157" s="69"/>
      <c r="EWG157" s="69"/>
      <c r="EWH157" s="69"/>
      <c r="EWI157" s="69"/>
      <c r="EWJ157" s="69"/>
      <c r="EWK157" s="69"/>
      <c r="EWL157" s="69"/>
      <c r="EWM157" s="69"/>
      <c r="EWN157" s="69"/>
      <c r="EWO157" s="69"/>
      <c r="EWP157" s="69"/>
      <c r="EWQ157" s="69"/>
      <c r="EWR157" s="69"/>
      <c r="EWS157" s="69"/>
      <c r="EWT157" s="69"/>
      <c r="EWU157" s="69"/>
      <c r="EWV157" s="69"/>
      <c r="EWW157" s="69"/>
      <c r="EWX157" s="69"/>
      <c r="EWY157" s="69"/>
      <c r="EWZ157" s="69"/>
      <c r="EXA157" s="69"/>
      <c r="EXB157" s="69"/>
      <c r="EXC157" s="69"/>
      <c r="EXD157" s="69"/>
      <c r="EXE157" s="69"/>
      <c r="EXF157" s="69"/>
      <c r="EXG157" s="69"/>
      <c r="EXH157" s="69"/>
      <c r="EXI157" s="69"/>
      <c r="EXJ157" s="69"/>
      <c r="EXK157" s="69"/>
      <c r="EXL157" s="69"/>
      <c r="EXM157" s="69"/>
      <c r="EXN157" s="69"/>
      <c r="EXO157" s="69"/>
      <c r="EXP157" s="69"/>
      <c r="EXQ157" s="69"/>
      <c r="EXR157" s="69"/>
      <c r="EXS157" s="69"/>
      <c r="EXT157" s="69"/>
      <c r="EXU157" s="69"/>
      <c r="EXV157" s="69"/>
      <c r="EXW157" s="69"/>
      <c r="EXX157" s="69"/>
      <c r="EXY157" s="69"/>
      <c r="EXZ157" s="69"/>
      <c r="EYA157" s="69"/>
      <c r="EYB157" s="69"/>
      <c r="EYC157" s="69"/>
      <c r="EYD157" s="69"/>
      <c r="EYE157" s="69"/>
      <c r="EYF157" s="69"/>
      <c r="EYG157" s="69"/>
      <c r="EYH157" s="69"/>
      <c r="EYI157" s="69"/>
      <c r="EYJ157" s="69"/>
      <c r="EYK157" s="69"/>
      <c r="EYL157" s="69"/>
      <c r="EYM157" s="69"/>
      <c r="EYN157" s="69"/>
      <c r="EYO157" s="69"/>
      <c r="EYP157" s="69"/>
      <c r="EYQ157" s="69"/>
      <c r="EYR157" s="69"/>
      <c r="EYS157" s="69"/>
      <c r="EYT157" s="69"/>
      <c r="EYU157" s="69"/>
      <c r="EYV157" s="69"/>
      <c r="EYW157" s="69"/>
      <c r="EYX157" s="69"/>
      <c r="EYY157" s="69"/>
      <c r="EYZ157" s="69"/>
      <c r="EZA157" s="69"/>
      <c r="EZB157" s="69"/>
      <c r="EZC157" s="69"/>
      <c r="EZD157" s="69"/>
      <c r="EZE157" s="69"/>
      <c r="EZF157" s="69"/>
      <c r="EZG157" s="69"/>
      <c r="EZH157" s="69"/>
      <c r="EZI157" s="69"/>
      <c r="EZJ157" s="69"/>
      <c r="EZK157" s="69"/>
      <c r="EZL157" s="69"/>
      <c r="EZM157" s="69"/>
      <c r="EZN157" s="69"/>
      <c r="EZO157" s="69"/>
      <c r="EZP157" s="69"/>
      <c r="EZQ157" s="69"/>
      <c r="EZR157" s="69"/>
      <c r="EZS157" s="69"/>
      <c r="EZT157" s="69"/>
      <c r="EZU157" s="69"/>
      <c r="EZV157" s="69"/>
      <c r="EZW157" s="69"/>
      <c r="EZX157" s="69"/>
      <c r="EZY157" s="69"/>
      <c r="EZZ157" s="69"/>
      <c r="FAA157" s="69"/>
      <c r="FAB157" s="69"/>
      <c r="FAC157" s="69"/>
      <c r="FAD157" s="69"/>
      <c r="FAE157" s="69"/>
      <c r="FAF157" s="69"/>
      <c r="FAG157" s="69"/>
      <c r="FAH157" s="69"/>
      <c r="FAI157" s="69"/>
      <c r="FAJ157" s="69"/>
      <c r="FAK157" s="69"/>
      <c r="FAL157" s="69"/>
      <c r="FAM157" s="69"/>
      <c r="FAN157" s="69"/>
      <c r="FAO157" s="69"/>
      <c r="FAP157" s="69"/>
      <c r="FAQ157" s="69"/>
      <c r="FAR157" s="69"/>
      <c r="FAS157" s="69"/>
      <c r="FAT157" s="69"/>
      <c r="FAU157" s="69"/>
      <c r="FAV157" s="69"/>
      <c r="FAW157" s="69"/>
      <c r="FAX157" s="69"/>
      <c r="FAY157" s="69"/>
      <c r="FAZ157" s="69"/>
      <c r="FBA157" s="69"/>
      <c r="FBB157" s="69"/>
      <c r="FBC157" s="69"/>
      <c r="FBD157" s="69"/>
      <c r="FBE157" s="69"/>
      <c r="FBF157" s="69"/>
      <c r="FBG157" s="69"/>
      <c r="FBH157" s="69"/>
      <c r="FBI157" s="69"/>
      <c r="FBJ157" s="69"/>
      <c r="FBK157" s="69"/>
      <c r="FBL157" s="69"/>
      <c r="FBM157" s="69"/>
      <c r="FBN157" s="69"/>
      <c r="FBO157" s="69"/>
      <c r="FBP157" s="69"/>
      <c r="FBQ157" s="69"/>
      <c r="FBR157" s="69"/>
      <c r="FBS157" s="69"/>
      <c r="FBT157" s="69"/>
      <c r="FBU157" s="69"/>
      <c r="FBV157" s="69"/>
      <c r="FBW157" s="69"/>
      <c r="FBX157" s="69"/>
      <c r="FBY157" s="69"/>
      <c r="FBZ157" s="69"/>
      <c r="FCA157" s="69"/>
      <c r="FCB157" s="69"/>
      <c r="FCC157" s="69"/>
      <c r="FCD157" s="69"/>
      <c r="FCE157" s="69"/>
      <c r="FCF157" s="69"/>
      <c r="FCG157" s="69"/>
      <c r="FCH157" s="69"/>
      <c r="FCI157" s="69"/>
      <c r="FCJ157" s="69"/>
      <c r="FCK157" s="69"/>
      <c r="FCL157" s="69"/>
      <c r="FCM157" s="69"/>
      <c r="FCN157" s="69"/>
      <c r="FCO157" s="69"/>
      <c r="FCP157" s="69"/>
      <c r="FCQ157" s="69"/>
      <c r="FCR157" s="69"/>
      <c r="FCS157" s="69"/>
      <c r="FCT157" s="69"/>
      <c r="FCU157" s="69"/>
      <c r="FCV157" s="69"/>
      <c r="FCW157" s="69"/>
      <c r="FCX157" s="69"/>
      <c r="FCY157" s="69"/>
      <c r="FCZ157" s="69"/>
      <c r="FDA157" s="69"/>
      <c r="FDB157" s="69"/>
      <c r="FDC157" s="69"/>
      <c r="FDD157" s="69"/>
      <c r="FDE157" s="69"/>
      <c r="FDF157" s="69"/>
      <c r="FDG157" s="69"/>
      <c r="FDH157" s="69"/>
      <c r="FDI157" s="69"/>
      <c r="FDJ157" s="69"/>
      <c r="FDK157" s="69"/>
      <c r="FDL157" s="69"/>
      <c r="FDM157" s="69"/>
      <c r="FDN157" s="69"/>
      <c r="FDO157" s="69"/>
      <c r="FDP157" s="69"/>
      <c r="FDQ157" s="69"/>
      <c r="FDR157" s="69"/>
      <c r="FDS157" s="69"/>
      <c r="FDT157" s="69"/>
      <c r="FDU157" s="69"/>
      <c r="FDV157" s="69"/>
      <c r="FDW157" s="69"/>
      <c r="FDX157" s="69"/>
      <c r="FDY157" s="69"/>
      <c r="FDZ157" s="69"/>
      <c r="FEA157" s="69"/>
      <c r="FEB157" s="69"/>
      <c r="FEC157" s="69"/>
      <c r="FED157" s="69"/>
      <c r="FEE157" s="69"/>
      <c r="FEF157" s="69"/>
      <c r="FEG157" s="69"/>
      <c r="FEH157" s="69"/>
      <c r="FEI157" s="69"/>
      <c r="FEJ157" s="69"/>
      <c r="FEK157" s="69"/>
      <c r="FEL157" s="69"/>
      <c r="FEM157" s="69"/>
      <c r="FEN157" s="69"/>
      <c r="FEO157" s="69"/>
      <c r="FEP157" s="69"/>
      <c r="FEQ157" s="69"/>
      <c r="FER157" s="69"/>
      <c r="FES157" s="69"/>
      <c r="FET157" s="69"/>
      <c r="FEU157" s="69"/>
      <c r="FEV157" s="69"/>
      <c r="FEW157" s="69"/>
      <c r="FEX157" s="69"/>
      <c r="FEY157" s="69"/>
      <c r="FEZ157" s="69"/>
      <c r="FFA157" s="69"/>
      <c r="FFB157" s="69"/>
      <c r="FFC157" s="69"/>
      <c r="FFD157" s="69"/>
      <c r="FFE157" s="69"/>
      <c r="FFF157" s="69"/>
      <c r="FFG157" s="69"/>
      <c r="FFH157" s="69"/>
      <c r="FFI157" s="69"/>
      <c r="FFJ157" s="69"/>
      <c r="FFK157" s="69"/>
      <c r="FFL157" s="69"/>
      <c r="FFM157" s="69"/>
      <c r="FFN157" s="69"/>
      <c r="FFO157" s="69"/>
      <c r="FFP157" s="69"/>
      <c r="FFQ157" s="69"/>
      <c r="FFR157" s="69"/>
      <c r="FFS157" s="69"/>
      <c r="FFT157" s="69"/>
      <c r="FFU157" s="69"/>
      <c r="FFV157" s="69"/>
      <c r="FFW157" s="69"/>
      <c r="FFX157" s="69"/>
      <c r="FFY157" s="69"/>
      <c r="FFZ157" s="69"/>
      <c r="FGA157" s="69"/>
      <c r="FGB157" s="69"/>
      <c r="FGC157" s="69"/>
      <c r="FGD157" s="69"/>
      <c r="FGE157" s="69"/>
      <c r="FGF157" s="69"/>
      <c r="FGG157" s="69"/>
      <c r="FGH157" s="69"/>
      <c r="FGI157" s="69"/>
      <c r="FGJ157" s="69"/>
      <c r="FGK157" s="69"/>
      <c r="FGL157" s="69"/>
      <c r="FGM157" s="69"/>
      <c r="FGN157" s="69"/>
      <c r="FGO157" s="69"/>
      <c r="FGP157" s="69"/>
      <c r="FGQ157" s="69"/>
      <c r="FGR157" s="69"/>
      <c r="FGS157" s="69"/>
      <c r="FGT157" s="69"/>
      <c r="FGU157" s="69"/>
      <c r="FGV157" s="69"/>
      <c r="FGW157" s="69"/>
      <c r="FGX157" s="69"/>
      <c r="FGY157" s="69"/>
      <c r="FGZ157" s="69"/>
      <c r="FHA157" s="69"/>
      <c r="FHB157" s="69"/>
      <c r="FHC157" s="69"/>
      <c r="FHD157" s="69"/>
      <c r="FHE157" s="69"/>
      <c r="FHF157" s="69"/>
      <c r="FHG157" s="69"/>
      <c r="FHH157" s="69"/>
      <c r="FHI157" s="69"/>
      <c r="FHJ157" s="69"/>
      <c r="FHK157" s="69"/>
      <c r="FHL157" s="69"/>
      <c r="FHM157" s="69"/>
      <c r="FHN157" s="69"/>
      <c r="FHO157" s="69"/>
      <c r="FHP157" s="69"/>
      <c r="FHQ157" s="69"/>
      <c r="FHR157" s="69"/>
      <c r="FHS157" s="69"/>
      <c r="FHT157" s="69"/>
      <c r="FHU157" s="69"/>
      <c r="FHV157" s="69"/>
      <c r="FHW157" s="69"/>
      <c r="FHX157" s="69"/>
      <c r="FHY157" s="69"/>
      <c r="FHZ157" s="69"/>
      <c r="FIA157" s="69"/>
      <c r="FIB157" s="69"/>
      <c r="FIC157" s="69"/>
      <c r="FID157" s="69"/>
      <c r="FIE157" s="69"/>
      <c r="FIF157" s="69"/>
      <c r="FIG157" s="69"/>
      <c r="FIH157" s="69"/>
      <c r="FII157" s="69"/>
      <c r="FIJ157" s="69"/>
      <c r="FIK157" s="69"/>
      <c r="FIL157" s="69"/>
      <c r="FIM157" s="69"/>
      <c r="FIN157" s="69"/>
      <c r="FIO157" s="69"/>
      <c r="FIP157" s="69"/>
      <c r="FIQ157" s="69"/>
      <c r="FIR157" s="69"/>
      <c r="FIS157" s="69"/>
      <c r="FIT157" s="69"/>
      <c r="FIU157" s="69"/>
      <c r="FIV157" s="69"/>
      <c r="FIW157" s="69"/>
      <c r="FIX157" s="69"/>
      <c r="FIY157" s="69"/>
      <c r="FIZ157" s="69"/>
      <c r="FJA157" s="69"/>
      <c r="FJB157" s="69"/>
      <c r="FJC157" s="69"/>
      <c r="FJD157" s="69"/>
      <c r="FJE157" s="69"/>
      <c r="FJF157" s="69"/>
      <c r="FJG157" s="69"/>
      <c r="FJH157" s="69"/>
      <c r="FJI157" s="69"/>
      <c r="FJJ157" s="69"/>
      <c r="FJK157" s="69"/>
      <c r="FJL157" s="69"/>
      <c r="FJM157" s="69"/>
      <c r="FJN157" s="69"/>
      <c r="FJO157" s="69"/>
      <c r="FJP157" s="69"/>
      <c r="FJQ157" s="69"/>
      <c r="FJR157" s="69"/>
      <c r="FJS157" s="69"/>
      <c r="FJT157" s="69"/>
      <c r="FJU157" s="69"/>
      <c r="FJV157" s="69"/>
      <c r="FJW157" s="69"/>
      <c r="FJX157" s="69"/>
      <c r="FJY157" s="69"/>
      <c r="FJZ157" s="69"/>
      <c r="FKA157" s="69"/>
      <c r="FKB157" s="69"/>
      <c r="FKC157" s="69"/>
      <c r="FKD157" s="69"/>
      <c r="FKE157" s="69"/>
      <c r="FKF157" s="69"/>
      <c r="FKG157" s="69"/>
      <c r="FKH157" s="69"/>
      <c r="FKI157" s="69"/>
      <c r="FKJ157" s="69"/>
      <c r="FKK157" s="69"/>
      <c r="FKL157" s="69"/>
      <c r="FKM157" s="69"/>
      <c r="FKN157" s="69"/>
      <c r="FKO157" s="69"/>
      <c r="FKP157" s="69"/>
      <c r="FKQ157" s="69"/>
      <c r="FKR157" s="69"/>
      <c r="FKS157" s="69"/>
      <c r="FKT157" s="69"/>
      <c r="FKU157" s="69"/>
      <c r="FKV157" s="69"/>
      <c r="FKW157" s="69"/>
      <c r="FKX157" s="69"/>
      <c r="FKY157" s="69"/>
      <c r="FKZ157" s="69"/>
      <c r="FLA157" s="69"/>
      <c r="FLB157" s="69"/>
      <c r="FLC157" s="69"/>
      <c r="FLD157" s="69"/>
      <c r="FLE157" s="69"/>
      <c r="FLF157" s="69"/>
      <c r="FLG157" s="69"/>
      <c r="FLH157" s="69"/>
      <c r="FLI157" s="69"/>
      <c r="FLJ157" s="69"/>
      <c r="FLK157" s="69"/>
      <c r="FLL157" s="69"/>
      <c r="FLM157" s="69"/>
      <c r="FLN157" s="69"/>
      <c r="FLO157" s="69"/>
      <c r="FLP157" s="69"/>
      <c r="FLQ157" s="69"/>
      <c r="FLR157" s="69"/>
      <c r="FLS157" s="69"/>
      <c r="FLT157" s="69"/>
      <c r="FLU157" s="69"/>
      <c r="FLV157" s="69"/>
      <c r="FLW157" s="69"/>
      <c r="FLX157" s="69"/>
      <c r="FLY157" s="69"/>
      <c r="FLZ157" s="69"/>
      <c r="FMA157" s="69"/>
      <c r="FMB157" s="69"/>
      <c r="FMC157" s="69"/>
      <c r="FMD157" s="69"/>
      <c r="FME157" s="69"/>
      <c r="FMF157" s="69"/>
      <c r="FMG157" s="69"/>
      <c r="FMH157" s="69"/>
      <c r="FMI157" s="69"/>
      <c r="FMJ157" s="69"/>
      <c r="FMK157" s="69"/>
      <c r="FML157" s="69"/>
      <c r="FMM157" s="69"/>
      <c r="FMN157" s="69"/>
      <c r="FMO157" s="69"/>
      <c r="FMP157" s="69"/>
      <c r="FMQ157" s="69"/>
      <c r="FMR157" s="69"/>
      <c r="FMS157" s="69"/>
      <c r="FMT157" s="69"/>
      <c r="FMU157" s="69"/>
      <c r="FMV157" s="69"/>
      <c r="FMW157" s="69"/>
      <c r="FMX157" s="69"/>
      <c r="FMY157" s="69"/>
      <c r="FMZ157" s="69"/>
      <c r="FNA157" s="69"/>
      <c r="FNB157" s="69"/>
      <c r="FNC157" s="69"/>
      <c r="FND157" s="69"/>
      <c r="FNE157" s="69"/>
      <c r="FNF157" s="69"/>
      <c r="FNG157" s="69"/>
      <c r="FNH157" s="69"/>
      <c r="FNI157" s="69"/>
      <c r="FNJ157" s="69"/>
      <c r="FNK157" s="69"/>
      <c r="FNL157" s="69"/>
      <c r="FNM157" s="69"/>
      <c r="FNN157" s="69"/>
      <c r="FNO157" s="69"/>
      <c r="FNP157" s="69"/>
      <c r="FNQ157" s="69"/>
      <c r="FNR157" s="69"/>
      <c r="FNS157" s="69"/>
      <c r="FNT157" s="69"/>
      <c r="FNU157" s="69"/>
      <c r="FNV157" s="69"/>
      <c r="FNW157" s="69"/>
      <c r="FNX157" s="69"/>
      <c r="FNY157" s="69"/>
      <c r="FNZ157" s="69"/>
      <c r="FOA157" s="69"/>
      <c r="FOB157" s="69"/>
      <c r="FOC157" s="69"/>
      <c r="FOD157" s="69"/>
      <c r="FOE157" s="69"/>
      <c r="FOF157" s="69"/>
      <c r="FOG157" s="69"/>
      <c r="FOH157" s="69"/>
      <c r="FOI157" s="69"/>
      <c r="FOJ157" s="69"/>
      <c r="FOK157" s="69"/>
      <c r="FOL157" s="69"/>
      <c r="FOM157" s="69"/>
      <c r="FON157" s="69"/>
      <c r="FOO157" s="69"/>
      <c r="FOP157" s="69"/>
      <c r="FOQ157" s="69"/>
      <c r="FOR157" s="69"/>
      <c r="FOS157" s="69"/>
      <c r="FOT157" s="69"/>
      <c r="FOU157" s="69"/>
      <c r="FOV157" s="69"/>
      <c r="FOW157" s="69"/>
      <c r="FOX157" s="69"/>
      <c r="FOY157" s="69"/>
      <c r="FOZ157" s="69"/>
      <c r="FPA157" s="69"/>
      <c r="FPB157" s="69"/>
      <c r="FPC157" s="69"/>
      <c r="FPD157" s="69"/>
      <c r="FPE157" s="69"/>
      <c r="FPF157" s="69"/>
      <c r="FPG157" s="69"/>
      <c r="FPH157" s="69"/>
      <c r="FPI157" s="69"/>
      <c r="FPJ157" s="69"/>
      <c r="FPK157" s="69"/>
      <c r="FPL157" s="69"/>
      <c r="FPM157" s="69"/>
      <c r="FPN157" s="69"/>
      <c r="FPO157" s="69"/>
      <c r="FPP157" s="69"/>
      <c r="FPQ157" s="69"/>
      <c r="FPR157" s="69"/>
      <c r="FPS157" s="69"/>
      <c r="FPT157" s="69"/>
      <c r="FPU157" s="69"/>
      <c r="FPV157" s="69"/>
      <c r="FPW157" s="69"/>
      <c r="FPX157" s="69"/>
      <c r="FPY157" s="69"/>
      <c r="FPZ157" s="69"/>
      <c r="FQA157" s="69"/>
      <c r="FQB157" s="69"/>
      <c r="FQC157" s="69"/>
      <c r="FQD157" s="69"/>
      <c r="FQE157" s="69"/>
      <c r="FQF157" s="69"/>
      <c r="FQG157" s="69"/>
      <c r="FQH157" s="69"/>
      <c r="FQI157" s="69"/>
      <c r="FQJ157" s="69"/>
      <c r="FQK157" s="69"/>
      <c r="FQL157" s="69"/>
      <c r="FQM157" s="69"/>
      <c r="FQN157" s="69"/>
      <c r="FQO157" s="69"/>
      <c r="FQP157" s="69"/>
      <c r="FQQ157" s="69"/>
      <c r="FQR157" s="69"/>
      <c r="FQS157" s="69"/>
      <c r="FQT157" s="69"/>
      <c r="FQU157" s="69"/>
      <c r="FQV157" s="69"/>
      <c r="FQW157" s="69"/>
      <c r="FQX157" s="69"/>
      <c r="FQY157" s="69"/>
      <c r="FQZ157" s="69"/>
      <c r="FRA157" s="69"/>
      <c r="FRB157" s="69"/>
      <c r="FRC157" s="69"/>
      <c r="FRD157" s="69"/>
      <c r="FRE157" s="69"/>
      <c r="FRF157" s="69"/>
      <c r="FRG157" s="69"/>
      <c r="FRH157" s="69"/>
      <c r="FRI157" s="69"/>
      <c r="FRJ157" s="69"/>
      <c r="FRK157" s="69"/>
      <c r="FRL157" s="69"/>
      <c r="FRM157" s="69"/>
      <c r="FRN157" s="69"/>
      <c r="FRO157" s="69"/>
      <c r="FRP157" s="69"/>
      <c r="FRQ157" s="69"/>
      <c r="FRR157" s="69"/>
      <c r="FRS157" s="69"/>
      <c r="FRT157" s="69"/>
      <c r="FRU157" s="69"/>
      <c r="FRV157" s="69"/>
      <c r="FRW157" s="69"/>
      <c r="FRX157" s="69"/>
      <c r="FRY157" s="69"/>
      <c r="FRZ157" s="69"/>
      <c r="FSA157" s="69"/>
      <c r="FSB157" s="69"/>
      <c r="FSC157" s="69"/>
      <c r="FSD157" s="69"/>
      <c r="FSE157" s="69"/>
      <c r="FSF157" s="69"/>
      <c r="FSG157" s="69"/>
      <c r="FSH157" s="69"/>
      <c r="FSI157" s="69"/>
      <c r="FSJ157" s="69"/>
      <c r="FSK157" s="69"/>
      <c r="FSL157" s="69"/>
      <c r="FSM157" s="69"/>
      <c r="FSN157" s="69"/>
      <c r="FSO157" s="69"/>
      <c r="FSP157" s="69"/>
      <c r="FSQ157" s="69"/>
      <c r="FSR157" s="69"/>
      <c r="FSS157" s="69"/>
      <c r="FST157" s="69"/>
      <c r="FSU157" s="69"/>
      <c r="FSV157" s="69"/>
      <c r="FSW157" s="69"/>
      <c r="FSX157" s="69"/>
      <c r="FSY157" s="69"/>
      <c r="FSZ157" s="69"/>
      <c r="FTA157" s="69"/>
      <c r="FTB157" s="69"/>
      <c r="FTC157" s="69"/>
      <c r="FTD157" s="69"/>
      <c r="FTE157" s="69"/>
      <c r="FTF157" s="69"/>
      <c r="FTG157" s="69"/>
      <c r="FTH157" s="69"/>
      <c r="FTI157" s="69"/>
      <c r="FTJ157" s="69"/>
      <c r="FTK157" s="69"/>
      <c r="FTL157" s="69"/>
      <c r="FTM157" s="69"/>
      <c r="FTN157" s="69"/>
      <c r="FTO157" s="69"/>
      <c r="FTP157" s="69"/>
      <c r="FTQ157" s="69"/>
      <c r="FTR157" s="69"/>
      <c r="FTS157" s="69"/>
      <c r="FTT157" s="69"/>
      <c r="FTU157" s="69"/>
      <c r="FTV157" s="69"/>
      <c r="FTW157" s="69"/>
      <c r="FTX157" s="69"/>
      <c r="FTY157" s="69"/>
      <c r="FTZ157" s="69"/>
      <c r="FUA157" s="69"/>
      <c r="FUB157" s="69"/>
      <c r="FUC157" s="69"/>
      <c r="FUD157" s="69"/>
      <c r="FUE157" s="69"/>
      <c r="FUF157" s="69"/>
      <c r="FUG157" s="69"/>
      <c r="FUH157" s="69"/>
      <c r="FUI157" s="69"/>
      <c r="FUJ157" s="69"/>
      <c r="FUK157" s="69"/>
      <c r="FUL157" s="69"/>
      <c r="FUM157" s="69"/>
      <c r="FUN157" s="69"/>
      <c r="FUO157" s="69"/>
      <c r="FUP157" s="69"/>
      <c r="FUQ157" s="69"/>
      <c r="FUR157" s="69"/>
      <c r="FUS157" s="69"/>
      <c r="FUT157" s="69"/>
      <c r="FUU157" s="69"/>
      <c r="FUV157" s="69"/>
      <c r="FUW157" s="69"/>
      <c r="FUX157" s="69"/>
      <c r="FUY157" s="69"/>
      <c r="FUZ157" s="69"/>
      <c r="FVA157" s="69"/>
      <c r="FVB157" s="69"/>
      <c r="FVC157" s="69"/>
      <c r="FVD157" s="69"/>
      <c r="FVE157" s="69"/>
      <c r="FVF157" s="69"/>
      <c r="FVG157" s="69"/>
      <c r="FVH157" s="69"/>
      <c r="FVI157" s="69"/>
      <c r="FVJ157" s="69"/>
      <c r="FVK157" s="69"/>
      <c r="FVL157" s="69"/>
      <c r="FVM157" s="69"/>
      <c r="FVN157" s="69"/>
      <c r="FVO157" s="69"/>
      <c r="FVP157" s="69"/>
      <c r="FVQ157" s="69"/>
      <c r="FVR157" s="69"/>
      <c r="FVS157" s="69"/>
      <c r="FVT157" s="69"/>
      <c r="FVU157" s="69"/>
      <c r="FVV157" s="69"/>
      <c r="FVW157" s="69"/>
      <c r="FVX157" s="69"/>
      <c r="FVY157" s="69"/>
      <c r="FVZ157" s="69"/>
      <c r="FWA157" s="69"/>
      <c r="FWB157" s="69"/>
      <c r="FWC157" s="69"/>
      <c r="FWD157" s="69"/>
      <c r="FWE157" s="69"/>
      <c r="FWF157" s="69"/>
      <c r="FWG157" s="69"/>
      <c r="FWH157" s="69"/>
      <c r="FWI157" s="69"/>
      <c r="FWJ157" s="69"/>
      <c r="FWK157" s="69"/>
      <c r="FWL157" s="69"/>
      <c r="FWM157" s="69"/>
      <c r="FWN157" s="69"/>
      <c r="FWO157" s="69"/>
      <c r="FWP157" s="69"/>
      <c r="FWQ157" s="69"/>
      <c r="FWR157" s="69"/>
      <c r="FWS157" s="69"/>
      <c r="FWT157" s="69"/>
      <c r="FWU157" s="69"/>
      <c r="FWV157" s="69"/>
      <c r="FWW157" s="69"/>
      <c r="FWX157" s="69"/>
      <c r="FWY157" s="69"/>
      <c r="FWZ157" s="69"/>
      <c r="FXA157" s="69"/>
      <c r="FXB157" s="69"/>
      <c r="FXC157" s="69"/>
      <c r="FXD157" s="69"/>
      <c r="FXE157" s="69"/>
      <c r="FXF157" s="69"/>
      <c r="FXG157" s="69"/>
      <c r="FXH157" s="69"/>
      <c r="FXI157" s="69"/>
      <c r="FXJ157" s="69"/>
      <c r="FXK157" s="69"/>
      <c r="FXL157" s="69"/>
      <c r="FXM157" s="69"/>
      <c r="FXN157" s="69"/>
      <c r="FXO157" s="69"/>
      <c r="FXP157" s="69"/>
      <c r="FXQ157" s="69"/>
      <c r="FXR157" s="69"/>
      <c r="FXS157" s="69"/>
      <c r="FXT157" s="69"/>
      <c r="FXU157" s="69"/>
      <c r="FXV157" s="69"/>
      <c r="FXW157" s="69"/>
      <c r="FXX157" s="69"/>
      <c r="FXY157" s="69"/>
      <c r="FXZ157" s="69"/>
      <c r="FYA157" s="69"/>
      <c r="FYB157" s="69"/>
      <c r="FYC157" s="69"/>
      <c r="FYD157" s="69"/>
      <c r="FYE157" s="69"/>
      <c r="FYF157" s="69"/>
      <c r="FYG157" s="69"/>
      <c r="FYH157" s="69"/>
      <c r="FYI157" s="69"/>
      <c r="FYJ157" s="69"/>
      <c r="FYK157" s="69"/>
      <c r="FYL157" s="69"/>
      <c r="FYM157" s="69"/>
      <c r="FYN157" s="69"/>
      <c r="FYO157" s="69"/>
      <c r="FYP157" s="69"/>
      <c r="FYQ157" s="69"/>
      <c r="FYR157" s="69"/>
      <c r="FYS157" s="69"/>
      <c r="FYT157" s="69"/>
      <c r="FYU157" s="69"/>
      <c r="FYV157" s="69"/>
      <c r="FYW157" s="69"/>
      <c r="FYX157" s="69"/>
      <c r="FYY157" s="69"/>
      <c r="FYZ157" s="69"/>
      <c r="FZA157" s="69"/>
      <c r="FZB157" s="69"/>
      <c r="FZC157" s="69"/>
      <c r="FZD157" s="69"/>
      <c r="FZE157" s="69"/>
      <c r="FZF157" s="69"/>
      <c r="FZG157" s="69"/>
      <c r="FZH157" s="69"/>
      <c r="FZI157" s="69"/>
      <c r="FZJ157" s="69"/>
      <c r="FZK157" s="69"/>
      <c r="FZL157" s="69"/>
      <c r="FZM157" s="69"/>
      <c r="FZN157" s="69"/>
      <c r="FZO157" s="69"/>
      <c r="FZP157" s="69"/>
      <c r="FZQ157" s="69"/>
      <c r="FZR157" s="69"/>
      <c r="FZS157" s="69"/>
      <c r="FZT157" s="69"/>
      <c r="FZU157" s="69"/>
      <c r="FZV157" s="69"/>
      <c r="FZW157" s="69"/>
      <c r="FZX157" s="69"/>
      <c r="FZY157" s="69"/>
      <c r="FZZ157" s="69"/>
      <c r="GAA157" s="69"/>
      <c r="GAB157" s="69"/>
      <c r="GAC157" s="69"/>
      <c r="GAD157" s="69"/>
      <c r="GAE157" s="69"/>
      <c r="GAF157" s="69"/>
      <c r="GAG157" s="69"/>
      <c r="GAH157" s="69"/>
      <c r="GAI157" s="69"/>
      <c r="GAJ157" s="69"/>
      <c r="GAK157" s="69"/>
      <c r="GAL157" s="69"/>
      <c r="GAM157" s="69"/>
      <c r="GAN157" s="69"/>
      <c r="GAO157" s="69"/>
      <c r="GAP157" s="69"/>
      <c r="GAQ157" s="69"/>
      <c r="GAR157" s="69"/>
      <c r="GAS157" s="69"/>
      <c r="GAT157" s="69"/>
      <c r="GAU157" s="69"/>
      <c r="GAV157" s="69"/>
      <c r="GAW157" s="69"/>
      <c r="GAX157" s="69"/>
      <c r="GAY157" s="69"/>
      <c r="GAZ157" s="69"/>
      <c r="GBA157" s="69"/>
      <c r="GBB157" s="69"/>
      <c r="GBC157" s="69"/>
      <c r="GBD157" s="69"/>
      <c r="GBE157" s="69"/>
      <c r="GBF157" s="69"/>
      <c r="GBG157" s="69"/>
      <c r="GBH157" s="69"/>
      <c r="GBI157" s="69"/>
      <c r="GBJ157" s="69"/>
      <c r="GBK157" s="69"/>
      <c r="GBL157" s="69"/>
      <c r="GBM157" s="69"/>
      <c r="GBN157" s="69"/>
      <c r="GBO157" s="69"/>
      <c r="GBP157" s="69"/>
      <c r="GBQ157" s="69"/>
      <c r="GBR157" s="69"/>
      <c r="GBS157" s="69"/>
      <c r="GBT157" s="69"/>
      <c r="GBU157" s="69"/>
      <c r="GBV157" s="69"/>
      <c r="GBW157" s="69"/>
      <c r="GBX157" s="69"/>
      <c r="GBY157" s="69"/>
      <c r="GBZ157" s="69"/>
      <c r="GCA157" s="69"/>
      <c r="GCB157" s="69"/>
      <c r="GCC157" s="69"/>
      <c r="GCD157" s="69"/>
      <c r="GCE157" s="69"/>
      <c r="GCF157" s="69"/>
      <c r="GCG157" s="69"/>
      <c r="GCH157" s="69"/>
      <c r="GCI157" s="69"/>
      <c r="GCJ157" s="69"/>
      <c r="GCK157" s="69"/>
      <c r="GCL157" s="69"/>
      <c r="GCM157" s="69"/>
      <c r="GCN157" s="69"/>
      <c r="GCO157" s="69"/>
      <c r="GCP157" s="69"/>
      <c r="GCQ157" s="69"/>
      <c r="GCR157" s="69"/>
      <c r="GCS157" s="69"/>
      <c r="GCT157" s="69"/>
      <c r="GCU157" s="69"/>
      <c r="GCV157" s="69"/>
      <c r="GCW157" s="69"/>
      <c r="GCX157" s="69"/>
      <c r="GCY157" s="69"/>
      <c r="GCZ157" s="69"/>
      <c r="GDA157" s="69"/>
      <c r="GDB157" s="69"/>
      <c r="GDC157" s="69"/>
      <c r="GDD157" s="69"/>
      <c r="GDE157" s="69"/>
      <c r="GDF157" s="69"/>
      <c r="GDG157" s="69"/>
      <c r="GDH157" s="69"/>
      <c r="GDI157" s="69"/>
      <c r="GDJ157" s="69"/>
      <c r="GDK157" s="69"/>
      <c r="GDL157" s="69"/>
      <c r="GDM157" s="69"/>
      <c r="GDN157" s="69"/>
      <c r="GDO157" s="69"/>
      <c r="GDP157" s="69"/>
      <c r="GDQ157" s="69"/>
      <c r="GDR157" s="69"/>
      <c r="GDS157" s="69"/>
      <c r="GDT157" s="69"/>
      <c r="GDU157" s="69"/>
      <c r="GDV157" s="69"/>
      <c r="GDW157" s="69"/>
      <c r="GDX157" s="69"/>
      <c r="GDY157" s="69"/>
      <c r="GDZ157" s="69"/>
      <c r="GEA157" s="69"/>
      <c r="GEB157" s="69"/>
      <c r="GEC157" s="69"/>
      <c r="GED157" s="69"/>
      <c r="GEE157" s="69"/>
      <c r="GEF157" s="69"/>
      <c r="GEG157" s="69"/>
      <c r="GEH157" s="69"/>
      <c r="GEI157" s="69"/>
      <c r="GEJ157" s="69"/>
      <c r="GEK157" s="69"/>
      <c r="GEL157" s="69"/>
      <c r="GEM157" s="69"/>
      <c r="GEN157" s="69"/>
      <c r="GEO157" s="69"/>
      <c r="GEP157" s="69"/>
      <c r="GEQ157" s="69"/>
      <c r="GER157" s="69"/>
      <c r="GES157" s="69"/>
      <c r="GET157" s="69"/>
      <c r="GEU157" s="69"/>
      <c r="GEV157" s="69"/>
      <c r="GEW157" s="69"/>
      <c r="GEX157" s="69"/>
      <c r="GEY157" s="69"/>
      <c r="GEZ157" s="69"/>
      <c r="GFA157" s="69"/>
      <c r="GFB157" s="69"/>
      <c r="GFC157" s="69"/>
      <c r="GFD157" s="69"/>
      <c r="GFE157" s="69"/>
      <c r="GFF157" s="69"/>
      <c r="GFG157" s="69"/>
      <c r="GFH157" s="69"/>
      <c r="GFI157" s="69"/>
      <c r="GFJ157" s="69"/>
      <c r="GFK157" s="69"/>
      <c r="GFL157" s="69"/>
      <c r="GFM157" s="69"/>
      <c r="GFN157" s="69"/>
      <c r="GFO157" s="69"/>
      <c r="GFP157" s="69"/>
      <c r="GFQ157" s="69"/>
      <c r="GFR157" s="69"/>
      <c r="GFS157" s="69"/>
      <c r="GFT157" s="69"/>
      <c r="GFU157" s="69"/>
      <c r="GFV157" s="69"/>
      <c r="GFW157" s="69"/>
      <c r="GFX157" s="69"/>
      <c r="GFY157" s="69"/>
      <c r="GFZ157" s="69"/>
      <c r="GGA157" s="69"/>
      <c r="GGB157" s="69"/>
      <c r="GGC157" s="69"/>
      <c r="GGD157" s="69"/>
      <c r="GGE157" s="69"/>
      <c r="GGF157" s="69"/>
      <c r="GGG157" s="69"/>
      <c r="GGH157" s="69"/>
      <c r="GGI157" s="69"/>
      <c r="GGJ157" s="69"/>
      <c r="GGK157" s="69"/>
      <c r="GGL157" s="69"/>
      <c r="GGM157" s="69"/>
      <c r="GGN157" s="69"/>
      <c r="GGO157" s="69"/>
      <c r="GGP157" s="69"/>
      <c r="GGQ157" s="69"/>
      <c r="GGR157" s="69"/>
      <c r="GGS157" s="69"/>
      <c r="GGT157" s="69"/>
      <c r="GGU157" s="69"/>
      <c r="GGV157" s="69"/>
      <c r="GGW157" s="69"/>
      <c r="GGX157" s="69"/>
      <c r="GGY157" s="69"/>
      <c r="GGZ157" s="69"/>
      <c r="GHA157" s="69"/>
      <c r="GHB157" s="69"/>
      <c r="GHC157" s="69"/>
      <c r="GHD157" s="69"/>
      <c r="GHE157" s="69"/>
      <c r="GHF157" s="69"/>
      <c r="GHG157" s="69"/>
      <c r="GHH157" s="69"/>
      <c r="GHI157" s="69"/>
      <c r="GHJ157" s="69"/>
      <c r="GHK157" s="69"/>
      <c r="GHL157" s="69"/>
      <c r="GHM157" s="69"/>
      <c r="GHN157" s="69"/>
      <c r="GHO157" s="69"/>
      <c r="GHP157" s="69"/>
      <c r="GHQ157" s="69"/>
      <c r="GHR157" s="69"/>
      <c r="GHS157" s="69"/>
      <c r="GHT157" s="69"/>
      <c r="GHU157" s="69"/>
      <c r="GHV157" s="69"/>
      <c r="GHW157" s="69"/>
      <c r="GHX157" s="69"/>
      <c r="GHY157" s="69"/>
      <c r="GHZ157" s="69"/>
      <c r="GIA157" s="69"/>
      <c r="GIB157" s="69"/>
      <c r="GIC157" s="69"/>
      <c r="GID157" s="69"/>
      <c r="GIE157" s="69"/>
      <c r="GIF157" s="69"/>
      <c r="GIG157" s="69"/>
      <c r="GIH157" s="69"/>
      <c r="GII157" s="69"/>
      <c r="GIJ157" s="69"/>
      <c r="GIK157" s="69"/>
      <c r="GIL157" s="69"/>
      <c r="GIM157" s="69"/>
      <c r="GIN157" s="69"/>
      <c r="GIO157" s="69"/>
      <c r="GIP157" s="69"/>
      <c r="GIQ157" s="69"/>
      <c r="GIR157" s="69"/>
      <c r="GIS157" s="69"/>
      <c r="GIT157" s="69"/>
      <c r="GIU157" s="69"/>
      <c r="GIV157" s="69"/>
      <c r="GIW157" s="69"/>
      <c r="GIX157" s="69"/>
      <c r="GIY157" s="69"/>
      <c r="GIZ157" s="69"/>
      <c r="GJA157" s="69"/>
      <c r="GJB157" s="69"/>
      <c r="GJC157" s="69"/>
      <c r="GJD157" s="69"/>
      <c r="GJE157" s="69"/>
      <c r="GJF157" s="69"/>
      <c r="GJG157" s="69"/>
      <c r="GJH157" s="69"/>
      <c r="GJI157" s="69"/>
      <c r="GJJ157" s="69"/>
      <c r="GJK157" s="69"/>
      <c r="GJL157" s="69"/>
      <c r="GJM157" s="69"/>
      <c r="GJN157" s="69"/>
      <c r="GJO157" s="69"/>
      <c r="GJP157" s="69"/>
      <c r="GJQ157" s="69"/>
      <c r="GJR157" s="69"/>
      <c r="GJS157" s="69"/>
      <c r="GJT157" s="69"/>
      <c r="GJU157" s="69"/>
      <c r="GJV157" s="69"/>
      <c r="GJW157" s="69"/>
      <c r="GJX157" s="69"/>
      <c r="GJY157" s="69"/>
      <c r="GJZ157" s="69"/>
      <c r="GKA157" s="69"/>
      <c r="GKB157" s="69"/>
      <c r="GKC157" s="69"/>
      <c r="GKD157" s="69"/>
      <c r="GKE157" s="69"/>
      <c r="GKF157" s="69"/>
      <c r="GKG157" s="69"/>
      <c r="GKH157" s="69"/>
      <c r="GKI157" s="69"/>
      <c r="GKJ157" s="69"/>
      <c r="GKK157" s="69"/>
      <c r="GKL157" s="69"/>
      <c r="GKM157" s="69"/>
      <c r="GKN157" s="69"/>
      <c r="GKO157" s="69"/>
      <c r="GKP157" s="69"/>
      <c r="GKQ157" s="69"/>
      <c r="GKR157" s="69"/>
      <c r="GKS157" s="69"/>
      <c r="GKT157" s="69"/>
      <c r="GKU157" s="69"/>
      <c r="GKV157" s="69"/>
      <c r="GKW157" s="69"/>
      <c r="GKX157" s="69"/>
      <c r="GKY157" s="69"/>
      <c r="GKZ157" s="69"/>
      <c r="GLA157" s="69"/>
      <c r="GLB157" s="69"/>
      <c r="GLC157" s="69"/>
      <c r="GLD157" s="69"/>
      <c r="GLE157" s="69"/>
      <c r="GLF157" s="69"/>
      <c r="GLG157" s="69"/>
      <c r="GLH157" s="69"/>
      <c r="GLI157" s="69"/>
      <c r="GLJ157" s="69"/>
      <c r="GLK157" s="69"/>
      <c r="GLL157" s="69"/>
      <c r="GLM157" s="69"/>
      <c r="GLN157" s="69"/>
      <c r="GLO157" s="69"/>
      <c r="GLP157" s="69"/>
      <c r="GLQ157" s="69"/>
      <c r="GLR157" s="69"/>
      <c r="GLS157" s="69"/>
      <c r="GLT157" s="69"/>
      <c r="GLU157" s="69"/>
      <c r="GLV157" s="69"/>
      <c r="GLW157" s="69"/>
      <c r="GLX157" s="69"/>
      <c r="GLY157" s="69"/>
      <c r="GLZ157" s="69"/>
      <c r="GMA157" s="69"/>
      <c r="GMB157" s="69"/>
      <c r="GMC157" s="69"/>
      <c r="GMD157" s="69"/>
      <c r="GME157" s="69"/>
      <c r="GMF157" s="69"/>
      <c r="GMG157" s="69"/>
      <c r="GMH157" s="69"/>
      <c r="GMI157" s="69"/>
      <c r="GMJ157" s="69"/>
      <c r="GMK157" s="69"/>
      <c r="GML157" s="69"/>
      <c r="GMM157" s="69"/>
      <c r="GMN157" s="69"/>
      <c r="GMO157" s="69"/>
      <c r="GMP157" s="69"/>
      <c r="GMQ157" s="69"/>
      <c r="GMR157" s="69"/>
      <c r="GMS157" s="69"/>
      <c r="GMT157" s="69"/>
      <c r="GMU157" s="69"/>
      <c r="GMV157" s="69"/>
      <c r="GMW157" s="69"/>
      <c r="GMX157" s="69"/>
      <c r="GMY157" s="69"/>
      <c r="GMZ157" s="69"/>
      <c r="GNA157" s="69"/>
      <c r="GNB157" s="69"/>
      <c r="GNC157" s="69"/>
      <c r="GND157" s="69"/>
      <c r="GNE157" s="69"/>
      <c r="GNF157" s="69"/>
      <c r="GNG157" s="69"/>
      <c r="GNH157" s="69"/>
      <c r="GNI157" s="69"/>
      <c r="GNJ157" s="69"/>
      <c r="GNK157" s="69"/>
      <c r="GNL157" s="69"/>
      <c r="GNM157" s="69"/>
      <c r="GNN157" s="69"/>
      <c r="GNO157" s="69"/>
      <c r="GNP157" s="69"/>
      <c r="GNQ157" s="69"/>
      <c r="GNR157" s="69"/>
      <c r="GNS157" s="69"/>
      <c r="GNT157" s="69"/>
      <c r="GNU157" s="69"/>
      <c r="GNV157" s="69"/>
      <c r="GNW157" s="69"/>
      <c r="GNX157" s="69"/>
      <c r="GNY157" s="69"/>
      <c r="GNZ157" s="69"/>
      <c r="GOA157" s="69"/>
      <c r="GOB157" s="69"/>
      <c r="GOC157" s="69"/>
      <c r="GOD157" s="69"/>
      <c r="GOE157" s="69"/>
      <c r="GOF157" s="69"/>
      <c r="GOG157" s="69"/>
      <c r="GOH157" s="69"/>
      <c r="GOI157" s="69"/>
      <c r="GOJ157" s="69"/>
      <c r="GOK157" s="69"/>
      <c r="GOL157" s="69"/>
      <c r="GOM157" s="69"/>
      <c r="GON157" s="69"/>
      <c r="GOO157" s="69"/>
      <c r="GOP157" s="69"/>
      <c r="GOQ157" s="69"/>
      <c r="GOR157" s="69"/>
      <c r="GOS157" s="69"/>
      <c r="GOT157" s="69"/>
      <c r="GOU157" s="69"/>
      <c r="GOV157" s="69"/>
      <c r="GOW157" s="69"/>
      <c r="GOX157" s="69"/>
      <c r="GOY157" s="69"/>
      <c r="GOZ157" s="69"/>
      <c r="GPA157" s="69"/>
      <c r="GPB157" s="69"/>
      <c r="GPC157" s="69"/>
      <c r="GPD157" s="69"/>
      <c r="GPE157" s="69"/>
      <c r="GPF157" s="69"/>
      <c r="GPG157" s="69"/>
      <c r="GPH157" s="69"/>
      <c r="GPI157" s="69"/>
      <c r="GPJ157" s="69"/>
      <c r="GPK157" s="69"/>
      <c r="GPL157" s="69"/>
      <c r="GPM157" s="69"/>
      <c r="GPN157" s="69"/>
      <c r="GPO157" s="69"/>
      <c r="GPP157" s="69"/>
      <c r="GPQ157" s="69"/>
      <c r="GPR157" s="69"/>
      <c r="GPS157" s="69"/>
      <c r="GPT157" s="69"/>
      <c r="GPU157" s="69"/>
      <c r="GPV157" s="69"/>
      <c r="GPW157" s="69"/>
      <c r="GPX157" s="69"/>
      <c r="GPY157" s="69"/>
      <c r="GPZ157" s="69"/>
      <c r="GQA157" s="69"/>
      <c r="GQB157" s="69"/>
      <c r="GQC157" s="69"/>
      <c r="GQD157" s="69"/>
      <c r="GQE157" s="69"/>
      <c r="GQF157" s="69"/>
      <c r="GQG157" s="69"/>
      <c r="GQH157" s="69"/>
      <c r="GQI157" s="69"/>
      <c r="GQJ157" s="69"/>
      <c r="GQK157" s="69"/>
      <c r="GQL157" s="69"/>
      <c r="GQM157" s="69"/>
      <c r="GQN157" s="69"/>
      <c r="GQO157" s="69"/>
      <c r="GQP157" s="69"/>
      <c r="GQQ157" s="69"/>
      <c r="GQR157" s="69"/>
      <c r="GQS157" s="69"/>
      <c r="GQT157" s="69"/>
      <c r="GQU157" s="69"/>
      <c r="GQV157" s="69"/>
      <c r="GQW157" s="69"/>
      <c r="GQX157" s="69"/>
      <c r="GQY157" s="69"/>
      <c r="GQZ157" s="69"/>
      <c r="GRA157" s="69"/>
      <c r="GRB157" s="69"/>
      <c r="GRC157" s="69"/>
      <c r="GRD157" s="69"/>
      <c r="GRE157" s="69"/>
      <c r="GRF157" s="69"/>
      <c r="GRG157" s="69"/>
      <c r="GRH157" s="69"/>
      <c r="GRI157" s="69"/>
      <c r="GRJ157" s="69"/>
      <c r="GRK157" s="69"/>
      <c r="GRL157" s="69"/>
      <c r="GRM157" s="69"/>
      <c r="GRN157" s="69"/>
      <c r="GRO157" s="69"/>
      <c r="GRP157" s="69"/>
      <c r="GRQ157" s="69"/>
      <c r="GRR157" s="69"/>
      <c r="GRS157" s="69"/>
      <c r="GRT157" s="69"/>
      <c r="GRU157" s="69"/>
      <c r="GRV157" s="69"/>
      <c r="GRW157" s="69"/>
      <c r="GRX157" s="69"/>
      <c r="GRY157" s="69"/>
      <c r="GRZ157" s="69"/>
      <c r="GSA157" s="69"/>
      <c r="GSB157" s="69"/>
      <c r="GSC157" s="69"/>
      <c r="GSD157" s="69"/>
      <c r="GSE157" s="69"/>
      <c r="GSF157" s="69"/>
      <c r="GSG157" s="69"/>
      <c r="GSH157" s="69"/>
      <c r="GSI157" s="69"/>
      <c r="GSJ157" s="69"/>
      <c r="GSK157" s="69"/>
      <c r="GSL157" s="69"/>
      <c r="GSM157" s="69"/>
      <c r="GSN157" s="69"/>
      <c r="GSO157" s="69"/>
      <c r="GSP157" s="69"/>
      <c r="GSQ157" s="69"/>
      <c r="GSR157" s="69"/>
      <c r="GSS157" s="69"/>
      <c r="GST157" s="69"/>
      <c r="GSU157" s="69"/>
      <c r="GSV157" s="69"/>
      <c r="GSW157" s="69"/>
      <c r="GSX157" s="69"/>
      <c r="GSY157" s="69"/>
      <c r="GSZ157" s="69"/>
      <c r="GTA157" s="69"/>
      <c r="GTB157" s="69"/>
      <c r="GTC157" s="69"/>
      <c r="GTD157" s="69"/>
      <c r="GTE157" s="69"/>
      <c r="GTF157" s="69"/>
      <c r="GTG157" s="69"/>
      <c r="GTH157" s="69"/>
      <c r="GTI157" s="69"/>
      <c r="GTJ157" s="69"/>
      <c r="GTK157" s="69"/>
      <c r="GTL157" s="69"/>
      <c r="GTM157" s="69"/>
      <c r="GTN157" s="69"/>
      <c r="GTO157" s="69"/>
      <c r="GTP157" s="69"/>
      <c r="GTQ157" s="69"/>
      <c r="GTR157" s="69"/>
      <c r="GTS157" s="69"/>
      <c r="GTT157" s="69"/>
      <c r="GTU157" s="69"/>
      <c r="GTV157" s="69"/>
      <c r="GTW157" s="69"/>
      <c r="GTX157" s="69"/>
      <c r="GTY157" s="69"/>
      <c r="GTZ157" s="69"/>
      <c r="GUA157" s="69"/>
      <c r="GUB157" s="69"/>
      <c r="GUC157" s="69"/>
      <c r="GUD157" s="69"/>
      <c r="GUE157" s="69"/>
      <c r="GUF157" s="69"/>
      <c r="GUG157" s="69"/>
      <c r="GUH157" s="69"/>
      <c r="GUI157" s="69"/>
      <c r="GUJ157" s="69"/>
      <c r="GUK157" s="69"/>
      <c r="GUL157" s="69"/>
      <c r="GUM157" s="69"/>
      <c r="GUN157" s="69"/>
      <c r="GUO157" s="69"/>
      <c r="GUP157" s="69"/>
      <c r="GUQ157" s="69"/>
      <c r="GUR157" s="69"/>
      <c r="GUS157" s="69"/>
      <c r="GUT157" s="69"/>
      <c r="GUU157" s="69"/>
      <c r="GUV157" s="69"/>
      <c r="GUW157" s="69"/>
      <c r="GUX157" s="69"/>
      <c r="GUY157" s="69"/>
      <c r="GUZ157" s="69"/>
      <c r="GVA157" s="69"/>
      <c r="GVB157" s="69"/>
      <c r="GVC157" s="69"/>
      <c r="GVD157" s="69"/>
      <c r="GVE157" s="69"/>
      <c r="GVF157" s="69"/>
      <c r="GVG157" s="69"/>
      <c r="GVH157" s="69"/>
      <c r="GVI157" s="69"/>
      <c r="GVJ157" s="69"/>
      <c r="GVK157" s="69"/>
      <c r="GVL157" s="69"/>
      <c r="GVM157" s="69"/>
      <c r="GVN157" s="69"/>
      <c r="GVO157" s="69"/>
      <c r="GVP157" s="69"/>
      <c r="GVQ157" s="69"/>
      <c r="GVR157" s="69"/>
      <c r="GVS157" s="69"/>
      <c r="GVT157" s="69"/>
      <c r="GVU157" s="69"/>
      <c r="GVV157" s="69"/>
      <c r="GVW157" s="69"/>
      <c r="GVX157" s="69"/>
      <c r="GVY157" s="69"/>
      <c r="GVZ157" s="69"/>
      <c r="GWA157" s="69"/>
      <c r="GWB157" s="69"/>
      <c r="GWC157" s="69"/>
      <c r="GWD157" s="69"/>
      <c r="GWE157" s="69"/>
      <c r="GWF157" s="69"/>
      <c r="GWG157" s="69"/>
      <c r="GWH157" s="69"/>
      <c r="GWI157" s="69"/>
      <c r="GWJ157" s="69"/>
      <c r="GWK157" s="69"/>
      <c r="GWL157" s="69"/>
      <c r="GWM157" s="69"/>
      <c r="GWN157" s="69"/>
      <c r="GWO157" s="69"/>
      <c r="GWP157" s="69"/>
      <c r="GWQ157" s="69"/>
      <c r="GWR157" s="69"/>
      <c r="GWS157" s="69"/>
      <c r="GWT157" s="69"/>
      <c r="GWU157" s="69"/>
      <c r="GWV157" s="69"/>
      <c r="GWW157" s="69"/>
      <c r="GWX157" s="69"/>
      <c r="GWY157" s="69"/>
      <c r="GWZ157" s="69"/>
      <c r="GXA157" s="69"/>
      <c r="GXB157" s="69"/>
      <c r="GXC157" s="69"/>
      <c r="GXD157" s="69"/>
      <c r="GXE157" s="69"/>
      <c r="GXF157" s="69"/>
      <c r="GXG157" s="69"/>
      <c r="GXH157" s="69"/>
      <c r="GXI157" s="69"/>
      <c r="GXJ157" s="69"/>
      <c r="GXK157" s="69"/>
      <c r="GXL157" s="69"/>
      <c r="GXM157" s="69"/>
      <c r="GXN157" s="69"/>
      <c r="GXO157" s="69"/>
      <c r="GXP157" s="69"/>
      <c r="GXQ157" s="69"/>
      <c r="GXR157" s="69"/>
      <c r="GXS157" s="69"/>
      <c r="GXT157" s="69"/>
      <c r="GXU157" s="69"/>
      <c r="GXV157" s="69"/>
      <c r="GXW157" s="69"/>
      <c r="GXX157" s="69"/>
      <c r="GXY157" s="69"/>
      <c r="GXZ157" s="69"/>
      <c r="GYA157" s="69"/>
      <c r="GYB157" s="69"/>
      <c r="GYC157" s="69"/>
      <c r="GYD157" s="69"/>
      <c r="GYE157" s="69"/>
      <c r="GYF157" s="69"/>
      <c r="GYG157" s="69"/>
      <c r="GYH157" s="69"/>
      <c r="GYI157" s="69"/>
      <c r="GYJ157" s="69"/>
      <c r="GYK157" s="69"/>
      <c r="GYL157" s="69"/>
      <c r="GYM157" s="69"/>
      <c r="GYN157" s="69"/>
      <c r="GYO157" s="69"/>
      <c r="GYP157" s="69"/>
      <c r="GYQ157" s="69"/>
      <c r="GYR157" s="69"/>
      <c r="GYS157" s="69"/>
      <c r="GYT157" s="69"/>
      <c r="GYU157" s="69"/>
      <c r="GYV157" s="69"/>
      <c r="GYW157" s="69"/>
      <c r="GYX157" s="69"/>
      <c r="GYY157" s="69"/>
      <c r="GYZ157" s="69"/>
      <c r="GZA157" s="69"/>
      <c r="GZB157" s="69"/>
      <c r="GZC157" s="69"/>
      <c r="GZD157" s="69"/>
      <c r="GZE157" s="69"/>
      <c r="GZF157" s="69"/>
      <c r="GZG157" s="69"/>
      <c r="GZH157" s="69"/>
      <c r="GZI157" s="69"/>
      <c r="GZJ157" s="69"/>
      <c r="GZK157" s="69"/>
      <c r="GZL157" s="69"/>
      <c r="GZM157" s="69"/>
      <c r="GZN157" s="69"/>
      <c r="GZO157" s="69"/>
      <c r="GZP157" s="69"/>
      <c r="GZQ157" s="69"/>
      <c r="GZR157" s="69"/>
      <c r="GZS157" s="69"/>
      <c r="GZT157" s="69"/>
      <c r="GZU157" s="69"/>
      <c r="GZV157" s="69"/>
      <c r="GZW157" s="69"/>
      <c r="GZX157" s="69"/>
      <c r="GZY157" s="69"/>
      <c r="GZZ157" s="69"/>
      <c r="HAA157" s="69"/>
      <c r="HAB157" s="69"/>
      <c r="HAC157" s="69"/>
      <c r="HAD157" s="69"/>
      <c r="HAE157" s="69"/>
      <c r="HAF157" s="69"/>
      <c r="HAG157" s="69"/>
      <c r="HAH157" s="69"/>
      <c r="HAI157" s="69"/>
      <c r="HAJ157" s="69"/>
      <c r="HAK157" s="69"/>
      <c r="HAL157" s="69"/>
      <c r="HAM157" s="69"/>
      <c r="HAN157" s="69"/>
      <c r="HAO157" s="69"/>
      <c r="HAP157" s="69"/>
      <c r="HAQ157" s="69"/>
      <c r="HAR157" s="69"/>
      <c r="HAS157" s="69"/>
      <c r="HAT157" s="69"/>
      <c r="HAU157" s="69"/>
      <c r="HAV157" s="69"/>
      <c r="HAW157" s="69"/>
      <c r="HAX157" s="69"/>
      <c r="HAY157" s="69"/>
      <c r="HAZ157" s="69"/>
      <c r="HBA157" s="69"/>
      <c r="HBB157" s="69"/>
      <c r="HBC157" s="69"/>
      <c r="HBD157" s="69"/>
      <c r="HBE157" s="69"/>
      <c r="HBF157" s="69"/>
      <c r="HBG157" s="69"/>
      <c r="HBH157" s="69"/>
      <c r="HBI157" s="69"/>
      <c r="HBJ157" s="69"/>
      <c r="HBK157" s="69"/>
      <c r="HBL157" s="69"/>
      <c r="HBM157" s="69"/>
      <c r="HBN157" s="69"/>
      <c r="HBO157" s="69"/>
      <c r="HBP157" s="69"/>
      <c r="HBQ157" s="69"/>
      <c r="HBR157" s="69"/>
      <c r="HBS157" s="69"/>
      <c r="HBT157" s="69"/>
      <c r="HBU157" s="69"/>
      <c r="HBV157" s="69"/>
      <c r="HBW157" s="69"/>
      <c r="HBX157" s="69"/>
      <c r="HBY157" s="69"/>
      <c r="HBZ157" s="69"/>
      <c r="HCA157" s="69"/>
      <c r="HCB157" s="69"/>
      <c r="HCC157" s="69"/>
      <c r="HCD157" s="69"/>
      <c r="HCE157" s="69"/>
      <c r="HCF157" s="69"/>
      <c r="HCG157" s="69"/>
      <c r="HCH157" s="69"/>
      <c r="HCI157" s="69"/>
      <c r="HCJ157" s="69"/>
      <c r="HCK157" s="69"/>
      <c r="HCL157" s="69"/>
      <c r="HCM157" s="69"/>
      <c r="HCN157" s="69"/>
      <c r="HCO157" s="69"/>
      <c r="HCP157" s="69"/>
      <c r="HCQ157" s="69"/>
      <c r="HCR157" s="69"/>
      <c r="HCS157" s="69"/>
      <c r="HCT157" s="69"/>
      <c r="HCU157" s="69"/>
      <c r="HCV157" s="69"/>
      <c r="HCW157" s="69"/>
      <c r="HCX157" s="69"/>
      <c r="HCY157" s="69"/>
      <c r="HCZ157" s="69"/>
      <c r="HDA157" s="69"/>
      <c r="HDB157" s="69"/>
      <c r="HDC157" s="69"/>
      <c r="HDD157" s="69"/>
      <c r="HDE157" s="69"/>
      <c r="HDF157" s="69"/>
      <c r="HDG157" s="69"/>
      <c r="HDH157" s="69"/>
      <c r="HDI157" s="69"/>
      <c r="HDJ157" s="69"/>
      <c r="HDK157" s="69"/>
      <c r="HDL157" s="69"/>
      <c r="HDM157" s="69"/>
      <c r="HDN157" s="69"/>
      <c r="HDO157" s="69"/>
      <c r="HDP157" s="69"/>
      <c r="HDQ157" s="69"/>
      <c r="HDR157" s="69"/>
      <c r="HDS157" s="69"/>
      <c r="HDT157" s="69"/>
      <c r="HDU157" s="69"/>
      <c r="HDV157" s="69"/>
      <c r="HDW157" s="69"/>
      <c r="HDX157" s="69"/>
      <c r="HDY157" s="69"/>
      <c r="HDZ157" s="69"/>
      <c r="HEA157" s="69"/>
      <c r="HEB157" s="69"/>
      <c r="HEC157" s="69"/>
      <c r="HED157" s="69"/>
      <c r="HEE157" s="69"/>
      <c r="HEF157" s="69"/>
      <c r="HEG157" s="69"/>
      <c r="HEH157" s="69"/>
      <c r="HEI157" s="69"/>
      <c r="HEJ157" s="69"/>
      <c r="HEK157" s="69"/>
      <c r="HEL157" s="69"/>
      <c r="HEM157" s="69"/>
      <c r="HEN157" s="69"/>
      <c r="HEO157" s="69"/>
      <c r="HEP157" s="69"/>
      <c r="HEQ157" s="69"/>
      <c r="HER157" s="69"/>
      <c r="HES157" s="69"/>
      <c r="HET157" s="69"/>
      <c r="HEU157" s="69"/>
      <c r="HEV157" s="69"/>
      <c r="HEW157" s="69"/>
      <c r="HEX157" s="69"/>
      <c r="HEY157" s="69"/>
      <c r="HEZ157" s="69"/>
      <c r="HFA157" s="69"/>
      <c r="HFB157" s="69"/>
      <c r="HFC157" s="69"/>
      <c r="HFD157" s="69"/>
      <c r="HFE157" s="69"/>
      <c r="HFF157" s="69"/>
      <c r="HFG157" s="69"/>
      <c r="HFH157" s="69"/>
      <c r="HFI157" s="69"/>
      <c r="HFJ157" s="69"/>
      <c r="HFK157" s="69"/>
      <c r="HFL157" s="69"/>
      <c r="HFM157" s="69"/>
      <c r="HFN157" s="69"/>
      <c r="HFO157" s="69"/>
      <c r="HFP157" s="69"/>
      <c r="HFQ157" s="69"/>
      <c r="HFR157" s="69"/>
      <c r="HFS157" s="69"/>
      <c r="HFT157" s="69"/>
      <c r="HFU157" s="69"/>
      <c r="HFV157" s="69"/>
      <c r="HFW157" s="69"/>
      <c r="HFX157" s="69"/>
      <c r="HFY157" s="69"/>
      <c r="HFZ157" s="69"/>
      <c r="HGA157" s="69"/>
      <c r="HGB157" s="69"/>
      <c r="HGC157" s="69"/>
      <c r="HGD157" s="69"/>
      <c r="HGE157" s="69"/>
      <c r="HGF157" s="69"/>
      <c r="HGG157" s="69"/>
      <c r="HGH157" s="69"/>
      <c r="HGI157" s="69"/>
      <c r="HGJ157" s="69"/>
      <c r="HGK157" s="69"/>
      <c r="HGL157" s="69"/>
      <c r="HGM157" s="69"/>
      <c r="HGN157" s="69"/>
      <c r="HGO157" s="69"/>
      <c r="HGP157" s="69"/>
      <c r="HGQ157" s="69"/>
      <c r="HGR157" s="69"/>
      <c r="HGS157" s="69"/>
      <c r="HGT157" s="69"/>
      <c r="HGU157" s="69"/>
      <c r="HGV157" s="69"/>
      <c r="HGW157" s="69"/>
      <c r="HGX157" s="69"/>
      <c r="HGY157" s="69"/>
      <c r="HGZ157" s="69"/>
      <c r="HHA157" s="69"/>
      <c r="HHB157" s="69"/>
      <c r="HHC157" s="69"/>
      <c r="HHD157" s="69"/>
      <c r="HHE157" s="69"/>
      <c r="HHF157" s="69"/>
      <c r="HHG157" s="69"/>
      <c r="HHH157" s="69"/>
      <c r="HHI157" s="69"/>
      <c r="HHJ157" s="69"/>
      <c r="HHK157" s="69"/>
      <c r="HHL157" s="69"/>
      <c r="HHM157" s="69"/>
      <c r="HHN157" s="69"/>
      <c r="HHO157" s="69"/>
      <c r="HHP157" s="69"/>
      <c r="HHQ157" s="69"/>
      <c r="HHR157" s="69"/>
      <c r="HHS157" s="69"/>
      <c r="HHT157" s="69"/>
      <c r="HHU157" s="69"/>
      <c r="HHV157" s="69"/>
      <c r="HHW157" s="69"/>
      <c r="HHX157" s="69"/>
      <c r="HHY157" s="69"/>
      <c r="HHZ157" s="69"/>
      <c r="HIA157" s="69"/>
      <c r="HIB157" s="69"/>
      <c r="HIC157" s="69"/>
      <c r="HID157" s="69"/>
      <c r="HIE157" s="69"/>
      <c r="HIF157" s="69"/>
      <c r="HIG157" s="69"/>
      <c r="HIH157" s="69"/>
      <c r="HII157" s="69"/>
      <c r="HIJ157" s="69"/>
      <c r="HIK157" s="69"/>
      <c r="HIL157" s="69"/>
      <c r="HIM157" s="69"/>
      <c r="HIN157" s="69"/>
      <c r="HIO157" s="69"/>
      <c r="HIP157" s="69"/>
      <c r="HIQ157" s="69"/>
      <c r="HIR157" s="69"/>
      <c r="HIS157" s="69"/>
      <c r="HIT157" s="69"/>
      <c r="HIU157" s="69"/>
      <c r="HIV157" s="69"/>
      <c r="HIW157" s="69"/>
      <c r="HIX157" s="69"/>
      <c r="HIY157" s="69"/>
      <c r="HIZ157" s="69"/>
      <c r="HJA157" s="69"/>
      <c r="HJB157" s="69"/>
      <c r="HJC157" s="69"/>
      <c r="HJD157" s="69"/>
      <c r="HJE157" s="69"/>
      <c r="HJF157" s="69"/>
      <c r="HJG157" s="69"/>
      <c r="HJH157" s="69"/>
      <c r="HJI157" s="69"/>
      <c r="HJJ157" s="69"/>
      <c r="HJK157" s="69"/>
      <c r="HJL157" s="69"/>
      <c r="HJM157" s="69"/>
      <c r="HJN157" s="69"/>
      <c r="HJO157" s="69"/>
      <c r="HJP157" s="69"/>
      <c r="HJQ157" s="69"/>
      <c r="HJR157" s="69"/>
      <c r="HJS157" s="69"/>
      <c r="HJT157" s="69"/>
      <c r="HJU157" s="69"/>
      <c r="HJV157" s="69"/>
      <c r="HJW157" s="69"/>
      <c r="HJX157" s="69"/>
      <c r="HJY157" s="69"/>
      <c r="HJZ157" s="69"/>
      <c r="HKA157" s="69"/>
      <c r="HKB157" s="69"/>
      <c r="HKC157" s="69"/>
      <c r="HKD157" s="69"/>
      <c r="HKE157" s="69"/>
      <c r="HKF157" s="69"/>
      <c r="HKG157" s="69"/>
      <c r="HKH157" s="69"/>
      <c r="HKI157" s="69"/>
      <c r="HKJ157" s="69"/>
      <c r="HKK157" s="69"/>
      <c r="HKL157" s="69"/>
      <c r="HKM157" s="69"/>
      <c r="HKN157" s="69"/>
      <c r="HKO157" s="69"/>
      <c r="HKP157" s="69"/>
      <c r="HKQ157" s="69"/>
      <c r="HKR157" s="69"/>
      <c r="HKS157" s="69"/>
      <c r="HKT157" s="69"/>
      <c r="HKU157" s="69"/>
      <c r="HKV157" s="69"/>
      <c r="HKW157" s="69"/>
      <c r="HKX157" s="69"/>
      <c r="HKY157" s="69"/>
      <c r="HKZ157" s="69"/>
      <c r="HLA157" s="69"/>
      <c r="HLB157" s="69"/>
      <c r="HLC157" s="69"/>
      <c r="HLD157" s="69"/>
      <c r="HLE157" s="69"/>
      <c r="HLF157" s="69"/>
      <c r="HLG157" s="69"/>
      <c r="HLH157" s="69"/>
      <c r="HLI157" s="69"/>
      <c r="HLJ157" s="69"/>
      <c r="HLK157" s="69"/>
      <c r="HLL157" s="69"/>
      <c r="HLM157" s="69"/>
      <c r="HLN157" s="69"/>
      <c r="HLO157" s="69"/>
      <c r="HLP157" s="69"/>
      <c r="HLQ157" s="69"/>
      <c r="HLR157" s="69"/>
      <c r="HLS157" s="69"/>
      <c r="HLT157" s="69"/>
      <c r="HLU157" s="69"/>
      <c r="HLV157" s="69"/>
      <c r="HLW157" s="69"/>
      <c r="HLX157" s="69"/>
      <c r="HLY157" s="69"/>
      <c r="HLZ157" s="69"/>
      <c r="HMA157" s="69"/>
      <c r="HMB157" s="69"/>
      <c r="HMC157" s="69"/>
      <c r="HMD157" s="69"/>
      <c r="HME157" s="69"/>
      <c r="HMF157" s="69"/>
      <c r="HMG157" s="69"/>
      <c r="HMH157" s="69"/>
      <c r="HMI157" s="69"/>
      <c r="HMJ157" s="69"/>
      <c r="HMK157" s="69"/>
      <c r="HML157" s="69"/>
      <c r="HMM157" s="69"/>
      <c r="HMN157" s="69"/>
      <c r="HMO157" s="69"/>
      <c r="HMP157" s="69"/>
      <c r="HMQ157" s="69"/>
      <c r="HMR157" s="69"/>
      <c r="HMS157" s="69"/>
      <c r="HMT157" s="69"/>
      <c r="HMU157" s="69"/>
      <c r="HMV157" s="69"/>
      <c r="HMW157" s="69"/>
      <c r="HMX157" s="69"/>
      <c r="HMY157" s="69"/>
      <c r="HMZ157" s="69"/>
      <c r="HNA157" s="69"/>
      <c r="HNB157" s="69"/>
      <c r="HNC157" s="69"/>
      <c r="HND157" s="69"/>
      <c r="HNE157" s="69"/>
      <c r="HNF157" s="69"/>
      <c r="HNG157" s="69"/>
      <c r="HNH157" s="69"/>
      <c r="HNI157" s="69"/>
      <c r="HNJ157" s="69"/>
      <c r="HNK157" s="69"/>
      <c r="HNL157" s="69"/>
      <c r="HNM157" s="69"/>
      <c r="HNN157" s="69"/>
      <c r="HNO157" s="69"/>
      <c r="HNP157" s="69"/>
      <c r="HNQ157" s="69"/>
      <c r="HNR157" s="69"/>
      <c r="HNS157" s="69"/>
      <c r="HNT157" s="69"/>
      <c r="HNU157" s="69"/>
      <c r="HNV157" s="69"/>
      <c r="HNW157" s="69"/>
      <c r="HNX157" s="69"/>
      <c r="HNY157" s="69"/>
      <c r="HNZ157" s="69"/>
      <c r="HOA157" s="69"/>
      <c r="HOB157" s="69"/>
      <c r="HOC157" s="69"/>
      <c r="HOD157" s="69"/>
      <c r="HOE157" s="69"/>
      <c r="HOF157" s="69"/>
      <c r="HOG157" s="69"/>
      <c r="HOH157" s="69"/>
      <c r="HOI157" s="69"/>
      <c r="HOJ157" s="69"/>
      <c r="HOK157" s="69"/>
      <c r="HOL157" s="69"/>
      <c r="HOM157" s="69"/>
      <c r="HON157" s="69"/>
      <c r="HOO157" s="69"/>
      <c r="HOP157" s="69"/>
      <c r="HOQ157" s="69"/>
      <c r="HOR157" s="69"/>
      <c r="HOS157" s="69"/>
      <c r="HOT157" s="69"/>
      <c r="HOU157" s="69"/>
      <c r="HOV157" s="69"/>
      <c r="HOW157" s="69"/>
      <c r="HOX157" s="69"/>
      <c r="HOY157" s="69"/>
      <c r="HOZ157" s="69"/>
      <c r="HPA157" s="69"/>
      <c r="HPB157" s="69"/>
      <c r="HPC157" s="69"/>
      <c r="HPD157" s="69"/>
      <c r="HPE157" s="69"/>
      <c r="HPF157" s="69"/>
      <c r="HPG157" s="69"/>
      <c r="HPH157" s="69"/>
      <c r="HPI157" s="69"/>
      <c r="HPJ157" s="69"/>
      <c r="HPK157" s="69"/>
      <c r="HPL157" s="69"/>
      <c r="HPM157" s="69"/>
      <c r="HPN157" s="69"/>
      <c r="HPO157" s="69"/>
      <c r="HPP157" s="69"/>
      <c r="HPQ157" s="69"/>
      <c r="HPR157" s="69"/>
      <c r="HPS157" s="69"/>
      <c r="HPT157" s="69"/>
      <c r="HPU157" s="69"/>
      <c r="HPV157" s="69"/>
      <c r="HPW157" s="69"/>
      <c r="HPX157" s="69"/>
      <c r="HPY157" s="69"/>
      <c r="HPZ157" s="69"/>
      <c r="HQA157" s="69"/>
      <c r="HQB157" s="69"/>
      <c r="HQC157" s="69"/>
      <c r="HQD157" s="69"/>
      <c r="HQE157" s="69"/>
      <c r="HQF157" s="69"/>
      <c r="HQG157" s="69"/>
      <c r="HQH157" s="69"/>
      <c r="HQI157" s="69"/>
      <c r="HQJ157" s="69"/>
      <c r="HQK157" s="69"/>
      <c r="HQL157" s="69"/>
      <c r="HQM157" s="69"/>
      <c r="HQN157" s="69"/>
      <c r="HQO157" s="69"/>
      <c r="HQP157" s="69"/>
      <c r="HQQ157" s="69"/>
      <c r="HQR157" s="69"/>
      <c r="HQS157" s="69"/>
      <c r="HQT157" s="69"/>
      <c r="HQU157" s="69"/>
      <c r="HQV157" s="69"/>
      <c r="HQW157" s="69"/>
      <c r="HQX157" s="69"/>
      <c r="HQY157" s="69"/>
      <c r="HQZ157" s="69"/>
      <c r="HRA157" s="69"/>
      <c r="HRB157" s="69"/>
      <c r="HRC157" s="69"/>
      <c r="HRD157" s="69"/>
      <c r="HRE157" s="69"/>
      <c r="HRF157" s="69"/>
      <c r="HRG157" s="69"/>
      <c r="HRH157" s="69"/>
      <c r="HRI157" s="69"/>
      <c r="HRJ157" s="69"/>
      <c r="HRK157" s="69"/>
      <c r="HRL157" s="69"/>
      <c r="HRM157" s="69"/>
      <c r="HRN157" s="69"/>
      <c r="HRO157" s="69"/>
      <c r="HRP157" s="69"/>
      <c r="HRQ157" s="69"/>
      <c r="HRR157" s="69"/>
      <c r="HRS157" s="69"/>
      <c r="HRT157" s="69"/>
      <c r="HRU157" s="69"/>
      <c r="HRV157" s="69"/>
      <c r="HRW157" s="69"/>
      <c r="HRX157" s="69"/>
      <c r="HRY157" s="69"/>
      <c r="HRZ157" s="69"/>
      <c r="HSA157" s="69"/>
      <c r="HSB157" s="69"/>
      <c r="HSC157" s="69"/>
      <c r="HSD157" s="69"/>
      <c r="HSE157" s="69"/>
      <c r="HSF157" s="69"/>
      <c r="HSG157" s="69"/>
      <c r="HSH157" s="69"/>
      <c r="HSI157" s="69"/>
      <c r="HSJ157" s="69"/>
      <c r="HSK157" s="69"/>
      <c r="HSL157" s="69"/>
      <c r="HSM157" s="69"/>
      <c r="HSN157" s="69"/>
      <c r="HSO157" s="69"/>
      <c r="HSP157" s="69"/>
      <c r="HSQ157" s="69"/>
      <c r="HSR157" s="69"/>
      <c r="HSS157" s="69"/>
      <c r="HST157" s="69"/>
      <c r="HSU157" s="69"/>
      <c r="HSV157" s="69"/>
      <c r="HSW157" s="69"/>
      <c r="HSX157" s="69"/>
      <c r="HSY157" s="69"/>
      <c r="HSZ157" s="69"/>
      <c r="HTA157" s="69"/>
      <c r="HTB157" s="69"/>
      <c r="HTC157" s="69"/>
      <c r="HTD157" s="69"/>
      <c r="HTE157" s="69"/>
      <c r="HTF157" s="69"/>
      <c r="HTG157" s="69"/>
      <c r="HTH157" s="69"/>
      <c r="HTI157" s="69"/>
      <c r="HTJ157" s="69"/>
      <c r="HTK157" s="69"/>
      <c r="HTL157" s="69"/>
      <c r="HTM157" s="69"/>
      <c r="HTN157" s="69"/>
      <c r="HTO157" s="69"/>
      <c r="HTP157" s="69"/>
      <c r="HTQ157" s="69"/>
      <c r="HTR157" s="69"/>
      <c r="HTS157" s="69"/>
      <c r="HTT157" s="69"/>
      <c r="HTU157" s="69"/>
      <c r="HTV157" s="69"/>
      <c r="HTW157" s="69"/>
      <c r="HTX157" s="69"/>
      <c r="HTY157" s="69"/>
      <c r="HTZ157" s="69"/>
      <c r="HUA157" s="69"/>
      <c r="HUB157" s="69"/>
      <c r="HUC157" s="69"/>
      <c r="HUD157" s="69"/>
      <c r="HUE157" s="69"/>
      <c r="HUF157" s="69"/>
      <c r="HUG157" s="69"/>
      <c r="HUH157" s="69"/>
      <c r="HUI157" s="69"/>
      <c r="HUJ157" s="69"/>
      <c r="HUK157" s="69"/>
      <c r="HUL157" s="69"/>
      <c r="HUM157" s="69"/>
      <c r="HUN157" s="69"/>
      <c r="HUO157" s="69"/>
      <c r="HUP157" s="69"/>
      <c r="HUQ157" s="69"/>
      <c r="HUR157" s="69"/>
      <c r="HUS157" s="69"/>
      <c r="HUT157" s="69"/>
      <c r="HUU157" s="69"/>
      <c r="HUV157" s="69"/>
      <c r="HUW157" s="69"/>
      <c r="HUX157" s="69"/>
      <c r="HUY157" s="69"/>
      <c r="HUZ157" s="69"/>
      <c r="HVA157" s="69"/>
      <c r="HVB157" s="69"/>
      <c r="HVC157" s="69"/>
      <c r="HVD157" s="69"/>
      <c r="HVE157" s="69"/>
      <c r="HVF157" s="69"/>
      <c r="HVG157" s="69"/>
      <c r="HVH157" s="69"/>
      <c r="HVI157" s="69"/>
      <c r="HVJ157" s="69"/>
      <c r="HVK157" s="69"/>
      <c r="HVL157" s="69"/>
      <c r="HVM157" s="69"/>
      <c r="HVN157" s="69"/>
      <c r="HVO157" s="69"/>
      <c r="HVP157" s="69"/>
      <c r="HVQ157" s="69"/>
      <c r="HVR157" s="69"/>
      <c r="HVS157" s="69"/>
      <c r="HVT157" s="69"/>
      <c r="HVU157" s="69"/>
      <c r="HVV157" s="69"/>
      <c r="HVW157" s="69"/>
      <c r="HVX157" s="69"/>
      <c r="HVY157" s="69"/>
      <c r="HVZ157" s="69"/>
      <c r="HWA157" s="69"/>
      <c r="HWB157" s="69"/>
      <c r="HWC157" s="69"/>
      <c r="HWD157" s="69"/>
      <c r="HWE157" s="69"/>
      <c r="HWF157" s="69"/>
      <c r="HWG157" s="69"/>
      <c r="HWH157" s="69"/>
      <c r="HWI157" s="69"/>
      <c r="HWJ157" s="69"/>
      <c r="HWK157" s="69"/>
      <c r="HWL157" s="69"/>
      <c r="HWM157" s="69"/>
      <c r="HWN157" s="69"/>
      <c r="HWO157" s="69"/>
      <c r="HWP157" s="69"/>
      <c r="HWQ157" s="69"/>
      <c r="HWR157" s="69"/>
      <c r="HWS157" s="69"/>
      <c r="HWT157" s="69"/>
      <c r="HWU157" s="69"/>
      <c r="HWV157" s="69"/>
      <c r="HWW157" s="69"/>
      <c r="HWX157" s="69"/>
      <c r="HWY157" s="69"/>
      <c r="HWZ157" s="69"/>
      <c r="HXA157" s="69"/>
      <c r="HXB157" s="69"/>
      <c r="HXC157" s="69"/>
      <c r="HXD157" s="69"/>
      <c r="HXE157" s="69"/>
      <c r="HXF157" s="69"/>
      <c r="HXG157" s="69"/>
      <c r="HXH157" s="69"/>
      <c r="HXI157" s="69"/>
      <c r="HXJ157" s="69"/>
      <c r="HXK157" s="69"/>
      <c r="HXL157" s="69"/>
      <c r="HXM157" s="69"/>
      <c r="HXN157" s="69"/>
      <c r="HXO157" s="69"/>
      <c r="HXP157" s="69"/>
      <c r="HXQ157" s="69"/>
      <c r="HXR157" s="69"/>
      <c r="HXS157" s="69"/>
      <c r="HXT157" s="69"/>
      <c r="HXU157" s="69"/>
      <c r="HXV157" s="69"/>
      <c r="HXW157" s="69"/>
      <c r="HXX157" s="69"/>
      <c r="HXY157" s="69"/>
      <c r="HXZ157" s="69"/>
      <c r="HYA157" s="69"/>
      <c r="HYB157" s="69"/>
      <c r="HYC157" s="69"/>
      <c r="HYD157" s="69"/>
      <c r="HYE157" s="69"/>
      <c r="HYF157" s="69"/>
      <c r="HYG157" s="69"/>
      <c r="HYH157" s="69"/>
      <c r="HYI157" s="69"/>
      <c r="HYJ157" s="69"/>
      <c r="HYK157" s="69"/>
      <c r="HYL157" s="69"/>
      <c r="HYM157" s="69"/>
      <c r="HYN157" s="69"/>
      <c r="HYO157" s="69"/>
      <c r="HYP157" s="69"/>
      <c r="HYQ157" s="69"/>
      <c r="HYR157" s="69"/>
      <c r="HYS157" s="69"/>
      <c r="HYT157" s="69"/>
      <c r="HYU157" s="69"/>
      <c r="HYV157" s="69"/>
      <c r="HYW157" s="69"/>
      <c r="HYX157" s="69"/>
      <c r="HYY157" s="69"/>
      <c r="HYZ157" s="69"/>
      <c r="HZA157" s="69"/>
      <c r="HZB157" s="69"/>
      <c r="HZC157" s="69"/>
      <c r="HZD157" s="69"/>
      <c r="HZE157" s="69"/>
      <c r="HZF157" s="69"/>
      <c r="HZG157" s="69"/>
      <c r="HZH157" s="69"/>
      <c r="HZI157" s="69"/>
      <c r="HZJ157" s="69"/>
      <c r="HZK157" s="69"/>
      <c r="HZL157" s="69"/>
      <c r="HZM157" s="69"/>
      <c r="HZN157" s="69"/>
      <c r="HZO157" s="69"/>
      <c r="HZP157" s="69"/>
      <c r="HZQ157" s="69"/>
      <c r="HZR157" s="69"/>
      <c r="HZS157" s="69"/>
      <c r="HZT157" s="69"/>
      <c r="HZU157" s="69"/>
      <c r="HZV157" s="69"/>
      <c r="HZW157" s="69"/>
      <c r="HZX157" s="69"/>
      <c r="HZY157" s="69"/>
      <c r="HZZ157" s="69"/>
      <c r="IAA157" s="69"/>
      <c r="IAB157" s="69"/>
      <c r="IAC157" s="69"/>
      <c r="IAD157" s="69"/>
      <c r="IAE157" s="69"/>
      <c r="IAF157" s="69"/>
      <c r="IAG157" s="69"/>
      <c r="IAH157" s="69"/>
      <c r="IAI157" s="69"/>
      <c r="IAJ157" s="69"/>
      <c r="IAK157" s="69"/>
      <c r="IAL157" s="69"/>
      <c r="IAM157" s="69"/>
      <c r="IAN157" s="69"/>
      <c r="IAO157" s="69"/>
      <c r="IAP157" s="69"/>
      <c r="IAQ157" s="69"/>
      <c r="IAR157" s="69"/>
      <c r="IAS157" s="69"/>
      <c r="IAT157" s="69"/>
      <c r="IAU157" s="69"/>
      <c r="IAV157" s="69"/>
      <c r="IAW157" s="69"/>
      <c r="IAX157" s="69"/>
      <c r="IAY157" s="69"/>
      <c r="IAZ157" s="69"/>
      <c r="IBA157" s="69"/>
      <c r="IBB157" s="69"/>
      <c r="IBC157" s="69"/>
      <c r="IBD157" s="69"/>
      <c r="IBE157" s="69"/>
      <c r="IBF157" s="69"/>
      <c r="IBG157" s="69"/>
      <c r="IBH157" s="69"/>
      <c r="IBI157" s="69"/>
      <c r="IBJ157" s="69"/>
      <c r="IBK157" s="69"/>
      <c r="IBL157" s="69"/>
      <c r="IBM157" s="69"/>
      <c r="IBN157" s="69"/>
      <c r="IBO157" s="69"/>
      <c r="IBP157" s="69"/>
      <c r="IBQ157" s="69"/>
      <c r="IBR157" s="69"/>
      <c r="IBS157" s="69"/>
      <c r="IBT157" s="69"/>
      <c r="IBU157" s="69"/>
      <c r="IBV157" s="69"/>
      <c r="IBW157" s="69"/>
      <c r="IBX157" s="69"/>
      <c r="IBY157" s="69"/>
      <c r="IBZ157" s="69"/>
      <c r="ICA157" s="69"/>
      <c r="ICB157" s="69"/>
      <c r="ICC157" s="69"/>
      <c r="ICD157" s="69"/>
      <c r="ICE157" s="69"/>
      <c r="ICF157" s="69"/>
      <c r="ICG157" s="69"/>
      <c r="ICH157" s="69"/>
      <c r="ICI157" s="69"/>
      <c r="ICJ157" s="69"/>
      <c r="ICK157" s="69"/>
      <c r="ICL157" s="69"/>
      <c r="ICM157" s="69"/>
      <c r="ICN157" s="69"/>
      <c r="ICO157" s="69"/>
      <c r="ICP157" s="69"/>
      <c r="ICQ157" s="69"/>
      <c r="ICR157" s="69"/>
      <c r="ICS157" s="69"/>
      <c r="ICT157" s="69"/>
      <c r="ICU157" s="69"/>
      <c r="ICV157" s="69"/>
      <c r="ICW157" s="69"/>
      <c r="ICX157" s="69"/>
      <c r="ICY157" s="69"/>
      <c r="ICZ157" s="69"/>
      <c r="IDA157" s="69"/>
      <c r="IDB157" s="69"/>
      <c r="IDC157" s="69"/>
      <c r="IDD157" s="69"/>
      <c r="IDE157" s="69"/>
      <c r="IDF157" s="69"/>
      <c r="IDG157" s="69"/>
      <c r="IDH157" s="69"/>
      <c r="IDI157" s="69"/>
      <c r="IDJ157" s="69"/>
      <c r="IDK157" s="69"/>
      <c r="IDL157" s="69"/>
      <c r="IDM157" s="69"/>
      <c r="IDN157" s="69"/>
      <c r="IDO157" s="69"/>
      <c r="IDP157" s="69"/>
      <c r="IDQ157" s="69"/>
      <c r="IDR157" s="69"/>
      <c r="IDS157" s="69"/>
      <c r="IDT157" s="69"/>
      <c r="IDU157" s="69"/>
      <c r="IDV157" s="69"/>
      <c r="IDW157" s="69"/>
      <c r="IDX157" s="69"/>
      <c r="IDY157" s="69"/>
      <c r="IDZ157" s="69"/>
      <c r="IEA157" s="69"/>
      <c r="IEB157" s="69"/>
      <c r="IEC157" s="69"/>
      <c r="IED157" s="69"/>
      <c r="IEE157" s="69"/>
      <c r="IEF157" s="69"/>
      <c r="IEG157" s="69"/>
      <c r="IEH157" s="69"/>
      <c r="IEI157" s="69"/>
      <c r="IEJ157" s="69"/>
      <c r="IEK157" s="69"/>
      <c r="IEL157" s="69"/>
      <c r="IEM157" s="69"/>
      <c r="IEN157" s="69"/>
      <c r="IEO157" s="69"/>
      <c r="IEP157" s="69"/>
      <c r="IEQ157" s="69"/>
      <c r="IER157" s="69"/>
      <c r="IES157" s="69"/>
      <c r="IET157" s="69"/>
      <c r="IEU157" s="69"/>
      <c r="IEV157" s="69"/>
      <c r="IEW157" s="69"/>
      <c r="IEX157" s="69"/>
      <c r="IEY157" s="69"/>
      <c r="IEZ157" s="69"/>
      <c r="IFA157" s="69"/>
      <c r="IFB157" s="69"/>
      <c r="IFC157" s="69"/>
      <c r="IFD157" s="69"/>
      <c r="IFE157" s="69"/>
      <c r="IFF157" s="69"/>
      <c r="IFG157" s="69"/>
      <c r="IFH157" s="69"/>
      <c r="IFI157" s="69"/>
      <c r="IFJ157" s="69"/>
      <c r="IFK157" s="69"/>
      <c r="IFL157" s="69"/>
      <c r="IFM157" s="69"/>
      <c r="IFN157" s="69"/>
      <c r="IFO157" s="69"/>
      <c r="IFP157" s="69"/>
      <c r="IFQ157" s="69"/>
      <c r="IFR157" s="69"/>
      <c r="IFS157" s="69"/>
      <c r="IFT157" s="69"/>
      <c r="IFU157" s="69"/>
      <c r="IFV157" s="69"/>
      <c r="IFW157" s="69"/>
      <c r="IFX157" s="69"/>
      <c r="IFY157" s="69"/>
      <c r="IFZ157" s="69"/>
      <c r="IGA157" s="69"/>
      <c r="IGB157" s="69"/>
      <c r="IGC157" s="69"/>
      <c r="IGD157" s="69"/>
      <c r="IGE157" s="69"/>
      <c r="IGF157" s="69"/>
      <c r="IGG157" s="69"/>
      <c r="IGH157" s="69"/>
      <c r="IGI157" s="69"/>
      <c r="IGJ157" s="69"/>
      <c r="IGK157" s="69"/>
      <c r="IGL157" s="69"/>
      <c r="IGM157" s="69"/>
      <c r="IGN157" s="69"/>
      <c r="IGO157" s="69"/>
      <c r="IGP157" s="69"/>
      <c r="IGQ157" s="69"/>
      <c r="IGR157" s="69"/>
      <c r="IGS157" s="69"/>
      <c r="IGT157" s="69"/>
      <c r="IGU157" s="69"/>
      <c r="IGV157" s="69"/>
      <c r="IGW157" s="69"/>
      <c r="IGX157" s="69"/>
      <c r="IGY157" s="69"/>
      <c r="IGZ157" s="69"/>
      <c r="IHA157" s="69"/>
      <c r="IHB157" s="69"/>
      <c r="IHC157" s="69"/>
      <c r="IHD157" s="69"/>
      <c r="IHE157" s="69"/>
      <c r="IHF157" s="69"/>
      <c r="IHG157" s="69"/>
      <c r="IHH157" s="69"/>
      <c r="IHI157" s="69"/>
      <c r="IHJ157" s="69"/>
      <c r="IHK157" s="69"/>
      <c r="IHL157" s="69"/>
      <c r="IHM157" s="69"/>
      <c r="IHN157" s="69"/>
      <c r="IHO157" s="69"/>
      <c r="IHP157" s="69"/>
      <c r="IHQ157" s="69"/>
      <c r="IHR157" s="69"/>
      <c r="IHS157" s="69"/>
      <c r="IHT157" s="69"/>
      <c r="IHU157" s="69"/>
      <c r="IHV157" s="69"/>
      <c r="IHW157" s="69"/>
      <c r="IHX157" s="69"/>
      <c r="IHY157" s="69"/>
      <c r="IHZ157" s="69"/>
      <c r="IIA157" s="69"/>
      <c r="IIB157" s="69"/>
      <c r="IIC157" s="69"/>
      <c r="IID157" s="69"/>
      <c r="IIE157" s="69"/>
      <c r="IIF157" s="69"/>
      <c r="IIG157" s="69"/>
      <c r="IIH157" s="69"/>
      <c r="III157" s="69"/>
      <c r="IIJ157" s="69"/>
      <c r="IIK157" s="69"/>
      <c r="IIL157" s="69"/>
      <c r="IIM157" s="69"/>
      <c r="IIN157" s="69"/>
      <c r="IIO157" s="69"/>
      <c r="IIP157" s="69"/>
      <c r="IIQ157" s="69"/>
      <c r="IIR157" s="69"/>
      <c r="IIS157" s="69"/>
      <c r="IIT157" s="69"/>
      <c r="IIU157" s="69"/>
      <c r="IIV157" s="69"/>
      <c r="IIW157" s="69"/>
      <c r="IIX157" s="69"/>
      <c r="IIY157" s="69"/>
      <c r="IIZ157" s="69"/>
      <c r="IJA157" s="69"/>
      <c r="IJB157" s="69"/>
      <c r="IJC157" s="69"/>
      <c r="IJD157" s="69"/>
      <c r="IJE157" s="69"/>
      <c r="IJF157" s="69"/>
      <c r="IJG157" s="69"/>
      <c r="IJH157" s="69"/>
      <c r="IJI157" s="69"/>
      <c r="IJJ157" s="69"/>
      <c r="IJK157" s="69"/>
      <c r="IJL157" s="69"/>
      <c r="IJM157" s="69"/>
      <c r="IJN157" s="69"/>
      <c r="IJO157" s="69"/>
      <c r="IJP157" s="69"/>
      <c r="IJQ157" s="69"/>
      <c r="IJR157" s="69"/>
      <c r="IJS157" s="69"/>
      <c r="IJT157" s="69"/>
      <c r="IJU157" s="69"/>
      <c r="IJV157" s="69"/>
      <c r="IJW157" s="69"/>
      <c r="IJX157" s="69"/>
      <c r="IJY157" s="69"/>
      <c r="IJZ157" s="69"/>
      <c r="IKA157" s="69"/>
      <c r="IKB157" s="69"/>
      <c r="IKC157" s="69"/>
      <c r="IKD157" s="69"/>
      <c r="IKE157" s="69"/>
      <c r="IKF157" s="69"/>
      <c r="IKG157" s="69"/>
      <c r="IKH157" s="69"/>
      <c r="IKI157" s="69"/>
      <c r="IKJ157" s="69"/>
      <c r="IKK157" s="69"/>
      <c r="IKL157" s="69"/>
      <c r="IKM157" s="69"/>
      <c r="IKN157" s="69"/>
      <c r="IKO157" s="69"/>
      <c r="IKP157" s="69"/>
      <c r="IKQ157" s="69"/>
      <c r="IKR157" s="69"/>
      <c r="IKS157" s="69"/>
      <c r="IKT157" s="69"/>
      <c r="IKU157" s="69"/>
      <c r="IKV157" s="69"/>
      <c r="IKW157" s="69"/>
      <c r="IKX157" s="69"/>
      <c r="IKY157" s="69"/>
      <c r="IKZ157" s="69"/>
      <c r="ILA157" s="69"/>
      <c r="ILB157" s="69"/>
      <c r="ILC157" s="69"/>
      <c r="ILD157" s="69"/>
      <c r="ILE157" s="69"/>
      <c r="ILF157" s="69"/>
      <c r="ILG157" s="69"/>
      <c r="ILH157" s="69"/>
      <c r="ILI157" s="69"/>
      <c r="ILJ157" s="69"/>
      <c r="ILK157" s="69"/>
      <c r="ILL157" s="69"/>
      <c r="ILM157" s="69"/>
      <c r="ILN157" s="69"/>
      <c r="ILO157" s="69"/>
      <c r="ILP157" s="69"/>
      <c r="ILQ157" s="69"/>
      <c r="ILR157" s="69"/>
      <c r="ILS157" s="69"/>
      <c r="ILT157" s="69"/>
      <c r="ILU157" s="69"/>
      <c r="ILV157" s="69"/>
      <c r="ILW157" s="69"/>
      <c r="ILX157" s="69"/>
      <c r="ILY157" s="69"/>
      <c r="ILZ157" s="69"/>
      <c r="IMA157" s="69"/>
      <c r="IMB157" s="69"/>
      <c r="IMC157" s="69"/>
      <c r="IMD157" s="69"/>
      <c r="IME157" s="69"/>
      <c r="IMF157" s="69"/>
      <c r="IMG157" s="69"/>
      <c r="IMH157" s="69"/>
      <c r="IMI157" s="69"/>
      <c r="IMJ157" s="69"/>
      <c r="IMK157" s="69"/>
      <c r="IML157" s="69"/>
      <c r="IMM157" s="69"/>
      <c r="IMN157" s="69"/>
      <c r="IMO157" s="69"/>
      <c r="IMP157" s="69"/>
      <c r="IMQ157" s="69"/>
      <c r="IMR157" s="69"/>
      <c r="IMS157" s="69"/>
      <c r="IMT157" s="69"/>
      <c r="IMU157" s="69"/>
      <c r="IMV157" s="69"/>
      <c r="IMW157" s="69"/>
      <c r="IMX157" s="69"/>
      <c r="IMY157" s="69"/>
      <c r="IMZ157" s="69"/>
      <c r="INA157" s="69"/>
      <c r="INB157" s="69"/>
      <c r="INC157" s="69"/>
      <c r="IND157" s="69"/>
      <c r="INE157" s="69"/>
      <c r="INF157" s="69"/>
      <c r="ING157" s="69"/>
      <c r="INH157" s="69"/>
      <c r="INI157" s="69"/>
      <c r="INJ157" s="69"/>
      <c r="INK157" s="69"/>
      <c r="INL157" s="69"/>
      <c r="INM157" s="69"/>
      <c r="INN157" s="69"/>
      <c r="INO157" s="69"/>
      <c r="INP157" s="69"/>
      <c r="INQ157" s="69"/>
      <c r="INR157" s="69"/>
      <c r="INS157" s="69"/>
      <c r="INT157" s="69"/>
      <c r="INU157" s="69"/>
      <c r="INV157" s="69"/>
      <c r="INW157" s="69"/>
      <c r="INX157" s="69"/>
      <c r="INY157" s="69"/>
      <c r="INZ157" s="69"/>
      <c r="IOA157" s="69"/>
      <c r="IOB157" s="69"/>
      <c r="IOC157" s="69"/>
      <c r="IOD157" s="69"/>
      <c r="IOE157" s="69"/>
      <c r="IOF157" s="69"/>
      <c r="IOG157" s="69"/>
      <c r="IOH157" s="69"/>
      <c r="IOI157" s="69"/>
      <c r="IOJ157" s="69"/>
      <c r="IOK157" s="69"/>
      <c r="IOL157" s="69"/>
      <c r="IOM157" s="69"/>
      <c r="ION157" s="69"/>
      <c r="IOO157" s="69"/>
      <c r="IOP157" s="69"/>
      <c r="IOQ157" s="69"/>
      <c r="IOR157" s="69"/>
      <c r="IOS157" s="69"/>
      <c r="IOT157" s="69"/>
      <c r="IOU157" s="69"/>
      <c r="IOV157" s="69"/>
      <c r="IOW157" s="69"/>
      <c r="IOX157" s="69"/>
      <c r="IOY157" s="69"/>
      <c r="IOZ157" s="69"/>
      <c r="IPA157" s="69"/>
      <c r="IPB157" s="69"/>
      <c r="IPC157" s="69"/>
      <c r="IPD157" s="69"/>
      <c r="IPE157" s="69"/>
      <c r="IPF157" s="69"/>
      <c r="IPG157" s="69"/>
      <c r="IPH157" s="69"/>
      <c r="IPI157" s="69"/>
      <c r="IPJ157" s="69"/>
      <c r="IPK157" s="69"/>
      <c r="IPL157" s="69"/>
      <c r="IPM157" s="69"/>
      <c r="IPN157" s="69"/>
      <c r="IPO157" s="69"/>
      <c r="IPP157" s="69"/>
      <c r="IPQ157" s="69"/>
      <c r="IPR157" s="69"/>
      <c r="IPS157" s="69"/>
      <c r="IPT157" s="69"/>
      <c r="IPU157" s="69"/>
      <c r="IPV157" s="69"/>
      <c r="IPW157" s="69"/>
      <c r="IPX157" s="69"/>
      <c r="IPY157" s="69"/>
      <c r="IPZ157" s="69"/>
      <c r="IQA157" s="69"/>
      <c r="IQB157" s="69"/>
      <c r="IQC157" s="69"/>
      <c r="IQD157" s="69"/>
      <c r="IQE157" s="69"/>
      <c r="IQF157" s="69"/>
      <c r="IQG157" s="69"/>
      <c r="IQH157" s="69"/>
      <c r="IQI157" s="69"/>
      <c r="IQJ157" s="69"/>
      <c r="IQK157" s="69"/>
      <c r="IQL157" s="69"/>
      <c r="IQM157" s="69"/>
      <c r="IQN157" s="69"/>
      <c r="IQO157" s="69"/>
      <c r="IQP157" s="69"/>
      <c r="IQQ157" s="69"/>
      <c r="IQR157" s="69"/>
      <c r="IQS157" s="69"/>
      <c r="IQT157" s="69"/>
      <c r="IQU157" s="69"/>
      <c r="IQV157" s="69"/>
      <c r="IQW157" s="69"/>
      <c r="IQX157" s="69"/>
      <c r="IQY157" s="69"/>
      <c r="IQZ157" s="69"/>
      <c r="IRA157" s="69"/>
      <c r="IRB157" s="69"/>
      <c r="IRC157" s="69"/>
      <c r="IRD157" s="69"/>
      <c r="IRE157" s="69"/>
      <c r="IRF157" s="69"/>
      <c r="IRG157" s="69"/>
      <c r="IRH157" s="69"/>
      <c r="IRI157" s="69"/>
      <c r="IRJ157" s="69"/>
      <c r="IRK157" s="69"/>
      <c r="IRL157" s="69"/>
      <c r="IRM157" s="69"/>
      <c r="IRN157" s="69"/>
      <c r="IRO157" s="69"/>
      <c r="IRP157" s="69"/>
      <c r="IRQ157" s="69"/>
      <c r="IRR157" s="69"/>
      <c r="IRS157" s="69"/>
      <c r="IRT157" s="69"/>
      <c r="IRU157" s="69"/>
      <c r="IRV157" s="69"/>
      <c r="IRW157" s="69"/>
      <c r="IRX157" s="69"/>
      <c r="IRY157" s="69"/>
      <c r="IRZ157" s="69"/>
      <c r="ISA157" s="69"/>
      <c r="ISB157" s="69"/>
      <c r="ISC157" s="69"/>
      <c r="ISD157" s="69"/>
      <c r="ISE157" s="69"/>
      <c r="ISF157" s="69"/>
      <c r="ISG157" s="69"/>
      <c r="ISH157" s="69"/>
      <c r="ISI157" s="69"/>
      <c r="ISJ157" s="69"/>
      <c r="ISK157" s="69"/>
      <c r="ISL157" s="69"/>
      <c r="ISM157" s="69"/>
      <c r="ISN157" s="69"/>
      <c r="ISO157" s="69"/>
      <c r="ISP157" s="69"/>
      <c r="ISQ157" s="69"/>
      <c r="ISR157" s="69"/>
      <c r="ISS157" s="69"/>
      <c r="IST157" s="69"/>
      <c r="ISU157" s="69"/>
      <c r="ISV157" s="69"/>
      <c r="ISW157" s="69"/>
      <c r="ISX157" s="69"/>
      <c r="ISY157" s="69"/>
      <c r="ISZ157" s="69"/>
      <c r="ITA157" s="69"/>
      <c r="ITB157" s="69"/>
      <c r="ITC157" s="69"/>
      <c r="ITD157" s="69"/>
      <c r="ITE157" s="69"/>
      <c r="ITF157" s="69"/>
      <c r="ITG157" s="69"/>
      <c r="ITH157" s="69"/>
      <c r="ITI157" s="69"/>
      <c r="ITJ157" s="69"/>
      <c r="ITK157" s="69"/>
      <c r="ITL157" s="69"/>
      <c r="ITM157" s="69"/>
      <c r="ITN157" s="69"/>
      <c r="ITO157" s="69"/>
      <c r="ITP157" s="69"/>
      <c r="ITQ157" s="69"/>
      <c r="ITR157" s="69"/>
      <c r="ITS157" s="69"/>
      <c r="ITT157" s="69"/>
      <c r="ITU157" s="69"/>
      <c r="ITV157" s="69"/>
      <c r="ITW157" s="69"/>
      <c r="ITX157" s="69"/>
      <c r="ITY157" s="69"/>
      <c r="ITZ157" s="69"/>
      <c r="IUA157" s="69"/>
      <c r="IUB157" s="69"/>
      <c r="IUC157" s="69"/>
      <c r="IUD157" s="69"/>
      <c r="IUE157" s="69"/>
      <c r="IUF157" s="69"/>
      <c r="IUG157" s="69"/>
      <c r="IUH157" s="69"/>
      <c r="IUI157" s="69"/>
      <c r="IUJ157" s="69"/>
      <c r="IUK157" s="69"/>
      <c r="IUL157" s="69"/>
      <c r="IUM157" s="69"/>
      <c r="IUN157" s="69"/>
      <c r="IUO157" s="69"/>
      <c r="IUP157" s="69"/>
      <c r="IUQ157" s="69"/>
      <c r="IUR157" s="69"/>
      <c r="IUS157" s="69"/>
      <c r="IUT157" s="69"/>
      <c r="IUU157" s="69"/>
      <c r="IUV157" s="69"/>
      <c r="IUW157" s="69"/>
      <c r="IUX157" s="69"/>
      <c r="IUY157" s="69"/>
      <c r="IUZ157" s="69"/>
      <c r="IVA157" s="69"/>
      <c r="IVB157" s="69"/>
      <c r="IVC157" s="69"/>
      <c r="IVD157" s="69"/>
      <c r="IVE157" s="69"/>
      <c r="IVF157" s="69"/>
      <c r="IVG157" s="69"/>
      <c r="IVH157" s="69"/>
      <c r="IVI157" s="69"/>
      <c r="IVJ157" s="69"/>
      <c r="IVK157" s="69"/>
      <c r="IVL157" s="69"/>
      <c r="IVM157" s="69"/>
      <c r="IVN157" s="69"/>
      <c r="IVO157" s="69"/>
      <c r="IVP157" s="69"/>
      <c r="IVQ157" s="69"/>
      <c r="IVR157" s="69"/>
      <c r="IVS157" s="69"/>
      <c r="IVT157" s="69"/>
      <c r="IVU157" s="69"/>
      <c r="IVV157" s="69"/>
      <c r="IVW157" s="69"/>
      <c r="IVX157" s="69"/>
      <c r="IVY157" s="69"/>
      <c r="IVZ157" s="69"/>
      <c r="IWA157" s="69"/>
      <c r="IWB157" s="69"/>
      <c r="IWC157" s="69"/>
      <c r="IWD157" s="69"/>
      <c r="IWE157" s="69"/>
      <c r="IWF157" s="69"/>
      <c r="IWG157" s="69"/>
      <c r="IWH157" s="69"/>
      <c r="IWI157" s="69"/>
      <c r="IWJ157" s="69"/>
      <c r="IWK157" s="69"/>
      <c r="IWL157" s="69"/>
      <c r="IWM157" s="69"/>
      <c r="IWN157" s="69"/>
      <c r="IWO157" s="69"/>
      <c r="IWP157" s="69"/>
      <c r="IWQ157" s="69"/>
      <c r="IWR157" s="69"/>
      <c r="IWS157" s="69"/>
      <c r="IWT157" s="69"/>
      <c r="IWU157" s="69"/>
      <c r="IWV157" s="69"/>
      <c r="IWW157" s="69"/>
      <c r="IWX157" s="69"/>
      <c r="IWY157" s="69"/>
      <c r="IWZ157" s="69"/>
      <c r="IXA157" s="69"/>
      <c r="IXB157" s="69"/>
      <c r="IXC157" s="69"/>
      <c r="IXD157" s="69"/>
      <c r="IXE157" s="69"/>
      <c r="IXF157" s="69"/>
      <c r="IXG157" s="69"/>
      <c r="IXH157" s="69"/>
      <c r="IXI157" s="69"/>
      <c r="IXJ157" s="69"/>
      <c r="IXK157" s="69"/>
      <c r="IXL157" s="69"/>
      <c r="IXM157" s="69"/>
      <c r="IXN157" s="69"/>
      <c r="IXO157" s="69"/>
      <c r="IXP157" s="69"/>
      <c r="IXQ157" s="69"/>
      <c r="IXR157" s="69"/>
      <c r="IXS157" s="69"/>
      <c r="IXT157" s="69"/>
      <c r="IXU157" s="69"/>
      <c r="IXV157" s="69"/>
      <c r="IXW157" s="69"/>
      <c r="IXX157" s="69"/>
      <c r="IXY157" s="69"/>
      <c r="IXZ157" s="69"/>
      <c r="IYA157" s="69"/>
      <c r="IYB157" s="69"/>
      <c r="IYC157" s="69"/>
      <c r="IYD157" s="69"/>
      <c r="IYE157" s="69"/>
      <c r="IYF157" s="69"/>
      <c r="IYG157" s="69"/>
      <c r="IYH157" s="69"/>
      <c r="IYI157" s="69"/>
      <c r="IYJ157" s="69"/>
      <c r="IYK157" s="69"/>
      <c r="IYL157" s="69"/>
      <c r="IYM157" s="69"/>
      <c r="IYN157" s="69"/>
      <c r="IYO157" s="69"/>
      <c r="IYP157" s="69"/>
      <c r="IYQ157" s="69"/>
      <c r="IYR157" s="69"/>
      <c r="IYS157" s="69"/>
      <c r="IYT157" s="69"/>
      <c r="IYU157" s="69"/>
      <c r="IYV157" s="69"/>
      <c r="IYW157" s="69"/>
      <c r="IYX157" s="69"/>
      <c r="IYY157" s="69"/>
      <c r="IYZ157" s="69"/>
      <c r="IZA157" s="69"/>
      <c r="IZB157" s="69"/>
      <c r="IZC157" s="69"/>
      <c r="IZD157" s="69"/>
      <c r="IZE157" s="69"/>
      <c r="IZF157" s="69"/>
      <c r="IZG157" s="69"/>
      <c r="IZH157" s="69"/>
      <c r="IZI157" s="69"/>
      <c r="IZJ157" s="69"/>
      <c r="IZK157" s="69"/>
      <c r="IZL157" s="69"/>
      <c r="IZM157" s="69"/>
      <c r="IZN157" s="69"/>
      <c r="IZO157" s="69"/>
      <c r="IZP157" s="69"/>
      <c r="IZQ157" s="69"/>
      <c r="IZR157" s="69"/>
      <c r="IZS157" s="69"/>
      <c r="IZT157" s="69"/>
      <c r="IZU157" s="69"/>
      <c r="IZV157" s="69"/>
      <c r="IZW157" s="69"/>
      <c r="IZX157" s="69"/>
      <c r="IZY157" s="69"/>
      <c r="IZZ157" s="69"/>
      <c r="JAA157" s="69"/>
      <c r="JAB157" s="69"/>
      <c r="JAC157" s="69"/>
      <c r="JAD157" s="69"/>
      <c r="JAE157" s="69"/>
      <c r="JAF157" s="69"/>
      <c r="JAG157" s="69"/>
      <c r="JAH157" s="69"/>
      <c r="JAI157" s="69"/>
      <c r="JAJ157" s="69"/>
      <c r="JAK157" s="69"/>
      <c r="JAL157" s="69"/>
      <c r="JAM157" s="69"/>
      <c r="JAN157" s="69"/>
      <c r="JAO157" s="69"/>
      <c r="JAP157" s="69"/>
      <c r="JAQ157" s="69"/>
      <c r="JAR157" s="69"/>
      <c r="JAS157" s="69"/>
      <c r="JAT157" s="69"/>
      <c r="JAU157" s="69"/>
      <c r="JAV157" s="69"/>
      <c r="JAW157" s="69"/>
      <c r="JAX157" s="69"/>
      <c r="JAY157" s="69"/>
      <c r="JAZ157" s="69"/>
      <c r="JBA157" s="69"/>
      <c r="JBB157" s="69"/>
      <c r="JBC157" s="69"/>
      <c r="JBD157" s="69"/>
      <c r="JBE157" s="69"/>
      <c r="JBF157" s="69"/>
      <c r="JBG157" s="69"/>
      <c r="JBH157" s="69"/>
      <c r="JBI157" s="69"/>
      <c r="JBJ157" s="69"/>
      <c r="JBK157" s="69"/>
      <c r="JBL157" s="69"/>
      <c r="JBM157" s="69"/>
      <c r="JBN157" s="69"/>
      <c r="JBO157" s="69"/>
      <c r="JBP157" s="69"/>
      <c r="JBQ157" s="69"/>
      <c r="JBR157" s="69"/>
      <c r="JBS157" s="69"/>
      <c r="JBT157" s="69"/>
      <c r="JBU157" s="69"/>
      <c r="JBV157" s="69"/>
      <c r="JBW157" s="69"/>
      <c r="JBX157" s="69"/>
      <c r="JBY157" s="69"/>
      <c r="JBZ157" s="69"/>
      <c r="JCA157" s="69"/>
      <c r="JCB157" s="69"/>
      <c r="JCC157" s="69"/>
      <c r="JCD157" s="69"/>
      <c r="JCE157" s="69"/>
      <c r="JCF157" s="69"/>
      <c r="JCG157" s="69"/>
      <c r="JCH157" s="69"/>
      <c r="JCI157" s="69"/>
      <c r="JCJ157" s="69"/>
      <c r="JCK157" s="69"/>
      <c r="JCL157" s="69"/>
      <c r="JCM157" s="69"/>
      <c r="JCN157" s="69"/>
      <c r="JCO157" s="69"/>
      <c r="JCP157" s="69"/>
      <c r="JCQ157" s="69"/>
      <c r="JCR157" s="69"/>
      <c r="JCS157" s="69"/>
      <c r="JCT157" s="69"/>
      <c r="JCU157" s="69"/>
      <c r="JCV157" s="69"/>
      <c r="JCW157" s="69"/>
      <c r="JCX157" s="69"/>
      <c r="JCY157" s="69"/>
      <c r="JCZ157" s="69"/>
      <c r="JDA157" s="69"/>
      <c r="JDB157" s="69"/>
      <c r="JDC157" s="69"/>
      <c r="JDD157" s="69"/>
      <c r="JDE157" s="69"/>
      <c r="JDF157" s="69"/>
      <c r="JDG157" s="69"/>
      <c r="JDH157" s="69"/>
      <c r="JDI157" s="69"/>
      <c r="JDJ157" s="69"/>
      <c r="JDK157" s="69"/>
      <c r="JDL157" s="69"/>
      <c r="JDM157" s="69"/>
      <c r="JDN157" s="69"/>
      <c r="JDO157" s="69"/>
      <c r="JDP157" s="69"/>
      <c r="JDQ157" s="69"/>
      <c r="JDR157" s="69"/>
      <c r="JDS157" s="69"/>
      <c r="JDT157" s="69"/>
      <c r="JDU157" s="69"/>
      <c r="JDV157" s="69"/>
      <c r="JDW157" s="69"/>
      <c r="JDX157" s="69"/>
      <c r="JDY157" s="69"/>
      <c r="JDZ157" s="69"/>
      <c r="JEA157" s="69"/>
      <c r="JEB157" s="69"/>
      <c r="JEC157" s="69"/>
      <c r="JED157" s="69"/>
      <c r="JEE157" s="69"/>
      <c r="JEF157" s="69"/>
      <c r="JEG157" s="69"/>
      <c r="JEH157" s="69"/>
      <c r="JEI157" s="69"/>
      <c r="JEJ157" s="69"/>
      <c r="JEK157" s="69"/>
      <c r="JEL157" s="69"/>
      <c r="JEM157" s="69"/>
      <c r="JEN157" s="69"/>
      <c r="JEO157" s="69"/>
      <c r="JEP157" s="69"/>
      <c r="JEQ157" s="69"/>
      <c r="JER157" s="69"/>
      <c r="JES157" s="69"/>
      <c r="JET157" s="69"/>
      <c r="JEU157" s="69"/>
      <c r="JEV157" s="69"/>
      <c r="JEW157" s="69"/>
      <c r="JEX157" s="69"/>
      <c r="JEY157" s="69"/>
      <c r="JEZ157" s="69"/>
      <c r="JFA157" s="69"/>
      <c r="JFB157" s="69"/>
      <c r="JFC157" s="69"/>
      <c r="JFD157" s="69"/>
      <c r="JFE157" s="69"/>
      <c r="JFF157" s="69"/>
      <c r="JFG157" s="69"/>
      <c r="JFH157" s="69"/>
      <c r="JFI157" s="69"/>
      <c r="JFJ157" s="69"/>
      <c r="JFK157" s="69"/>
      <c r="JFL157" s="69"/>
      <c r="JFM157" s="69"/>
      <c r="JFN157" s="69"/>
      <c r="JFO157" s="69"/>
      <c r="JFP157" s="69"/>
      <c r="JFQ157" s="69"/>
      <c r="JFR157" s="69"/>
      <c r="JFS157" s="69"/>
      <c r="JFT157" s="69"/>
      <c r="JFU157" s="69"/>
      <c r="JFV157" s="69"/>
      <c r="JFW157" s="69"/>
      <c r="JFX157" s="69"/>
      <c r="JFY157" s="69"/>
      <c r="JFZ157" s="69"/>
      <c r="JGA157" s="69"/>
      <c r="JGB157" s="69"/>
      <c r="JGC157" s="69"/>
      <c r="JGD157" s="69"/>
      <c r="JGE157" s="69"/>
      <c r="JGF157" s="69"/>
      <c r="JGG157" s="69"/>
      <c r="JGH157" s="69"/>
      <c r="JGI157" s="69"/>
      <c r="JGJ157" s="69"/>
      <c r="JGK157" s="69"/>
      <c r="JGL157" s="69"/>
      <c r="JGM157" s="69"/>
      <c r="JGN157" s="69"/>
      <c r="JGO157" s="69"/>
      <c r="JGP157" s="69"/>
      <c r="JGQ157" s="69"/>
      <c r="JGR157" s="69"/>
      <c r="JGS157" s="69"/>
      <c r="JGT157" s="69"/>
      <c r="JGU157" s="69"/>
      <c r="JGV157" s="69"/>
      <c r="JGW157" s="69"/>
      <c r="JGX157" s="69"/>
      <c r="JGY157" s="69"/>
      <c r="JGZ157" s="69"/>
      <c r="JHA157" s="69"/>
      <c r="JHB157" s="69"/>
      <c r="JHC157" s="69"/>
      <c r="JHD157" s="69"/>
      <c r="JHE157" s="69"/>
      <c r="JHF157" s="69"/>
      <c r="JHG157" s="69"/>
      <c r="JHH157" s="69"/>
      <c r="JHI157" s="69"/>
      <c r="JHJ157" s="69"/>
      <c r="JHK157" s="69"/>
      <c r="JHL157" s="69"/>
      <c r="JHM157" s="69"/>
      <c r="JHN157" s="69"/>
      <c r="JHO157" s="69"/>
      <c r="JHP157" s="69"/>
      <c r="JHQ157" s="69"/>
      <c r="JHR157" s="69"/>
      <c r="JHS157" s="69"/>
      <c r="JHT157" s="69"/>
      <c r="JHU157" s="69"/>
      <c r="JHV157" s="69"/>
      <c r="JHW157" s="69"/>
      <c r="JHX157" s="69"/>
      <c r="JHY157" s="69"/>
      <c r="JHZ157" s="69"/>
      <c r="JIA157" s="69"/>
      <c r="JIB157" s="69"/>
      <c r="JIC157" s="69"/>
      <c r="JID157" s="69"/>
      <c r="JIE157" s="69"/>
      <c r="JIF157" s="69"/>
      <c r="JIG157" s="69"/>
      <c r="JIH157" s="69"/>
      <c r="JII157" s="69"/>
      <c r="JIJ157" s="69"/>
      <c r="JIK157" s="69"/>
      <c r="JIL157" s="69"/>
      <c r="JIM157" s="69"/>
      <c r="JIN157" s="69"/>
      <c r="JIO157" s="69"/>
      <c r="JIP157" s="69"/>
      <c r="JIQ157" s="69"/>
      <c r="JIR157" s="69"/>
      <c r="JIS157" s="69"/>
      <c r="JIT157" s="69"/>
      <c r="JIU157" s="69"/>
      <c r="JIV157" s="69"/>
      <c r="JIW157" s="69"/>
      <c r="JIX157" s="69"/>
      <c r="JIY157" s="69"/>
      <c r="JIZ157" s="69"/>
      <c r="JJA157" s="69"/>
      <c r="JJB157" s="69"/>
      <c r="JJC157" s="69"/>
      <c r="JJD157" s="69"/>
      <c r="JJE157" s="69"/>
      <c r="JJF157" s="69"/>
      <c r="JJG157" s="69"/>
      <c r="JJH157" s="69"/>
      <c r="JJI157" s="69"/>
      <c r="JJJ157" s="69"/>
      <c r="JJK157" s="69"/>
      <c r="JJL157" s="69"/>
      <c r="JJM157" s="69"/>
      <c r="JJN157" s="69"/>
      <c r="JJO157" s="69"/>
      <c r="JJP157" s="69"/>
      <c r="JJQ157" s="69"/>
      <c r="JJR157" s="69"/>
      <c r="JJS157" s="69"/>
      <c r="JJT157" s="69"/>
      <c r="JJU157" s="69"/>
      <c r="JJV157" s="69"/>
      <c r="JJW157" s="69"/>
      <c r="JJX157" s="69"/>
      <c r="JJY157" s="69"/>
      <c r="JJZ157" s="69"/>
      <c r="JKA157" s="69"/>
      <c r="JKB157" s="69"/>
      <c r="JKC157" s="69"/>
      <c r="JKD157" s="69"/>
      <c r="JKE157" s="69"/>
      <c r="JKF157" s="69"/>
      <c r="JKG157" s="69"/>
      <c r="JKH157" s="69"/>
      <c r="JKI157" s="69"/>
      <c r="JKJ157" s="69"/>
      <c r="JKK157" s="69"/>
      <c r="JKL157" s="69"/>
      <c r="JKM157" s="69"/>
      <c r="JKN157" s="69"/>
      <c r="JKO157" s="69"/>
      <c r="JKP157" s="69"/>
      <c r="JKQ157" s="69"/>
      <c r="JKR157" s="69"/>
      <c r="JKS157" s="69"/>
      <c r="JKT157" s="69"/>
      <c r="JKU157" s="69"/>
      <c r="JKV157" s="69"/>
      <c r="JKW157" s="69"/>
      <c r="JKX157" s="69"/>
      <c r="JKY157" s="69"/>
      <c r="JKZ157" s="69"/>
      <c r="JLA157" s="69"/>
      <c r="JLB157" s="69"/>
      <c r="JLC157" s="69"/>
      <c r="JLD157" s="69"/>
      <c r="JLE157" s="69"/>
      <c r="JLF157" s="69"/>
      <c r="JLG157" s="69"/>
      <c r="JLH157" s="69"/>
      <c r="JLI157" s="69"/>
      <c r="JLJ157" s="69"/>
      <c r="JLK157" s="69"/>
      <c r="JLL157" s="69"/>
      <c r="JLM157" s="69"/>
      <c r="JLN157" s="69"/>
      <c r="JLO157" s="69"/>
      <c r="JLP157" s="69"/>
      <c r="JLQ157" s="69"/>
      <c r="JLR157" s="69"/>
      <c r="JLS157" s="69"/>
      <c r="JLT157" s="69"/>
      <c r="JLU157" s="69"/>
      <c r="JLV157" s="69"/>
      <c r="JLW157" s="69"/>
      <c r="JLX157" s="69"/>
      <c r="JLY157" s="69"/>
      <c r="JLZ157" s="69"/>
      <c r="JMA157" s="69"/>
      <c r="JMB157" s="69"/>
      <c r="JMC157" s="69"/>
      <c r="JMD157" s="69"/>
      <c r="JME157" s="69"/>
      <c r="JMF157" s="69"/>
      <c r="JMG157" s="69"/>
      <c r="JMH157" s="69"/>
      <c r="JMI157" s="69"/>
      <c r="JMJ157" s="69"/>
      <c r="JMK157" s="69"/>
      <c r="JML157" s="69"/>
      <c r="JMM157" s="69"/>
      <c r="JMN157" s="69"/>
      <c r="JMO157" s="69"/>
      <c r="JMP157" s="69"/>
      <c r="JMQ157" s="69"/>
      <c r="JMR157" s="69"/>
      <c r="JMS157" s="69"/>
      <c r="JMT157" s="69"/>
      <c r="JMU157" s="69"/>
      <c r="JMV157" s="69"/>
      <c r="JMW157" s="69"/>
      <c r="JMX157" s="69"/>
      <c r="JMY157" s="69"/>
      <c r="JMZ157" s="69"/>
      <c r="JNA157" s="69"/>
      <c r="JNB157" s="69"/>
      <c r="JNC157" s="69"/>
      <c r="JND157" s="69"/>
      <c r="JNE157" s="69"/>
      <c r="JNF157" s="69"/>
      <c r="JNG157" s="69"/>
      <c r="JNH157" s="69"/>
      <c r="JNI157" s="69"/>
      <c r="JNJ157" s="69"/>
      <c r="JNK157" s="69"/>
      <c r="JNL157" s="69"/>
      <c r="JNM157" s="69"/>
      <c r="JNN157" s="69"/>
      <c r="JNO157" s="69"/>
      <c r="JNP157" s="69"/>
      <c r="JNQ157" s="69"/>
      <c r="JNR157" s="69"/>
      <c r="JNS157" s="69"/>
      <c r="JNT157" s="69"/>
      <c r="JNU157" s="69"/>
      <c r="JNV157" s="69"/>
      <c r="JNW157" s="69"/>
      <c r="JNX157" s="69"/>
      <c r="JNY157" s="69"/>
      <c r="JNZ157" s="69"/>
      <c r="JOA157" s="69"/>
      <c r="JOB157" s="69"/>
      <c r="JOC157" s="69"/>
      <c r="JOD157" s="69"/>
      <c r="JOE157" s="69"/>
      <c r="JOF157" s="69"/>
      <c r="JOG157" s="69"/>
      <c r="JOH157" s="69"/>
      <c r="JOI157" s="69"/>
      <c r="JOJ157" s="69"/>
      <c r="JOK157" s="69"/>
      <c r="JOL157" s="69"/>
      <c r="JOM157" s="69"/>
      <c r="JON157" s="69"/>
      <c r="JOO157" s="69"/>
      <c r="JOP157" s="69"/>
      <c r="JOQ157" s="69"/>
      <c r="JOR157" s="69"/>
      <c r="JOS157" s="69"/>
      <c r="JOT157" s="69"/>
      <c r="JOU157" s="69"/>
      <c r="JOV157" s="69"/>
      <c r="JOW157" s="69"/>
      <c r="JOX157" s="69"/>
      <c r="JOY157" s="69"/>
      <c r="JOZ157" s="69"/>
      <c r="JPA157" s="69"/>
      <c r="JPB157" s="69"/>
      <c r="JPC157" s="69"/>
      <c r="JPD157" s="69"/>
      <c r="JPE157" s="69"/>
      <c r="JPF157" s="69"/>
      <c r="JPG157" s="69"/>
      <c r="JPH157" s="69"/>
      <c r="JPI157" s="69"/>
      <c r="JPJ157" s="69"/>
      <c r="JPK157" s="69"/>
      <c r="JPL157" s="69"/>
      <c r="JPM157" s="69"/>
      <c r="JPN157" s="69"/>
      <c r="JPO157" s="69"/>
      <c r="JPP157" s="69"/>
      <c r="JPQ157" s="69"/>
      <c r="JPR157" s="69"/>
      <c r="JPS157" s="69"/>
      <c r="JPT157" s="69"/>
      <c r="JPU157" s="69"/>
      <c r="JPV157" s="69"/>
      <c r="JPW157" s="69"/>
      <c r="JPX157" s="69"/>
      <c r="JPY157" s="69"/>
      <c r="JPZ157" s="69"/>
      <c r="JQA157" s="69"/>
      <c r="JQB157" s="69"/>
      <c r="JQC157" s="69"/>
      <c r="JQD157" s="69"/>
      <c r="JQE157" s="69"/>
      <c r="JQF157" s="69"/>
      <c r="JQG157" s="69"/>
      <c r="JQH157" s="69"/>
      <c r="JQI157" s="69"/>
      <c r="JQJ157" s="69"/>
      <c r="JQK157" s="69"/>
      <c r="JQL157" s="69"/>
      <c r="JQM157" s="69"/>
      <c r="JQN157" s="69"/>
      <c r="JQO157" s="69"/>
      <c r="JQP157" s="69"/>
      <c r="JQQ157" s="69"/>
      <c r="JQR157" s="69"/>
      <c r="JQS157" s="69"/>
      <c r="JQT157" s="69"/>
      <c r="JQU157" s="69"/>
      <c r="JQV157" s="69"/>
      <c r="JQW157" s="69"/>
      <c r="JQX157" s="69"/>
      <c r="JQY157" s="69"/>
      <c r="JQZ157" s="69"/>
      <c r="JRA157" s="69"/>
      <c r="JRB157" s="69"/>
      <c r="JRC157" s="69"/>
      <c r="JRD157" s="69"/>
      <c r="JRE157" s="69"/>
      <c r="JRF157" s="69"/>
      <c r="JRG157" s="69"/>
      <c r="JRH157" s="69"/>
      <c r="JRI157" s="69"/>
      <c r="JRJ157" s="69"/>
      <c r="JRK157" s="69"/>
      <c r="JRL157" s="69"/>
      <c r="JRM157" s="69"/>
      <c r="JRN157" s="69"/>
      <c r="JRO157" s="69"/>
      <c r="JRP157" s="69"/>
      <c r="JRQ157" s="69"/>
      <c r="JRR157" s="69"/>
      <c r="JRS157" s="69"/>
      <c r="JRT157" s="69"/>
      <c r="JRU157" s="69"/>
      <c r="JRV157" s="69"/>
      <c r="JRW157" s="69"/>
      <c r="JRX157" s="69"/>
      <c r="JRY157" s="69"/>
      <c r="JRZ157" s="69"/>
      <c r="JSA157" s="69"/>
      <c r="JSB157" s="69"/>
      <c r="JSC157" s="69"/>
      <c r="JSD157" s="69"/>
      <c r="JSE157" s="69"/>
      <c r="JSF157" s="69"/>
      <c r="JSG157" s="69"/>
      <c r="JSH157" s="69"/>
      <c r="JSI157" s="69"/>
      <c r="JSJ157" s="69"/>
      <c r="JSK157" s="69"/>
      <c r="JSL157" s="69"/>
      <c r="JSM157" s="69"/>
      <c r="JSN157" s="69"/>
      <c r="JSO157" s="69"/>
      <c r="JSP157" s="69"/>
      <c r="JSQ157" s="69"/>
      <c r="JSR157" s="69"/>
      <c r="JSS157" s="69"/>
      <c r="JST157" s="69"/>
      <c r="JSU157" s="69"/>
      <c r="JSV157" s="69"/>
      <c r="JSW157" s="69"/>
      <c r="JSX157" s="69"/>
      <c r="JSY157" s="69"/>
      <c r="JSZ157" s="69"/>
      <c r="JTA157" s="69"/>
      <c r="JTB157" s="69"/>
      <c r="JTC157" s="69"/>
      <c r="JTD157" s="69"/>
      <c r="JTE157" s="69"/>
      <c r="JTF157" s="69"/>
      <c r="JTG157" s="69"/>
      <c r="JTH157" s="69"/>
      <c r="JTI157" s="69"/>
      <c r="JTJ157" s="69"/>
      <c r="JTK157" s="69"/>
      <c r="JTL157" s="69"/>
      <c r="JTM157" s="69"/>
      <c r="JTN157" s="69"/>
      <c r="JTO157" s="69"/>
      <c r="JTP157" s="69"/>
      <c r="JTQ157" s="69"/>
      <c r="JTR157" s="69"/>
      <c r="JTS157" s="69"/>
      <c r="JTT157" s="69"/>
      <c r="JTU157" s="69"/>
      <c r="JTV157" s="69"/>
      <c r="JTW157" s="69"/>
      <c r="JTX157" s="69"/>
      <c r="JTY157" s="69"/>
      <c r="JTZ157" s="69"/>
      <c r="JUA157" s="69"/>
      <c r="JUB157" s="69"/>
      <c r="JUC157" s="69"/>
      <c r="JUD157" s="69"/>
      <c r="JUE157" s="69"/>
      <c r="JUF157" s="69"/>
      <c r="JUG157" s="69"/>
      <c r="JUH157" s="69"/>
      <c r="JUI157" s="69"/>
      <c r="JUJ157" s="69"/>
      <c r="JUK157" s="69"/>
      <c r="JUL157" s="69"/>
      <c r="JUM157" s="69"/>
      <c r="JUN157" s="69"/>
      <c r="JUO157" s="69"/>
      <c r="JUP157" s="69"/>
      <c r="JUQ157" s="69"/>
      <c r="JUR157" s="69"/>
      <c r="JUS157" s="69"/>
      <c r="JUT157" s="69"/>
      <c r="JUU157" s="69"/>
      <c r="JUV157" s="69"/>
      <c r="JUW157" s="69"/>
      <c r="JUX157" s="69"/>
      <c r="JUY157" s="69"/>
      <c r="JUZ157" s="69"/>
      <c r="JVA157" s="69"/>
      <c r="JVB157" s="69"/>
      <c r="JVC157" s="69"/>
      <c r="JVD157" s="69"/>
      <c r="JVE157" s="69"/>
      <c r="JVF157" s="69"/>
      <c r="JVG157" s="69"/>
      <c r="JVH157" s="69"/>
      <c r="JVI157" s="69"/>
      <c r="JVJ157" s="69"/>
      <c r="JVK157" s="69"/>
      <c r="JVL157" s="69"/>
      <c r="JVM157" s="69"/>
      <c r="JVN157" s="69"/>
      <c r="JVO157" s="69"/>
      <c r="JVP157" s="69"/>
      <c r="JVQ157" s="69"/>
      <c r="JVR157" s="69"/>
      <c r="JVS157" s="69"/>
      <c r="JVT157" s="69"/>
      <c r="JVU157" s="69"/>
      <c r="JVV157" s="69"/>
      <c r="JVW157" s="69"/>
      <c r="JVX157" s="69"/>
      <c r="JVY157" s="69"/>
      <c r="JVZ157" s="69"/>
      <c r="JWA157" s="69"/>
      <c r="JWB157" s="69"/>
      <c r="JWC157" s="69"/>
      <c r="JWD157" s="69"/>
      <c r="JWE157" s="69"/>
      <c r="JWF157" s="69"/>
      <c r="JWG157" s="69"/>
      <c r="JWH157" s="69"/>
      <c r="JWI157" s="69"/>
      <c r="JWJ157" s="69"/>
      <c r="JWK157" s="69"/>
      <c r="JWL157" s="69"/>
      <c r="JWM157" s="69"/>
      <c r="JWN157" s="69"/>
      <c r="JWO157" s="69"/>
      <c r="JWP157" s="69"/>
      <c r="JWQ157" s="69"/>
      <c r="JWR157" s="69"/>
      <c r="JWS157" s="69"/>
      <c r="JWT157" s="69"/>
      <c r="JWU157" s="69"/>
      <c r="JWV157" s="69"/>
      <c r="JWW157" s="69"/>
      <c r="JWX157" s="69"/>
      <c r="JWY157" s="69"/>
      <c r="JWZ157" s="69"/>
      <c r="JXA157" s="69"/>
      <c r="JXB157" s="69"/>
      <c r="JXC157" s="69"/>
      <c r="JXD157" s="69"/>
      <c r="JXE157" s="69"/>
      <c r="JXF157" s="69"/>
      <c r="JXG157" s="69"/>
      <c r="JXH157" s="69"/>
      <c r="JXI157" s="69"/>
      <c r="JXJ157" s="69"/>
      <c r="JXK157" s="69"/>
      <c r="JXL157" s="69"/>
      <c r="JXM157" s="69"/>
      <c r="JXN157" s="69"/>
      <c r="JXO157" s="69"/>
      <c r="JXP157" s="69"/>
      <c r="JXQ157" s="69"/>
      <c r="JXR157" s="69"/>
      <c r="JXS157" s="69"/>
      <c r="JXT157" s="69"/>
      <c r="JXU157" s="69"/>
      <c r="JXV157" s="69"/>
      <c r="JXW157" s="69"/>
      <c r="JXX157" s="69"/>
      <c r="JXY157" s="69"/>
      <c r="JXZ157" s="69"/>
      <c r="JYA157" s="69"/>
      <c r="JYB157" s="69"/>
      <c r="JYC157" s="69"/>
      <c r="JYD157" s="69"/>
      <c r="JYE157" s="69"/>
      <c r="JYF157" s="69"/>
      <c r="JYG157" s="69"/>
      <c r="JYH157" s="69"/>
      <c r="JYI157" s="69"/>
      <c r="JYJ157" s="69"/>
      <c r="JYK157" s="69"/>
      <c r="JYL157" s="69"/>
      <c r="JYM157" s="69"/>
      <c r="JYN157" s="69"/>
      <c r="JYO157" s="69"/>
      <c r="JYP157" s="69"/>
      <c r="JYQ157" s="69"/>
      <c r="JYR157" s="69"/>
      <c r="JYS157" s="69"/>
      <c r="JYT157" s="69"/>
      <c r="JYU157" s="69"/>
      <c r="JYV157" s="69"/>
      <c r="JYW157" s="69"/>
      <c r="JYX157" s="69"/>
      <c r="JYY157" s="69"/>
      <c r="JYZ157" s="69"/>
      <c r="JZA157" s="69"/>
      <c r="JZB157" s="69"/>
      <c r="JZC157" s="69"/>
      <c r="JZD157" s="69"/>
      <c r="JZE157" s="69"/>
      <c r="JZF157" s="69"/>
      <c r="JZG157" s="69"/>
      <c r="JZH157" s="69"/>
      <c r="JZI157" s="69"/>
      <c r="JZJ157" s="69"/>
      <c r="JZK157" s="69"/>
      <c r="JZL157" s="69"/>
      <c r="JZM157" s="69"/>
      <c r="JZN157" s="69"/>
      <c r="JZO157" s="69"/>
      <c r="JZP157" s="69"/>
      <c r="JZQ157" s="69"/>
      <c r="JZR157" s="69"/>
      <c r="JZS157" s="69"/>
      <c r="JZT157" s="69"/>
      <c r="JZU157" s="69"/>
      <c r="JZV157" s="69"/>
      <c r="JZW157" s="69"/>
      <c r="JZX157" s="69"/>
      <c r="JZY157" s="69"/>
      <c r="JZZ157" s="69"/>
      <c r="KAA157" s="69"/>
      <c r="KAB157" s="69"/>
      <c r="KAC157" s="69"/>
      <c r="KAD157" s="69"/>
      <c r="KAE157" s="69"/>
      <c r="KAF157" s="69"/>
      <c r="KAG157" s="69"/>
      <c r="KAH157" s="69"/>
      <c r="KAI157" s="69"/>
      <c r="KAJ157" s="69"/>
      <c r="KAK157" s="69"/>
      <c r="KAL157" s="69"/>
      <c r="KAM157" s="69"/>
      <c r="KAN157" s="69"/>
      <c r="KAO157" s="69"/>
      <c r="KAP157" s="69"/>
      <c r="KAQ157" s="69"/>
      <c r="KAR157" s="69"/>
      <c r="KAS157" s="69"/>
      <c r="KAT157" s="69"/>
      <c r="KAU157" s="69"/>
      <c r="KAV157" s="69"/>
      <c r="KAW157" s="69"/>
      <c r="KAX157" s="69"/>
      <c r="KAY157" s="69"/>
      <c r="KAZ157" s="69"/>
      <c r="KBA157" s="69"/>
      <c r="KBB157" s="69"/>
      <c r="KBC157" s="69"/>
      <c r="KBD157" s="69"/>
      <c r="KBE157" s="69"/>
      <c r="KBF157" s="69"/>
      <c r="KBG157" s="69"/>
      <c r="KBH157" s="69"/>
      <c r="KBI157" s="69"/>
      <c r="KBJ157" s="69"/>
      <c r="KBK157" s="69"/>
      <c r="KBL157" s="69"/>
      <c r="KBM157" s="69"/>
      <c r="KBN157" s="69"/>
      <c r="KBO157" s="69"/>
      <c r="KBP157" s="69"/>
      <c r="KBQ157" s="69"/>
      <c r="KBR157" s="69"/>
      <c r="KBS157" s="69"/>
      <c r="KBT157" s="69"/>
      <c r="KBU157" s="69"/>
      <c r="KBV157" s="69"/>
      <c r="KBW157" s="69"/>
      <c r="KBX157" s="69"/>
      <c r="KBY157" s="69"/>
      <c r="KBZ157" s="69"/>
      <c r="KCA157" s="69"/>
      <c r="KCB157" s="69"/>
      <c r="KCC157" s="69"/>
      <c r="KCD157" s="69"/>
      <c r="KCE157" s="69"/>
      <c r="KCF157" s="69"/>
      <c r="KCG157" s="69"/>
      <c r="KCH157" s="69"/>
      <c r="KCI157" s="69"/>
      <c r="KCJ157" s="69"/>
      <c r="KCK157" s="69"/>
      <c r="KCL157" s="69"/>
      <c r="KCM157" s="69"/>
      <c r="KCN157" s="69"/>
      <c r="KCO157" s="69"/>
      <c r="KCP157" s="69"/>
      <c r="KCQ157" s="69"/>
      <c r="KCR157" s="69"/>
      <c r="KCS157" s="69"/>
      <c r="KCT157" s="69"/>
      <c r="KCU157" s="69"/>
      <c r="KCV157" s="69"/>
      <c r="KCW157" s="69"/>
      <c r="KCX157" s="69"/>
      <c r="KCY157" s="69"/>
      <c r="KCZ157" s="69"/>
      <c r="KDA157" s="69"/>
      <c r="KDB157" s="69"/>
      <c r="KDC157" s="69"/>
      <c r="KDD157" s="69"/>
      <c r="KDE157" s="69"/>
      <c r="KDF157" s="69"/>
      <c r="KDG157" s="69"/>
      <c r="KDH157" s="69"/>
      <c r="KDI157" s="69"/>
      <c r="KDJ157" s="69"/>
      <c r="KDK157" s="69"/>
      <c r="KDL157" s="69"/>
      <c r="KDM157" s="69"/>
      <c r="KDN157" s="69"/>
      <c r="KDO157" s="69"/>
      <c r="KDP157" s="69"/>
      <c r="KDQ157" s="69"/>
      <c r="KDR157" s="69"/>
      <c r="KDS157" s="69"/>
      <c r="KDT157" s="69"/>
      <c r="KDU157" s="69"/>
      <c r="KDV157" s="69"/>
      <c r="KDW157" s="69"/>
      <c r="KDX157" s="69"/>
      <c r="KDY157" s="69"/>
      <c r="KDZ157" s="69"/>
      <c r="KEA157" s="69"/>
      <c r="KEB157" s="69"/>
      <c r="KEC157" s="69"/>
      <c r="KED157" s="69"/>
      <c r="KEE157" s="69"/>
      <c r="KEF157" s="69"/>
      <c r="KEG157" s="69"/>
      <c r="KEH157" s="69"/>
      <c r="KEI157" s="69"/>
      <c r="KEJ157" s="69"/>
      <c r="KEK157" s="69"/>
      <c r="KEL157" s="69"/>
      <c r="KEM157" s="69"/>
      <c r="KEN157" s="69"/>
      <c r="KEO157" s="69"/>
      <c r="KEP157" s="69"/>
      <c r="KEQ157" s="69"/>
      <c r="KER157" s="69"/>
      <c r="KES157" s="69"/>
      <c r="KET157" s="69"/>
      <c r="KEU157" s="69"/>
      <c r="KEV157" s="69"/>
      <c r="KEW157" s="69"/>
      <c r="KEX157" s="69"/>
      <c r="KEY157" s="69"/>
      <c r="KEZ157" s="69"/>
      <c r="KFA157" s="69"/>
      <c r="KFB157" s="69"/>
      <c r="KFC157" s="69"/>
      <c r="KFD157" s="69"/>
      <c r="KFE157" s="69"/>
      <c r="KFF157" s="69"/>
      <c r="KFG157" s="69"/>
      <c r="KFH157" s="69"/>
      <c r="KFI157" s="69"/>
      <c r="KFJ157" s="69"/>
      <c r="KFK157" s="69"/>
      <c r="KFL157" s="69"/>
      <c r="KFM157" s="69"/>
      <c r="KFN157" s="69"/>
      <c r="KFO157" s="69"/>
      <c r="KFP157" s="69"/>
      <c r="KFQ157" s="69"/>
      <c r="KFR157" s="69"/>
      <c r="KFS157" s="69"/>
      <c r="KFT157" s="69"/>
      <c r="KFU157" s="69"/>
      <c r="KFV157" s="69"/>
      <c r="KFW157" s="69"/>
      <c r="KFX157" s="69"/>
      <c r="KFY157" s="69"/>
      <c r="KFZ157" s="69"/>
      <c r="KGA157" s="69"/>
      <c r="KGB157" s="69"/>
      <c r="KGC157" s="69"/>
      <c r="KGD157" s="69"/>
      <c r="KGE157" s="69"/>
      <c r="KGF157" s="69"/>
      <c r="KGG157" s="69"/>
      <c r="KGH157" s="69"/>
      <c r="KGI157" s="69"/>
      <c r="KGJ157" s="69"/>
      <c r="KGK157" s="69"/>
      <c r="KGL157" s="69"/>
      <c r="KGM157" s="69"/>
      <c r="KGN157" s="69"/>
      <c r="KGO157" s="69"/>
      <c r="KGP157" s="69"/>
      <c r="KGQ157" s="69"/>
      <c r="KGR157" s="69"/>
      <c r="KGS157" s="69"/>
      <c r="KGT157" s="69"/>
      <c r="KGU157" s="69"/>
      <c r="KGV157" s="69"/>
      <c r="KGW157" s="69"/>
      <c r="KGX157" s="69"/>
      <c r="KGY157" s="69"/>
      <c r="KGZ157" s="69"/>
      <c r="KHA157" s="69"/>
      <c r="KHB157" s="69"/>
      <c r="KHC157" s="69"/>
      <c r="KHD157" s="69"/>
      <c r="KHE157" s="69"/>
      <c r="KHF157" s="69"/>
      <c r="KHG157" s="69"/>
      <c r="KHH157" s="69"/>
      <c r="KHI157" s="69"/>
      <c r="KHJ157" s="69"/>
      <c r="KHK157" s="69"/>
      <c r="KHL157" s="69"/>
      <c r="KHM157" s="69"/>
      <c r="KHN157" s="69"/>
      <c r="KHO157" s="69"/>
      <c r="KHP157" s="69"/>
      <c r="KHQ157" s="69"/>
      <c r="KHR157" s="69"/>
      <c r="KHS157" s="69"/>
      <c r="KHT157" s="69"/>
      <c r="KHU157" s="69"/>
      <c r="KHV157" s="69"/>
      <c r="KHW157" s="69"/>
      <c r="KHX157" s="69"/>
      <c r="KHY157" s="69"/>
      <c r="KHZ157" s="69"/>
      <c r="KIA157" s="69"/>
      <c r="KIB157" s="69"/>
      <c r="KIC157" s="69"/>
      <c r="KID157" s="69"/>
      <c r="KIE157" s="69"/>
      <c r="KIF157" s="69"/>
      <c r="KIG157" s="69"/>
      <c r="KIH157" s="69"/>
      <c r="KII157" s="69"/>
      <c r="KIJ157" s="69"/>
      <c r="KIK157" s="69"/>
      <c r="KIL157" s="69"/>
      <c r="KIM157" s="69"/>
      <c r="KIN157" s="69"/>
      <c r="KIO157" s="69"/>
      <c r="KIP157" s="69"/>
      <c r="KIQ157" s="69"/>
      <c r="KIR157" s="69"/>
      <c r="KIS157" s="69"/>
      <c r="KIT157" s="69"/>
      <c r="KIU157" s="69"/>
      <c r="KIV157" s="69"/>
      <c r="KIW157" s="69"/>
      <c r="KIX157" s="69"/>
      <c r="KIY157" s="69"/>
      <c r="KIZ157" s="69"/>
      <c r="KJA157" s="69"/>
      <c r="KJB157" s="69"/>
      <c r="KJC157" s="69"/>
      <c r="KJD157" s="69"/>
      <c r="KJE157" s="69"/>
      <c r="KJF157" s="69"/>
      <c r="KJG157" s="69"/>
      <c r="KJH157" s="69"/>
      <c r="KJI157" s="69"/>
      <c r="KJJ157" s="69"/>
      <c r="KJK157" s="69"/>
      <c r="KJL157" s="69"/>
      <c r="KJM157" s="69"/>
      <c r="KJN157" s="69"/>
      <c r="KJO157" s="69"/>
      <c r="KJP157" s="69"/>
      <c r="KJQ157" s="69"/>
      <c r="KJR157" s="69"/>
      <c r="KJS157" s="69"/>
      <c r="KJT157" s="69"/>
      <c r="KJU157" s="69"/>
      <c r="KJV157" s="69"/>
      <c r="KJW157" s="69"/>
      <c r="KJX157" s="69"/>
      <c r="KJY157" s="69"/>
      <c r="KJZ157" s="69"/>
      <c r="KKA157" s="69"/>
      <c r="KKB157" s="69"/>
      <c r="KKC157" s="69"/>
      <c r="KKD157" s="69"/>
      <c r="KKE157" s="69"/>
      <c r="KKF157" s="69"/>
      <c r="KKG157" s="69"/>
      <c r="KKH157" s="69"/>
      <c r="KKI157" s="69"/>
      <c r="KKJ157" s="69"/>
      <c r="KKK157" s="69"/>
      <c r="KKL157" s="69"/>
      <c r="KKM157" s="69"/>
      <c r="KKN157" s="69"/>
      <c r="KKO157" s="69"/>
      <c r="KKP157" s="69"/>
      <c r="KKQ157" s="69"/>
      <c r="KKR157" s="69"/>
      <c r="KKS157" s="69"/>
      <c r="KKT157" s="69"/>
      <c r="KKU157" s="69"/>
      <c r="KKV157" s="69"/>
      <c r="KKW157" s="69"/>
      <c r="KKX157" s="69"/>
      <c r="KKY157" s="69"/>
      <c r="KKZ157" s="69"/>
      <c r="KLA157" s="69"/>
      <c r="KLB157" s="69"/>
      <c r="KLC157" s="69"/>
      <c r="KLD157" s="69"/>
      <c r="KLE157" s="69"/>
      <c r="KLF157" s="69"/>
      <c r="KLG157" s="69"/>
      <c r="KLH157" s="69"/>
      <c r="KLI157" s="69"/>
      <c r="KLJ157" s="69"/>
      <c r="KLK157" s="69"/>
      <c r="KLL157" s="69"/>
      <c r="KLM157" s="69"/>
      <c r="KLN157" s="69"/>
      <c r="KLO157" s="69"/>
      <c r="KLP157" s="69"/>
      <c r="KLQ157" s="69"/>
      <c r="KLR157" s="69"/>
      <c r="KLS157" s="69"/>
      <c r="KLT157" s="69"/>
      <c r="KLU157" s="69"/>
      <c r="KLV157" s="69"/>
      <c r="KLW157" s="69"/>
      <c r="KLX157" s="69"/>
      <c r="KLY157" s="69"/>
      <c r="KLZ157" s="69"/>
      <c r="KMA157" s="69"/>
      <c r="KMB157" s="69"/>
      <c r="KMC157" s="69"/>
      <c r="KMD157" s="69"/>
      <c r="KME157" s="69"/>
      <c r="KMF157" s="69"/>
      <c r="KMG157" s="69"/>
      <c r="KMH157" s="69"/>
      <c r="KMI157" s="69"/>
      <c r="KMJ157" s="69"/>
      <c r="KMK157" s="69"/>
      <c r="KML157" s="69"/>
      <c r="KMM157" s="69"/>
      <c r="KMN157" s="69"/>
      <c r="KMO157" s="69"/>
      <c r="KMP157" s="69"/>
      <c r="KMQ157" s="69"/>
      <c r="KMR157" s="69"/>
      <c r="KMS157" s="69"/>
      <c r="KMT157" s="69"/>
      <c r="KMU157" s="69"/>
      <c r="KMV157" s="69"/>
      <c r="KMW157" s="69"/>
      <c r="KMX157" s="69"/>
      <c r="KMY157" s="69"/>
      <c r="KMZ157" s="69"/>
      <c r="KNA157" s="69"/>
      <c r="KNB157" s="69"/>
      <c r="KNC157" s="69"/>
      <c r="KND157" s="69"/>
      <c r="KNE157" s="69"/>
      <c r="KNF157" s="69"/>
      <c r="KNG157" s="69"/>
      <c r="KNH157" s="69"/>
      <c r="KNI157" s="69"/>
      <c r="KNJ157" s="69"/>
      <c r="KNK157" s="69"/>
      <c r="KNL157" s="69"/>
      <c r="KNM157" s="69"/>
      <c r="KNN157" s="69"/>
      <c r="KNO157" s="69"/>
      <c r="KNP157" s="69"/>
      <c r="KNQ157" s="69"/>
      <c r="KNR157" s="69"/>
      <c r="KNS157" s="69"/>
      <c r="KNT157" s="69"/>
      <c r="KNU157" s="69"/>
      <c r="KNV157" s="69"/>
      <c r="KNW157" s="69"/>
      <c r="KNX157" s="69"/>
      <c r="KNY157" s="69"/>
      <c r="KNZ157" s="69"/>
      <c r="KOA157" s="69"/>
      <c r="KOB157" s="69"/>
      <c r="KOC157" s="69"/>
      <c r="KOD157" s="69"/>
      <c r="KOE157" s="69"/>
      <c r="KOF157" s="69"/>
      <c r="KOG157" s="69"/>
      <c r="KOH157" s="69"/>
      <c r="KOI157" s="69"/>
      <c r="KOJ157" s="69"/>
      <c r="KOK157" s="69"/>
      <c r="KOL157" s="69"/>
      <c r="KOM157" s="69"/>
      <c r="KON157" s="69"/>
      <c r="KOO157" s="69"/>
      <c r="KOP157" s="69"/>
      <c r="KOQ157" s="69"/>
      <c r="KOR157" s="69"/>
      <c r="KOS157" s="69"/>
      <c r="KOT157" s="69"/>
      <c r="KOU157" s="69"/>
      <c r="KOV157" s="69"/>
      <c r="KOW157" s="69"/>
      <c r="KOX157" s="69"/>
      <c r="KOY157" s="69"/>
      <c r="KOZ157" s="69"/>
      <c r="KPA157" s="69"/>
      <c r="KPB157" s="69"/>
      <c r="KPC157" s="69"/>
      <c r="KPD157" s="69"/>
      <c r="KPE157" s="69"/>
      <c r="KPF157" s="69"/>
      <c r="KPG157" s="69"/>
      <c r="KPH157" s="69"/>
      <c r="KPI157" s="69"/>
      <c r="KPJ157" s="69"/>
      <c r="KPK157" s="69"/>
      <c r="KPL157" s="69"/>
      <c r="KPM157" s="69"/>
      <c r="KPN157" s="69"/>
      <c r="KPO157" s="69"/>
      <c r="KPP157" s="69"/>
      <c r="KPQ157" s="69"/>
      <c r="KPR157" s="69"/>
      <c r="KPS157" s="69"/>
      <c r="KPT157" s="69"/>
      <c r="KPU157" s="69"/>
      <c r="KPV157" s="69"/>
      <c r="KPW157" s="69"/>
      <c r="KPX157" s="69"/>
      <c r="KPY157" s="69"/>
      <c r="KPZ157" s="69"/>
      <c r="KQA157" s="69"/>
      <c r="KQB157" s="69"/>
      <c r="KQC157" s="69"/>
      <c r="KQD157" s="69"/>
      <c r="KQE157" s="69"/>
      <c r="KQF157" s="69"/>
      <c r="KQG157" s="69"/>
      <c r="KQH157" s="69"/>
      <c r="KQI157" s="69"/>
      <c r="KQJ157" s="69"/>
      <c r="KQK157" s="69"/>
      <c r="KQL157" s="69"/>
      <c r="KQM157" s="69"/>
      <c r="KQN157" s="69"/>
      <c r="KQO157" s="69"/>
      <c r="KQP157" s="69"/>
      <c r="KQQ157" s="69"/>
      <c r="KQR157" s="69"/>
      <c r="KQS157" s="69"/>
      <c r="KQT157" s="69"/>
      <c r="KQU157" s="69"/>
      <c r="KQV157" s="69"/>
      <c r="KQW157" s="69"/>
      <c r="KQX157" s="69"/>
      <c r="KQY157" s="69"/>
      <c r="KQZ157" s="69"/>
      <c r="KRA157" s="69"/>
      <c r="KRB157" s="69"/>
      <c r="KRC157" s="69"/>
      <c r="KRD157" s="69"/>
      <c r="KRE157" s="69"/>
      <c r="KRF157" s="69"/>
      <c r="KRG157" s="69"/>
      <c r="KRH157" s="69"/>
      <c r="KRI157" s="69"/>
      <c r="KRJ157" s="69"/>
      <c r="KRK157" s="69"/>
      <c r="KRL157" s="69"/>
      <c r="KRM157" s="69"/>
      <c r="KRN157" s="69"/>
      <c r="KRO157" s="69"/>
      <c r="KRP157" s="69"/>
      <c r="KRQ157" s="69"/>
      <c r="KRR157" s="69"/>
      <c r="KRS157" s="69"/>
      <c r="KRT157" s="69"/>
      <c r="KRU157" s="69"/>
      <c r="KRV157" s="69"/>
      <c r="KRW157" s="69"/>
      <c r="KRX157" s="69"/>
      <c r="KRY157" s="69"/>
      <c r="KRZ157" s="69"/>
      <c r="KSA157" s="69"/>
      <c r="KSB157" s="69"/>
      <c r="KSC157" s="69"/>
      <c r="KSD157" s="69"/>
      <c r="KSE157" s="69"/>
      <c r="KSF157" s="69"/>
      <c r="KSG157" s="69"/>
      <c r="KSH157" s="69"/>
      <c r="KSI157" s="69"/>
      <c r="KSJ157" s="69"/>
      <c r="KSK157" s="69"/>
      <c r="KSL157" s="69"/>
      <c r="KSM157" s="69"/>
      <c r="KSN157" s="69"/>
      <c r="KSO157" s="69"/>
      <c r="KSP157" s="69"/>
      <c r="KSQ157" s="69"/>
      <c r="KSR157" s="69"/>
      <c r="KSS157" s="69"/>
      <c r="KST157" s="69"/>
      <c r="KSU157" s="69"/>
      <c r="KSV157" s="69"/>
      <c r="KSW157" s="69"/>
      <c r="KSX157" s="69"/>
      <c r="KSY157" s="69"/>
      <c r="KSZ157" s="69"/>
      <c r="KTA157" s="69"/>
      <c r="KTB157" s="69"/>
      <c r="KTC157" s="69"/>
      <c r="KTD157" s="69"/>
      <c r="KTE157" s="69"/>
      <c r="KTF157" s="69"/>
      <c r="KTG157" s="69"/>
      <c r="KTH157" s="69"/>
      <c r="KTI157" s="69"/>
      <c r="KTJ157" s="69"/>
      <c r="KTK157" s="69"/>
      <c r="KTL157" s="69"/>
      <c r="KTM157" s="69"/>
      <c r="KTN157" s="69"/>
      <c r="KTO157" s="69"/>
      <c r="KTP157" s="69"/>
      <c r="KTQ157" s="69"/>
      <c r="KTR157" s="69"/>
      <c r="KTS157" s="69"/>
      <c r="KTT157" s="69"/>
      <c r="KTU157" s="69"/>
      <c r="KTV157" s="69"/>
      <c r="KTW157" s="69"/>
      <c r="KTX157" s="69"/>
      <c r="KTY157" s="69"/>
      <c r="KTZ157" s="69"/>
      <c r="KUA157" s="69"/>
      <c r="KUB157" s="69"/>
      <c r="KUC157" s="69"/>
      <c r="KUD157" s="69"/>
      <c r="KUE157" s="69"/>
      <c r="KUF157" s="69"/>
      <c r="KUG157" s="69"/>
      <c r="KUH157" s="69"/>
      <c r="KUI157" s="69"/>
      <c r="KUJ157" s="69"/>
      <c r="KUK157" s="69"/>
      <c r="KUL157" s="69"/>
      <c r="KUM157" s="69"/>
      <c r="KUN157" s="69"/>
      <c r="KUO157" s="69"/>
      <c r="KUP157" s="69"/>
      <c r="KUQ157" s="69"/>
      <c r="KUR157" s="69"/>
      <c r="KUS157" s="69"/>
      <c r="KUT157" s="69"/>
      <c r="KUU157" s="69"/>
      <c r="KUV157" s="69"/>
      <c r="KUW157" s="69"/>
      <c r="KUX157" s="69"/>
      <c r="KUY157" s="69"/>
      <c r="KUZ157" s="69"/>
      <c r="KVA157" s="69"/>
      <c r="KVB157" s="69"/>
      <c r="KVC157" s="69"/>
      <c r="KVD157" s="69"/>
      <c r="KVE157" s="69"/>
      <c r="KVF157" s="69"/>
      <c r="KVG157" s="69"/>
      <c r="KVH157" s="69"/>
      <c r="KVI157" s="69"/>
      <c r="KVJ157" s="69"/>
      <c r="KVK157" s="69"/>
      <c r="KVL157" s="69"/>
      <c r="KVM157" s="69"/>
      <c r="KVN157" s="69"/>
      <c r="KVO157" s="69"/>
      <c r="KVP157" s="69"/>
      <c r="KVQ157" s="69"/>
      <c r="KVR157" s="69"/>
      <c r="KVS157" s="69"/>
      <c r="KVT157" s="69"/>
      <c r="KVU157" s="69"/>
      <c r="KVV157" s="69"/>
      <c r="KVW157" s="69"/>
      <c r="KVX157" s="69"/>
      <c r="KVY157" s="69"/>
      <c r="KVZ157" s="69"/>
      <c r="KWA157" s="69"/>
      <c r="KWB157" s="69"/>
      <c r="KWC157" s="69"/>
      <c r="KWD157" s="69"/>
      <c r="KWE157" s="69"/>
      <c r="KWF157" s="69"/>
      <c r="KWG157" s="69"/>
      <c r="KWH157" s="69"/>
      <c r="KWI157" s="69"/>
      <c r="KWJ157" s="69"/>
      <c r="KWK157" s="69"/>
      <c r="KWL157" s="69"/>
      <c r="KWM157" s="69"/>
      <c r="KWN157" s="69"/>
      <c r="KWO157" s="69"/>
      <c r="KWP157" s="69"/>
      <c r="KWQ157" s="69"/>
      <c r="KWR157" s="69"/>
      <c r="KWS157" s="69"/>
      <c r="KWT157" s="69"/>
      <c r="KWU157" s="69"/>
      <c r="KWV157" s="69"/>
      <c r="KWW157" s="69"/>
      <c r="KWX157" s="69"/>
      <c r="KWY157" s="69"/>
      <c r="KWZ157" s="69"/>
      <c r="KXA157" s="69"/>
      <c r="KXB157" s="69"/>
      <c r="KXC157" s="69"/>
      <c r="KXD157" s="69"/>
      <c r="KXE157" s="69"/>
      <c r="KXF157" s="69"/>
      <c r="KXG157" s="69"/>
      <c r="KXH157" s="69"/>
      <c r="KXI157" s="69"/>
      <c r="KXJ157" s="69"/>
      <c r="KXK157" s="69"/>
      <c r="KXL157" s="69"/>
      <c r="KXM157" s="69"/>
      <c r="KXN157" s="69"/>
      <c r="KXO157" s="69"/>
      <c r="KXP157" s="69"/>
      <c r="KXQ157" s="69"/>
      <c r="KXR157" s="69"/>
      <c r="KXS157" s="69"/>
      <c r="KXT157" s="69"/>
      <c r="KXU157" s="69"/>
      <c r="KXV157" s="69"/>
      <c r="KXW157" s="69"/>
      <c r="KXX157" s="69"/>
      <c r="KXY157" s="69"/>
      <c r="KXZ157" s="69"/>
      <c r="KYA157" s="69"/>
      <c r="KYB157" s="69"/>
      <c r="KYC157" s="69"/>
      <c r="KYD157" s="69"/>
      <c r="KYE157" s="69"/>
      <c r="KYF157" s="69"/>
      <c r="KYG157" s="69"/>
      <c r="KYH157" s="69"/>
      <c r="KYI157" s="69"/>
      <c r="KYJ157" s="69"/>
      <c r="KYK157" s="69"/>
      <c r="KYL157" s="69"/>
      <c r="KYM157" s="69"/>
      <c r="KYN157" s="69"/>
      <c r="KYO157" s="69"/>
      <c r="KYP157" s="69"/>
      <c r="KYQ157" s="69"/>
      <c r="KYR157" s="69"/>
      <c r="KYS157" s="69"/>
      <c r="KYT157" s="69"/>
      <c r="KYU157" s="69"/>
      <c r="KYV157" s="69"/>
      <c r="KYW157" s="69"/>
      <c r="KYX157" s="69"/>
      <c r="KYY157" s="69"/>
      <c r="KYZ157" s="69"/>
      <c r="KZA157" s="69"/>
      <c r="KZB157" s="69"/>
      <c r="KZC157" s="69"/>
      <c r="KZD157" s="69"/>
      <c r="KZE157" s="69"/>
      <c r="KZF157" s="69"/>
      <c r="KZG157" s="69"/>
      <c r="KZH157" s="69"/>
      <c r="KZI157" s="69"/>
      <c r="KZJ157" s="69"/>
      <c r="KZK157" s="69"/>
      <c r="KZL157" s="69"/>
      <c r="KZM157" s="69"/>
      <c r="KZN157" s="69"/>
      <c r="KZO157" s="69"/>
      <c r="KZP157" s="69"/>
      <c r="KZQ157" s="69"/>
      <c r="KZR157" s="69"/>
      <c r="KZS157" s="69"/>
      <c r="KZT157" s="69"/>
      <c r="KZU157" s="69"/>
      <c r="KZV157" s="69"/>
      <c r="KZW157" s="69"/>
      <c r="KZX157" s="69"/>
      <c r="KZY157" s="69"/>
      <c r="KZZ157" s="69"/>
      <c r="LAA157" s="69"/>
      <c r="LAB157" s="69"/>
      <c r="LAC157" s="69"/>
      <c r="LAD157" s="69"/>
      <c r="LAE157" s="69"/>
      <c r="LAF157" s="69"/>
      <c r="LAG157" s="69"/>
      <c r="LAH157" s="69"/>
      <c r="LAI157" s="69"/>
      <c r="LAJ157" s="69"/>
      <c r="LAK157" s="69"/>
      <c r="LAL157" s="69"/>
      <c r="LAM157" s="69"/>
      <c r="LAN157" s="69"/>
      <c r="LAO157" s="69"/>
      <c r="LAP157" s="69"/>
      <c r="LAQ157" s="69"/>
      <c r="LAR157" s="69"/>
      <c r="LAS157" s="69"/>
      <c r="LAT157" s="69"/>
      <c r="LAU157" s="69"/>
      <c r="LAV157" s="69"/>
      <c r="LAW157" s="69"/>
      <c r="LAX157" s="69"/>
      <c r="LAY157" s="69"/>
      <c r="LAZ157" s="69"/>
      <c r="LBA157" s="69"/>
      <c r="LBB157" s="69"/>
      <c r="LBC157" s="69"/>
      <c r="LBD157" s="69"/>
      <c r="LBE157" s="69"/>
      <c r="LBF157" s="69"/>
      <c r="LBG157" s="69"/>
      <c r="LBH157" s="69"/>
      <c r="LBI157" s="69"/>
      <c r="LBJ157" s="69"/>
      <c r="LBK157" s="69"/>
      <c r="LBL157" s="69"/>
      <c r="LBM157" s="69"/>
      <c r="LBN157" s="69"/>
      <c r="LBO157" s="69"/>
      <c r="LBP157" s="69"/>
      <c r="LBQ157" s="69"/>
      <c r="LBR157" s="69"/>
      <c r="LBS157" s="69"/>
      <c r="LBT157" s="69"/>
      <c r="LBU157" s="69"/>
      <c r="LBV157" s="69"/>
      <c r="LBW157" s="69"/>
      <c r="LBX157" s="69"/>
      <c r="LBY157" s="69"/>
      <c r="LBZ157" s="69"/>
      <c r="LCA157" s="69"/>
      <c r="LCB157" s="69"/>
      <c r="LCC157" s="69"/>
      <c r="LCD157" s="69"/>
      <c r="LCE157" s="69"/>
      <c r="LCF157" s="69"/>
      <c r="LCG157" s="69"/>
      <c r="LCH157" s="69"/>
      <c r="LCI157" s="69"/>
      <c r="LCJ157" s="69"/>
      <c r="LCK157" s="69"/>
      <c r="LCL157" s="69"/>
      <c r="LCM157" s="69"/>
      <c r="LCN157" s="69"/>
      <c r="LCO157" s="69"/>
      <c r="LCP157" s="69"/>
      <c r="LCQ157" s="69"/>
      <c r="LCR157" s="69"/>
      <c r="LCS157" s="69"/>
      <c r="LCT157" s="69"/>
      <c r="LCU157" s="69"/>
      <c r="LCV157" s="69"/>
      <c r="LCW157" s="69"/>
      <c r="LCX157" s="69"/>
      <c r="LCY157" s="69"/>
      <c r="LCZ157" s="69"/>
      <c r="LDA157" s="69"/>
      <c r="LDB157" s="69"/>
      <c r="LDC157" s="69"/>
      <c r="LDD157" s="69"/>
      <c r="LDE157" s="69"/>
      <c r="LDF157" s="69"/>
      <c r="LDG157" s="69"/>
      <c r="LDH157" s="69"/>
      <c r="LDI157" s="69"/>
      <c r="LDJ157" s="69"/>
      <c r="LDK157" s="69"/>
      <c r="LDL157" s="69"/>
      <c r="LDM157" s="69"/>
      <c r="LDN157" s="69"/>
      <c r="LDO157" s="69"/>
      <c r="LDP157" s="69"/>
      <c r="LDQ157" s="69"/>
      <c r="LDR157" s="69"/>
      <c r="LDS157" s="69"/>
      <c r="LDT157" s="69"/>
      <c r="LDU157" s="69"/>
      <c r="LDV157" s="69"/>
      <c r="LDW157" s="69"/>
      <c r="LDX157" s="69"/>
      <c r="LDY157" s="69"/>
      <c r="LDZ157" s="69"/>
      <c r="LEA157" s="69"/>
      <c r="LEB157" s="69"/>
      <c r="LEC157" s="69"/>
      <c r="LED157" s="69"/>
      <c r="LEE157" s="69"/>
      <c r="LEF157" s="69"/>
      <c r="LEG157" s="69"/>
      <c r="LEH157" s="69"/>
      <c r="LEI157" s="69"/>
      <c r="LEJ157" s="69"/>
      <c r="LEK157" s="69"/>
      <c r="LEL157" s="69"/>
      <c r="LEM157" s="69"/>
      <c r="LEN157" s="69"/>
      <c r="LEO157" s="69"/>
      <c r="LEP157" s="69"/>
      <c r="LEQ157" s="69"/>
      <c r="LER157" s="69"/>
      <c r="LES157" s="69"/>
      <c r="LET157" s="69"/>
      <c r="LEU157" s="69"/>
      <c r="LEV157" s="69"/>
      <c r="LEW157" s="69"/>
      <c r="LEX157" s="69"/>
      <c r="LEY157" s="69"/>
      <c r="LEZ157" s="69"/>
      <c r="LFA157" s="69"/>
      <c r="LFB157" s="69"/>
      <c r="LFC157" s="69"/>
      <c r="LFD157" s="69"/>
      <c r="LFE157" s="69"/>
      <c r="LFF157" s="69"/>
      <c r="LFG157" s="69"/>
      <c r="LFH157" s="69"/>
      <c r="LFI157" s="69"/>
      <c r="LFJ157" s="69"/>
      <c r="LFK157" s="69"/>
      <c r="LFL157" s="69"/>
      <c r="LFM157" s="69"/>
      <c r="LFN157" s="69"/>
      <c r="LFO157" s="69"/>
      <c r="LFP157" s="69"/>
      <c r="LFQ157" s="69"/>
      <c r="LFR157" s="69"/>
      <c r="LFS157" s="69"/>
      <c r="LFT157" s="69"/>
      <c r="LFU157" s="69"/>
      <c r="LFV157" s="69"/>
      <c r="LFW157" s="69"/>
      <c r="LFX157" s="69"/>
      <c r="LFY157" s="69"/>
      <c r="LFZ157" s="69"/>
      <c r="LGA157" s="69"/>
      <c r="LGB157" s="69"/>
      <c r="LGC157" s="69"/>
      <c r="LGD157" s="69"/>
      <c r="LGE157" s="69"/>
      <c r="LGF157" s="69"/>
      <c r="LGG157" s="69"/>
      <c r="LGH157" s="69"/>
      <c r="LGI157" s="69"/>
      <c r="LGJ157" s="69"/>
      <c r="LGK157" s="69"/>
      <c r="LGL157" s="69"/>
      <c r="LGM157" s="69"/>
      <c r="LGN157" s="69"/>
      <c r="LGO157" s="69"/>
      <c r="LGP157" s="69"/>
      <c r="LGQ157" s="69"/>
      <c r="LGR157" s="69"/>
      <c r="LGS157" s="69"/>
      <c r="LGT157" s="69"/>
      <c r="LGU157" s="69"/>
      <c r="LGV157" s="69"/>
      <c r="LGW157" s="69"/>
      <c r="LGX157" s="69"/>
      <c r="LGY157" s="69"/>
      <c r="LGZ157" s="69"/>
      <c r="LHA157" s="69"/>
      <c r="LHB157" s="69"/>
      <c r="LHC157" s="69"/>
      <c r="LHD157" s="69"/>
      <c r="LHE157" s="69"/>
      <c r="LHF157" s="69"/>
      <c r="LHG157" s="69"/>
      <c r="LHH157" s="69"/>
      <c r="LHI157" s="69"/>
      <c r="LHJ157" s="69"/>
      <c r="LHK157" s="69"/>
      <c r="LHL157" s="69"/>
      <c r="LHM157" s="69"/>
      <c r="LHN157" s="69"/>
      <c r="LHO157" s="69"/>
      <c r="LHP157" s="69"/>
      <c r="LHQ157" s="69"/>
      <c r="LHR157" s="69"/>
      <c r="LHS157" s="69"/>
      <c r="LHT157" s="69"/>
      <c r="LHU157" s="69"/>
      <c r="LHV157" s="69"/>
      <c r="LHW157" s="69"/>
      <c r="LHX157" s="69"/>
      <c r="LHY157" s="69"/>
      <c r="LHZ157" s="69"/>
      <c r="LIA157" s="69"/>
      <c r="LIB157" s="69"/>
      <c r="LIC157" s="69"/>
      <c r="LID157" s="69"/>
      <c r="LIE157" s="69"/>
      <c r="LIF157" s="69"/>
      <c r="LIG157" s="69"/>
      <c r="LIH157" s="69"/>
      <c r="LII157" s="69"/>
      <c r="LIJ157" s="69"/>
      <c r="LIK157" s="69"/>
      <c r="LIL157" s="69"/>
      <c r="LIM157" s="69"/>
      <c r="LIN157" s="69"/>
      <c r="LIO157" s="69"/>
      <c r="LIP157" s="69"/>
      <c r="LIQ157" s="69"/>
      <c r="LIR157" s="69"/>
      <c r="LIS157" s="69"/>
      <c r="LIT157" s="69"/>
      <c r="LIU157" s="69"/>
      <c r="LIV157" s="69"/>
      <c r="LIW157" s="69"/>
      <c r="LIX157" s="69"/>
      <c r="LIY157" s="69"/>
      <c r="LIZ157" s="69"/>
      <c r="LJA157" s="69"/>
      <c r="LJB157" s="69"/>
      <c r="LJC157" s="69"/>
      <c r="LJD157" s="69"/>
      <c r="LJE157" s="69"/>
      <c r="LJF157" s="69"/>
      <c r="LJG157" s="69"/>
      <c r="LJH157" s="69"/>
      <c r="LJI157" s="69"/>
      <c r="LJJ157" s="69"/>
      <c r="LJK157" s="69"/>
      <c r="LJL157" s="69"/>
      <c r="LJM157" s="69"/>
      <c r="LJN157" s="69"/>
      <c r="LJO157" s="69"/>
      <c r="LJP157" s="69"/>
      <c r="LJQ157" s="69"/>
      <c r="LJR157" s="69"/>
      <c r="LJS157" s="69"/>
      <c r="LJT157" s="69"/>
      <c r="LJU157" s="69"/>
      <c r="LJV157" s="69"/>
      <c r="LJW157" s="69"/>
      <c r="LJX157" s="69"/>
      <c r="LJY157" s="69"/>
      <c r="LJZ157" s="69"/>
      <c r="LKA157" s="69"/>
      <c r="LKB157" s="69"/>
      <c r="LKC157" s="69"/>
      <c r="LKD157" s="69"/>
      <c r="LKE157" s="69"/>
      <c r="LKF157" s="69"/>
      <c r="LKG157" s="69"/>
      <c r="LKH157" s="69"/>
      <c r="LKI157" s="69"/>
      <c r="LKJ157" s="69"/>
      <c r="LKK157" s="69"/>
      <c r="LKL157" s="69"/>
      <c r="LKM157" s="69"/>
      <c r="LKN157" s="69"/>
      <c r="LKO157" s="69"/>
      <c r="LKP157" s="69"/>
      <c r="LKQ157" s="69"/>
      <c r="LKR157" s="69"/>
      <c r="LKS157" s="69"/>
      <c r="LKT157" s="69"/>
      <c r="LKU157" s="69"/>
      <c r="LKV157" s="69"/>
      <c r="LKW157" s="69"/>
      <c r="LKX157" s="69"/>
      <c r="LKY157" s="69"/>
      <c r="LKZ157" s="69"/>
      <c r="LLA157" s="69"/>
      <c r="LLB157" s="69"/>
      <c r="LLC157" s="69"/>
      <c r="LLD157" s="69"/>
      <c r="LLE157" s="69"/>
      <c r="LLF157" s="69"/>
      <c r="LLG157" s="69"/>
      <c r="LLH157" s="69"/>
      <c r="LLI157" s="69"/>
      <c r="LLJ157" s="69"/>
      <c r="LLK157" s="69"/>
      <c r="LLL157" s="69"/>
      <c r="LLM157" s="69"/>
      <c r="LLN157" s="69"/>
      <c r="LLO157" s="69"/>
      <c r="LLP157" s="69"/>
      <c r="LLQ157" s="69"/>
      <c r="LLR157" s="69"/>
      <c r="LLS157" s="69"/>
      <c r="LLT157" s="69"/>
      <c r="LLU157" s="69"/>
      <c r="LLV157" s="69"/>
      <c r="LLW157" s="69"/>
      <c r="LLX157" s="69"/>
      <c r="LLY157" s="69"/>
      <c r="LLZ157" s="69"/>
      <c r="LMA157" s="69"/>
      <c r="LMB157" s="69"/>
      <c r="LMC157" s="69"/>
      <c r="LMD157" s="69"/>
      <c r="LME157" s="69"/>
      <c r="LMF157" s="69"/>
      <c r="LMG157" s="69"/>
      <c r="LMH157" s="69"/>
      <c r="LMI157" s="69"/>
      <c r="LMJ157" s="69"/>
      <c r="LMK157" s="69"/>
      <c r="LML157" s="69"/>
      <c r="LMM157" s="69"/>
      <c r="LMN157" s="69"/>
      <c r="LMO157" s="69"/>
      <c r="LMP157" s="69"/>
      <c r="LMQ157" s="69"/>
      <c r="LMR157" s="69"/>
      <c r="LMS157" s="69"/>
      <c r="LMT157" s="69"/>
      <c r="LMU157" s="69"/>
      <c r="LMV157" s="69"/>
      <c r="LMW157" s="69"/>
      <c r="LMX157" s="69"/>
      <c r="LMY157" s="69"/>
      <c r="LMZ157" s="69"/>
      <c r="LNA157" s="69"/>
      <c r="LNB157" s="69"/>
      <c r="LNC157" s="69"/>
      <c r="LND157" s="69"/>
      <c r="LNE157" s="69"/>
      <c r="LNF157" s="69"/>
      <c r="LNG157" s="69"/>
      <c r="LNH157" s="69"/>
      <c r="LNI157" s="69"/>
      <c r="LNJ157" s="69"/>
      <c r="LNK157" s="69"/>
      <c r="LNL157" s="69"/>
      <c r="LNM157" s="69"/>
      <c r="LNN157" s="69"/>
      <c r="LNO157" s="69"/>
      <c r="LNP157" s="69"/>
      <c r="LNQ157" s="69"/>
      <c r="LNR157" s="69"/>
      <c r="LNS157" s="69"/>
      <c r="LNT157" s="69"/>
      <c r="LNU157" s="69"/>
      <c r="LNV157" s="69"/>
      <c r="LNW157" s="69"/>
      <c r="LNX157" s="69"/>
      <c r="LNY157" s="69"/>
      <c r="LNZ157" s="69"/>
      <c r="LOA157" s="69"/>
      <c r="LOB157" s="69"/>
      <c r="LOC157" s="69"/>
      <c r="LOD157" s="69"/>
      <c r="LOE157" s="69"/>
      <c r="LOF157" s="69"/>
      <c r="LOG157" s="69"/>
      <c r="LOH157" s="69"/>
      <c r="LOI157" s="69"/>
      <c r="LOJ157" s="69"/>
      <c r="LOK157" s="69"/>
      <c r="LOL157" s="69"/>
      <c r="LOM157" s="69"/>
      <c r="LON157" s="69"/>
      <c r="LOO157" s="69"/>
      <c r="LOP157" s="69"/>
      <c r="LOQ157" s="69"/>
      <c r="LOR157" s="69"/>
      <c r="LOS157" s="69"/>
      <c r="LOT157" s="69"/>
      <c r="LOU157" s="69"/>
      <c r="LOV157" s="69"/>
      <c r="LOW157" s="69"/>
      <c r="LOX157" s="69"/>
      <c r="LOY157" s="69"/>
      <c r="LOZ157" s="69"/>
      <c r="LPA157" s="69"/>
      <c r="LPB157" s="69"/>
      <c r="LPC157" s="69"/>
      <c r="LPD157" s="69"/>
      <c r="LPE157" s="69"/>
      <c r="LPF157" s="69"/>
      <c r="LPG157" s="69"/>
      <c r="LPH157" s="69"/>
      <c r="LPI157" s="69"/>
      <c r="LPJ157" s="69"/>
      <c r="LPK157" s="69"/>
      <c r="LPL157" s="69"/>
      <c r="LPM157" s="69"/>
      <c r="LPN157" s="69"/>
      <c r="LPO157" s="69"/>
      <c r="LPP157" s="69"/>
      <c r="LPQ157" s="69"/>
      <c r="LPR157" s="69"/>
      <c r="LPS157" s="69"/>
      <c r="LPT157" s="69"/>
      <c r="LPU157" s="69"/>
      <c r="LPV157" s="69"/>
      <c r="LPW157" s="69"/>
      <c r="LPX157" s="69"/>
      <c r="LPY157" s="69"/>
      <c r="LPZ157" s="69"/>
      <c r="LQA157" s="69"/>
      <c r="LQB157" s="69"/>
      <c r="LQC157" s="69"/>
      <c r="LQD157" s="69"/>
      <c r="LQE157" s="69"/>
      <c r="LQF157" s="69"/>
      <c r="LQG157" s="69"/>
      <c r="LQH157" s="69"/>
      <c r="LQI157" s="69"/>
      <c r="LQJ157" s="69"/>
      <c r="LQK157" s="69"/>
      <c r="LQL157" s="69"/>
      <c r="LQM157" s="69"/>
      <c r="LQN157" s="69"/>
      <c r="LQO157" s="69"/>
      <c r="LQP157" s="69"/>
      <c r="LQQ157" s="69"/>
      <c r="LQR157" s="69"/>
      <c r="LQS157" s="69"/>
      <c r="LQT157" s="69"/>
      <c r="LQU157" s="69"/>
      <c r="LQV157" s="69"/>
      <c r="LQW157" s="69"/>
      <c r="LQX157" s="69"/>
      <c r="LQY157" s="69"/>
      <c r="LQZ157" s="69"/>
      <c r="LRA157" s="69"/>
      <c r="LRB157" s="69"/>
      <c r="LRC157" s="69"/>
      <c r="LRD157" s="69"/>
      <c r="LRE157" s="69"/>
      <c r="LRF157" s="69"/>
      <c r="LRG157" s="69"/>
      <c r="LRH157" s="69"/>
      <c r="LRI157" s="69"/>
      <c r="LRJ157" s="69"/>
      <c r="LRK157" s="69"/>
      <c r="LRL157" s="69"/>
      <c r="LRM157" s="69"/>
      <c r="LRN157" s="69"/>
      <c r="LRO157" s="69"/>
      <c r="LRP157" s="69"/>
      <c r="LRQ157" s="69"/>
      <c r="LRR157" s="69"/>
      <c r="LRS157" s="69"/>
      <c r="LRT157" s="69"/>
      <c r="LRU157" s="69"/>
      <c r="LRV157" s="69"/>
      <c r="LRW157" s="69"/>
      <c r="LRX157" s="69"/>
      <c r="LRY157" s="69"/>
      <c r="LRZ157" s="69"/>
      <c r="LSA157" s="69"/>
      <c r="LSB157" s="69"/>
      <c r="LSC157" s="69"/>
      <c r="LSD157" s="69"/>
      <c r="LSE157" s="69"/>
      <c r="LSF157" s="69"/>
      <c r="LSG157" s="69"/>
      <c r="LSH157" s="69"/>
      <c r="LSI157" s="69"/>
      <c r="LSJ157" s="69"/>
      <c r="LSK157" s="69"/>
      <c r="LSL157" s="69"/>
      <c r="LSM157" s="69"/>
      <c r="LSN157" s="69"/>
      <c r="LSO157" s="69"/>
      <c r="LSP157" s="69"/>
      <c r="LSQ157" s="69"/>
      <c r="LSR157" s="69"/>
      <c r="LSS157" s="69"/>
      <c r="LST157" s="69"/>
      <c r="LSU157" s="69"/>
      <c r="LSV157" s="69"/>
      <c r="LSW157" s="69"/>
      <c r="LSX157" s="69"/>
      <c r="LSY157" s="69"/>
      <c r="LSZ157" s="69"/>
      <c r="LTA157" s="69"/>
      <c r="LTB157" s="69"/>
      <c r="LTC157" s="69"/>
      <c r="LTD157" s="69"/>
      <c r="LTE157" s="69"/>
      <c r="LTF157" s="69"/>
      <c r="LTG157" s="69"/>
      <c r="LTH157" s="69"/>
      <c r="LTI157" s="69"/>
      <c r="LTJ157" s="69"/>
      <c r="LTK157" s="69"/>
      <c r="LTL157" s="69"/>
      <c r="LTM157" s="69"/>
      <c r="LTN157" s="69"/>
      <c r="LTO157" s="69"/>
      <c r="LTP157" s="69"/>
      <c r="LTQ157" s="69"/>
      <c r="LTR157" s="69"/>
      <c r="LTS157" s="69"/>
      <c r="LTT157" s="69"/>
      <c r="LTU157" s="69"/>
      <c r="LTV157" s="69"/>
      <c r="LTW157" s="69"/>
      <c r="LTX157" s="69"/>
      <c r="LTY157" s="69"/>
      <c r="LTZ157" s="69"/>
      <c r="LUA157" s="69"/>
      <c r="LUB157" s="69"/>
      <c r="LUC157" s="69"/>
      <c r="LUD157" s="69"/>
      <c r="LUE157" s="69"/>
      <c r="LUF157" s="69"/>
      <c r="LUG157" s="69"/>
      <c r="LUH157" s="69"/>
      <c r="LUI157" s="69"/>
      <c r="LUJ157" s="69"/>
      <c r="LUK157" s="69"/>
      <c r="LUL157" s="69"/>
      <c r="LUM157" s="69"/>
      <c r="LUN157" s="69"/>
      <c r="LUO157" s="69"/>
      <c r="LUP157" s="69"/>
      <c r="LUQ157" s="69"/>
      <c r="LUR157" s="69"/>
      <c r="LUS157" s="69"/>
      <c r="LUT157" s="69"/>
      <c r="LUU157" s="69"/>
      <c r="LUV157" s="69"/>
      <c r="LUW157" s="69"/>
      <c r="LUX157" s="69"/>
      <c r="LUY157" s="69"/>
      <c r="LUZ157" s="69"/>
      <c r="LVA157" s="69"/>
      <c r="LVB157" s="69"/>
      <c r="LVC157" s="69"/>
      <c r="LVD157" s="69"/>
      <c r="LVE157" s="69"/>
      <c r="LVF157" s="69"/>
      <c r="LVG157" s="69"/>
      <c r="LVH157" s="69"/>
      <c r="LVI157" s="69"/>
      <c r="LVJ157" s="69"/>
      <c r="LVK157" s="69"/>
      <c r="LVL157" s="69"/>
      <c r="LVM157" s="69"/>
      <c r="LVN157" s="69"/>
      <c r="LVO157" s="69"/>
      <c r="LVP157" s="69"/>
      <c r="LVQ157" s="69"/>
      <c r="LVR157" s="69"/>
      <c r="LVS157" s="69"/>
      <c r="LVT157" s="69"/>
      <c r="LVU157" s="69"/>
      <c r="LVV157" s="69"/>
      <c r="LVW157" s="69"/>
      <c r="LVX157" s="69"/>
      <c r="LVY157" s="69"/>
      <c r="LVZ157" s="69"/>
      <c r="LWA157" s="69"/>
      <c r="LWB157" s="69"/>
      <c r="LWC157" s="69"/>
      <c r="LWD157" s="69"/>
      <c r="LWE157" s="69"/>
      <c r="LWF157" s="69"/>
      <c r="LWG157" s="69"/>
      <c r="LWH157" s="69"/>
      <c r="LWI157" s="69"/>
      <c r="LWJ157" s="69"/>
      <c r="LWK157" s="69"/>
      <c r="LWL157" s="69"/>
      <c r="LWM157" s="69"/>
      <c r="LWN157" s="69"/>
      <c r="LWO157" s="69"/>
      <c r="LWP157" s="69"/>
      <c r="LWQ157" s="69"/>
      <c r="LWR157" s="69"/>
      <c r="LWS157" s="69"/>
      <c r="LWT157" s="69"/>
      <c r="LWU157" s="69"/>
      <c r="LWV157" s="69"/>
      <c r="LWW157" s="69"/>
      <c r="LWX157" s="69"/>
      <c r="LWY157" s="69"/>
      <c r="LWZ157" s="69"/>
      <c r="LXA157" s="69"/>
      <c r="LXB157" s="69"/>
      <c r="LXC157" s="69"/>
      <c r="LXD157" s="69"/>
      <c r="LXE157" s="69"/>
      <c r="LXF157" s="69"/>
      <c r="LXG157" s="69"/>
      <c r="LXH157" s="69"/>
      <c r="LXI157" s="69"/>
      <c r="LXJ157" s="69"/>
      <c r="LXK157" s="69"/>
      <c r="LXL157" s="69"/>
      <c r="LXM157" s="69"/>
      <c r="LXN157" s="69"/>
      <c r="LXO157" s="69"/>
      <c r="LXP157" s="69"/>
      <c r="LXQ157" s="69"/>
      <c r="LXR157" s="69"/>
      <c r="LXS157" s="69"/>
      <c r="LXT157" s="69"/>
      <c r="LXU157" s="69"/>
      <c r="LXV157" s="69"/>
      <c r="LXW157" s="69"/>
      <c r="LXX157" s="69"/>
      <c r="LXY157" s="69"/>
      <c r="LXZ157" s="69"/>
      <c r="LYA157" s="69"/>
      <c r="LYB157" s="69"/>
      <c r="LYC157" s="69"/>
      <c r="LYD157" s="69"/>
      <c r="LYE157" s="69"/>
      <c r="LYF157" s="69"/>
      <c r="LYG157" s="69"/>
      <c r="LYH157" s="69"/>
      <c r="LYI157" s="69"/>
      <c r="LYJ157" s="69"/>
      <c r="LYK157" s="69"/>
      <c r="LYL157" s="69"/>
      <c r="LYM157" s="69"/>
      <c r="LYN157" s="69"/>
      <c r="LYO157" s="69"/>
      <c r="LYP157" s="69"/>
      <c r="LYQ157" s="69"/>
      <c r="LYR157" s="69"/>
      <c r="LYS157" s="69"/>
      <c r="LYT157" s="69"/>
      <c r="LYU157" s="69"/>
      <c r="LYV157" s="69"/>
      <c r="LYW157" s="69"/>
      <c r="LYX157" s="69"/>
      <c r="LYY157" s="69"/>
      <c r="LYZ157" s="69"/>
      <c r="LZA157" s="69"/>
      <c r="LZB157" s="69"/>
      <c r="LZC157" s="69"/>
      <c r="LZD157" s="69"/>
      <c r="LZE157" s="69"/>
      <c r="LZF157" s="69"/>
      <c r="LZG157" s="69"/>
      <c r="LZH157" s="69"/>
      <c r="LZI157" s="69"/>
      <c r="LZJ157" s="69"/>
      <c r="LZK157" s="69"/>
      <c r="LZL157" s="69"/>
      <c r="LZM157" s="69"/>
      <c r="LZN157" s="69"/>
      <c r="LZO157" s="69"/>
      <c r="LZP157" s="69"/>
      <c r="LZQ157" s="69"/>
      <c r="LZR157" s="69"/>
      <c r="LZS157" s="69"/>
      <c r="LZT157" s="69"/>
      <c r="LZU157" s="69"/>
      <c r="LZV157" s="69"/>
      <c r="LZW157" s="69"/>
      <c r="LZX157" s="69"/>
      <c r="LZY157" s="69"/>
      <c r="LZZ157" s="69"/>
      <c r="MAA157" s="69"/>
      <c r="MAB157" s="69"/>
      <c r="MAC157" s="69"/>
      <c r="MAD157" s="69"/>
      <c r="MAE157" s="69"/>
      <c r="MAF157" s="69"/>
      <c r="MAG157" s="69"/>
      <c r="MAH157" s="69"/>
      <c r="MAI157" s="69"/>
      <c r="MAJ157" s="69"/>
      <c r="MAK157" s="69"/>
      <c r="MAL157" s="69"/>
      <c r="MAM157" s="69"/>
      <c r="MAN157" s="69"/>
      <c r="MAO157" s="69"/>
      <c r="MAP157" s="69"/>
      <c r="MAQ157" s="69"/>
      <c r="MAR157" s="69"/>
      <c r="MAS157" s="69"/>
      <c r="MAT157" s="69"/>
      <c r="MAU157" s="69"/>
      <c r="MAV157" s="69"/>
      <c r="MAW157" s="69"/>
      <c r="MAX157" s="69"/>
      <c r="MAY157" s="69"/>
      <c r="MAZ157" s="69"/>
      <c r="MBA157" s="69"/>
      <c r="MBB157" s="69"/>
      <c r="MBC157" s="69"/>
      <c r="MBD157" s="69"/>
      <c r="MBE157" s="69"/>
      <c r="MBF157" s="69"/>
      <c r="MBG157" s="69"/>
      <c r="MBH157" s="69"/>
      <c r="MBI157" s="69"/>
      <c r="MBJ157" s="69"/>
      <c r="MBK157" s="69"/>
      <c r="MBL157" s="69"/>
      <c r="MBM157" s="69"/>
      <c r="MBN157" s="69"/>
      <c r="MBO157" s="69"/>
      <c r="MBP157" s="69"/>
      <c r="MBQ157" s="69"/>
      <c r="MBR157" s="69"/>
      <c r="MBS157" s="69"/>
      <c r="MBT157" s="69"/>
      <c r="MBU157" s="69"/>
      <c r="MBV157" s="69"/>
      <c r="MBW157" s="69"/>
      <c r="MBX157" s="69"/>
      <c r="MBY157" s="69"/>
      <c r="MBZ157" s="69"/>
      <c r="MCA157" s="69"/>
      <c r="MCB157" s="69"/>
      <c r="MCC157" s="69"/>
      <c r="MCD157" s="69"/>
      <c r="MCE157" s="69"/>
      <c r="MCF157" s="69"/>
      <c r="MCG157" s="69"/>
      <c r="MCH157" s="69"/>
      <c r="MCI157" s="69"/>
      <c r="MCJ157" s="69"/>
      <c r="MCK157" s="69"/>
      <c r="MCL157" s="69"/>
      <c r="MCM157" s="69"/>
      <c r="MCN157" s="69"/>
      <c r="MCO157" s="69"/>
      <c r="MCP157" s="69"/>
      <c r="MCQ157" s="69"/>
      <c r="MCR157" s="69"/>
      <c r="MCS157" s="69"/>
      <c r="MCT157" s="69"/>
      <c r="MCU157" s="69"/>
      <c r="MCV157" s="69"/>
      <c r="MCW157" s="69"/>
      <c r="MCX157" s="69"/>
      <c r="MCY157" s="69"/>
      <c r="MCZ157" s="69"/>
      <c r="MDA157" s="69"/>
      <c r="MDB157" s="69"/>
      <c r="MDC157" s="69"/>
      <c r="MDD157" s="69"/>
      <c r="MDE157" s="69"/>
      <c r="MDF157" s="69"/>
      <c r="MDG157" s="69"/>
      <c r="MDH157" s="69"/>
      <c r="MDI157" s="69"/>
      <c r="MDJ157" s="69"/>
      <c r="MDK157" s="69"/>
      <c r="MDL157" s="69"/>
      <c r="MDM157" s="69"/>
      <c r="MDN157" s="69"/>
      <c r="MDO157" s="69"/>
      <c r="MDP157" s="69"/>
      <c r="MDQ157" s="69"/>
      <c r="MDR157" s="69"/>
      <c r="MDS157" s="69"/>
      <c r="MDT157" s="69"/>
      <c r="MDU157" s="69"/>
      <c r="MDV157" s="69"/>
      <c r="MDW157" s="69"/>
      <c r="MDX157" s="69"/>
      <c r="MDY157" s="69"/>
      <c r="MDZ157" s="69"/>
      <c r="MEA157" s="69"/>
      <c r="MEB157" s="69"/>
      <c r="MEC157" s="69"/>
      <c r="MED157" s="69"/>
      <c r="MEE157" s="69"/>
      <c r="MEF157" s="69"/>
      <c r="MEG157" s="69"/>
      <c r="MEH157" s="69"/>
      <c r="MEI157" s="69"/>
      <c r="MEJ157" s="69"/>
      <c r="MEK157" s="69"/>
      <c r="MEL157" s="69"/>
      <c r="MEM157" s="69"/>
      <c r="MEN157" s="69"/>
      <c r="MEO157" s="69"/>
      <c r="MEP157" s="69"/>
      <c r="MEQ157" s="69"/>
      <c r="MER157" s="69"/>
      <c r="MES157" s="69"/>
      <c r="MET157" s="69"/>
      <c r="MEU157" s="69"/>
      <c r="MEV157" s="69"/>
      <c r="MEW157" s="69"/>
      <c r="MEX157" s="69"/>
      <c r="MEY157" s="69"/>
      <c r="MEZ157" s="69"/>
      <c r="MFA157" s="69"/>
      <c r="MFB157" s="69"/>
      <c r="MFC157" s="69"/>
      <c r="MFD157" s="69"/>
      <c r="MFE157" s="69"/>
      <c r="MFF157" s="69"/>
      <c r="MFG157" s="69"/>
      <c r="MFH157" s="69"/>
      <c r="MFI157" s="69"/>
      <c r="MFJ157" s="69"/>
      <c r="MFK157" s="69"/>
      <c r="MFL157" s="69"/>
      <c r="MFM157" s="69"/>
      <c r="MFN157" s="69"/>
      <c r="MFO157" s="69"/>
      <c r="MFP157" s="69"/>
      <c r="MFQ157" s="69"/>
      <c r="MFR157" s="69"/>
      <c r="MFS157" s="69"/>
      <c r="MFT157" s="69"/>
      <c r="MFU157" s="69"/>
      <c r="MFV157" s="69"/>
      <c r="MFW157" s="69"/>
      <c r="MFX157" s="69"/>
      <c r="MFY157" s="69"/>
      <c r="MFZ157" s="69"/>
      <c r="MGA157" s="69"/>
      <c r="MGB157" s="69"/>
      <c r="MGC157" s="69"/>
      <c r="MGD157" s="69"/>
      <c r="MGE157" s="69"/>
      <c r="MGF157" s="69"/>
      <c r="MGG157" s="69"/>
      <c r="MGH157" s="69"/>
      <c r="MGI157" s="69"/>
      <c r="MGJ157" s="69"/>
      <c r="MGK157" s="69"/>
      <c r="MGL157" s="69"/>
      <c r="MGM157" s="69"/>
      <c r="MGN157" s="69"/>
      <c r="MGO157" s="69"/>
      <c r="MGP157" s="69"/>
      <c r="MGQ157" s="69"/>
      <c r="MGR157" s="69"/>
      <c r="MGS157" s="69"/>
      <c r="MGT157" s="69"/>
      <c r="MGU157" s="69"/>
      <c r="MGV157" s="69"/>
      <c r="MGW157" s="69"/>
      <c r="MGX157" s="69"/>
      <c r="MGY157" s="69"/>
      <c r="MGZ157" s="69"/>
      <c r="MHA157" s="69"/>
      <c r="MHB157" s="69"/>
      <c r="MHC157" s="69"/>
      <c r="MHD157" s="69"/>
      <c r="MHE157" s="69"/>
      <c r="MHF157" s="69"/>
      <c r="MHG157" s="69"/>
      <c r="MHH157" s="69"/>
      <c r="MHI157" s="69"/>
      <c r="MHJ157" s="69"/>
      <c r="MHK157" s="69"/>
      <c r="MHL157" s="69"/>
      <c r="MHM157" s="69"/>
      <c r="MHN157" s="69"/>
      <c r="MHO157" s="69"/>
      <c r="MHP157" s="69"/>
      <c r="MHQ157" s="69"/>
      <c r="MHR157" s="69"/>
      <c r="MHS157" s="69"/>
      <c r="MHT157" s="69"/>
      <c r="MHU157" s="69"/>
      <c r="MHV157" s="69"/>
      <c r="MHW157" s="69"/>
      <c r="MHX157" s="69"/>
      <c r="MHY157" s="69"/>
      <c r="MHZ157" s="69"/>
      <c r="MIA157" s="69"/>
      <c r="MIB157" s="69"/>
      <c r="MIC157" s="69"/>
      <c r="MID157" s="69"/>
      <c r="MIE157" s="69"/>
      <c r="MIF157" s="69"/>
      <c r="MIG157" s="69"/>
      <c r="MIH157" s="69"/>
      <c r="MII157" s="69"/>
      <c r="MIJ157" s="69"/>
      <c r="MIK157" s="69"/>
      <c r="MIL157" s="69"/>
      <c r="MIM157" s="69"/>
      <c r="MIN157" s="69"/>
      <c r="MIO157" s="69"/>
      <c r="MIP157" s="69"/>
      <c r="MIQ157" s="69"/>
      <c r="MIR157" s="69"/>
      <c r="MIS157" s="69"/>
      <c r="MIT157" s="69"/>
      <c r="MIU157" s="69"/>
      <c r="MIV157" s="69"/>
      <c r="MIW157" s="69"/>
      <c r="MIX157" s="69"/>
      <c r="MIY157" s="69"/>
      <c r="MIZ157" s="69"/>
      <c r="MJA157" s="69"/>
      <c r="MJB157" s="69"/>
      <c r="MJC157" s="69"/>
      <c r="MJD157" s="69"/>
      <c r="MJE157" s="69"/>
      <c r="MJF157" s="69"/>
      <c r="MJG157" s="69"/>
      <c r="MJH157" s="69"/>
      <c r="MJI157" s="69"/>
      <c r="MJJ157" s="69"/>
      <c r="MJK157" s="69"/>
      <c r="MJL157" s="69"/>
      <c r="MJM157" s="69"/>
      <c r="MJN157" s="69"/>
      <c r="MJO157" s="69"/>
      <c r="MJP157" s="69"/>
      <c r="MJQ157" s="69"/>
      <c r="MJR157" s="69"/>
      <c r="MJS157" s="69"/>
      <c r="MJT157" s="69"/>
      <c r="MJU157" s="69"/>
      <c r="MJV157" s="69"/>
      <c r="MJW157" s="69"/>
      <c r="MJX157" s="69"/>
      <c r="MJY157" s="69"/>
      <c r="MJZ157" s="69"/>
      <c r="MKA157" s="69"/>
      <c r="MKB157" s="69"/>
      <c r="MKC157" s="69"/>
      <c r="MKD157" s="69"/>
      <c r="MKE157" s="69"/>
      <c r="MKF157" s="69"/>
      <c r="MKG157" s="69"/>
      <c r="MKH157" s="69"/>
      <c r="MKI157" s="69"/>
      <c r="MKJ157" s="69"/>
      <c r="MKK157" s="69"/>
      <c r="MKL157" s="69"/>
      <c r="MKM157" s="69"/>
      <c r="MKN157" s="69"/>
      <c r="MKO157" s="69"/>
      <c r="MKP157" s="69"/>
      <c r="MKQ157" s="69"/>
      <c r="MKR157" s="69"/>
      <c r="MKS157" s="69"/>
      <c r="MKT157" s="69"/>
      <c r="MKU157" s="69"/>
      <c r="MKV157" s="69"/>
      <c r="MKW157" s="69"/>
      <c r="MKX157" s="69"/>
      <c r="MKY157" s="69"/>
      <c r="MKZ157" s="69"/>
      <c r="MLA157" s="69"/>
      <c r="MLB157" s="69"/>
      <c r="MLC157" s="69"/>
      <c r="MLD157" s="69"/>
      <c r="MLE157" s="69"/>
      <c r="MLF157" s="69"/>
      <c r="MLG157" s="69"/>
      <c r="MLH157" s="69"/>
      <c r="MLI157" s="69"/>
      <c r="MLJ157" s="69"/>
      <c r="MLK157" s="69"/>
      <c r="MLL157" s="69"/>
      <c r="MLM157" s="69"/>
      <c r="MLN157" s="69"/>
      <c r="MLO157" s="69"/>
      <c r="MLP157" s="69"/>
      <c r="MLQ157" s="69"/>
      <c r="MLR157" s="69"/>
      <c r="MLS157" s="69"/>
      <c r="MLT157" s="69"/>
      <c r="MLU157" s="69"/>
      <c r="MLV157" s="69"/>
      <c r="MLW157" s="69"/>
      <c r="MLX157" s="69"/>
      <c r="MLY157" s="69"/>
      <c r="MLZ157" s="69"/>
      <c r="MMA157" s="69"/>
      <c r="MMB157" s="69"/>
      <c r="MMC157" s="69"/>
      <c r="MMD157" s="69"/>
      <c r="MME157" s="69"/>
      <c r="MMF157" s="69"/>
      <c r="MMG157" s="69"/>
      <c r="MMH157" s="69"/>
      <c r="MMI157" s="69"/>
      <c r="MMJ157" s="69"/>
      <c r="MMK157" s="69"/>
      <c r="MML157" s="69"/>
      <c r="MMM157" s="69"/>
      <c r="MMN157" s="69"/>
      <c r="MMO157" s="69"/>
      <c r="MMP157" s="69"/>
      <c r="MMQ157" s="69"/>
      <c r="MMR157" s="69"/>
      <c r="MMS157" s="69"/>
      <c r="MMT157" s="69"/>
      <c r="MMU157" s="69"/>
      <c r="MMV157" s="69"/>
      <c r="MMW157" s="69"/>
      <c r="MMX157" s="69"/>
      <c r="MMY157" s="69"/>
      <c r="MMZ157" s="69"/>
      <c r="MNA157" s="69"/>
      <c r="MNB157" s="69"/>
      <c r="MNC157" s="69"/>
      <c r="MND157" s="69"/>
      <c r="MNE157" s="69"/>
      <c r="MNF157" s="69"/>
      <c r="MNG157" s="69"/>
      <c r="MNH157" s="69"/>
      <c r="MNI157" s="69"/>
      <c r="MNJ157" s="69"/>
      <c r="MNK157" s="69"/>
      <c r="MNL157" s="69"/>
      <c r="MNM157" s="69"/>
      <c r="MNN157" s="69"/>
      <c r="MNO157" s="69"/>
      <c r="MNP157" s="69"/>
      <c r="MNQ157" s="69"/>
      <c r="MNR157" s="69"/>
      <c r="MNS157" s="69"/>
      <c r="MNT157" s="69"/>
      <c r="MNU157" s="69"/>
      <c r="MNV157" s="69"/>
      <c r="MNW157" s="69"/>
      <c r="MNX157" s="69"/>
      <c r="MNY157" s="69"/>
      <c r="MNZ157" s="69"/>
      <c r="MOA157" s="69"/>
      <c r="MOB157" s="69"/>
      <c r="MOC157" s="69"/>
      <c r="MOD157" s="69"/>
      <c r="MOE157" s="69"/>
      <c r="MOF157" s="69"/>
      <c r="MOG157" s="69"/>
      <c r="MOH157" s="69"/>
      <c r="MOI157" s="69"/>
      <c r="MOJ157" s="69"/>
      <c r="MOK157" s="69"/>
      <c r="MOL157" s="69"/>
      <c r="MOM157" s="69"/>
      <c r="MON157" s="69"/>
      <c r="MOO157" s="69"/>
      <c r="MOP157" s="69"/>
      <c r="MOQ157" s="69"/>
      <c r="MOR157" s="69"/>
      <c r="MOS157" s="69"/>
      <c r="MOT157" s="69"/>
      <c r="MOU157" s="69"/>
      <c r="MOV157" s="69"/>
      <c r="MOW157" s="69"/>
      <c r="MOX157" s="69"/>
      <c r="MOY157" s="69"/>
      <c r="MOZ157" s="69"/>
      <c r="MPA157" s="69"/>
      <c r="MPB157" s="69"/>
      <c r="MPC157" s="69"/>
      <c r="MPD157" s="69"/>
      <c r="MPE157" s="69"/>
      <c r="MPF157" s="69"/>
      <c r="MPG157" s="69"/>
      <c r="MPH157" s="69"/>
      <c r="MPI157" s="69"/>
      <c r="MPJ157" s="69"/>
      <c r="MPK157" s="69"/>
      <c r="MPL157" s="69"/>
      <c r="MPM157" s="69"/>
      <c r="MPN157" s="69"/>
      <c r="MPO157" s="69"/>
      <c r="MPP157" s="69"/>
      <c r="MPQ157" s="69"/>
      <c r="MPR157" s="69"/>
      <c r="MPS157" s="69"/>
      <c r="MPT157" s="69"/>
      <c r="MPU157" s="69"/>
      <c r="MPV157" s="69"/>
      <c r="MPW157" s="69"/>
      <c r="MPX157" s="69"/>
      <c r="MPY157" s="69"/>
      <c r="MPZ157" s="69"/>
      <c r="MQA157" s="69"/>
      <c r="MQB157" s="69"/>
      <c r="MQC157" s="69"/>
      <c r="MQD157" s="69"/>
      <c r="MQE157" s="69"/>
      <c r="MQF157" s="69"/>
      <c r="MQG157" s="69"/>
      <c r="MQH157" s="69"/>
      <c r="MQI157" s="69"/>
      <c r="MQJ157" s="69"/>
      <c r="MQK157" s="69"/>
      <c r="MQL157" s="69"/>
      <c r="MQM157" s="69"/>
      <c r="MQN157" s="69"/>
      <c r="MQO157" s="69"/>
      <c r="MQP157" s="69"/>
      <c r="MQQ157" s="69"/>
      <c r="MQR157" s="69"/>
      <c r="MQS157" s="69"/>
      <c r="MQT157" s="69"/>
      <c r="MQU157" s="69"/>
      <c r="MQV157" s="69"/>
      <c r="MQW157" s="69"/>
      <c r="MQX157" s="69"/>
      <c r="MQY157" s="69"/>
      <c r="MQZ157" s="69"/>
      <c r="MRA157" s="69"/>
      <c r="MRB157" s="69"/>
      <c r="MRC157" s="69"/>
      <c r="MRD157" s="69"/>
      <c r="MRE157" s="69"/>
      <c r="MRF157" s="69"/>
      <c r="MRG157" s="69"/>
      <c r="MRH157" s="69"/>
      <c r="MRI157" s="69"/>
      <c r="MRJ157" s="69"/>
      <c r="MRK157" s="69"/>
      <c r="MRL157" s="69"/>
      <c r="MRM157" s="69"/>
      <c r="MRN157" s="69"/>
      <c r="MRO157" s="69"/>
      <c r="MRP157" s="69"/>
      <c r="MRQ157" s="69"/>
      <c r="MRR157" s="69"/>
      <c r="MRS157" s="69"/>
      <c r="MRT157" s="69"/>
      <c r="MRU157" s="69"/>
      <c r="MRV157" s="69"/>
      <c r="MRW157" s="69"/>
      <c r="MRX157" s="69"/>
      <c r="MRY157" s="69"/>
      <c r="MRZ157" s="69"/>
      <c r="MSA157" s="69"/>
      <c r="MSB157" s="69"/>
      <c r="MSC157" s="69"/>
      <c r="MSD157" s="69"/>
      <c r="MSE157" s="69"/>
      <c r="MSF157" s="69"/>
      <c r="MSG157" s="69"/>
      <c r="MSH157" s="69"/>
      <c r="MSI157" s="69"/>
      <c r="MSJ157" s="69"/>
      <c r="MSK157" s="69"/>
      <c r="MSL157" s="69"/>
      <c r="MSM157" s="69"/>
      <c r="MSN157" s="69"/>
      <c r="MSO157" s="69"/>
      <c r="MSP157" s="69"/>
      <c r="MSQ157" s="69"/>
      <c r="MSR157" s="69"/>
      <c r="MSS157" s="69"/>
      <c r="MST157" s="69"/>
      <c r="MSU157" s="69"/>
      <c r="MSV157" s="69"/>
      <c r="MSW157" s="69"/>
      <c r="MSX157" s="69"/>
      <c r="MSY157" s="69"/>
      <c r="MSZ157" s="69"/>
      <c r="MTA157" s="69"/>
      <c r="MTB157" s="69"/>
      <c r="MTC157" s="69"/>
      <c r="MTD157" s="69"/>
      <c r="MTE157" s="69"/>
      <c r="MTF157" s="69"/>
      <c r="MTG157" s="69"/>
      <c r="MTH157" s="69"/>
      <c r="MTI157" s="69"/>
      <c r="MTJ157" s="69"/>
      <c r="MTK157" s="69"/>
      <c r="MTL157" s="69"/>
      <c r="MTM157" s="69"/>
      <c r="MTN157" s="69"/>
      <c r="MTO157" s="69"/>
      <c r="MTP157" s="69"/>
      <c r="MTQ157" s="69"/>
      <c r="MTR157" s="69"/>
      <c r="MTS157" s="69"/>
      <c r="MTT157" s="69"/>
      <c r="MTU157" s="69"/>
      <c r="MTV157" s="69"/>
      <c r="MTW157" s="69"/>
      <c r="MTX157" s="69"/>
      <c r="MTY157" s="69"/>
      <c r="MTZ157" s="69"/>
      <c r="MUA157" s="69"/>
      <c r="MUB157" s="69"/>
      <c r="MUC157" s="69"/>
      <c r="MUD157" s="69"/>
      <c r="MUE157" s="69"/>
      <c r="MUF157" s="69"/>
      <c r="MUG157" s="69"/>
      <c r="MUH157" s="69"/>
      <c r="MUI157" s="69"/>
      <c r="MUJ157" s="69"/>
      <c r="MUK157" s="69"/>
      <c r="MUL157" s="69"/>
      <c r="MUM157" s="69"/>
      <c r="MUN157" s="69"/>
      <c r="MUO157" s="69"/>
      <c r="MUP157" s="69"/>
      <c r="MUQ157" s="69"/>
      <c r="MUR157" s="69"/>
      <c r="MUS157" s="69"/>
      <c r="MUT157" s="69"/>
      <c r="MUU157" s="69"/>
      <c r="MUV157" s="69"/>
      <c r="MUW157" s="69"/>
      <c r="MUX157" s="69"/>
      <c r="MUY157" s="69"/>
      <c r="MUZ157" s="69"/>
      <c r="MVA157" s="69"/>
      <c r="MVB157" s="69"/>
      <c r="MVC157" s="69"/>
      <c r="MVD157" s="69"/>
      <c r="MVE157" s="69"/>
      <c r="MVF157" s="69"/>
      <c r="MVG157" s="69"/>
      <c r="MVH157" s="69"/>
      <c r="MVI157" s="69"/>
      <c r="MVJ157" s="69"/>
      <c r="MVK157" s="69"/>
      <c r="MVL157" s="69"/>
      <c r="MVM157" s="69"/>
      <c r="MVN157" s="69"/>
      <c r="MVO157" s="69"/>
      <c r="MVP157" s="69"/>
      <c r="MVQ157" s="69"/>
      <c r="MVR157" s="69"/>
      <c r="MVS157" s="69"/>
      <c r="MVT157" s="69"/>
      <c r="MVU157" s="69"/>
      <c r="MVV157" s="69"/>
      <c r="MVW157" s="69"/>
      <c r="MVX157" s="69"/>
      <c r="MVY157" s="69"/>
      <c r="MVZ157" s="69"/>
      <c r="MWA157" s="69"/>
      <c r="MWB157" s="69"/>
      <c r="MWC157" s="69"/>
      <c r="MWD157" s="69"/>
      <c r="MWE157" s="69"/>
      <c r="MWF157" s="69"/>
      <c r="MWG157" s="69"/>
      <c r="MWH157" s="69"/>
      <c r="MWI157" s="69"/>
      <c r="MWJ157" s="69"/>
      <c r="MWK157" s="69"/>
      <c r="MWL157" s="69"/>
      <c r="MWM157" s="69"/>
      <c r="MWN157" s="69"/>
      <c r="MWO157" s="69"/>
      <c r="MWP157" s="69"/>
      <c r="MWQ157" s="69"/>
      <c r="MWR157" s="69"/>
      <c r="MWS157" s="69"/>
      <c r="MWT157" s="69"/>
      <c r="MWU157" s="69"/>
      <c r="MWV157" s="69"/>
      <c r="MWW157" s="69"/>
      <c r="MWX157" s="69"/>
      <c r="MWY157" s="69"/>
      <c r="MWZ157" s="69"/>
      <c r="MXA157" s="69"/>
      <c r="MXB157" s="69"/>
      <c r="MXC157" s="69"/>
      <c r="MXD157" s="69"/>
      <c r="MXE157" s="69"/>
      <c r="MXF157" s="69"/>
      <c r="MXG157" s="69"/>
      <c r="MXH157" s="69"/>
      <c r="MXI157" s="69"/>
      <c r="MXJ157" s="69"/>
      <c r="MXK157" s="69"/>
      <c r="MXL157" s="69"/>
      <c r="MXM157" s="69"/>
      <c r="MXN157" s="69"/>
      <c r="MXO157" s="69"/>
      <c r="MXP157" s="69"/>
      <c r="MXQ157" s="69"/>
      <c r="MXR157" s="69"/>
      <c r="MXS157" s="69"/>
      <c r="MXT157" s="69"/>
      <c r="MXU157" s="69"/>
      <c r="MXV157" s="69"/>
      <c r="MXW157" s="69"/>
      <c r="MXX157" s="69"/>
      <c r="MXY157" s="69"/>
      <c r="MXZ157" s="69"/>
      <c r="MYA157" s="69"/>
      <c r="MYB157" s="69"/>
      <c r="MYC157" s="69"/>
      <c r="MYD157" s="69"/>
      <c r="MYE157" s="69"/>
      <c r="MYF157" s="69"/>
      <c r="MYG157" s="69"/>
      <c r="MYH157" s="69"/>
      <c r="MYI157" s="69"/>
      <c r="MYJ157" s="69"/>
      <c r="MYK157" s="69"/>
      <c r="MYL157" s="69"/>
      <c r="MYM157" s="69"/>
      <c r="MYN157" s="69"/>
      <c r="MYO157" s="69"/>
      <c r="MYP157" s="69"/>
      <c r="MYQ157" s="69"/>
      <c r="MYR157" s="69"/>
      <c r="MYS157" s="69"/>
      <c r="MYT157" s="69"/>
      <c r="MYU157" s="69"/>
      <c r="MYV157" s="69"/>
      <c r="MYW157" s="69"/>
      <c r="MYX157" s="69"/>
      <c r="MYY157" s="69"/>
      <c r="MYZ157" s="69"/>
      <c r="MZA157" s="69"/>
      <c r="MZB157" s="69"/>
      <c r="MZC157" s="69"/>
      <c r="MZD157" s="69"/>
      <c r="MZE157" s="69"/>
      <c r="MZF157" s="69"/>
      <c r="MZG157" s="69"/>
      <c r="MZH157" s="69"/>
      <c r="MZI157" s="69"/>
      <c r="MZJ157" s="69"/>
      <c r="MZK157" s="69"/>
      <c r="MZL157" s="69"/>
      <c r="MZM157" s="69"/>
      <c r="MZN157" s="69"/>
      <c r="MZO157" s="69"/>
      <c r="MZP157" s="69"/>
      <c r="MZQ157" s="69"/>
      <c r="MZR157" s="69"/>
      <c r="MZS157" s="69"/>
      <c r="MZT157" s="69"/>
      <c r="MZU157" s="69"/>
      <c r="MZV157" s="69"/>
      <c r="MZW157" s="69"/>
      <c r="MZX157" s="69"/>
      <c r="MZY157" s="69"/>
      <c r="MZZ157" s="69"/>
      <c r="NAA157" s="69"/>
      <c r="NAB157" s="69"/>
      <c r="NAC157" s="69"/>
      <c r="NAD157" s="69"/>
      <c r="NAE157" s="69"/>
      <c r="NAF157" s="69"/>
      <c r="NAG157" s="69"/>
      <c r="NAH157" s="69"/>
      <c r="NAI157" s="69"/>
      <c r="NAJ157" s="69"/>
      <c r="NAK157" s="69"/>
      <c r="NAL157" s="69"/>
      <c r="NAM157" s="69"/>
      <c r="NAN157" s="69"/>
      <c r="NAO157" s="69"/>
      <c r="NAP157" s="69"/>
      <c r="NAQ157" s="69"/>
      <c r="NAR157" s="69"/>
      <c r="NAS157" s="69"/>
      <c r="NAT157" s="69"/>
      <c r="NAU157" s="69"/>
      <c r="NAV157" s="69"/>
      <c r="NAW157" s="69"/>
      <c r="NAX157" s="69"/>
      <c r="NAY157" s="69"/>
      <c r="NAZ157" s="69"/>
      <c r="NBA157" s="69"/>
      <c r="NBB157" s="69"/>
      <c r="NBC157" s="69"/>
      <c r="NBD157" s="69"/>
      <c r="NBE157" s="69"/>
      <c r="NBF157" s="69"/>
      <c r="NBG157" s="69"/>
      <c r="NBH157" s="69"/>
      <c r="NBI157" s="69"/>
      <c r="NBJ157" s="69"/>
      <c r="NBK157" s="69"/>
      <c r="NBL157" s="69"/>
      <c r="NBM157" s="69"/>
      <c r="NBN157" s="69"/>
      <c r="NBO157" s="69"/>
      <c r="NBP157" s="69"/>
      <c r="NBQ157" s="69"/>
      <c r="NBR157" s="69"/>
      <c r="NBS157" s="69"/>
      <c r="NBT157" s="69"/>
      <c r="NBU157" s="69"/>
      <c r="NBV157" s="69"/>
      <c r="NBW157" s="69"/>
      <c r="NBX157" s="69"/>
      <c r="NBY157" s="69"/>
      <c r="NBZ157" s="69"/>
      <c r="NCA157" s="69"/>
      <c r="NCB157" s="69"/>
      <c r="NCC157" s="69"/>
      <c r="NCD157" s="69"/>
      <c r="NCE157" s="69"/>
      <c r="NCF157" s="69"/>
      <c r="NCG157" s="69"/>
      <c r="NCH157" s="69"/>
      <c r="NCI157" s="69"/>
      <c r="NCJ157" s="69"/>
      <c r="NCK157" s="69"/>
      <c r="NCL157" s="69"/>
      <c r="NCM157" s="69"/>
      <c r="NCN157" s="69"/>
      <c r="NCO157" s="69"/>
      <c r="NCP157" s="69"/>
      <c r="NCQ157" s="69"/>
      <c r="NCR157" s="69"/>
      <c r="NCS157" s="69"/>
      <c r="NCT157" s="69"/>
      <c r="NCU157" s="69"/>
      <c r="NCV157" s="69"/>
      <c r="NCW157" s="69"/>
      <c r="NCX157" s="69"/>
      <c r="NCY157" s="69"/>
      <c r="NCZ157" s="69"/>
      <c r="NDA157" s="69"/>
      <c r="NDB157" s="69"/>
      <c r="NDC157" s="69"/>
      <c r="NDD157" s="69"/>
      <c r="NDE157" s="69"/>
      <c r="NDF157" s="69"/>
      <c r="NDG157" s="69"/>
      <c r="NDH157" s="69"/>
      <c r="NDI157" s="69"/>
      <c r="NDJ157" s="69"/>
      <c r="NDK157" s="69"/>
      <c r="NDL157" s="69"/>
      <c r="NDM157" s="69"/>
      <c r="NDN157" s="69"/>
      <c r="NDO157" s="69"/>
      <c r="NDP157" s="69"/>
      <c r="NDQ157" s="69"/>
      <c r="NDR157" s="69"/>
      <c r="NDS157" s="69"/>
      <c r="NDT157" s="69"/>
      <c r="NDU157" s="69"/>
      <c r="NDV157" s="69"/>
      <c r="NDW157" s="69"/>
      <c r="NDX157" s="69"/>
      <c r="NDY157" s="69"/>
      <c r="NDZ157" s="69"/>
      <c r="NEA157" s="69"/>
      <c r="NEB157" s="69"/>
      <c r="NEC157" s="69"/>
      <c r="NED157" s="69"/>
      <c r="NEE157" s="69"/>
      <c r="NEF157" s="69"/>
      <c r="NEG157" s="69"/>
      <c r="NEH157" s="69"/>
      <c r="NEI157" s="69"/>
      <c r="NEJ157" s="69"/>
      <c r="NEK157" s="69"/>
      <c r="NEL157" s="69"/>
      <c r="NEM157" s="69"/>
      <c r="NEN157" s="69"/>
      <c r="NEO157" s="69"/>
      <c r="NEP157" s="69"/>
      <c r="NEQ157" s="69"/>
      <c r="NER157" s="69"/>
      <c r="NES157" s="69"/>
      <c r="NET157" s="69"/>
      <c r="NEU157" s="69"/>
      <c r="NEV157" s="69"/>
      <c r="NEW157" s="69"/>
      <c r="NEX157" s="69"/>
      <c r="NEY157" s="69"/>
      <c r="NEZ157" s="69"/>
      <c r="NFA157" s="69"/>
      <c r="NFB157" s="69"/>
      <c r="NFC157" s="69"/>
      <c r="NFD157" s="69"/>
      <c r="NFE157" s="69"/>
      <c r="NFF157" s="69"/>
      <c r="NFG157" s="69"/>
      <c r="NFH157" s="69"/>
      <c r="NFI157" s="69"/>
      <c r="NFJ157" s="69"/>
      <c r="NFK157" s="69"/>
      <c r="NFL157" s="69"/>
      <c r="NFM157" s="69"/>
      <c r="NFN157" s="69"/>
      <c r="NFO157" s="69"/>
      <c r="NFP157" s="69"/>
      <c r="NFQ157" s="69"/>
      <c r="NFR157" s="69"/>
      <c r="NFS157" s="69"/>
      <c r="NFT157" s="69"/>
      <c r="NFU157" s="69"/>
      <c r="NFV157" s="69"/>
      <c r="NFW157" s="69"/>
      <c r="NFX157" s="69"/>
      <c r="NFY157" s="69"/>
      <c r="NFZ157" s="69"/>
      <c r="NGA157" s="69"/>
      <c r="NGB157" s="69"/>
      <c r="NGC157" s="69"/>
      <c r="NGD157" s="69"/>
      <c r="NGE157" s="69"/>
      <c r="NGF157" s="69"/>
      <c r="NGG157" s="69"/>
      <c r="NGH157" s="69"/>
      <c r="NGI157" s="69"/>
      <c r="NGJ157" s="69"/>
      <c r="NGK157" s="69"/>
      <c r="NGL157" s="69"/>
      <c r="NGM157" s="69"/>
      <c r="NGN157" s="69"/>
      <c r="NGO157" s="69"/>
      <c r="NGP157" s="69"/>
      <c r="NGQ157" s="69"/>
      <c r="NGR157" s="69"/>
      <c r="NGS157" s="69"/>
      <c r="NGT157" s="69"/>
      <c r="NGU157" s="69"/>
      <c r="NGV157" s="69"/>
      <c r="NGW157" s="69"/>
      <c r="NGX157" s="69"/>
      <c r="NGY157" s="69"/>
      <c r="NGZ157" s="69"/>
      <c r="NHA157" s="69"/>
      <c r="NHB157" s="69"/>
      <c r="NHC157" s="69"/>
      <c r="NHD157" s="69"/>
      <c r="NHE157" s="69"/>
      <c r="NHF157" s="69"/>
      <c r="NHG157" s="69"/>
      <c r="NHH157" s="69"/>
      <c r="NHI157" s="69"/>
      <c r="NHJ157" s="69"/>
      <c r="NHK157" s="69"/>
      <c r="NHL157" s="69"/>
      <c r="NHM157" s="69"/>
      <c r="NHN157" s="69"/>
      <c r="NHO157" s="69"/>
      <c r="NHP157" s="69"/>
      <c r="NHQ157" s="69"/>
      <c r="NHR157" s="69"/>
      <c r="NHS157" s="69"/>
      <c r="NHT157" s="69"/>
      <c r="NHU157" s="69"/>
      <c r="NHV157" s="69"/>
      <c r="NHW157" s="69"/>
      <c r="NHX157" s="69"/>
      <c r="NHY157" s="69"/>
      <c r="NHZ157" s="69"/>
      <c r="NIA157" s="69"/>
      <c r="NIB157" s="69"/>
      <c r="NIC157" s="69"/>
      <c r="NID157" s="69"/>
      <c r="NIE157" s="69"/>
      <c r="NIF157" s="69"/>
      <c r="NIG157" s="69"/>
      <c r="NIH157" s="69"/>
      <c r="NII157" s="69"/>
      <c r="NIJ157" s="69"/>
      <c r="NIK157" s="69"/>
      <c r="NIL157" s="69"/>
      <c r="NIM157" s="69"/>
      <c r="NIN157" s="69"/>
      <c r="NIO157" s="69"/>
      <c r="NIP157" s="69"/>
      <c r="NIQ157" s="69"/>
      <c r="NIR157" s="69"/>
      <c r="NIS157" s="69"/>
      <c r="NIT157" s="69"/>
      <c r="NIU157" s="69"/>
      <c r="NIV157" s="69"/>
      <c r="NIW157" s="69"/>
      <c r="NIX157" s="69"/>
      <c r="NIY157" s="69"/>
      <c r="NIZ157" s="69"/>
      <c r="NJA157" s="69"/>
      <c r="NJB157" s="69"/>
      <c r="NJC157" s="69"/>
      <c r="NJD157" s="69"/>
      <c r="NJE157" s="69"/>
      <c r="NJF157" s="69"/>
      <c r="NJG157" s="69"/>
      <c r="NJH157" s="69"/>
      <c r="NJI157" s="69"/>
      <c r="NJJ157" s="69"/>
      <c r="NJK157" s="69"/>
      <c r="NJL157" s="69"/>
      <c r="NJM157" s="69"/>
      <c r="NJN157" s="69"/>
      <c r="NJO157" s="69"/>
      <c r="NJP157" s="69"/>
      <c r="NJQ157" s="69"/>
      <c r="NJR157" s="69"/>
      <c r="NJS157" s="69"/>
      <c r="NJT157" s="69"/>
      <c r="NJU157" s="69"/>
      <c r="NJV157" s="69"/>
      <c r="NJW157" s="69"/>
      <c r="NJX157" s="69"/>
      <c r="NJY157" s="69"/>
      <c r="NJZ157" s="69"/>
      <c r="NKA157" s="69"/>
      <c r="NKB157" s="69"/>
      <c r="NKC157" s="69"/>
      <c r="NKD157" s="69"/>
      <c r="NKE157" s="69"/>
      <c r="NKF157" s="69"/>
      <c r="NKG157" s="69"/>
      <c r="NKH157" s="69"/>
      <c r="NKI157" s="69"/>
      <c r="NKJ157" s="69"/>
      <c r="NKK157" s="69"/>
      <c r="NKL157" s="69"/>
      <c r="NKM157" s="69"/>
      <c r="NKN157" s="69"/>
      <c r="NKO157" s="69"/>
      <c r="NKP157" s="69"/>
      <c r="NKQ157" s="69"/>
      <c r="NKR157" s="69"/>
      <c r="NKS157" s="69"/>
      <c r="NKT157" s="69"/>
      <c r="NKU157" s="69"/>
      <c r="NKV157" s="69"/>
      <c r="NKW157" s="69"/>
      <c r="NKX157" s="69"/>
      <c r="NKY157" s="69"/>
      <c r="NKZ157" s="69"/>
      <c r="NLA157" s="69"/>
      <c r="NLB157" s="69"/>
      <c r="NLC157" s="69"/>
      <c r="NLD157" s="69"/>
      <c r="NLE157" s="69"/>
      <c r="NLF157" s="69"/>
      <c r="NLG157" s="69"/>
      <c r="NLH157" s="69"/>
      <c r="NLI157" s="69"/>
      <c r="NLJ157" s="69"/>
      <c r="NLK157" s="69"/>
      <c r="NLL157" s="69"/>
      <c r="NLM157" s="69"/>
      <c r="NLN157" s="69"/>
      <c r="NLO157" s="69"/>
      <c r="NLP157" s="69"/>
      <c r="NLQ157" s="69"/>
      <c r="NLR157" s="69"/>
      <c r="NLS157" s="69"/>
      <c r="NLT157" s="69"/>
      <c r="NLU157" s="69"/>
      <c r="NLV157" s="69"/>
      <c r="NLW157" s="69"/>
      <c r="NLX157" s="69"/>
      <c r="NLY157" s="69"/>
      <c r="NLZ157" s="69"/>
      <c r="NMA157" s="69"/>
      <c r="NMB157" s="69"/>
      <c r="NMC157" s="69"/>
      <c r="NMD157" s="69"/>
      <c r="NME157" s="69"/>
      <c r="NMF157" s="69"/>
      <c r="NMG157" s="69"/>
      <c r="NMH157" s="69"/>
      <c r="NMI157" s="69"/>
      <c r="NMJ157" s="69"/>
      <c r="NMK157" s="69"/>
      <c r="NML157" s="69"/>
      <c r="NMM157" s="69"/>
      <c r="NMN157" s="69"/>
      <c r="NMO157" s="69"/>
      <c r="NMP157" s="69"/>
      <c r="NMQ157" s="69"/>
      <c r="NMR157" s="69"/>
      <c r="NMS157" s="69"/>
      <c r="NMT157" s="69"/>
      <c r="NMU157" s="69"/>
      <c r="NMV157" s="69"/>
      <c r="NMW157" s="69"/>
      <c r="NMX157" s="69"/>
      <c r="NMY157" s="69"/>
      <c r="NMZ157" s="69"/>
      <c r="NNA157" s="69"/>
      <c r="NNB157" s="69"/>
      <c r="NNC157" s="69"/>
      <c r="NND157" s="69"/>
      <c r="NNE157" s="69"/>
      <c r="NNF157" s="69"/>
      <c r="NNG157" s="69"/>
      <c r="NNH157" s="69"/>
      <c r="NNI157" s="69"/>
      <c r="NNJ157" s="69"/>
      <c r="NNK157" s="69"/>
      <c r="NNL157" s="69"/>
      <c r="NNM157" s="69"/>
      <c r="NNN157" s="69"/>
      <c r="NNO157" s="69"/>
      <c r="NNP157" s="69"/>
      <c r="NNQ157" s="69"/>
      <c r="NNR157" s="69"/>
      <c r="NNS157" s="69"/>
      <c r="NNT157" s="69"/>
      <c r="NNU157" s="69"/>
      <c r="NNV157" s="69"/>
      <c r="NNW157" s="69"/>
      <c r="NNX157" s="69"/>
      <c r="NNY157" s="69"/>
      <c r="NNZ157" s="69"/>
      <c r="NOA157" s="69"/>
      <c r="NOB157" s="69"/>
      <c r="NOC157" s="69"/>
      <c r="NOD157" s="69"/>
      <c r="NOE157" s="69"/>
      <c r="NOF157" s="69"/>
      <c r="NOG157" s="69"/>
      <c r="NOH157" s="69"/>
      <c r="NOI157" s="69"/>
      <c r="NOJ157" s="69"/>
      <c r="NOK157" s="69"/>
      <c r="NOL157" s="69"/>
      <c r="NOM157" s="69"/>
      <c r="NON157" s="69"/>
      <c r="NOO157" s="69"/>
      <c r="NOP157" s="69"/>
      <c r="NOQ157" s="69"/>
      <c r="NOR157" s="69"/>
      <c r="NOS157" s="69"/>
      <c r="NOT157" s="69"/>
      <c r="NOU157" s="69"/>
      <c r="NOV157" s="69"/>
      <c r="NOW157" s="69"/>
      <c r="NOX157" s="69"/>
      <c r="NOY157" s="69"/>
      <c r="NOZ157" s="69"/>
      <c r="NPA157" s="69"/>
      <c r="NPB157" s="69"/>
      <c r="NPC157" s="69"/>
      <c r="NPD157" s="69"/>
      <c r="NPE157" s="69"/>
      <c r="NPF157" s="69"/>
      <c r="NPG157" s="69"/>
      <c r="NPH157" s="69"/>
      <c r="NPI157" s="69"/>
      <c r="NPJ157" s="69"/>
      <c r="NPK157" s="69"/>
      <c r="NPL157" s="69"/>
      <c r="NPM157" s="69"/>
      <c r="NPN157" s="69"/>
      <c r="NPO157" s="69"/>
      <c r="NPP157" s="69"/>
      <c r="NPQ157" s="69"/>
      <c r="NPR157" s="69"/>
      <c r="NPS157" s="69"/>
      <c r="NPT157" s="69"/>
      <c r="NPU157" s="69"/>
      <c r="NPV157" s="69"/>
      <c r="NPW157" s="69"/>
      <c r="NPX157" s="69"/>
      <c r="NPY157" s="69"/>
      <c r="NPZ157" s="69"/>
      <c r="NQA157" s="69"/>
      <c r="NQB157" s="69"/>
      <c r="NQC157" s="69"/>
      <c r="NQD157" s="69"/>
      <c r="NQE157" s="69"/>
      <c r="NQF157" s="69"/>
      <c r="NQG157" s="69"/>
      <c r="NQH157" s="69"/>
      <c r="NQI157" s="69"/>
      <c r="NQJ157" s="69"/>
      <c r="NQK157" s="69"/>
      <c r="NQL157" s="69"/>
      <c r="NQM157" s="69"/>
      <c r="NQN157" s="69"/>
      <c r="NQO157" s="69"/>
      <c r="NQP157" s="69"/>
      <c r="NQQ157" s="69"/>
      <c r="NQR157" s="69"/>
      <c r="NQS157" s="69"/>
      <c r="NQT157" s="69"/>
      <c r="NQU157" s="69"/>
      <c r="NQV157" s="69"/>
      <c r="NQW157" s="69"/>
      <c r="NQX157" s="69"/>
      <c r="NQY157" s="69"/>
      <c r="NQZ157" s="69"/>
      <c r="NRA157" s="69"/>
      <c r="NRB157" s="69"/>
      <c r="NRC157" s="69"/>
      <c r="NRD157" s="69"/>
      <c r="NRE157" s="69"/>
      <c r="NRF157" s="69"/>
      <c r="NRG157" s="69"/>
      <c r="NRH157" s="69"/>
      <c r="NRI157" s="69"/>
      <c r="NRJ157" s="69"/>
      <c r="NRK157" s="69"/>
      <c r="NRL157" s="69"/>
      <c r="NRM157" s="69"/>
      <c r="NRN157" s="69"/>
      <c r="NRO157" s="69"/>
      <c r="NRP157" s="69"/>
      <c r="NRQ157" s="69"/>
      <c r="NRR157" s="69"/>
      <c r="NRS157" s="69"/>
      <c r="NRT157" s="69"/>
      <c r="NRU157" s="69"/>
      <c r="NRV157" s="69"/>
      <c r="NRW157" s="69"/>
      <c r="NRX157" s="69"/>
      <c r="NRY157" s="69"/>
      <c r="NRZ157" s="69"/>
      <c r="NSA157" s="69"/>
      <c r="NSB157" s="69"/>
      <c r="NSC157" s="69"/>
      <c r="NSD157" s="69"/>
      <c r="NSE157" s="69"/>
      <c r="NSF157" s="69"/>
      <c r="NSG157" s="69"/>
      <c r="NSH157" s="69"/>
      <c r="NSI157" s="69"/>
      <c r="NSJ157" s="69"/>
      <c r="NSK157" s="69"/>
      <c r="NSL157" s="69"/>
      <c r="NSM157" s="69"/>
      <c r="NSN157" s="69"/>
      <c r="NSO157" s="69"/>
      <c r="NSP157" s="69"/>
      <c r="NSQ157" s="69"/>
      <c r="NSR157" s="69"/>
      <c r="NSS157" s="69"/>
      <c r="NST157" s="69"/>
      <c r="NSU157" s="69"/>
      <c r="NSV157" s="69"/>
      <c r="NSW157" s="69"/>
      <c r="NSX157" s="69"/>
      <c r="NSY157" s="69"/>
      <c r="NSZ157" s="69"/>
      <c r="NTA157" s="69"/>
      <c r="NTB157" s="69"/>
      <c r="NTC157" s="69"/>
      <c r="NTD157" s="69"/>
      <c r="NTE157" s="69"/>
      <c r="NTF157" s="69"/>
      <c r="NTG157" s="69"/>
      <c r="NTH157" s="69"/>
      <c r="NTI157" s="69"/>
      <c r="NTJ157" s="69"/>
      <c r="NTK157" s="69"/>
      <c r="NTL157" s="69"/>
      <c r="NTM157" s="69"/>
      <c r="NTN157" s="69"/>
      <c r="NTO157" s="69"/>
      <c r="NTP157" s="69"/>
      <c r="NTQ157" s="69"/>
      <c r="NTR157" s="69"/>
      <c r="NTS157" s="69"/>
      <c r="NTT157" s="69"/>
      <c r="NTU157" s="69"/>
      <c r="NTV157" s="69"/>
      <c r="NTW157" s="69"/>
      <c r="NTX157" s="69"/>
      <c r="NTY157" s="69"/>
      <c r="NTZ157" s="69"/>
      <c r="NUA157" s="69"/>
      <c r="NUB157" s="69"/>
      <c r="NUC157" s="69"/>
      <c r="NUD157" s="69"/>
      <c r="NUE157" s="69"/>
      <c r="NUF157" s="69"/>
      <c r="NUG157" s="69"/>
      <c r="NUH157" s="69"/>
      <c r="NUI157" s="69"/>
      <c r="NUJ157" s="69"/>
      <c r="NUK157" s="69"/>
      <c r="NUL157" s="69"/>
      <c r="NUM157" s="69"/>
      <c r="NUN157" s="69"/>
      <c r="NUO157" s="69"/>
      <c r="NUP157" s="69"/>
      <c r="NUQ157" s="69"/>
      <c r="NUR157" s="69"/>
      <c r="NUS157" s="69"/>
      <c r="NUT157" s="69"/>
      <c r="NUU157" s="69"/>
      <c r="NUV157" s="69"/>
      <c r="NUW157" s="69"/>
      <c r="NUX157" s="69"/>
      <c r="NUY157" s="69"/>
      <c r="NUZ157" s="69"/>
      <c r="NVA157" s="69"/>
      <c r="NVB157" s="69"/>
      <c r="NVC157" s="69"/>
      <c r="NVD157" s="69"/>
      <c r="NVE157" s="69"/>
      <c r="NVF157" s="69"/>
      <c r="NVG157" s="69"/>
      <c r="NVH157" s="69"/>
      <c r="NVI157" s="69"/>
      <c r="NVJ157" s="69"/>
      <c r="NVK157" s="69"/>
      <c r="NVL157" s="69"/>
      <c r="NVM157" s="69"/>
      <c r="NVN157" s="69"/>
      <c r="NVO157" s="69"/>
      <c r="NVP157" s="69"/>
      <c r="NVQ157" s="69"/>
      <c r="NVR157" s="69"/>
      <c r="NVS157" s="69"/>
      <c r="NVT157" s="69"/>
      <c r="NVU157" s="69"/>
      <c r="NVV157" s="69"/>
      <c r="NVW157" s="69"/>
      <c r="NVX157" s="69"/>
      <c r="NVY157" s="69"/>
      <c r="NVZ157" s="69"/>
      <c r="NWA157" s="69"/>
      <c r="NWB157" s="69"/>
      <c r="NWC157" s="69"/>
      <c r="NWD157" s="69"/>
      <c r="NWE157" s="69"/>
      <c r="NWF157" s="69"/>
      <c r="NWG157" s="69"/>
      <c r="NWH157" s="69"/>
      <c r="NWI157" s="69"/>
      <c r="NWJ157" s="69"/>
      <c r="NWK157" s="69"/>
      <c r="NWL157" s="69"/>
      <c r="NWM157" s="69"/>
      <c r="NWN157" s="69"/>
      <c r="NWO157" s="69"/>
      <c r="NWP157" s="69"/>
      <c r="NWQ157" s="69"/>
      <c r="NWR157" s="69"/>
      <c r="NWS157" s="69"/>
      <c r="NWT157" s="69"/>
      <c r="NWU157" s="69"/>
      <c r="NWV157" s="69"/>
      <c r="NWW157" s="69"/>
      <c r="NWX157" s="69"/>
      <c r="NWY157" s="69"/>
      <c r="NWZ157" s="69"/>
      <c r="NXA157" s="69"/>
      <c r="NXB157" s="69"/>
      <c r="NXC157" s="69"/>
      <c r="NXD157" s="69"/>
      <c r="NXE157" s="69"/>
      <c r="NXF157" s="69"/>
      <c r="NXG157" s="69"/>
      <c r="NXH157" s="69"/>
      <c r="NXI157" s="69"/>
      <c r="NXJ157" s="69"/>
      <c r="NXK157" s="69"/>
      <c r="NXL157" s="69"/>
      <c r="NXM157" s="69"/>
      <c r="NXN157" s="69"/>
      <c r="NXO157" s="69"/>
      <c r="NXP157" s="69"/>
      <c r="NXQ157" s="69"/>
      <c r="NXR157" s="69"/>
      <c r="NXS157" s="69"/>
      <c r="NXT157" s="69"/>
      <c r="NXU157" s="69"/>
      <c r="NXV157" s="69"/>
      <c r="NXW157" s="69"/>
      <c r="NXX157" s="69"/>
      <c r="NXY157" s="69"/>
      <c r="NXZ157" s="69"/>
      <c r="NYA157" s="69"/>
      <c r="NYB157" s="69"/>
      <c r="NYC157" s="69"/>
      <c r="NYD157" s="69"/>
      <c r="NYE157" s="69"/>
      <c r="NYF157" s="69"/>
      <c r="NYG157" s="69"/>
      <c r="NYH157" s="69"/>
      <c r="NYI157" s="69"/>
      <c r="NYJ157" s="69"/>
      <c r="NYK157" s="69"/>
      <c r="NYL157" s="69"/>
      <c r="NYM157" s="69"/>
      <c r="NYN157" s="69"/>
      <c r="NYO157" s="69"/>
      <c r="NYP157" s="69"/>
      <c r="NYQ157" s="69"/>
      <c r="NYR157" s="69"/>
      <c r="NYS157" s="69"/>
      <c r="NYT157" s="69"/>
      <c r="NYU157" s="69"/>
      <c r="NYV157" s="69"/>
      <c r="NYW157" s="69"/>
      <c r="NYX157" s="69"/>
      <c r="NYY157" s="69"/>
      <c r="NYZ157" s="69"/>
      <c r="NZA157" s="69"/>
      <c r="NZB157" s="69"/>
      <c r="NZC157" s="69"/>
      <c r="NZD157" s="69"/>
      <c r="NZE157" s="69"/>
      <c r="NZF157" s="69"/>
      <c r="NZG157" s="69"/>
      <c r="NZH157" s="69"/>
      <c r="NZI157" s="69"/>
      <c r="NZJ157" s="69"/>
      <c r="NZK157" s="69"/>
      <c r="NZL157" s="69"/>
      <c r="NZM157" s="69"/>
      <c r="NZN157" s="69"/>
      <c r="NZO157" s="69"/>
      <c r="NZP157" s="69"/>
      <c r="NZQ157" s="69"/>
      <c r="NZR157" s="69"/>
      <c r="NZS157" s="69"/>
      <c r="NZT157" s="69"/>
      <c r="NZU157" s="69"/>
      <c r="NZV157" s="69"/>
      <c r="NZW157" s="69"/>
      <c r="NZX157" s="69"/>
      <c r="NZY157" s="69"/>
      <c r="NZZ157" s="69"/>
      <c r="OAA157" s="69"/>
      <c r="OAB157" s="69"/>
      <c r="OAC157" s="69"/>
      <c r="OAD157" s="69"/>
      <c r="OAE157" s="69"/>
      <c r="OAF157" s="69"/>
      <c r="OAG157" s="69"/>
      <c r="OAH157" s="69"/>
      <c r="OAI157" s="69"/>
      <c r="OAJ157" s="69"/>
      <c r="OAK157" s="69"/>
      <c r="OAL157" s="69"/>
      <c r="OAM157" s="69"/>
      <c r="OAN157" s="69"/>
      <c r="OAO157" s="69"/>
      <c r="OAP157" s="69"/>
      <c r="OAQ157" s="69"/>
      <c r="OAR157" s="69"/>
      <c r="OAS157" s="69"/>
      <c r="OAT157" s="69"/>
      <c r="OAU157" s="69"/>
      <c r="OAV157" s="69"/>
      <c r="OAW157" s="69"/>
      <c r="OAX157" s="69"/>
      <c r="OAY157" s="69"/>
      <c r="OAZ157" s="69"/>
      <c r="OBA157" s="69"/>
      <c r="OBB157" s="69"/>
      <c r="OBC157" s="69"/>
      <c r="OBD157" s="69"/>
      <c r="OBE157" s="69"/>
      <c r="OBF157" s="69"/>
      <c r="OBG157" s="69"/>
      <c r="OBH157" s="69"/>
      <c r="OBI157" s="69"/>
      <c r="OBJ157" s="69"/>
      <c r="OBK157" s="69"/>
      <c r="OBL157" s="69"/>
      <c r="OBM157" s="69"/>
      <c r="OBN157" s="69"/>
      <c r="OBO157" s="69"/>
      <c r="OBP157" s="69"/>
      <c r="OBQ157" s="69"/>
      <c r="OBR157" s="69"/>
      <c r="OBS157" s="69"/>
      <c r="OBT157" s="69"/>
      <c r="OBU157" s="69"/>
      <c r="OBV157" s="69"/>
      <c r="OBW157" s="69"/>
      <c r="OBX157" s="69"/>
      <c r="OBY157" s="69"/>
      <c r="OBZ157" s="69"/>
      <c r="OCA157" s="69"/>
      <c r="OCB157" s="69"/>
      <c r="OCC157" s="69"/>
      <c r="OCD157" s="69"/>
      <c r="OCE157" s="69"/>
      <c r="OCF157" s="69"/>
      <c r="OCG157" s="69"/>
      <c r="OCH157" s="69"/>
      <c r="OCI157" s="69"/>
      <c r="OCJ157" s="69"/>
      <c r="OCK157" s="69"/>
      <c r="OCL157" s="69"/>
      <c r="OCM157" s="69"/>
      <c r="OCN157" s="69"/>
      <c r="OCO157" s="69"/>
      <c r="OCP157" s="69"/>
      <c r="OCQ157" s="69"/>
      <c r="OCR157" s="69"/>
      <c r="OCS157" s="69"/>
      <c r="OCT157" s="69"/>
      <c r="OCU157" s="69"/>
      <c r="OCV157" s="69"/>
      <c r="OCW157" s="69"/>
      <c r="OCX157" s="69"/>
      <c r="OCY157" s="69"/>
      <c r="OCZ157" s="69"/>
      <c r="ODA157" s="69"/>
      <c r="ODB157" s="69"/>
      <c r="ODC157" s="69"/>
      <c r="ODD157" s="69"/>
      <c r="ODE157" s="69"/>
      <c r="ODF157" s="69"/>
      <c r="ODG157" s="69"/>
      <c r="ODH157" s="69"/>
      <c r="ODI157" s="69"/>
      <c r="ODJ157" s="69"/>
      <c r="ODK157" s="69"/>
      <c r="ODL157" s="69"/>
      <c r="ODM157" s="69"/>
      <c r="ODN157" s="69"/>
      <c r="ODO157" s="69"/>
      <c r="ODP157" s="69"/>
      <c r="ODQ157" s="69"/>
      <c r="ODR157" s="69"/>
      <c r="ODS157" s="69"/>
      <c r="ODT157" s="69"/>
      <c r="ODU157" s="69"/>
      <c r="ODV157" s="69"/>
      <c r="ODW157" s="69"/>
      <c r="ODX157" s="69"/>
      <c r="ODY157" s="69"/>
      <c r="ODZ157" s="69"/>
      <c r="OEA157" s="69"/>
      <c r="OEB157" s="69"/>
      <c r="OEC157" s="69"/>
      <c r="OED157" s="69"/>
      <c r="OEE157" s="69"/>
      <c r="OEF157" s="69"/>
      <c r="OEG157" s="69"/>
      <c r="OEH157" s="69"/>
      <c r="OEI157" s="69"/>
      <c r="OEJ157" s="69"/>
      <c r="OEK157" s="69"/>
      <c r="OEL157" s="69"/>
      <c r="OEM157" s="69"/>
      <c r="OEN157" s="69"/>
      <c r="OEO157" s="69"/>
      <c r="OEP157" s="69"/>
      <c r="OEQ157" s="69"/>
      <c r="OER157" s="69"/>
      <c r="OES157" s="69"/>
      <c r="OET157" s="69"/>
      <c r="OEU157" s="69"/>
      <c r="OEV157" s="69"/>
      <c r="OEW157" s="69"/>
      <c r="OEX157" s="69"/>
      <c r="OEY157" s="69"/>
      <c r="OEZ157" s="69"/>
      <c r="OFA157" s="69"/>
      <c r="OFB157" s="69"/>
      <c r="OFC157" s="69"/>
      <c r="OFD157" s="69"/>
      <c r="OFE157" s="69"/>
      <c r="OFF157" s="69"/>
      <c r="OFG157" s="69"/>
      <c r="OFH157" s="69"/>
      <c r="OFI157" s="69"/>
      <c r="OFJ157" s="69"/>
      <c r="OFK157" s="69"/>
      <c r="OFL157" s="69"/>
      <c r="OFM157" s="69"/>
      <c r="OFN157" s="69"/>
      <c r="OFO157" s="69"/>
      <c r="OFP157" s="69"/>
      <c r="OFQ157" s="69"/>
      <c r="OFR157" s="69"/>
      <c r="OFS157" s="69"/>
      <c r="OFT157" s="69"/>
      <c r="OFU157" s="69"/>
      <c r="OFV157" s="69"/>
      <c r="OFW157" s="69"/>
      <c r="OFX157" s="69"/>
      <c r="OFY157" s="69"/>
      <c r="OFZ157" s="69"/>
      <c r="OGA157" s="69"/>
      <c r="OGB157" s="69"/>
      <c r="OGC157" s="69"/>
      <c r="OGD157" s="69"/>
      <c r="OGE157" s="69"/>
      <c r="OGF157" s="69"/>
      <c r="OGG157" s="69"/>
      <c r="OGH157" s="69"/>
      <c r="OGI157" s="69"/>
      <c r="OGJ157" s="69"/>
      <c r="OGK157" s="69"/>
      <c r="OGL157" s="69"/>
      <c r="OGM157" s="69"/>
      <c r="OGN157" s="69"/>
      <c r="OGO157" s="69"/>
      <c r="OGP157" s="69"/>
      <c r="OGQ157" s="69"/>
      <c r="OGR157" s="69"/>
      <c r="OGS157" s="69"/>
      <c r="OGT157" s="69"/>
      <c r="OGU157" s="69"/>
      <c r="OGV157" s="69"/>
      <c r="OGW157" s="69"/>
      <c r="OGX157" s="69"/>
      <c r="OGY157" s="69"/>
      <c r="OGZ157" s="69"/>
      <c r="OHA157" s="69"/>
      <c r="OHB157" s="69"/>
      <c r="OHC157" s="69"/>
      <c r="OHD157" s="69"/>
      <c r="OHE157" s="69"/>
      <c r="OHF157" s="69"/>
      <c r="OHG157" s="69"/>
      <c r="OHH157" s="69"/>
      <c r="OHI157" s="69"/>
      <c r="OHJ157" s="69"/>
      <c r="OHK157" s="69"/>
      <c r="OHL157" s="69"/>
      <c r="OHM157" s="69"/>
      <c r="OHN157" s="69"/>
      <c r="OHO157" s="69"/>
      <c r="OHP157" s="69"/>
      <c r="OHQ157" s="69"/>
      <c r="OHR157" s="69"/>
      <c r="OHS157" s="69"/>
      <c r="OHT157" s="69"/>
      <c r="OHU157" s="69"/>
      <c r="OHV157" s="69"/>
      <c r="OHW157" s="69"/>
      <c r="OHX157" s="69"/>
      <c r="OHY157" s="69"/>
      <c r="OHZ157" s="69"/>
      <c r="OIA157" s="69"/>
      <c r="OIB157" s="69"/>
      <c r="OIC157" s="69"/>
      <c r="OID157" s="69"/>
      <c r="OIE157" s="69"/>
      <c r="OIF157" s="69"/>
      <c r="OIG157" s="69"/>
      <c r="OIH157" s="69"/>
      <c r="OII157" s="69"/>
      <c r="OIJ157" s="69"/>
      <c r="OIK157" s="69"/>
      <c r="OIL157" s="69"/>
      <c r="OIM157" s="69"/>
      <c r="OIN157" s="69"/>
      <c r="OIO157" s="69"/>
      <c r="OIP157" s="69"/>
      <c r="OIQ157" s="69"/>
      <c r="OIR157" s="69"/>
      <c r="OIS157" s="69"/>
      <c r="OIT157" s="69"/>
      <c r="OIU157" s="69"/>
      <c r="OIV157" s="69"/>
      <c r="OIW157" s="69"/>
      <c r="OIX157" s="69"/>
      <c r="OIY157" s="69"/>
      <c r="OIZ157" s="69"/>
      <c r="OJA157" s="69"/>
      <c r="OJB157" s="69"/>
      <c r="OJC157" s="69"/>
      <c r="OJD157" s="69"/>
      <c r="OJE157" s="69"/>
      <c r="OJF157" s="69"/>
      <c r="OJG157" s="69"/>
      <c r="OJH157" s="69"/>
      <c r="OJI157" s="69"/>
      <c r="OJJ157" s="69"/>
      <c r="OJK157" s="69"/>
      <c r="OJL157" s="69"/>
      <c r="OJM157" s="69"/>
      <c r="OJN157" s="69"/>
      <c r="OJO157" s="69"/>
      <c r="OJP157" s="69"/>
      <c r="OJQ157" s="69"/>
      <c r="OJR157" s="69"/>
      <c r="OJS157" s="69"/>
      <c r="OJT157" s="69"/>
      <c r="OJU157" s="69"/>
      <c r="OJV157" s="69"/>
      <c r="OJW157" s="69"/>
      <c r="OJX157" s="69"/>
      <c r="OJY157" s="69"/>
      <c r="OJZ157" s="69"/>
      <c r="OKA157" s="69"/>
      <c r="OKB157" s="69"/>
      <c r="OKC157" s="69"/>
      <c r="OKD157" s="69"/>
      <c r="OKE157" s="69"/>
      <c r="OKF157" s="69"/>
      <c r="OKG157" s="69"/>
      <c r="OKH157" s="69"/>
      <c r="OKI157" s="69"/>
      <c r="OKJ157" s="69"/>
      <c r="OKK157" s="69"/>
      <c r="OKL157" s="69"/>
      <c r="OKM157" s="69"/>
      <c r="OKN157" s="69"/>
      <c r="OKO157" s="69"/>
      <c r="OKP157" s="69"/>
      <c r="OKQ157" s="69"/>
      <c r="OKR157" s="69"/>
      <c r="OKS157" s="69"/>
      <c r="OKT157" s="69"/>
      <c r="OKU157" s="69"/>
      <c r="OKV157" s="69"/>
      <c r="OKW157" s="69"/>
      <c r="OKX157" s="69"/>
      <c r="OKY157" s="69"/>
      <c r="OKZ157" s="69"/>
      <c r="OLA157" s="69"/>
      <c r="OLB157" s="69"/>
      <c r="OLC157" s="69"/>
      <c r="OLD157" s="69"/>
      <c r="OLE157" s="69"/>
      <c r="OLF157" s="69"/>
      <c r="OLG157" s="69"/>
      <c r="OLH157" s="69"/>
      <c r="OLI157" s="69"/>
      <c r="OLJ157" s="69"/>
      <c r="OLK157" s="69"/>
      <c r="OLL157" s="69"/>
      <c r="OLM157" s="69"/>
      <c r="OLN157" s="69"/>
      <c r="OLO157" s="69"/>
      <c r="OLP157" s="69"/>
      <c r="OLQ157" s="69"/>
      <c r="OLR157" s="69"/>
      <c r="OLS157" s="69"/>
      <c r="OLT157" s="69"/>
      <c r="OLU157" s="69"/>
      <c r="OLV157" s="69"/>
      <c r="OLW157" s="69"/>
      <c r="OLX157" s="69"/>
      <c r="OLY157" s="69"/>
      <c r="OLZ157" s="69"/>
      <c r="OMA157" s="69"/>
      <c r="OMB157" s="69"/>
      <c r="OMC157" s="69"/>
      <c r="OMD157" s="69"/>
      <c r="OME157" s="69"/>
      <c r="OMF157" s="69"/>
      <c r="OMG157" s="69"/>
      <c r="OMH157" s="69"/>
      <c r="OMI157" s="69"/>
      <c r="OMJ157" s="69"/>
      <c r="OMK157" s="69"/>
      <c r="OML157" s="69"/>
      <c r="OMM157" s="69"/>
      <c r="OMN157" s="69"/>
      <c r="OMO157" s="69"/>
      <c r="OMP157" s="69"/>
      <c r="OMQ157" s="69"/>
      <c r="OMR157" s="69"/>
      <c r="OMS157" s="69"/>
      <c r="OMT157" s="69"/>
      <c r="OMU157" s="69"/>
      <c r="OMV157" s="69"/>
      <c r="OMW157" s="69"/>
      <c r="OMX157" s="69"/>
      <c r="OMY157" s="69"/>
      <c r="OMZ157" s="69"/>
      <c r="ONA157" s="69"/>
      <c r="ONB157" s="69"/>
      <c r="ONC157" s="69"/>
      <c r="OND157" s="69"/>
      <c r="ONE157" s="69"/>
      <c r="ONF157" s="69"/>
      <c r="ONG157" s="69"/>
      <c r="ONH157" s="69"/>
      <c r="ONI157" s="69"/>
      <c r="ONJ157" s="69"/>
      <c r="ONK157" s="69"/>
      <c r="ONL157" s="69"/>
      <c r="ONM157" s="69"/>
      <c r="ONN157" s="69"/>
      <c r="ONO157" s="69"/>
      <c r="ONP157" s="69"/>
      <c r="ONQ157" s="69"/>
      <c r="ONR157" s="69"/>
      <c r="ONS157" s="69"/>
      <c r="ONT157" s="69"/>
      <c r="ONU157" s="69"/>
      <c r="ONV157" s="69"/>
      <c r="ONW157" s="69"/>
      <c r="ONX157" s="69"/>
      <c r="ONY157" s="69"/>
      <c r="ONZ157" s="69"/>
      <c r="OOA157" s="69"/>
      <c r="OOB157" s="69"/>
      <c r="OOC157" s="69"/>
      <c r="OOD157" s="69"/>
      <c r="OOE157" s="69"/>
      <c r="OOF157" s="69"/>
      <c r="OOG157" s="69"/>
      <c r="OOH157" s="69"/>
      <c r="OOI157" s="69"/>
      <c r="OOJ157" s="69"/>
      <c r="OOK157" s="69"/>
      <c r="OOL157" s="69"/>
      <c r="OOM157" s="69"/>
      <c r="OON157" s="69"/>
      <c r="OOO157" s="69"/>
      <c r="OOP157" s="69"/>
      <c r="OOQ157" s="69"/>
      <c r="OOR157" s="69"/>
      <c r="OOS157" s="69"/>
      <c r="OOT157" s="69"/>
      <c r="OOU157" s="69"/>
      <c r="OOV157" s="69"/>
      <c r="OOW157" s="69"/>
      <c r="OOX157" s="69"/>
      <c r="OOY157" s="69"/>
      <c r="OOZ157" s="69"/>
      <c r="OPA157" s="69"/>
      <c r="OPB157" s="69"/>
      <c r="OPC157" s="69"/>
      <c r="OPD157" s="69"/>
      <c r="OPE157" s="69"/>
      <c r="OPF157" s="69"/>
      <c r="OPG157" s="69"/>
      <c r="OPH157" s="69"/>
      <c r="OPI157" s="69"/>
      <c r="OPJ157" s="69"/>
      <c r="OPK157" s="69"/>
      <c r="OPL157" s="69"/>
      <c r="OPM157" s="69"/>
      <c r="OPN157" s="69"/>
      <c r="OPO157" s="69"/>
      <c r="OPP157" s="69"/>
      <c r="OPQ157" s="69"/>
      <c r="OPR157" s="69"/>
      <c r="OPS157" s="69"/>
      <c r="OPT157" s="69"/>
      <c r="OPU157" s="69"/>
      <c r="OPV157" s="69"/>
      <c r="OPW157" s="69"/>
      <c r="OPX157" s="69"/>
      <c r="OPY157" s="69"/>
      <c r="OPZ157" s="69"/>
      <c r="OQA157" s="69"/>
      <c r="OQB157" s="69"/>
      <c r="OQC157" s="69"/>
      <c r="OQD157" s="69"/>
      <c r="OQE157" s="69"/>
      <c r="OQF157" s="69"/>
      <c r="OQG157" s="69"/>
      <c r="OQH157" s="69"/>
      <c r="OQI157" s="69"/>
      <c r="OQJ157" s="69"/>
      <c r="OQK157" s="69"/>
      <c r="OQL157" s="69"/>
      <c r="OQM157" s="69"/>
      <c r="OQN157" s="69"/>
      <c r="OQO157" s="69"/>
      <c r="OQP157" s="69"/>
      <c r="OQQ157" s="69"/>
      <c r="OQR157" s="69"/>
      <c r="OQS157" s="69"/>
      <c r="OQT157" s="69"/>
      <c r="OQU157" s="69"/>
      <c r="OQV157" s="69"/>
      <c r="OQW157" s="69"/>
      <c r="OQX157" s="69"/>
      <c r="OQY157" s="69"/>
      <c r="OQZ157" s="69"/>
      <c r="ORA157" s="69"/>
      <c r="ORB157" s="69"/>
      <c r="ORC157" s="69"/>
      <c r="ORD157" s="69"/>
      <c r="ORE157" s="69"/>
      <c r="ORF157" s="69"/>
      <c r="ORG157" s="69"/>
      <c r="ORH157" s="69"/>
      <c r="ORI157" s="69"/>
      <c r="ORJ157" s="69"/>
      <c r="ORK157" s="69"/>
      <c r="ORL157" s="69"/>
      <c r="ORM157" s="69"/>
      <c r="ORN157" s="69"/>
      <c r="ORO157" s="69"/>
      <c r="ORP157" s="69"/>
      <c r="ORQ157" s="69"/>
      <c r="ORR157" s="69"/>
      <c r="ORS157" s="69"/>
      <c r="ORT157" s="69"/>
      <c r="ORU157" s="69"/>
      <c r="ORV157" s="69"/>
      <c r="ORW157" s="69"/>
      <c r="ORX157" s="69"/>
      <c r="ORY157" s="69"/>
      <c r="ORZ157" s="69"/>
      <c r="OSA157" s="69"/>
      <c r="OSB157" s="69"/>
      <c r="OSC157" s="69"/>
      <c r="OSD157" s="69"/>
      <c r="OSE157" s="69"/>
      <c r="OSF157" s="69"/>
      <c r="OSG157" s="69"/>
      <c r="OSH157" s="69"/>
      <c r="OSI157" s="69"/>
      <c r="OSJ157" s="69"/>
      <c r="OSK157" s="69"/>
      <c r="OSL157" s="69"/>
      <c r="OSM157" s="69"/>
      <c r="OSN157" s="69"/>
      <c r="OSO157" s="69"/>
      <c r="OSP157" s="69"/>
      <c r="OSQ157" s="69"/>
      <c r="OSR157" s="69"/>
      <c r="OSS157" s="69"/>
      <c r="OST157" s="69"/>
      <c r="OSU157" s="69"/>
      <c r="OSV157" s="69"/>
      <c r="OSW157" s="69"/>
      <c r="OSX157" s="69"/>
      <c r="OSY157" s="69"/>
      <c r="OSZ157" s="69"/>
      <c r="OTA157" s="69"/>
      <c r="OTB157" s="69"/>
      <c r="OTC157" s="69"/>
      <c r="OTD157" s="69"/>
      <c r="OTE157" s="69"/>
      <c r="OTF157" s="69"/>
      <c r="OTG157" s="69"/>
      <c r="OTH157" s="69"/>
      <c r="OTI157" s="69"/>
      <c r="OTJ157" s="69"/>
      <c r="OTK157" s="69"/>
      <c r="OTL157" s="69"/>
      <c r="OTM157" s="69"/>
      <c r="OTN157" s="69"/>
      <c r="OTO157" s="69"/>
      <c r="OTP157" s="69"/>
      <c r="OTQ157" s="69"/>
      <c r="OTR157" s="69"/>
      <c r="OTS157" s="69"/>
      <c r="OTT157" s="69"/>
      <c r="OTU157" s="69"/>
      <c r="OTV157" s="69"/>
      <c r="OTW157" s="69"/>
      <c r="OTX157" s="69"/>
      <c r="OTY157" s="69"/>
      <c r="OTZ157" s="69"/>
      <c r="OUA157" s="69"/>
      <c r="OUB157" s="69"/>
      <c r="OUC157" s="69"/>
      <c r="OUD157" s="69"/>
      <c r="OUE157" s="69"/>
      <c r="OUF157" s="69"/>
      <c r="OUG157" s="69"/>
      <c r="OUH157" s="69"/>
      <c r="OUI157" s="69"/>
      <c r="OUJ157" s="69"/>
      <c r="OUK157" s="69"/>
      <c r="OUL157" s="69"/>
      <c r="OUM157" s="69"/>
      <c r="OUN157" s="69"/>
      <c r="OUO157" s="69"/>
      <c r="OUP157" s="69"/>
      <c r="OUQ157" s="69"/>
      <c r="OUR157" s="69"/>
      <c r="OUS157" s="69"/>
      <c r="OUT157" s="69"/>
      <c r="OUU157" s="69"/>
      <c r="OUV157" s="69"/>
      <c r="OUW157" s="69"/>
      <c r="OUX157" s="69"/>
      <c r="OUY157" s="69"/>
      <c r="OUZ157" s="69"/>
      <c r="OVA157" s="69"/>
      <c r="OVB157" s="69"/>
      <c r="OVC157" s="69"/>
      <c r="OVD157" s="69"/>
      <c r="OVE157" s="69"/>
      <c r="OVF157" s="69"/>
      <c r="OVG157" s="69"/>
      <c r="OVH157" s="69"/>
      <c r="OVI157" s="69"/>
      <c r="OVJ157" s="69"/>
      <c r="OVK157" s="69"/>
      <c r="OVL157" s="69"/>
      <c r="OVM157" s="69"/>
      <c r="OVN157" s="69"/>
      <c r="OVO157" s="69"/>
      <c r="OVP157" s="69"/>
      <c r="OVQ157" s="69"/>
      <c r="OVR157" s="69"/>
      <c r="OVS157" s="69"/>
      <c r="OVT157" s="69"/>
      <c r="OVU157" s="69"/>
      <c r="OVV157" s="69"/>
      <c r="OVW157" s="69"/>
      <c r="OVX157" s="69"/>
      <c r="OVY157" s="69"/>
      <c r="OVZ157" s="69"/>
      <c r="OWA157" s="69"/>
      <c r="OWB157" s="69"/>
      <c r="OWC157" s="69"/>
      <c r="OWD157" s="69"/>
      <c r="OWE157" s="69"/>
      <c r="OWF157" s="69"/>
      <c r="OWG157" s="69"/>
      <c r="OWH157" s="69"/>
      <c r="OWI157" s="69"/>
      <c r="OWJ157" s="69"/>
      <c r="OWK157" s="69"/>
      <c r="OWL157" s="69"/>
      <c r="OWM157" s="69"/>
      <c r="OWN157" s="69"/>
      <c r="OWO157" s="69"/>
      <c r="OWP157" s="69"/>
      <c r="OWQ157" s="69"/>
      <c r="OWR157" s="69"/>
      <c r="OWS157" s="69"/>
      <c r="OWT157" s="69"/>
      <c r="OWU157" s="69"/>
      <c r="OWV157" s="69"/>
      <c r="OWW157" s="69"/>
      <c r="OWX157" s="69"/>
      <c r="OWY157" s="69"/>
      <c r="OWZ157" s="69"/>
      <c r="OXA157" s="69"/>
      <c r="OXB157" s="69"/>
      <c r="OXC157" s="69"/>
      <c r="OXD157" s="69"/>
      <c r="OXE157" s="69"/>
      <c r="OXF157" s="69"/>
      <c r="OXG157" s="69"/>
      <c r="OXH157" s="69"/>
      <c r="OXI157" s="69"/>
      <c r="OXJ157" s="69"/>
      <c r="OXK157" s="69"/>
      <c r="OXL157" s="69"/>
      <c r="OXM157" s="69"/>
      <c r="OXN157" s="69"/>
      <c r="OXO157" s="69"/>
      <c r="OXP157" s="69"/>
      <c r="OXQ157" s="69"/>
      <c r="OXR157" s="69"/>
      <c r="OXS157" s="69"/>
      <c r="OXT157" s="69"/>
      <c r="OXU157" s="69"/>
      <c r="OXV157" s="69"/>
      <c r="OXW157" s="69"/>
      <c r="OXX157" s="69"/>
      <c r="OXY157" s="69"/>
      <c r="OXZ157" s="69"/>
      <c r="OYA157" s="69"/>
      <c r="OYB157" s="69"/>
      <c r="OYC157" s="69"/>
      <c r="OYD157" s="69"/>
      <c r="OYE157" s="69"/>
      <c r="OYF157" s="69"/>
      <c r="OYG157" s="69"/>
      <c r="OYH157" s="69"/>
      <c r="OYI157" s="69"/>
      <c r="OYJ157" s="69"/>
      <c r="OYK157" s="69"/>
      <c r="OYL157" s="69"/>
      <c r="OYM157" s="69"/>
      <c r="OYN157" s="69"/>
      <c r="OYO157" s="69"/>
      <c r="OYP157" s="69"/>
      <c r="OYQ157" s="69"/>
      <c r="OYR157" s="69"/>
      <c r="OYS157" s="69"/>
      <c r="OYT157" s="69"/>
      <c r="OYU157" s="69"/>
      <c r="OYV157" s="69"/>
      <c r="OYW157" s="69"/>
      <c r="OYX157" s="69"/>
      <c r="OYY157" s="69"/>
      <c r="OYZ157" s="69"/>
      <c r="OZA157" s="69"/>
      <c r="OZB157" s="69"/>
      <c r="OZC157" s="69"/>
      <c r="OZD157" s="69"/>
      <c r="OZE157" s="69"/>
      <c r="OZF157" s="69"/>
      <c r="OZG157" s="69"/>
      <c r="OZH157" s="69"/>
      <c r="OZI157" s="69"/>
      <c r="OZJ157" s="69"/>
      <c r="OZK157" s="69"/>
      <c r="OZL157" s="69"/>
      <c r="OZM157" s="69"/>
      <c r="OZN157" s="69"/>
      <c r="OZO157" s="69"/>
      <c r="OZP157" s="69"/>
      <c r="OZQ157" s="69"/>
      <c r="OZR157" s="69"/>
      <c r="OZS157" s="69"/>
      <c r="OZT157" s="69"/>
      <c r="OZU157" s="69"/>
      <c r="OZV157" s="69"/>
      <c r="OZW157" s="69"/>
      <c r="OZX157" s="69"/>
      <c r="OZY157" s="69"/>
      <c r="OZZ157" s="69"/>
      <c r="PAA157" s="69"/>
      <c r="PAB157" s="69"/>
      <c r="PAC157" s="69"/>
      <c r="PAD157" s="69"/>
      <c r="PAE157" s="69"/>
      <c r="PAF157" s="69"/>
      <c r="PAG157" s="69"/>
      <c r="PAH157" s="69"/>
      <c r="PAI157" s="69"/>
      <c r="PAJ157" s="69"/>
      <c r="PAK157" s="69"/>
      <c r="PAL157" s="69"/>
      <c r="PAM157" s="69"/>
      <c r="PAN157" s="69"/>
      <c r="PAO157" s="69"/>
      <c r="PAP157" s="69"/>
      <c r="PAQ157" s="69"/>
      <c r="PAR157" s="69"/>
      <c r="PAS157" s="69"/>
      <c r="PAT157" s="69"/>
      <c r="PAU157" s="69"/>
      <c r="PAV157" s="69"/>
      <c r="PAW157" s="69"/>
      <c r="PAX157" s="69"/>
      <c r="PAY157" s="69"/>
      <c r="PAZ157" s="69"/>
      <c r="PBA157" s="69"/>
      <c r="PBB157" s="69"/>
      <c r="PBC157" s="69"/>
      <c r="PBD157" s="69"/>
      <c r="PBE157" s="69"/>
      <c r="PBF157" s="69"/>
      <c r="PBG157" s="69"/>
      <c r="PBH157" s="69"/>
      <c r="PBI157" s="69"/>
      <c r="PBJ157" s="69"/>
      <c r="PBK157" s="69"/>
      <c r="PBL157" s="69"/>
      <c r="PBM157" s="69"/>
      <c r="PBN157" s="69"/>
      <c r="PBO157" s="69"/>
      <c r="PBP157" s="69"/>
      <c r="PBQ157" s="69"/>
      <c r="PBR157" s="69"/>
      <c r="PBS157" s="69"/>
      <c r="PBT157" s="69"/>
      <c r="PBU157" s="69"/>
      <c r="PBV157" s="69"/>
      <c r="PBW157" s="69"/>
      <c r="PBX157" s="69"/>
      <c r="PBY157" s="69"/>
      <c r="PBZ157" s="69"/>
      <c r="PCA157" s="69"/>
      <c r="PCB157" s="69"/>
      <c r="PCC157" s="69"/>
      <c r="PCD157" s="69"/>
      <c r="PCE157" s="69"/>
      <c r="PCF157" s="69"/>
      <c r="PCG157" s="69"/>
      <c r="PCH157" s="69"/>
      <c r="PCI157" s="69"/>
      <c r="PCJ157" s="69"/>
      <c r="PCK157" s="69"/>
      <c r="PCL157" s="69"/>
      <c r="PCM157" s="69"/>
      <c r="PCN157" s="69"/>
      <c r="PCO157" s="69"/>
      <c r="PCP157" s="69"/>
      <c r="PCQ157" s="69"/>
      <c r="PCR157" s="69"/>
      <c r="PCS157" s="69"/>
      <c r="PCT157" s="69"/>
      <c r="PCU157" s="69"/>
      <c r="PCV157" s="69"/>
      <c r="PCW157" s="69"/>
      <c r="PCX157" s="69"/>
      <c r="PCY157" s="69"/>
      <c r="PCZ157" s="69"/>
      <c r="PDA157" s="69"/>
      <c r="PDB157" s="69"/>
      <c r="PDC157" s="69"/>
      <c r="PDD157" s="69"/>
      <c r="PDE157" s="69"/>
      <c r="PDF157" s="69"/>
      <c r="PDG157" s="69"/>
      <c r="PDH157" s="69"/>
      <c r="PDI157" s="69"/>
      <c r="PDJ157" s="69"/>
      <c r="PDK157" s="69"/>
      <c r="PDL157" s="69"/>
      <c r="PDM157" s="69"/>
      <c r="PDN157" s="69"/>
      <c r="PDO157" s="69"/>
      <c r="PDP157" s="69"/>
      <c r="PDQ157" s="69"/>
      <c r="PDR157" s="69"/>
      <c r="PDS157" s="69"/>
      <c r="PDT157" s="69"/>
      <c r="PDU157" s="69"/>
      <c r="PDV157" s="69"/>
      <c r="PDW157" s="69"/>
      <c r="PDX157" s="69"/>
      <c r="PDY157" s="69"/>
      <c r="PDZ157" s="69"/>
      <c r="PEA157" s="69"/>
      <c r="PEB157" s="69"/>
      <c r="PEC157" s="69"/>
      <c r="PED157" s="69"/>
      <c r="PEE157" s="69"/>
      <c r="PEF157" s="69"/>
      <c r="PEG157" s="69"/>
      <c r="PEH157" s="69"/>
      <c r="PEI157" s="69"/>
      <c r="PEJ157" s="69"/>
      <c r="PEK157" s="69"/>
      <c r="PEL157" s="69"/>
      <c r="PEM157" s="69"/>
      <c r="PEN157" s="69"/>
      <c r="PEO157" s="69"/>
      <c r="PEP157" s="69"/>
      <c r="PEQ157" s="69"/>
      <c r="PER157" s="69"/>
      <c r="PES157" s="69"/>
      <c r="PET157" s="69"/>
      <c r="PEU157" s="69"/>
      <c r="PEV157" s="69"/>
      <c r="PEW157" s="69"/>
      <c r="PEX157" s="69"/>
      <c r="PEY157" s="69"/>
      <c r="PEZ157" s="69"/>
      <c r="PFA157" s="69"/>
      <c r="PFB157" s="69"/>
      <c r="PFC157" s="69"/>
      <c r="PFD157" s="69"/>
      <c r="PFE157" s="69"/>
      <c r="PFF157" s="69"/>
      <c r="PFG157" s="69"/>
      <c r="PFH157" s="69"/>
      <c r="PFI157" s="69"/>
      <c r="PFJ157" s="69"/>
      <c r="PFK157" s="69"/>
      <c r="PFL157" s="69"/>
      <c r="PFM157" s="69"/>
      <c r="PFN157" s="69"/>
      <c r="PFO157" s="69"/>
      <c r="PFP157" s="69"/>
      <c r="PFQ157" s="69"/>
      <c r="PFR157" s="69"/>
      <c r="PFS157" s="69"/>
      <c r="PFT157" s="69"/>
      <c r="PFU157" s="69"/>
      <c r="PFV157" s="69"/>
      <c r="PFW157" s="69"/>
      <c r="PFX157" s="69"/>
      <c r="PFY157" s="69"/>
      <c r="PFZ157" s="69"/>
      <c r="PGA157" s="69"/>
      <c r="PGB157" s="69"/>
      <c r="PGC157" s="69"/>
      <c r="PGD157" s="69"/>
      <c r="PGE157" s="69"/>
      <c r="PGF157" s="69"/>
      <c r="PGG157" s="69"/>
      <c r="PGH157" s="69"/>
      <c r="PGI157" s="69"/>
      <c r="PGJ157" s="69"/>
      <c r="PGK157" s="69"/>
      <c r="PGL157" s="69"/>
      <c r="PGM157" s="69"/>
      <c r="PGN157" s="69"/>
      <c r="PGO157" s="69"/>
      <c r="PGP157" s="69"/>
      <c r="PGQ157" s="69"/>
      <c r="PGR157" s="69"/>
      <c r="PGS157" s="69"/>
      <c r="PGT157" s="69"/>
      <c r="PGU157" s="69"/>
      <c r="PGV157" s="69"/>
      <c r="PGW157" s="69"/>
      <c r="PGX157" s="69"/>
      <c r="PGY157" s="69"/>
      <c r="PGZ157" s="69"/>
      <c r="PHA157" s="69"/>
      <c r="PHB157" s="69"/>
      <c r="PHC157" s="69"/>
      <c r="PHD157" s="69"/>
      <c r="PHE157" s="69"/>
      <c r="PHF157" s="69"/>
      <c r="PHG157" s="69"/>
      <c r="PHH157" s="69"/>
      <c r="PHI157" s="69"/>
      <c r="PHJ157" s="69"/>
      <c r="PHK157" s="69"/>
      <c r="PHL157" s="69"/>
      <c r="PHM157" s="69"/>
      <c r="PHN157" s="69"/>
      <c r="PHO157" s="69"/>
      <c r="PHP157" s="69"/>
      <c r="PHQ157" s="69"/>
      <c r="PHR157" s="69"/>
      <c r="PHS157" s="69"/>
      <c r="PHT157" s="69"/>
      <c r="PHU157" s="69"/>
      <c r="PHV157" s="69"/>
      <c r="PHW157" s="69"/>
      <c r="PHX157" s="69"/>
      <c r="PHY157" s="69"/>
      <c r="PHZ157" s="69"/>
      <c r="PIA157" s="69"/>
      <c r="PIB157" s="69"/>
      <c r="PIC157" s="69"/>
      <c r="PID157" s="69"/>
      <c r="PIE157" s="69"/>
      <c r="PIF157" s="69"/>
      <c r="PIG157" s="69"/>
      <c r="PIH157" s="69"/>
      <c r="PII157" s="69"/>
      <c r="PIJ157" s="69"/>
      <c r="PIK157" s="69"/>
      <c r="PIL157" s="69"/>
      <c r="PIM157" s="69"/>
      <c r="PIN157" s="69"/>
      <c r="PIO157" s="69"/>
      <c r="PIP157" s="69"/>
      <c r="PIQ157" s="69"/>
      <c r="PIR157" s="69"/>
      <c r="PIS157" s="69"/>
      <c r="PIT157" s="69"/>
      <c r="PIU157" s="69"/>
      <c r="PIV157" s="69"/>
      <c r="PIW157" s="69"/>
      <c r="PIX157" s="69"/>
      <c r="PIY157" s="69"/>
      <c r="PIZ157" s="69"/>
      <c r="PJA157" s="69"/>
      <c r="PJB157" s="69"/>
      <c r="PJC157" s="69"/>
      <c r="PJD157" s="69"/>
      <c r="PJE157" s="69"/>
      <c r="PJF157" s="69"/>
      <c r="PJG157" s="69"/>
      <c r="PJH157" s="69"/>
      <c r="PJI157" s="69"/>
      <c r="PJJ157" s="69"/>
      <c r="PJK157" s="69"/>
      <c r="PJL157" s="69"/>
      <c r="PJM157" s="69"/>
      <c r="PJN157" s="69"/>
      <c r="PJO157" s="69"/>
      <c r="PJP157" s="69"/>
      <c r="PJQ157" s="69"/>
      <c r="PJR157" s="69"/>
      <c r="PJS157" s="69"/>
      <c r="PJT157" s="69"/>
      <c r="PJU157" s="69"/>
      <c r="PJV157" s="69"/>
      <c r="PJW157" s="69"/>
      <c r="PJX157" s="69"/>
      <c r="PJY157" s="69"/>
      <c r="PJZ157" s="69"/>
      <c r="PKA157" s="69"/>
      <c r="PKB157" s="69"/>
      <c r="PKC157" s="69"/>
      <c r="PKD157" s="69"/>
      <c r="PKE157" s="69"/>
      <c r="PKF157" s="69"/>
      <c r="PKG157" s="69"/>
      <c r="PKH157" s="69"/>
      <c r="PKI157" s="69"/>
      <c r="PKJ157" s="69"/>
      <c r="PKK157" s="69"/>
      <c r="PKL157" s="69"/>
      <c r="PKM157" s="69"/>
      <c r="PKN157" s="69"/>
      <c r="PKO157" s="69"/>
      <c r="PKP157" s="69"/>
      <c r="PKQ157" s="69"/>
      <c r="PKR157" s="69"/>
      <c r="PKS157" s="69"/>
      <c r="PKT157" s="69"/>
      <c r="PKU157" s="69"/>
      <c r="PKV157" s="69"/>
      <c r="PKW157" s="69"/>
      <c r="PKX157" s="69"/>
      <c r="PKY157" s="69"/>
      <c r="PKZ157" s="69"/>
      <c r="PLA157" s="69"/>
      <c r="PLB157" s="69"/>
      <c r="PLC157" s="69"/>
      <c r="PLD157" s="69"/>
      <c r="PLE157" s="69"/>
      <c r="PLF157" s="69"/>
      <c r="PLG157" s="69"/>
      <c r="PLH157" s="69"/>
      <c r="PLI157" s="69"/>
      <c r="PLJ157" s="69"/>
      <c r="PLK157" s="69"/>
      <c r="PLL157" s="69"/>
      <c r="PLM157" s="69"/>
      <c r="PLN157" s="69"/>
      <c r="PLO157" s="69"/>
      <c r="PLP157" s="69"/>
      <c r="PLQ157" s="69"/>
      <c r="PLR157" s="69"/>
      <c r="PLS157" s="69"/>
      <c r="PLT157" s="69"/>
      <c r="PLU157" s="69"/>
      <c r="PLV157" s="69"/>
      <c r="PLW157" s="69"/>
      <c r="PLX157" s="69"/>
      <c r="PLY157" s="69"/>
      <c r="PLZ157" s="69"/>
      <c r="PMA157" s="69"/>
      <c r="PMB157" s="69"/>
      <c r="PMC157" s="69"/>
      <c r="PMD157" s="69"/>
      <c r="PME157" s="69"/>
      <c r="PMF157" s="69"/>
      <c r="PMG157" s="69"/>
      <c r="PMH157" s="69"/>
      <c r="PMI157" s="69"/>
      <c r="PMJ157" s="69"/>
      <c r="PMK157" s="69"/>
      <c r="PML157" s="69"/>
      <c r="PMM157" s="69"/>
      <c r="PMN157" s="69"/>
      <c r="PMO157" s="69"/>
      <c r="PMP157" s="69"/>
      <c r="PMQ157" s="69"/>
      <c r="PMR157" s="69"/>
      <c r="PMS157" s="69"/>
      <c r="PMT157" s="69"/>
      <c r="PMU157" s="69"/>
      <c r="PMV157" s="69"/>
      <c r="PMW157" s="69"/>
      <c r="PMX157" s="69"/>
      <c r="PMY157" s="69"/>
      <c r="PMZ157" s="69"/>
      <c r="PNA157" s="69"/>
      <c r="PNB157" s="69"/>
      <c r="PNC157" s="69"/>
      <c r="PND157" s="69"/>
      <c r="PNE157" s="69"/>
      <c r="PNF157" s="69"/>
      <c r="PNG157" s="69"/>
      <c r="PNH157" s="69"/>
      <c r="PNI157" s="69"/>
      <c r="PNJ157" s="69"/>
      <c r="PNK157" s="69"/>
      <c r="PNL157" s="69"/>
      <c r="PNM157" s="69"/>
      <c r="PNN157" s="69"/>
      <c r="PNO157" s="69"/>
      <c r="PNP157" s="69"/>
      <c r="PNQ157" s="69"/>
      <c r="PNR157" s="69"/>
      <c r="PNS157" s="69"/>
      <c r="PNT157" s="69"/>
      <c r="PNU157" s="69"/>
      <c r="PNV157" s="69"/>
      <c r="PNW157" s="69"/>
      <c r="PNX157" s="69"/>
      <c r="PNY157" s="69"/>
      <c r="PNZ157" s="69"/>
      <c r="POA157" s="69"/>
      <c r="POB157" s="69"/>
      <c r="POC157" s="69"/>
      <c r="POD157" s="69"/>
      <c r="POE157" s="69"/>
      <c r="POF157" s="69"/>
      <c r="POG157" s="69"/>
      <c r="POH157" s="69"/>
      <c r="POI157" s="69"/>
      <c r="POJ157" s="69"/>
      <c r="POK157" s="69"/>
      <c r="POL157" s="69"/>
      <c r="POM157" s="69"/>
      <c r="PON157" s="69"/>
      <c r="POO157" s="69"/>
      <c r="POP157" s="69"/>
      <c r="POQ157" s="69"/>
      <c r="POR157" s="69"/>
      <c r="POS157" s="69"/>
      <c r="POT157" s="69"/>
      <c r="POU157" s="69"/>
      <c r="POV157" s="69"/>
      <c r="POW157" s="69"/>
      <c r="POX157" s="69"/>
      <c r="POY157" s="69"/>
      <c r="POZ157" s="69"/>
      <c r="PPA157" s="69"/>
      <c r="PPB157" s="69"/>
      <c r="PPC157" s="69"/>
      <c r="PPD157" s="69"/>
      <c r="PPE157" s="69"/>
      <c r="PPF157" s="69"/>
      <c r="PPG157" s="69"/>
      <c r="PPH157" s="69"/>
      <c r="PPI157" s="69"/>
      <c r="PPJ157" s="69"/>
      <c r="PPK157" s="69"/>
      <c r="PPL157" s="69"/>
      <c r="PPM157" s="69"/>
      <c r="PPN157" s="69"/>
      <c r="PPO157" s="69"/>
      <c r="PPP157" s="69"/>
      <c r="PPQ157" s="69"/>
      <c r="PPR157" s="69"/>
      <c r="PPS157" s="69"/>
      <c r="PPT157" s="69"/>
      <c r="PPU157" s="69"/>
      <c r="PPV157" s="69"/>
      <c r="PPW157" s="69"/>
      <c r="PPX157" s="69"/>
      <c r="PPY157" s="69"/>
      <c r="PPZ157" s="69"/>
      <c r="PQA157" s="69"/>
      <c r="PQB157" s="69"/>
      <c r="PQC157" s="69"/>
      <c r="PQD157" s="69"/>
      <c r="PQE157" s="69"/>
      <c r="PQF157" s="69"/>
      <c r="PQG157" s="69"/>
      <c r="PQH157" s="69"/>
      <c r="PQI157" s="69"/>
      <c r="PQJ157" s="69"/>
      <c r="PQK157" s="69"/>
      <c r="PQL157" s="69"/>
      <c r="PQM157" s="69"/>
      <c r="PQN157" s="69"/>
      <c r="PQO157" s="69"/>
      <c r="PQP157" s="69"/>
      <c r="PQQ157" s="69"/>
      <c r="PQR157" s="69"/>
      <c r="PQS157" s="69"/>
      <c r="PQT157" s="69"/>
      <c r="PQU157" s="69"/>
      <c r="PQV157" s="69"/>
      <c r="PQW157" s="69"/>
      <c r="PQX157" s="69"/>
      <c r="PQY157" s="69"/>
      <c r="PQZ157" s="69"/>
      <c r="PRA157" s="69"/>
      <c r="PRB157" s="69"/>
      <c r="PRC157" s="69"/>
      <c r="PRD157" s="69"/>
      <c r="PRE157" s="69"/>
      <c r="PRF157" s="69"/>
      <c r="PRG157" s="69"/>
      <c r="PRH157" s="69"/>
      <c r="PRI157" s="69"/>
      <c r="PRJ157" s="69"/>
      <c r="PRK157" s="69"/>
      <c r="PRL157" s="69"/>
      <c r="PRM157" s="69"/>
      <c r="PRN157" s="69"/>
      <c r="PRO157" s="69"/>
      <c r="PRP157" s="69"/>
      <c r="PRQ157" s="69"/>
      <c r="PRR157" s="69"/>
      <c r="PRS157" s="69"/>
      <c r="PRT157" s="69"/>
      <c r="PRU157" s="69"/>
      <c r="PRV157" s="69"/>
      <c r="PRW157" s="69"/>
      <c r="PRX157" s="69"/>
      <c r="PRY157" s="69"/>
      <c r="PRZ157" s="69"/>
      <c r="PSA157" s="69"/>
      <c r="PSB157" s="69"/>
      <c r="PSC157" s="69"/>
      <c r="PSD157" s="69"/>
      <c r="PSE157" s="69"/>
      <c r="PSF157" s="69"/>
      <c r="PSG157" s="69"/>
      <c r="PSH157" s="69"/>
      <c r="PSI157" s="69"/>
      <c r="PSJ157" s="69"/>
      <c r="PSK157" s="69"/>
      <c r="PSL157" s="69"/>
      <c r="PSM157" s="69"/>
      <c r="PSN157" s="69"/>
      <c r="PSO157" s="69"/>
      <c r="PSP157" s="69"/>
      <c r="PSQ157" s="69"/>
      <c r="PSR157" s="69"/>
      <c r="PSS157" s="69"/>
      <c r="PST157" s="69"/>
      <c r="PSU157" s="69"/>
      <c r="PSV157" s="69"/>
      <c r="PSW157" s="69"/>
      <c r="PSX157" s="69"/>
      <c r="PSY157" s="69"/>
      <c r="PSZ157" s="69"/>
      <c r="PTA157" s="69"/>
      <c r="PTB157" s="69"/>
      <c r="PTC157" s="69"/>
      <c r="PTD157" s="69"/>
      <c r="PTE157" s="69"/>
      <c r="PTF157" s="69"/>
      <c r="PTG157" s="69"/>
      <c r="PTH157" s="69"/>
      <c r="PTI157" s="69"/>
      <c r="PTJ157" s="69"/>
      <c r="PTK157" s="69"/>
      <c r="PTL157" s="69"/>
      <c r="PTM157" s="69"/>
      <c r="PTN157" s="69"/>
      <c r="PTO157" s="69"/>
      <c r="PTP157" s="69"/>
      <c r="PTQ157" s="69"/>
      <c r="PTR157" s="69"/>
      <c r="PTS157" s="69"/>
      <c r="PTT157" s="69"/>
      <c r="PTU157" s="69"/>
      <c r="PTV157" s="69"/>
      <c r="PTW157" s="69"/>
      <c r="PTX157" s="69"/>
      <c r="PTY157" s="69"/>
      <c r="PTZ157" s="69"/>
      <c r="PUA157" s="69"/>
      <c r="PUB157" s="69"/>
      <c r="PUC157" s="69"/>
      <c r="PUD157" s="69"/>
      <c r="PUE157" s="69"/>
      <c r="PUF157" s="69"/>
      <c r="PUG157" s="69"/>
      <c r="PUH157" s="69"/>
      <c r="PUI157" s="69"/>
      <c r="PUJ157" s="69"/>
      <c r="PUK157" s="69"/>
      <c r="PUL157" s="69"/>
      <c r="PUM157" s="69"/>
      <c r="PUN157" s="69"/>
      <c r="PUO157" s="69"/>
      <c r="PUP157" s="69"/>
      <c r="PUQ157" s="69"/>
      <c r="PUR157" s="69"/>
      <c r="PUS157" s="69"/>
      <c r="PUT157" s="69"/>
      <c r="PUU157" s="69"/>
      <c r="PUV157" s="69"/>
      <c r="PUW157" s="69"/>
      <c r="PUX157" s="69"/>
      <c r="PUY157" s="69"/>
      <c r="PUZ157" s="69"/>
      <c r="PVA157" s="69"/>
      <c r="PVB157" s="69"/>
      <c r="PVC157" s="69"/>
      <c r="PVD157" s="69"/>
      <c r="PVE157" s="69"/>
      <c r="PVF157" s="69"/>
      <c r="PVG157" s="69"/>
      <c r="PVH157" s="69"/>
      <c r="PVI157" s="69"/>
      <c r="PVJ157" s="69"/>
      <c r="PVK157" s="69"/>
      <c r="PVL157" s="69"/>
      <c r="PVM157" s="69"/>
      <c r="PVN157" s="69"/>
      <c r="PVO157" s="69"/>
      <c r="PVP157" s="69"/>
      <c r="PVQ157" s="69"/>
      <c r="PVR157" s="69"/>
      <c r="PVS157" s="69"/>
      <c r="PVT157" s="69"/>
      <c r="PVU157" s="69"/>
      <c r="PVV157" s="69"/>
      <c r="PVW157" s="69"/>
      <c r="PVX157" s="69"/>
      <c r="PVY157" s="69"/>
      <c r="PVZ157" s="69"/>
      <c r="PWA157" s="69"/>
      <c r="PWB157" s="69"/>
      <c r="PWC157" s="69"/>
      <c r="PWD157" s="69"/>
      <c r="PWE157" s="69"/>
      <c r="PWF157" s="69"/>
      <c r="PWG157" s="69"/>
      <c r="PWH157" s="69"/>
      <c r="PWI157" s="69"/>
      <c r="PWJ157" s="69"/>
      <c r="PWK157" s="69"/>
      <c r="PWL157" s="69"/>
      <c r="PWM157" s="69"/>
      <c r="PWN157" s="69"/>
      <c r="PWO157" s="69"/>
      <c r="PWP157" s="69"/>
      <c r="PWQ157" s="69"/>
      <c r="PWR157" s="69"/>
      <c r="PWS157" s="69"/>
      <c r="PWT157" s="69"/>
      <c r="PWU157" s="69"/>
      <c r="PWV157" s="69"/>
      <c r="PWW157" s="69"/>
      <c r="PWX157" s="69"/>
      <c r="PWY157" s="69"/>
      <c r="PWZ157" s="69"/>
      <c r="PXA157" s="69"/>
      <c r="PXB157" s="69"/>
      <c r="PXC157" s="69"/>
      <c r="PXD157" s="69"/>
      <c r="PXE157" s="69"/>
      <c r="PXF157" s="69"/>
      <c r="PXG157" s="69"/>
      <c r="PXH157" s="69"/>
      <c r="PXI157" s="69"/>
      <c r="PXJ157" s="69"/>
      <c r="PXK157" s="69"/>
      <c r="PXL157" s="69"/>
      <c r="PXM157" s="69"/>
      <c r="PXN157" s="69"/>
      <c r="PXO157" s="69"/>
      <c r="PXP157" s="69"/>
      <c r="PXQ157" s="69"/>
      <c r="PXR157" s="69"/>
      <c r="PXS157" s="69"/>
      <c r="PXT157" s="69"/>
      <c r="PXU157" s="69"/>
      <c r="PXV157" s="69"/>
      <c r="PXW157" s="69"/>
      <c r="PXX157" s="69"/>
      <c r="PXY157" s="69"/>
      <c r="PXZ157" s="69"/>
      <c r="PYA157" s="69"/>
      <c r="PYB157" s="69"/>
      <c r="PYC157" s="69"/>
      <c r="PYD157" s="69"/>
      <c r="PYE157" s="69"/>
      <c r="PYF157" s="69"/>
      <c r="PYG157" s="69"/>
      <c r="PYH157" s="69"/>
      <c r="PYI157" s="69"/>
      <c r="PYJ157" s="69"/>
      <c r="PYK157" s="69"/>
      <c r="PYL157" s="69"/>
      <c r="PYM157" s="69"/>
      <c r="PYN157" s="69"/>
      <c r="PYO157" s="69"/>
      <c r="PYP157" s="69"/>
      <c r="PYQ157" s="69"/>
      <c r="PYR157" s="69"/>
      <c r="PYS157" s="69"/>
      <c r="PYT157" s="69"/>
      <c r="PYU157" s="69"/>
      <c r="PYV157" s="69"/>
      <c r="PYW157" s="69"/>
      <c r="PYX157" s="69"/>
      <c r="PYY157" s="69"/>
      <c r="PYZ157" s="69"/>
      <c r="PZA157" s="69"/>
      <c r="PZB157" s="69"/>
      <c r="PZC157" s="69"/>
      <c r="PZD157" s="69"/>
      <c r="PZE157" s="69"/>
      <c r="PZF157" s="69"/>
      <c r="PZG157" s="69"/>
      <c r="PZH157" s="69"/>
      <c r="PZI157" s="69"/>
      <c r="PZJ157" s="69"/>
      <c r="PZK157" s="69"/>
      <c r="PZL157" s="69"/>
      <c r="PZM157" s="69"/>
      <c r="PZN157" s="69"/>
      <c r="PZO157" s="69"/>
      <c r="PZP157" s="69"/>
      <c r="PZQ157" s="69"/>
      <c r="PZR157" s="69"/>
      <c r="PZS157" s="69"/>
      <c r="PZT157" s="69"/>
      <c r="PZU157" s="69"/>
      <c r="PZV157" s="69"/>
      <c r="PZW157" s="69"/>
      <c r="PZX157" s="69"/>
      <c r="PZY157" s="69"/>
      <c r="PZZ157" s="69"/>
      <c r="QAA157" s="69"/>
      <c r="QAB157" s="69"/>
      <c r="QAC157" s="69"/>
      <c r="QAD157" s="69"/>
      <c r="QAE157" s="69"/>
      <c r="QAF157" s="69"/>
      <c r="QAG157" s="69"/>
      <c r="QAH157" s="69"/>
      <c r="QAI157" s="69"/>
      <c r="QAJ157" s="69"/>
      <c r="QAK157" s="69"/>
      <c r="QAL157" s="69"/>
      <c r="QAM157" s="69"/>
      <c r="QAN157" s="69"/>
      <c r="QAO157" s="69"/>
      <c r="QAP157" s="69"/>
      <c r="QAQ157" s="69"/>
      <c r="QAR157" s="69"/>
      <c r="QAS157" s="69"/>
      <c r="QAT157" s="69"/>
      <c r="QAU157" s="69"/>
      <c r="QAV157" s="69"/>
      <c r="QAW157" s="69"/>
      <c r="QAX157" s="69"/>
      <c r="QAY157" s="69"/>
      <c r="QAZ157" s="69"/>
      <c r="QBA157" s="69"/>
      <c r="QBB157" s="69"/>
      <c r="QBC157" s="69"/>
      <c r="QBD157" s="69"/>
      <c r="QBE157" s="69"/>
      <c r="QBF157" s="69"/>
      <c r="QBG157" s="69"/>
      <c r="QBH157" s="69"/>
      <c r="QBI157" s="69"/>
      <c r="QBJ157" s="69"/>
      <c r="QBK157" s="69"/>
      <c r="QBL157" s="69"/>
      <c r="QBM157" s="69"/>
      <c r="QBN157" s="69"/>
      <c r="QBO157" s="69"/>
      <c r="QBP157" s="69"/>
      <c r="QBQ157" s="69"/>
      <c r="QBR157" s="69"/>
      <c r="QBS157" s="69"/>
      <c r="QBT157" s="69"/>
      <c r="QBU157" s="69"/>
      <c r="QBV157" s="69"/>
      <c r="QBW157" s="69"/>
      <c r="QBX157" s="69"/>
      <c r="QBY157" s="69"/>
      <c r="QBZ157" s="69"/>
      <c r="QCA157" s="69"/>
      <c r="QCB157" s="69"/>
      <c r="QCC157" s="69"/>
      <c r="QCD157" s="69"/>
      <c r="QCE157" s="69"/>
      <c r="QCF157" s="69"/>
      <c r="QCG157" s="69"/>
      <c r="QCH157" s="69"/>
      <c r="QCI157" s="69"/>
      <c r="QCJ157" s="69"/>
      <c r="QCK157" s="69"/>
      <c r="QCL157" s="69"/>
      <c r="QCM157" s="69"/>
      <c r="QCN157" s="69"/>
      <c r="QCO157" s="69"/>
      <c r="QCP157" s="69"/>
      <c r="QCQ157" s="69"/>
      <c r="QCR157" s="69"/>
      <c r="QCS157" s="69"/>
      <c r="QCT157" s="69"/>
      <c r="QCU157" s="69"/>
      <c r="QCV157" s="69"/>
      <c r="QCW157" s="69"/>
      <c r="QCX157" s="69"/>
      <c r="QCY157" s="69"/>
      <c r="QCZ157" s="69"/>
      <c r="QDA157" s="69"/>
      <c r="QDB157" s="69"/>
      <c r="QDC157" s="69"/>
      <c r="QDD157" s="69"/>
      <c r="QDE157" s="69"/>
      <c r="QDF157" s="69"/>
      <c r="QDG157" s="69"/>
      <c r="QDH157" s="69"/>
      <c r="QDI157" s="69"/>
      <c r="QDJ157" s="69"/>
      <c r="QDK157" s="69"/>
      <c r="QDL157" s="69"/>
      <c r="QDM157" s="69"/>
      <c r="QDN157" s="69"/>
      <c r="QDO157" s="69"/>
      <c r="QDP157" s="69"/>
      <c r="QDQ157" s="69"/>
      <c r="QDR157" s="69"/>
      <c r="QDS157" s="69"/>
      <c r="QDT157" s="69"/>
      <c r="QDU157" s="69"/>
      <c r="QDV157" s="69"/>
      <c r="QDW157" s="69"/>
      <c r="QDX157" s="69"/>
      <c r="QDY157" s="69"/>
      <c r="QDZ157" s="69"/>
      <c r="QEA157" s="69"/>
      <c r="QEB157" s="69"/>
      <c r="QEC157" s="69"/>
      <c r="QED157" s="69"/>
      <c r="QEE157" s="69"/>
      <c r="QEF157" s="69"/>
      <c r="QEG157" s="69"/>
      <c r="QEH157" s="69"/>
      <c r="QEI157" s="69"/>
      <c r="QEJ157" s="69"/>
      <c r="QEK157" s="69"/>
      <c r="QEL157" s="69"/>
      <c r="QEM157" s="69"/>
      <c r="QEN157" s="69"/>
      <c r="QEO157" s="69"/>
      <c r="QEP157" s="69"/>
      <c r="QEQ157" s="69"/>
      <c r="QER157" s="69"/>
      <c r="QES157" s="69"/>
      <c r="QET157" s="69"/>
      <c r="QEU157" s="69"/>
      <c r="QEV157" s="69"/>
      <c r="QEW157" s="69"/>
      <c r="QEX157" s="69"/>
      <c r="QEY157" s="69"/>
      <c r="QEZ157" s="69"/>
      <c r="QFA157" s="69"/>
      <c r="QFB157" s="69"/>
      <c r="QFC157" s="69"/>
      <c r="QFD157" s="69"/>
      <c r="QFE157" s="69"/>
      <c r="QFF157" s="69"/>
      <c r="QFG157" s="69"/>
      <c r="QFH157" s="69"/>
      <c r="QFI157" s="69"/>
      <c r="QFJ157" s="69"/>
      <c r="QFK157" s="69"/>
      <c r="QFL157" s="69"/>
      <c r="QFM157" s="69"/>
      <c r="QFN157" s="69"/>
      <c r="QFO157" s="69"/>
      <c r="QFP157" s="69"/>
      <c r="QFQ157" s="69"/>
      <c r="QFR157" s="69"/>
      <c r="QFS157" s="69"/>
      <c r="QFT157" s="69"/>
      <c r="QFU157" s="69"/>
      <c r="QFV157" s="69"/>
      <c r="QFW157" s="69"/>
      <c r="QFX157" s="69"/>
      <c r="QFY157" s="69"/>
      <c r="QFZ157" s="69"/>
      <c r="QGA157" s="69"/>
      <c r="QGB157" s="69"/>
      <c r="QGC157" s="69"/>
      <c r="QGD157" s="69"/>
      <c r="QGE157" s="69"/>
      <c r="QGF157" s="69"/>
      <c r="QGG157" s="69"/>
      <c r="QGH157" s="69"/>
      <c r="QGI157" s="69"/>
      <c r="QGJ157" s="69"/>
      <c r="QGK157" s="69"/>
      <c r="QGL157" s="69"/>
      <c r="QGM157" s="69"/>
      <c r="QGN157" s="69"/>
      <c r="QGO157" s="69"/>
      <c r="QGP157" s="69"/>
      <c r="QGQ157" s="69"/>
      <c r="QGR157" s="69"/>
      <c r="QGS157" s="69"/>
      <c r="QGT157" s="69"/>
      <c r="QGU157" s="69"/>
      <c r="QGV157" s="69"/>
      <c r="QGW157" s="69"/>
      <c r="QGX157" s="69"/>
      <c r="QGY157" s="69"/>
      <c r="QGZ157" s="69"/>
      <c r="QHA157" s="69"/>
      <c r="QHB157" s="69"/>
      <c r="QHC157" s="69"/>
      <c r="QHD157" s="69"/>
      <c r="QHE157" s="69"/>
      <c r="QHF157" s="69"/>
      <c r="QHG157" s="69"/>
      <c r="QHH157" s="69"/>
      <c r="QHI157" s="69"/>
      <c r="QHJ157" s="69"/>
      <c r="QHK157" s="69"/>
      <c r="QHL157" s="69"/>
      <c r="QHM157" s="69"/>
      <c r="QHN157" s="69"/>
      <c r="QHO157" s="69"/>
      <c r="QHP157" s="69"/>
      <c r="QHQ157" s="69"/>
      <c r="QHR157" s="69"/>
      <c r="QHS157" s="69"/>
      <c r="QHT157" s="69"/>
      <c r="QHU157" s="69"/>
      <c r="QHV157" s="69"/>
      <c r="QHW157" s="69"/>
      <c r="QHX157" s="69"/>
      <c r="QHY157" s="69"/>
      <c r="QHZ157" s="69"/>
      <c r="QIA157" s="69"/>
      <c r="QIB157" s="69"/>
      <c r="QIC157" s="69"/>
      <c r="QID157" s="69"/>
      <c r="QIE157" s="69"/>
      <c r="QIF157" s="69"/>
      <c r="QIG157" s="69"/>
      <c r="QIH157" s="69"/>
      <c r="QII157" s="69"/>
      <c r="QIJ157" s="69"/>
      <c r="QIK157" s="69"/>
      <c r="QIL157" s="69"/>
      <c r="QIM157" s="69"/>
      <c r="QIN157" s="69"/>
      <c r="QIO157" s="69"/>
      <c r="QIP157" s="69"/>
      <c r="QIQ157" s="69"/>
      <c r="QIR157" s="69"/>
      <c r="QIS157" s="69"/>
      <c r="QIT157" s="69"/>
      <c r="QIU157" s="69"/>
      <c r="QIV157" s="69"/>
      <c r="QIW157" s="69"/>
      <c r="QIX157" s="69"/>
      <c r="QIY157" s="69"/>
      <c r="QIZ157" s="69"/>
      <c r="QJA157" s="69"/>
      <c r="QJB157" s="69"/>
      <c r="QJC157" s="69"/>
      <c r="QJD157" s="69"/>
      <c r="QJE157" s="69"/>
      <c r="QJF157" s="69"/>
      <c r="QJG157" s="69"/>
      <c r="QJH157" s="69"/>
      <c r="QJI157" s="69"/>
      <c r="QJJ157" s="69"/>
      <c r="QJK157" s="69"/>
      <c r="QJL157" s="69"/>
      <c r="QJM157" s="69"/>
      <c r="QJN157" s="69"/>
      <c r="QJO157" s="69"/>
      <c r="QJP157" s="69"/>
      <c r="QJQ157" s="69"/>
      <c r="QJR157" s="69"/>
      <c r="QJS157" s="69"/>
      <c r="QJT157" s="69"/>
      <c r="QJU157" s="69"/>
      <c r="QJV157" s="69"/>
      <c r="QJW157" s="69"/>
      <c r="QJX157" s="69"/>
      <c r="QJY157" s="69"/>
      <c r="QJZ157" s="69"/>
      <c r="QKA157" s="69"/>
      <c r="QKB157" s="69"/>
      <c r="QKC157" s="69"/>
      <c r="QKD157" s="69"/>
      <c r="QKE157" s="69"/>
      <c r="QKF157" s="69"/>
      <c r="QKG157" s="69"/>
      <c r="QKH157" s="69"/>
      <c r="QKI157" s="69"/>
      <c r="QKJ157" s="69"/>
      <c r="QKK157" s="69"/>
      <c r="QKL157" s="69"/>
      <c r="QKM157" s="69"/>
      <c r="QKN157" s="69"/>
      <c r="QKO157" s="69"/>
      <c r="QKP157" s="69"/>
      <c r="QKQ157" s="69"/>
      <c r="QKR157" s="69"/>
      <c r="QKS157" s="69"/>
      <c r="QKT157" s="69"/>
      <c r="QKU157" s="69"/>
      <c r="QKV157" s="69"/>
      <c r="QKW157" s="69"/>
      <c r="QKX157" s="69"/>
      <c r="QKY157" s="69"/>
      <c r="QKZ157" s="69"/>
      <c r="QLA157" s="69"/>
      <c r="QLB157" s="69"/>
      <c r="QLC157" s="69"/>
      <c r="QLD157" s="69"/>
      <c r="QLE157" s="69"/>
      <c r="QLF157" s="69"/>
      <c r="QLG157" s="69"/>
      <c r="QLH157" s="69"/>
      <c r="QLI157" s="69"/>
      <c r="QLJ157" s="69"/>
      <c r="QLK157" s="69"/>
      <c r="QLL157" s="69"/>
      <c r="QLM157" s="69"/>
      <c r="QLN157" s="69"/>
      <c r="QLO157" s="69"/>
      <c r="QLP157" s="69"/>
      <c r="QLQ157" s="69"/>
      <c r="QLR157" s="69"/>
      <c r="QLS157" s="69"/>
      <c r="QLT157" s="69"/>
      <c r="QLU157" s="69"/>
      <c r="QLV157" s="69"/>
      <c r="QLW157" s="69"/>
      <c r="QLX157" s="69"/>
      <c r="QLY157" s="69"/>
      <c r="QLZ157" s="69"/>
      <c r="QMA157" s="69"/>
      <c r="QMB157" s="69"/>
      <c r="QMC157" s="69"/>
      <c r="QMD157" s="69"/>
      <c r="QME157" s="69"/>
      <c r="QMF157" s="69"/>
      <c r="QMG157" s="69"/>
      <c r="QMH157" s="69"/>
      <c r="QMI157" s="69"/>
      <c r="QMJ157" s="69"/>
      <c r="QMK157" s="69"/>
      <c r="QML157" s="69"/>
      <c r="QMM157" s="69"/>
      <c r="QMN157" s="69"/>
      <c r="QMO157" s="69"/>
      <c r="QMP157" s="69"/>
      <c r="QMQ157" s="69"/>
      <c r="QMR157" s="69"/>
      <c r="QMS157" s="69"/>
      <c r="QMT157" s="69"/>
      <c r="QMU157" s="69"/>
      <c r="QMV157" s="69"/>
      <c r="QMW157" s="69"/>
      <c r="QMX157" s="69"/>
      <c r="QMY157" s="69"/>
      <c r="QMZ157" s="69"/>
      <c r="QNA157" s="69"/>
      <c r="QNB157" s="69"/>
      <c r="QNC157" s="69"/>
      <c r="QND157" s="69"/>
      <c r="QNE157" s="69"/>
      <c r="QNF157" s="69"/>
      <c r="QNG157" s="69"/>
      <c r="QNH157" s="69"/>
      <c r="QNI157" s="69"/>
      <c r="QNJ157" s="69"/>
      <c r="QNK157" s="69"/>
      <c r="QNL157" s="69"/>
      <c r="QNM157" s="69"/>
      <c r="QNN157" s="69"/>
      <c r="QNO157" s="69"/>
      <c r="QNP157" s="69"/>
      <c r="QNQ157" s="69"/>
      <c r="QNR157" s="69"/>
      <c r="QNS157" s="69"/>
      <c r="QNT157" s="69"/>
      <c r="QNU157" s="69"/>
      <c r="QNV157" s="69"/>
      <c r="QNW157" s="69"/>
      <c r="QNX157" s="69"/>
      <c r="QNY157" s="69"/>
      <c r="QNZ157" s="69"/>
      <c r="QOA157" s="69"/>
      <c r="QOB157" s="69"/>
      <c r="QOC157" s="69"/>
      <c r="QOD157" s="69"/>
      <c r="QOE157" s="69"/>
      <c r="QOF157" s="69"/>
      <c r="QOG157" s="69"/>
      <c r="QOH157" s="69"/>
      <c r="QOI157" s="69"/>
      <c r="QOJ157" s="69"/>
      <c r="QOK157" s="69"/>
      <c r="QOL157" s="69"/>
      <c r="QOM157" s="69"/>
      <c r="QON157" s="69"/>
      <c r="QOO157" s="69"/>
      <c r="QOP157" s="69"/>
      <c r="QOQ157" s="69"/>
      <c r="QOR157" s="69"/>
      <c r="QOS157" s="69"/>
      <c r="QOT157" s="69"/>
      <c r="QOU157" s="69"/>
      <c r="QOV157" s="69"/>
      <c r="QOW157" s="69"/>
      <c r="QOX157" s="69"/>
      <c r="QOY157" s="69"/>
      <c r="QOZ157" s="69"/>
      <c r="QPA157" s="69"/>
      <c r="QPB157" s="69"/>
      <c r="QPC157" s="69"/>
      <c r="QPD157" s="69"/>
      <c r="QPE157" s="69"/>
      <c r="QPF157" s="69"/>
      <c r="QPG157" s="69"/>
      <c r="QPH157" s="69"/>
      <c r="QPI157" s="69"/>
      <c r="QPJ157" s="69"/>
      <c r="QPK157" s="69"/>
      <c r="QPL157" s="69"/>
      <c r="QPM157" s="69"/>
      <c r="QPN157" s="69"/>
      <c r="QPO157" s="69"/>
      <c r="QPP157" s="69"/>
      <c r="QPQ157" s="69"/>
      <c r="QPR157" s="69"/>
      <c r="QPS157" s="69"/>
      <c r="QPT157" s="69"/>
      <c r="QPU157" s="69"/>
      <c r="QPV157" s="69"/>
      <c r="QPW157" s="69"/>
      <c r="QPX157" s="69"/>
      <c r="QPY157" s="69"/>
      <c r="QPZ157" s="69"/>
      <c r="QQA157" s="69"/>
      <c r="QQB157" s="69"/>
      <c r="QQC157" s="69"/>
      <c r="QQD157" s="69"/>
      <c r="QQE157" s="69"/>
      <c r="QQF157" s="69"/>
      <c r="QQG157" s="69"/>
      <c r="QQH157" s="69"/>
      <c r="QQI157" s="69"/>
      <c r="QQJ157" s="69"/>
      <c r="QQK157" s="69"/>
      <c r="QQL157" s="69"/>
      <c r="QQM157" s="69"/>
      <c r="QQN157" s="69"/>
      <c r="QQO157" s="69"/>
      <c r="QQP157" s="69"/>
      <c r="QQQ157" s="69"/>
      <c r="QQR157" s="69"/>
      <c r="QQS157" s="69"/>
      <c r="QQT157" s="69"/>
      <c r="QQU157" s="69"/>
      <c r="QQV157" s="69"/>
      <c r="QQW157" s="69"/>
      <c r="QQX157" s="69"/>
      <c r="QQY157" s="69"/>
      <c r="QQZ157" s="69"/>
      <c r="QRA157" s="69"/>
      <c r="QRB157" s="69"/>
      <c r="QRC157" s="69"/>
      <c r="QRD157" s="69"/>
      <c r="QRE157" s="69"/>
      <c r="QRF157" s="69"/>
      <c r="QRG157" s="69"/>
      <c r="QRH157" s="69"/>
      <c r="QRI157" s="69"/>
      <c r="QRJ157" s="69"/>
      <c r="QRK157" s="69"/>
      <c r="QRL157" s="69"/>
      <c r="QRM157" s="69"/>
      <c r="QRN157" s="69"/>
      <c r="QRO157" s="69"/>
      <c r="QRP157" s="69"/>
      <c r="QRQ157" s="69"/>
      <c r="QRR157" s="69"/>
      <c r="QRS157" s="69"/>
      <c r="QRT157" s="69"/>
      <c r="QRU157" s="69"/>
      <c r="QRV157" s="69"/>
      <c r="QRW157" s="69"/>
      <c r="QRX157" s="69"/>
      <c r="QRY157" s="69"/>
      <c r="QRZ157" s="69"/>
      <c r="QSA157" s="69"/>
      <c r="QSB157" s="69"/>
      <c r="QSC157" s="69"/>
      <c r="QSD157" s="69"/>
      <c r="QSE157" s="69"/>
      <c r="QSF157" s="69"/>
      <c r="QSG157" s="69"/>
      <c r="QSH157" s="69"/>
      <c r="QSI157" s="69"/>
      <c r="QSJ157" s="69"/>
      <c r="QSK157" s="69"/>
      <c r="QSL157" s="69"/>
      <c r="QSM157" s="69"/>
      <c r="QSN157" s="69"/>
      <c r="QSO157" s="69"/>
      <c r="QSP157" s="69"/>
      <c r="QSQ157" s="69"/>
      <c r="QSR157" s="69"/>
      <c r="QSS157" s="69"/>
      <c r="QST157" s="69"/>
      <c r="QSU157" s="69"/>
      <c r="QSV157" s="69"/>
      <c r="QSW157" s="69"/>
      <c r="QSX157" s="69"/>
      <c r="QSY157" s="69"/>
      <c r="QSZ157" s="69"/>
      <c r="QTA157" s="69"/>
      <c r="QTB157" s="69"/>
      <c r="QTC157" s="69"/>
      <c r="QTD157" s="69"/>
      <c r="QTE157" s="69"/>
      <c r="QTF157" s="69"/>
      <c r="QTG157" s="69"/>
      <c r="QTH157" s="69"/>
      <c r="QTI157" s="69"/>
      <c r="QTJ157" s="69"/>
      <c r="QTK157" s="69"/>
      <c r="QTL157" s="69"/>
      <c r="QTM157" s="69"/>
      <c r="QTN157" s="69"/>
      <c r="QTO157" s="69"/>
      <c r="QTP157" s="69"/>
      <c r="QTQ157" s="69"/>
      <c r="QTR157" s="69"/>
      <c r="QTS157" s="69"/>
      <c r="QTT157" s="69"/>
      <c r="QTU157" s="69"/>
      <c r="QTV157" s="69"/>
      <c r="QTW157" s="69"/>
      <c r="QTX157" s="69"/>
      <c r="QTY157" s="69"/>
      <c r="QTZ157" s="69"/>
      <c r="QUA157" s="69"/>
      <c r="QUB157" s="69"/>
      <c r="QUC157" s="69"/>
      <c r="QUD157" s="69"/>
      <c r="QUE157" s="69"/>
      <c r="QUF157" s="69"/>
      <c r="QUG157" s="69"/>
      <c r="QUH157" s="69"/>
      <c r="QUI157" s="69"/>
      <c r="QUJ157" s="69"/>
      <c r="QUK157" s="69"/>
      <c r="QUL157" s="69"/>
      <c r="QUM157" s="69"/>
      <c r="QUN157" s="69"/>
      <c r="QUO157" s="69"/>
      <c r="QUP157" s="69"/>
      <c r="QUQ157" s="69"/>
      <c r="QUR157" s="69"/>
      <c r="QUS157" s="69"/>
      <c r="QUT157" s="69"/>
      <c r="QUU157" s="69"/>
      <c r="QUV157" s="69"/>
      <c r="QUW157" s="69"/>
      <c r="QUX157" s="69"/>
      <c r="QUY157" s="69"/>
      <c r="QUZ157" s="69"/>
      <c r="QVA157" s="69"/>
      <c r="QVB157" s="69"/>
      <c r="QVC157" s="69"/>
      <c r="QVD157" s="69"/>
      <c r="QVE157" s="69"/>
      <c r="QVF157" s="69"/>
      <c r="QVG157" s="69"/>
      <c r="QVH157" s="69"/>
      <c r="QVI157" s="69"/>
      <c r="QVJ157" s="69"/>
      <c r="QVK157" s="69"/>
      <c r="QVL157" s="69"/>
      <c r="QVM157" s="69"/>
      <c r="QVN157" s="69"/>
      <c r="QVO157" s="69"/>
      <c r="QVP157" s="69"/>
      <c r="QVQ157" s="69"/>
      <c r="QVR157" s="69"/>
      <c r="QVS157" s="69"/>
      <c r="QVT157" s="69"/>
      <c r="QVU157" s="69"/>
      <c r="QVV157" s="69"/>
      <c r="QVW157" s="69"/>
      <c r="QVX157" s="69"/>
      <c r="QVY157" s="69"/>
      <c r="QVZ157" s="69"/>
      <c r="QWA157" s="69"/>
      <c r="QWB157" s="69"/>
      <c r="QWC157" s="69"/>
      <c r="QWD157" s="69"/>
      <c r="QWE157" s="69"/>
      <c r="QWF157" s="69"/>
      <c r="QWG157" s="69"/>
      <c r="QWH157" s="69"/>
      <c r="QWI157" s="69"/>
      <c r="QWJ157" s="69"/>
      <c r="QWK157" s="69"/>
      <c r="QWL157" s="69"/>
      <c r="QWM157" s="69"/>
      <c r="QWN157" s="69"/>
      <c r="QWO157" s="69"/>
      <c r="QWP157" s="69"/>
      <c r="QWQ157" s="69"/>
      <c r="QWR157" s="69"/>
      <c r="QWS157" s="69"/>
      <c r="QWT157" s="69"/>
      <c r="QWU157" s="69"/>
      <c r="QWV157" s="69"/>
      <c r="QWW157" s="69"/>
      <c r="QWX157" s="69"/>
      <c r="QWY157" s="69"/>
      <c r="QWZ157" s="69"/>
      <c r="QXA157" s="69"/>
      <c r="QXB157" s="69"/>
      <c r="QXC157" s="69"/>
      <c r="QXD157" s="69"/>
      <c r="QXE157" s="69"/>
      <c r="QXF157" s="69"/>
      <c r="QXG157" s="69"/>
      <c r="QXH157" s="69"/>
      <c r="QXI157" s="69"/>
      <c r="QXJ157" s="69"/>
      <c r="QXK157" s="69"/>
      <c r="QXL157" s="69"/>
      <c r="QXM157" s="69"/>
      <c r="QXN157" s="69"/>
      <c r="QXO157" s="69"/>
      <c r="QXP157" s="69"/>
      <c r="QXQ157" s="69"/>
      <c r="QXR157" s="69"/>
      <c r="QXS157" s="69"/>
      <c r="QXT157" s="69"/>
      <c r="QXU157" s="69"/>
      <c r="QXV157" s="69"/>
      <c r="QXW157" s="69"/>
      <c r="QXX157" s="69"/>
      <c r="QXY157" s="69"/>
      <c r="QXZ157" s="69"/>
      <c r="QYA157" s="69"/>
      <c r="QYB157" s="69"/>
      <c r="QYC157" s="69"/>
      <c r="QYD157" s="69"/>
      <c r="QYE157" s="69"/>
      <c r="QYF157" s="69"/>
      <c r="QYG157" s="69"/>
      <c r="QYH157" s="69"/>
      <c r="QYI157" s="69"/>
      <c r="QYJ157" s="69"/>
      <c r="QYK157" s="69"/>
      <c r="QYL157" s="69"/>
      <c r="QYM157" s="69"/>
      <c r="QYN157" s="69"/>
      <c r="QYO157" s="69"/>
      <c r="QYP157" s="69"/>
      <c r="QYQ157" s="69"/>
      <c r="QYR157" s="69"/>
      <c r="QYS157" s="69"/>
      <c r="QYT157" s="69"/>
      <c r="QYU157" s="69"/>
      <c r="QYV157" s="69"/>
      <c r="QYW157" s="69"/>
      <c r="QYX157" s="69"/>
      <c r="QYY157" s="69"/>
      <c r="QYZ157" s="69"/>
      <c r="QZA157" s="69"/>
      <c r="QZB157" s="69"/>
      <c r="QZC157" s="69"/>
      <c r="QZD157" s="69"/>
      <c r="QZE157" s="69"/>
      <c r="QZF157" s="69"/>
      <c r="QZG157" s="69"/>
      <c r="QZH157" s="69"/>
      <c r="QZI157" s="69"/>
      <c r="QZJ157" s="69"/>
      <c r="QZK157" s="69"/>
      <c r="QZL157" s="69"/>
      <c r="QZM157" s="69"/>
      <c r="QZN157" s="69"/>
      <c r="QZO157" s="69"/>
      <c r="QZP157" s="69"/>
      <c r="QZQ157" s="69"/>
      <c r="QZR157" s="69"/>
      <c r="QZS157" s="69"/>
      <c r="QZT157" s="69"/>
      <c r="QZU157" s="69"/>
      <c r="QZV157" s="69"/>
      <c r="QZW157" s="69"/>
      <c r="QZX157" s="69"/>
      <c r="QZY157" s="69"/>
      <c r="QZZ157" s="69"/>
      <c r="RAA157" s="69"/>
      <c r="RAB157" s="69"/>
      <c r="RAC157" s="69"/>
      <c r="RAD157" s="69"/>
      <c r="RAE157" s="69"/>
      <c r="RAF157" s="69"/>
      <c r="RAG157" s="69"/>
      <c r="RAH157" s="69"/>
      <c r="RAI157" s="69"/>
      <c r="RAJ157" s="69"/>
      <c r="RAK157" s="69"/>
      <c r="RAL157" s="69"/>
      <c r="RAM157" s="69"/>
      <c r="RAN157" s="69"/>
      <c r="RAO157" s="69"/>
      <c r="RAP157" s="69"/>
      <c r="RAQ157" s="69"/>
      <c r="RAR157" s="69"/>
      <c r="RAS157" s="69"/>
      <c r="RAT157" s="69"/>
      <c r="RAU157" s="69"/>
      <c r="RAV157" s="69"/>
      <c r="RAW157" s="69"/>
      <c r="RAX157" s="69"/>
      <c r="RAY157" s="69"/>
      <c r="RAZ157" s="69"/>
      <c r="RBA157" s="69"/>
      <c r="RBB157" s="69"/>
      <c r="RBC157" s="69"/>
      <c r="RBD157" s="69"/>
      <c r="RBE157" s="69"/>
      <c r="RBF157" s="69"/>
      <c r="RBG157" s="69"/>
      <c r="RBH157" s="69"/>
      <c r="RBI157" s="69"/>
      <c r="RBJ157" s="69"/>
      <c r="RBK157" s="69"/>
      <c r="RBL157" s="69"/>
      <c r="RBM157" s="69"/>
      <c r="RBN157" s="69"/>
      <c r="RBO157" s="69"/>
      <c r="RBP157" s="69"/>
      <c r="RBQ157" s="69"/>
      <c r="RBR157" s="69"/>
      <c r="RBS157" s="69"/>
      <c r="RBT157" s="69"/>
      <c r="RBU157" s="69"/>
      <c r="RBV157" s="69"/>
      <c r="RBW157" s="69"/>
      <c r="RBX157" s="69"/>
      <c r="RBY157" s="69"/>
      <c r="RBZ157" s="69"/>
      <c r="RCA157" s="69"/>
      <c r="RCB157" s="69"/>
      <c r="RCC157" s="69"/>
      <c r="RCD157" s="69"/>
      <c r="RCE157" s="69"/>
      <c r="RCF157" s="69"/>
      <c r="RCG157" s="69"/>
      <c r="RCH157" s="69"/>
      <c r="RCI157" s="69"/>
      <c r="RCJ157" s="69"/>
      <c r="RCK157" s="69"/>
      <c r="RCL157" s="69"/>
      <c r="RCM157" s="69"/>
      <c r="RCN157" s="69"/>
      <c r="RCO157" s="69"/>
      <c r="RCP157" s="69"/>
      <c r="RCQ157" s="69"/>
      <c r="RCR157" s="69"/>
      <c r="RCS157" s="69"/>
      <c r="RCT157" s="69"/>
      <c r="RCU157" s="69"/>
      <c r="RCV157" s="69"/>
      <c r="RCW157" s="69"/>
      <c r="RCX157" s="69"/>
      <c r="RCY157" s="69"/>
      <c r="RCZ157" s="69"/>
      <c r="RDA157" s="69"/>
      <c r="RDB157" s="69"/>
      <c r="RDC157" s="69"/>
      <c r="RDD157" s="69"/>
      <c r="RDE157" s="69"/>
      <c r="RDF157" s="69"/>
      <c r="RDG157" s="69"/>
      <c r="RDH157" s="69"/>
      <c r="RDI157" s="69"/>
      <c r="RDJ157" s="69"/>
      <c r="RDK157" s="69"/>
      <c r="RDL157" s="69"/>
      <c r="RDM157" s="69"/>
      <c r="RDN157" s="69"/>
      <c r="RDO157" s="69"/>
      <c r="RDP157" s="69"/>
      <c r="RDQ157" s="69"/>
      <c r="RDR157" s="69"/>
      <c r="RDS157" s="69"/>
      <c r="RDT157" s="69"/>
      <c r="RDU157" s="69"/>
      <c r="RDV157" s="69"/>
      <c r="RDW157" s="69"/>
      <c r="RDX157" s="69"/>
      <c r="RDY157" s="69"/>
      <c r="RDZ157" s="69"/>
      <c r="REA157" s="69"/>
      <c r="REB157" s="69"/>
      <c r="REC157" s="69"/>
      <c r="RED157" s="69"/>
      <c r="REE157" s="69"/>
      <c r="REF157" s="69"/>
      <c r="REG157" s="69"/>
      <c r="REH157" s="69"/>
      <c r="REI157" s="69"/>
      <c r="REJ157" s="69"/>
      <c r="REK157" s="69"/>
      <c r="REL157" s="69"/>
      <c r="REM157" s="69"/>
      <c r="REN157" s="69"/>
      <c r="REO157" s="69"/>
      <c r="REP157" s="69"/>
      <c r="REQ157" s="69"/>
      <c r="RER157" s="69"/>
      <c r="RES157" s="69"/>
      <c r="RET157" s="69"/>
      <c r="REU157" s="69"/>
      <c r="REV157" s="69"/>
      <c r="REW157" s="69"/>
      <c r="REX157" s="69"/>
      <c r="REY157" s="69"/>
      <c r="REZ157" s="69"/>
      <c r="RFA157" s="69"/>
      <c r="RFB157" s="69"/>
      <c r="RFC157" s="69"/>
      <c r="RFD157" s="69"/>
      <c r="RFE157" s="69"/>
      <c r="RFF157" s="69"/>
      <c r="RFG157" s="69"/>
      <c r="RFH157" s="69"/>
      <c r="RFI157" s="69"/>
      <c r="RFJ157" s="69"/>
      <c r="RFK157" s="69"/>
      <c r="RFL157" s="69"/>
      <c r="RFM157" s="69"/>
      <c r="RFN157" s="69"/>
      <c r="RFO157" s="69"/>
      <c r="RFP157" s="69"/>
      <c r="RFQ157" s="69"/>
      <c r="RFR157" s="69"/>
      <c r="RFS157" s="69"/>
      <c r="RFT157" s="69"/>
      <c r="RFU157" s="69"/>
      <c r="RFV157" s="69"/>
      <c r="RFW157" s="69"/>
      <c r="RFX157" s="69"/>
      <c r="RFY157" s="69"/>
      <c r="RFZ157" s="69"/>
      <c r="RGA157" s="69"/>
      <c r="RGB157" s="69"/>
      <c r="RGC157" s="69"/>
      <c r="RGD157" s="69"/>
      <c r="RGE157" s="69"/>
      <c r="RGF157" s="69"/>
      <c r="RGG157" s="69"/>
      <c r="RGH157" s="69"/>
      <c r="RGI157" s="69"/>
      <c r="RGJ157" s="69"/>
      <c r="RGK157" s="69"/>
      <c r="RGL157" s="69"/>
      <c r="RGM157" s="69"/>
      <c r="RGN157" s="69"/>
      <c r="RGO157" s="69"/>
      <c r="RGP157" s="69"/>
      <c r="RGQ157" s="69"/>
      <c r="RGR157" s="69"/>
      <c r="RGS157" s="69"/>
      <c r="RGT157" s="69"/>
      <c r="RGU157" s="69"/>
      <c r="RGV157" s="69"/>
      <c r="RGW157" s="69"/>
      <c r="RGX157" s="69"/>
      <c r="RGY157" s="69"/>
      <c r="RGZ157" s="69"/>
      <c r="RHA157" s="69"/>
      <c r="RHB157" s="69"/>
      <c r="RHC157" s="69"/>
      <c r="RHD157" s="69"/>
      <c r="RHE157" s="69"/>
      <c r="RHF157" s="69"/>
      <c r="RHG157" s="69"/>
      <c r="RHH157" s="69"/>
      <c r="RHI157" s="69"/>
      <c r="RHJ157" s="69"/>
      <c r="RHK157" s="69"/>
      <c r="RHL157" s="69"/>
      <c r="RHM157" s="69"/>
      <c r="RHN157" s="69"/>
      <c r="RHO157" s="69"/>
      <c r="RHP157" s="69"/>
      <c r="RHQ157" s="69"/>
      <c r="RHR157" s="69"/>
      <c r="RHS157" s="69"/>
      <c r="RHT157" s="69"/>
      <c r="RHU157" s="69"/>
      <c r="RHV157" s="69"/>
      <c r="RHW157" s="69"/>
      <c r="RHX157" s="69"/>
      <c r="RHY157" s="69"/>
      <c r="RHZ157" s="69"/>
      <c r="RIA157" s="69"/>
      <c r="RIB157" s="69"/>
      <c r="RIC157" s="69"/>
      <c r="RID157" s="69"/>
      <c r="RIE157" s="69"/>
      <c r="RIF157" s="69"/>
      <c r="RIG157" s="69"/>
      <c r="RIH157" s="69"/>
      <c r="RII157" s="69"/>
      <c r="RIJ157" s="69"/>
      <c r="RIK157" s="69"/>
      <c r="RIL157" s="69"/>
      <c r="RIM157" s="69"/>
      <c r="RIN157" s="69"/>
      <c r="RIO157" s="69"/>
      <c r="RIP157" s="69"/>
      <c r="RIQ157" s="69"/>
      <c r="RIR157" s="69"/>
      <c r="RIS157" s="69"/>
      <c r="RIT157" s="69"/>
      <c r="RIU157" s="69"/>
      <c r="RIV157" s="69"/>
      <c r="RIW157" s="69"/>
      <c r="RIX157" s="69"/>
      <c r="RIY157" s="69"/>
      <c r="RIZ157" s="69"/>
      <c r="RJA157" s="69"/>
      <c r="RJB157" s="69"/>
      <c r="RJC157" s="69"/>
      <c r="RJD157" s="69"/>
      <c r="RJE157" s="69"/>
      <c r="RJF157" s="69"/>
      <c r="RJG157" s="69"/>
      <c r="RJH157" s="69"/>
      <c r="RJI157" s="69"/>
      <c r="RJJ157" s="69"/>
      <c r="RJK157" s="69"/>
      <c r="RJL157" s="69"/>
      <c r="RJM157" s="69"/>
      <c r="RJN157" s="69"/>
      <c r="RJO157" s="69"/>
      <c r="RJP157" s="69"/>
      <c r="RJQ157" s="69"/>
      <c r="RJR157" s="69"/>
      <c r="RJS157" s="69"/>
      <c r="RJT157" s="69"/>
      <c r="RJU157" s="69"/>
      <c r="RJV157" s="69"/>
      <c r="RJW157" s="69"/>
      <c r="RJX157" s="69"/>
      <c r="RJY157" s="69"/>
      <c r="RJZ157" s="69"/>
      <c r="RKA157" s="69"/>
      <c r="RKB157" s="69"/>
      <c r="RKC157" s="69"/>
      <c r="RKD157" s="69"/>
      <c r="RKE157" s="69"/>
      <c r="RKF157" s="69"/>
      <c r="RKG157" s="69"/>
      <c r="RKH157" s="69"/>
      <c r="RKI157" s="69"/>
      <c r="RKJ157" s="69"/>
      <c r="RKK157" s="69"/>
      <c r="RKL157" s="69"/>
      <c r="RKM157" s="69"/>
      <c r="RKN157" s="69"/>
      <c r="RKO157" s="69"/>
      <c r="RKP157" s="69"/>
      <c r="RKQ157" s="69"/>
      <c r="RKR157" s="69"/>
      <c r="RKS157" s="69"/>
      <c r="RKT157" s="69"/>
      <c r="RKU157" s="69"/>
      <c r="RKV157" s="69"/>
      <c r="RKW157" s="69"/>
      <c r="RKX157" s="69"/>
      <c r="RKY157" s="69"/>
      <c r="RKZ157" s="69"/>
      <c r="RLA157" s="69"/>
      <c r="RLB157" s="69"/>
      <c r="RLC157" s="69"/>
      <c r="RLD157" s="69"/>
      <c r="RLE157" s="69"/>
      <c r="RLF157" s="69"/>
      <c r="RLG157" s="69"/>
      <c r="RLH157" s="69"/>
      <c r="RLI157" s="69"/>
      <c r="RLJ157" s="69"/>
      <c r="RLK157" s="69"/>
      <c r="RLL157" s="69"/>
      <c r="RLM157" s="69"/>
      <c r="RLN157" s="69"/>
      <c r="RLO157" s="69"/>
      <c r="RLP157" s="69"/>
      <c r="RLQ157" s="69"/>
      <c r="RLR157" s="69"/>
      <c r="RLS157" s="69"/>
      <c r="RLT157" s="69"/>
      <c r="RLU157" s="69"/>
      <c r="RLV157" s="69"/>
      <c r="RLW157" s="69"/>
      <c r="RLX157" s="69"/>
      <c r="RLY157" s="69"/>
      <c r="RLZ157" s="69"/>
      <c r="RMA157" s="69"/>
      <c r="RMB157" s="69"/>
      <c r="RMC157" s="69"/>
      <c r="RMD157" s="69"/>
      <c r="RME157" s="69"/>
      <c r="RMF157" s="69"/>
      <c r="RMG157" s="69"/>
      <c r="RMH157" s="69"/>
      <c r="RMI157" s="69"/>
      <c r="RMJ157" s="69"/>
      <c r="RMK157" s="69"/>
      <c r="RML157" s="69"/>
      <c r="RMM157" s="69"/>
      <c r="RMN157" s="69"/>
      <c r="RMO157" s="69"/>
      <c r="RMP157" s="69"/>
      <c r="RMQ157" s="69"/>
      <c r="RMR157" s="69"/>
      <c r="RMS157" s="69"/>
      <c r="RMT157" s="69"/>
      <c r="RMU157" s="69"/>
      <c r="RMV157" s="69"/>
      <c r="RMW157" s="69"/>
      <c r="RMX157" s="69"/>
      <c r="RMY157" s="69"/>
      <c r="RMZ157" s="69"/>
      <c r="RNA157" s="69"/>
      <c r="RNB157" s="69"/>
      <c r="RNC157" s="69"/>
      <c r="RND157" s="69"/>
      <c r="RNE157" s="69"/>
      <c r="RNF157" s="69"/>
      <c r="RNG157" s="69"/>
      <c r="RNH157" s="69"/>
      <c r="RNI157" s="69"/>
      <c r="RNJ157" s="69"/>
      <c r="RNK157" s="69"/>
      <c r="RNL157" s="69"/>
      <c r="RNM157" s="69"/>
      <c r="RNN157" s="69"/>
      <c r="RNO157" s="69"/>
      <c r="RNP157" s="69"/>
      <c r="RNQ157" s="69"/>
      <c r="RNR157" s="69"/>
      <c r="RNS157" s="69"/>
      <c r="RNT157" s="69"/>
      <c r="RNU157" s="69"/>
      <c r="RNV157" s="69"/>
      <c r="RNW157" s="69"/>
      <c r="RNX157" s="69"/>
      <c r="RNY157" s="69"/>
      <c r="RNZ157" s="69"/>
      <c r="ROA157" s="69"/>
      <c r="ROB157" s="69"/>
      <c r="ROC157" s="69"/>
      <c r="ROD157" s="69"/>
      <c r="ROE157" s="69"/>
      <c r="ROF157" s="69"/>
      <c r="ROG157" s="69"/>
      <c r="ROH157" s="69"/>
      <c r="ROI157" s="69"/>
      <c r="ROJ157" s="69"/>
      <c r="ROK157" s="69"/>
      <c r="ROL157" s="69"/>
      <c r="ROM157" s="69"/>
      <c r="RON157" s="69"/>
      <c r="ROO157" s="69"/>
      <c r="ROP157" s="69"/>
      <c r="ROQ157" s="69"/>
      <c r="ROR157" s="69"/>
      <c r="ROS157" s="69"/>
      <c r="ROT157" s="69"/>
      <c r="ROU157" s="69"/>
      <c r="ROV157" s="69"/>
      <c r="ROW157" s="69"/>
      <c r="ROX157" s="69"/>
      <c r="ROY157" s="69"/>
      <c r="ROZ157" s="69"/>
      <c r="RPA157" s="69"/>
      <c r="RPB157" s="69"/>
      <c r="RPC157" s="69"/>
      <c r="RPD157" s="69"/>
      <c r="RPE157" s="69"/>
      <c r="RPF157" s="69"/>
      <c r="RPG157" s="69"/>
      <c r="RPH157" s="69"/>
      <c r="RPI157" s="69"/>
      <c r="RPJ157" s="69"/>
      <c r="RPK157" s="69"/>
      <c r="RPL157" s="69"/>
      <c r="RPM157" s="69"/>
      <c r="RPN157" s="69"/>
      <c r="RPO157" s="69"/>
      <c r="RPP157" s="69"/>
      <c r="RPQ157" s="69"/>
      <c r="RPR157" s="69"/>
      <c r="RPS157" s="69"/>
      <c r="RPT157" s="69"/>
      <c r="RPU157" s="69"/>
      <c r="RPV157" s="69"/>
      <c r="RPW157" s="69"/>
      <c r="RPX157" s="69"/>
      <c r="RPY157" s="69"/>
      <c r="RPZ157" s="69"/>
      <c r="RQA157" s="69"/>
      <c r="RQB157" s="69"/>
      <c r="RQC157" s="69"/>
      <c r="RQD157" s="69"/>
      <c r="RQE157" s="69"/>
      <c r="RQF157" s="69"/>
      <c r="RQG157" s="69"/>
      <c r="RQH157" s="69"/>
      <c r="RQI157" s="69"/>
      <c r="RQJ157" s="69"/>
      <c r="RQK157" s="69"/>
      <c r="RQL157" s="69"/>
      <c r="RQM157" s="69"/>
      <c r="RQN157" s="69"/>
      <c r="RQO157" s="69"/>
      <c r="RQP157" s="69"/>
      <c r="RQQ157" s="69"/>
      <c r="RQR157" s="69"/>
      <c r="RQS157" s="69"/>
      <c r="RQT157" s="69"/>
      <c r="RQU157" s="69"/>
      <c r="RQV157" s="69"/>
      <c r="RQW157" s="69"/>
      <c r="RQX157" s="69"/>
      <c r="RQY157" s="69"/>
      <c r="RQZ157" s="69"/>
      <c r="RRA157" s="69"/>
      <c r="RRB157" s="69"/>
      <c r="RRC157" s="69"/>
      <c r="RRD157" s="69"/>
      <c r="RRE157" s="69"/>
      <c r="RRF157" s="69"/>
      <c r="RRG157" s="69"/>
      <c r="RRH157" s="69"/>
      <c r="RRI157" s="69"/>
      <c r="RRJ157" s="69"/>
      <c r="RRK157" s="69"/>
      <c r="RRL157" s="69"/>
      <c r="RRM157" s="69"/>
      <c r="RRN157" s="69"/>
      <c r="RRO157" s="69"/>
      <c r="RRP157" s="69"/>
      <c r="RRQ157" s="69"/>
      <c r="RRR157" s="69"/>
      <c r="RRS157" s="69"/>
      <c r="RRT157" s="69"/>
      <c r="RRU157" s="69"/>
      <c r="RRV157" s="69"/>
      <c r="RRW157" s="69"/>
      <c r="RRX157" s="69"/>
      <c r="RRY157" s="69"/>
      <c r="RRZ157" s="69"/>
      <c r="RSA157" s="69"/>
      <c r="RSB157" s="69"/>
      <c r="RSC157" s="69"/>
      <c r="RSD157" s="69"/>
      <c r="RSE157" s="69"/>
      <c r="RSF157" s="69"/>
      <c r="RSG157" s="69"/>
      <c r="RSH157" s="69"/>
      <c r="RSI157" s="69"/>
      <c r="RSJ157" s="69"/>
      <c r="RSK157" s="69"/>
      <c r="RSL157" s="69"/>
      <c r="RSM157" s="69"/>
      <c r="RSN157" s="69"/>
      <c r="RSO157" s="69"/>
      <c r="RSP157" s="69"/>
      <c r="RSQ157" s="69"/>
      <c r="RSR157" s="69"/>
      <c r="RSS157" s="69"/>
      <c r="RST157" s="69"/>
      <c r="RSU157" s="69"/>
      <c r="RSV157" s="69"/>
      <c r="RSW157" s="69"/>
      <c r="RSX157" s="69"/>
      <c r="RSY157" s="69"/>
      <c r="RSZ157" s="69"/>
      <c r="RTA157" s="69"/>
      <c r="RTB157" s="69"/>
      <c r="RTC157" s="69"/>
      <c r="RTD157" s="69"/>
      <c r="RTE157" s="69"/>
      <c r="RTF157" s="69"/>
      <c r="RTG157" s="69"/>
      <c r="RTH157" s="69"/>
      <c r="RTI157" s="69"/>
      <c r="RTJ157" s="69"/>
      <c r="RTK157" s="69"/>
      <c r="RTL157" s="69"/>
      <c r="RTM157" s="69"/>
      <c r="RTN157" s="69"/>
      <c r="RTO157" s="69"/>
      <c r="RTP157" s="69"/>
      <c r="RTQ157" s="69"/>
      <c r="RTR157" s="69"/>
      <c r="RTS157" s="69"/>
      <c r="RTT157" s="69"/>
      <c r="RTU157" s="69"/>
      <c r="RTV157" s="69"/>
      <c r="RTW157" s="69"/>
      <c r="RTX157" s="69"/>
      <c r="RTY157" s="69"/>
      <c r="RTZ157" s="69"/>
      <c r="RUA157" s="69"/>
      <c r="RUB157" s="69"/>
      <c r="RUC157" s="69"/>
      <c r="RUD157" s="69"/>
      <c r="RUE157" s="69"/>
      <c r="RUF157" s="69"/>
      <c r="RUG157" s="69"/>
      <c r="RUH157" s="69"/>
      <c r="RUI157" s="69"/>
      <c r="RUJ157" s="69"/>
      <c r="RUK157" s="69"/>
      <c r="RUL157" s="69"/>
      <c r="RUM157" s="69"/>
      <c r="RUN157" s="69"/>
      <c r="RUO157" s="69"/>
      <c r="RUP157" s="69"/>
      <c r="RUQ157" s="69"/>
      <c r="RUR157" s="69"/>
      <c r="RUS157" s="69"/>
      <c r="RUT157" s="69"/>
      <c r="RUU157" s="69"/>
      <c r="RUV157" s="69"/>
      <c r="RUW157" s="69"/>
      <c r="RUX157" s="69"/>
      <c r="RUY157" s="69"/>
      <c r="RUZ157" s="69"/>
      <c r="RVA157" s="69"/>
      <c r="RVB157" s="69"/>
      <c r="RVC157" s="69"/>
      <c r="RVD157" s="69"/>
      <c r="RVE157" s="69"/>
      <c r="RVF157" s="69"/>
      <c r="RVG157" s="69"/>
      <c r="RVH157" s="69"/>
      <c r="RVI157" s="69"/>
      <c r="RVJ157" s="69"/>
      <c r="RVK157" s="69"/>
      <c r="RVL157" s="69"/>
      <c r="RVM157" s="69"/>
      <c r="RVN157" s="69"/>
      <c r="RVO157" s="69"/>
      <c r="RVP157" s="69"/>
      <c r="RVQ157" s="69"/>
      <c r="RVR157" s="69"/>
      <c r="RVS157" s="69"/>
      <c r="RVT157" s="69"/>
      <c r="RVU157" s="69"/>
      <c r="RVV157" s="69"/>
      <c r="RVW157" s="69"/>
      <c r="RVX157" s="69"/>
      <c r="RVY157" s="69"/>
      <c r="RVZ157" s="69"/>
      <c r="RWA157" s="69"/>
      <c r="RWB157" s="69"/>
      <c r="RWC157" s="69"/>
      <c r="RWD157" s="69"/>
      <c r="RWE157" s="69"/>
      <c r="RWF157" s="69"/>
      <c r="RWG157" s="69"/>
      <c r="RWH157" s="69"/>
      <c r="RWI157" s="69"/>
      <c r="RWJ157" s="69"/>
      <c r="RWK157" s="69"/>
      <c r="RWL157" s="69"/>
      <c r="RWM157" s="69"/>
      <c r="RWN157" s="69"/>
      <c r="RWO157" s="69"/>
      <c r="RWP157" s="69"/>
      <c r="RWQ157" s="69"/>
      <c r="RWR157" s="69"/>
      <c r="RWS157" s="69"/>
      <c r="RWT157" s="69"/>
      <c r="RWU157" s="69"/>
      <c r="RWV157" s="69"/>
      <c r="RWW157" s="69"/>
      <c r="RWX157" s="69"/>
      <c r="RWY157" s="69"/>
      <c r="RWZ157" s="69"/>
      <c r="RXA157" s="69"/>
      <c r="RXB157" s="69"/>
      <c r="RXC157" s="69"/>
      <c r="RXD157" s="69"/>
      <c r="RXE157" s="69"/>
      <c r="RXF157" s="69"/>
      <c r="RXG157" s="69"/>
      <c r="RXH157" s="69"/>
      <c r="RXI157" s="69"/>
      <c r="RXJ157" s="69"/>
      <c r="RXK157" s="69"/>
      <c r="RXL157" s="69"/>
      <c r="RXM157" s="69"/>
      <c r="RXN157" s="69"/>
      <c r="RXO157" s="69"/>
      <c r="RXP157" s="69"/>
      <c r="RXQ157" s="69"/>
      <c r="RXR157" s="69"/>
      <c r="RXS157" s="69"/>
      <c r="RXT157" s="69"/>
      <c r="RXU157" s="69"/>
      <c r="RXV157" s="69"/>
      <c r="RXW157" s="69"/>
      <c r="RXX157" s="69"/>
      <c r="RXY157" s="69"/>
      <c r="RXZ157" s="69"/>
      <c r="RYA157" s="69"/>
      <c r="RYB157" s="69"/>
      <c r="RYC157" s="69"/>
      <c r="RYD157" s="69"/>
      <c r="RYE157" s="69"/>
      <c r="RYF157" s="69"/>
      <c r="RYG157" s="69"/>
      <c r="RYH157" s="69"/>
      <c r="RYI157" s="69"/>
      <c r="RYJ157" s="69"/>
      <c r="RYK157" s="69"/>
      <c r="RYL157" s="69"/>
      <c r="RYM157" s="69"/>
      <c r="RYN157" s="69"/>
      <c r="RYO157" s="69"/>
      <c r="RYP157" s="69"/>
      <c r="RYQ157" s="69"/>
      <c r="RYR157" s="69"/>
      <c r="RYS157" s="69"/>
      <c r="RYT157" s="69"/>
      <c r="RYU157" s="69"/>
      <c r="RYV157" s="69"/>
      <c r="RYW157" s="69"/>
      <c r="RYX157" s="69"/>
      <c r="RYY157" s="69"/>
      <c r="RYZ157" s="69"/>
      <c r="RZA157" s="69"/>
      <c r="RZB157" s="69"/>
      <c r="RZC157" s="69"/>
      <c r="RZD157" s="69"/>
      <c r="RZE157" s="69"/>
      <c r="RZF157" s="69"/>
      <c r="RZG157" s="69"/>
      <c r="RZH157" s="69"/>
      <c r="RZI157" s="69"/>
      <c r="RZJ157" s="69"/>
      <c r="RZK157" s="69"/>
      <c r="RZL157" s="69"/>
      <c r="RZM157" s="69"/>
      <c r="RZN157" s="69"/>
      <c r="RZO157" s="69"/>
      <c r="RZP157" s="69"/>
      <c r="RZQ157" s="69"/>
      <c r="RZR157" s="69"/>
      <c r="RZS157" s="69"/>
      <c r="RZT157" s="69"/>
      <c r="RZU157" s="69"/>
      <c r="RZV157" s="69"/>
      <c r="RZW157" s="69"/>
      <c r="RZX157" s="69"/>
      <c r="RZY157" s="69"/>
      <c r="RZZ157" s="69"/>
      <c r="SAA157" s="69"/>
      <c r="SAB157" s="69"/>
      <c r="SAC157" s="69"/>
      <c r="SAD157" s="69"/>
      <c r="SAE157" s="69"/>
      <c r="SAF157" s="69"/>
      <c r="SAG157" s="69"/>
      <c r="SAH157" s="69"/>
      <c r="SAI157" s="69"/>
      <c r="SAJ157" s="69"/>
      <c r="SAK157" s="69"/>
      <c r="SAL157" s="69"/>
      <c r="SAM157" s="69"/>
      <c r="SAN157" s="69"/>
      <c r="SAO157" s="69"/>
      <c r="SAP157" s="69"/>
      <c r="SAQ157" s="69"/>
      <c r="SAR157" s="69"/>
      <c r="SAS157" s="69"/>
      <c r="SAT157" s="69"/>
      <c r="SAU157" s="69"/>
      <c r="SAV157" s="69"/>
      <c r="SAW157" s="69"/>
      <c r="SAX157" s="69"/>
      <c r="SAY157" s="69"/>
      <c r="SAZ157" s="69"/>
      <c r="SBA157" s="69"/>
      <c r="SBB157" s="69"/>
      <c r="SBC157" s="69"/>
      <c r="SBD157" s="69"/>
      <c r="SBE157" s="69"/>
      <c r="SBF157" s="69"/>
      <c r="SBG157" s="69"/>
      <c r="SBH157" s="69"/>
      <c r="SBI157" s="69"/>
      <c r="SBJ157" s="69"/>
      <c r="SBK157" s="69"/>
      <c r="SBL157" s="69"/>
      <c r="SBM157" s="69"/>
      <c r="SBN157" s="69"/>
      <c r="SBO157" s="69"/>
      <c r="SBP157" s="69"/>
      <c r="SBQ157" s="69"/>
      <c r="SBR157" s="69"/>
      <c r="SBS157" s="69"/>
      <c r="SBT157" s="69"/>
      <c r="SBU157" s="69"/>
      <c r="SBV157" s="69"/>
      <c r="SBW157" s="69"/>
      <c r="SBX157" s="69"/>
      <c r="SBY157" s="69"/>
      <c r="SBZ157" s="69"/>
      <c r="SCA157" s="69"/>
      <c r="SCB157" s="69"/>
      <c r="SCC157" s="69"/>
      <c r="SCD157" s="69"/>
      <c r="SCE157" s="69"/>
      <c r="SCF157" s="69"/>
      <c r="SCG157" s="69"/>
      <c r="SCH157" s="69"/>
      <c r="SCI157" s="69"/>
      <c r="SCJ157" s="69"/>
      <c r="SCK157" s="69"/>
      <c r="SCL157" s="69"/>
      <c r="SCM157" s="69"/>
      <c r="SCN157" s="69"/>
      <c r="SCO157" s="69"/>
      <c r="SCP157" s="69"/>
      <c r="SCQ157" s="69"/>
      <c r="SCR157" s="69"/>
      <c r="SCS157" s="69"/>
      <c r="SCT157" s="69"/>
      <c r="SCU157" s="69"/>
      <c r="SCV157" s="69"/>
      <c r="SCW157" s="69"/>
      <c r="SCX157" s="69"/>
      <c r="SCY157" s="69"/>
      <c r="SCZ157" s="69"/>
      <c r="SDA157" s="69"/>
      <c r="SDB157" s="69"/>
      <c r="SDC157" s="69"/>
      <c r="SDD157" s="69"/>
      <c r="SDE157" s="69"/>
      <c r="SDF157" s="69"/>
      <c r="SDG157" s="69"/>
      <c r="SDH157" s="69"/>
      <c r="SDI157" s="69"/>
      <c r="SDJ157" s="69"/>
      <c r="SDK157" s="69"/>
      <c r="SDL157" s="69"/>
      <c r="SDM157" s="69"/>
      <c r="SDN157" s="69"/>
      <c r="SDO157" s="69"/>
      <c r="SDP157" s="69"/>
      <c r="SDQ157" s="69"/>
      <c r="SDR157" s="69"/>
      <c r="SDS157" s="69"/>
      <c r="SDT157" s="69"/>
      <c r="SDU157" s="69"/>
      <c r="SDV157" s="69"/>
      <c r="SDW157" s="69"/>
      <c r="SDX157" s="69"/>
      <c r="SDY157" s="69"/>
      <c r="SDZ157" s="69"/>
      <c r="SEA157" s="69"/>
      <c r="SEB157" s="69"/>
      <c r="SEC157" s="69"/>
      <c r="SED157" s="69"/>
      <c r="SEE157" s="69"/>
      <c r="SEF157" s="69"/>
      <c r="SEG157" s="69"/>
      <c r="SEH157" s="69"/>
      <c r="SEI157" s="69"/>
      <c r="SEJ157" s="69"/>
      <c r="SEK157" s="69"/>
      <c r="SEL157" s="69"/>
      <c r="SEM157" s="69"/>
      <c r="SEN157" s="69"/>
      <c r="SEO157" s="69"/>
      <c r="SEP157" s="69"/>
      <c r="SEQ157" s="69"/>
      <c r="SER157" s="69"/>
      <c r="SES157" s="69"/>
      <c r="SET157" s="69"/>
      <c r="SEU157" s="69"/>
      <c r="SEV157" s="69"/>
      <c r="SEW157" s="69"/>
      <c r="SEX157" s="69"/>
      <c r="SEY157" s="69"/>
      <c r="SEZ157" s="69"/>
      <c r="SFA157" s="69"/>
      <c r="SFB157" s="69"/>
      <c r="SFC157" s="69"/>
      <c r="SFD157" s="69"/>
      <c r="SFE157" s="69"/>
      <c r="SFF157" s="69"/>
      <c r="SFG157" s="69"/>
      <c r="SFH157" s="69"/>
      <c r="SFI157" s="69"/>
      <c r="SFJ157" s="69"/>
      <c r="SFK157" s="69"/>
      <c r="SFL157" s="69"/>
      <c r="SFM157" s="69"/>
      <c r="SFN157" s="69"/>
      <c r="SFO157" s="69"/>
      <c r="SFP157" s="69"/>
      <c r="SFQ157" s="69"/>
      <c r="SFR157" s="69"/>
      <c r="SFS157" s="69"/>
      <c r="SFT157" s="69"/>
      <c r="SFU157" s="69"/>
      <c r="SFV157" s="69"/>
      <c r="SFW157" s="69"/>
      <c r="SFX157" s="69"/>
      <c r="SFY157" s="69"/>
      <c r="SFZ157" s="69"/>
      <c r="SGA157" s="69"/>
      <c r="SGB157" s="69"/>
      <c r="SGC157" s="69"/>
      <c r="SGD157" s="69"/>
      <c r="SGE157" s="69"/>
      <c r="SGF157" s="69"/>
      <c r="SGG157" s="69"/>
      <c r="SGH157" s="69"/>
      <c r="SGI157" s="69"/>
      <c r="SGJ157" s="69"/>
      <c r="SGK157" s="69"/>
      <c r="SGL157" s="69"/>
      <c r="SGM157" s="69"/>
      <c r="SGN157" s="69"/>
      <c r="SGO157" s="69"/>
      <c r="SGP157" s="69"/>
      <c r="SGQ157" s="69"/>
      <c r="SGR157" s="69"/>
      <c r="SGS157" s="69"/>
      <c r="SGT157" s="69"/>
      <c r="SGU157" s="69"/>
      <c r="SGV157" s="69"/>
      <c r="SGW157" s="69"/>
      <c r="SGX157" s="69"/>
      <c r="SGY157" s="69"/>
      <c r="SGZ157" s="69"/>
      <c r="SHA157" s="69"/>
      <c r="SHB157" s="69"/>
      <c r="SHC157" s="69"/>
      <c r="SHD157" s="69"/>
      <c r="SHE157" s="69"/>
      <c r="SHF157" s="69"/>
      <c r="SHG157" s="69"/>
      <c r="SHH157" s="69"/>
      <c r="SHI157" s="69"/>
      <c r="SHJ157" s="69"/>
      <c r="SHK157" s="69"/>
      <c r="SHL157" s="69"/>
      <c r="SHM157" s="69"/>
      <c r="SHN157" s="69"/>
      <c r="SHO157" s="69"/>
      <c r="SHP157" s="69"/>
      <c r="SHQ157" s="69"/>
      <c r="SHR157" s="69"/>
      <c r="SHS157" s="69"/>
      <c r="SHT157" s="69"/>
      <c r="SHU157" s="69"/>
      <c r="SHV157" s="69"/>
      <c r="SHW157" s="69"/>
      <c r="SHX157" s="69"/>
      <c r="SHY157" s="69"/>
      <c r="SHZ157" s="69"/>
      <c r="SIA157" s="69"/>
      <c r="SIB157" s="69"/>
      <c r="SIC157" s="69"/>
      <c r="SID157" s="69"/>
      <c r="SIE157" s="69"/>
      <c r="SIF157" s="69"/>
      <c r="SIG157" s="69"/>
      <c r="SIH157" s="69"/>
      <c r="SII157" s="69"/>
      <c r="SIJ157" s="69"/>
      <c r="SIK157" s="69"/>
      <c r="SIL157" s="69"/>
      <c r="SIM157" s="69"/>
      <c r="SIN157" s="69"/>
      <c r="SIO157" s="69"/>
      <c r="SIP157" s="69"/>
      <c r="SIQ157" s="69"/>
      <c r="SIR157" s="69"/>
      <c r="SIS157" s="69"/>
      <c r="SIT157" s="69"/>
      <c r="SIU157" s="69"/>
      <c r="SIV157" s="69"/>
      <c r="SIW157" s="69"/>
      <c r="SIX157" s="69"/>
      <c r="SIY157" s="69"/>
      <c r="SIZ157" s="69"/>
      <c r="SJA157" s="69"/>
      <c r="SJB157" s="69"/>
      <c r="SJC157" s="69"/>
      <c r="SJD157" s="69"/>
      <c r="SJE157" s="69"/>
      <c r="SJF157" s="69"/>
      <c r="SJG157" s="69"/>
      <c r="SJH157" s="69"/>
      <c r="SJI157" s="69"/>
      <c r="SJJ157" s="69"/>
      <c r="SJK157" s="69"/>
      <c r="SJL157" s="69"/>
      <c r="SJM157" s="69"/>
      <c r="SJN157" s="69"/>
      <c r="SJO157" s="69"/>
      <c r="SJP157" s="69"/>
      <c r="SJQ157" s="69"/>
      <c r="SJR157" s="69"/>
      <c r="SJS157" s="69"/>
      <c r="SJT157" s="69"/>
      <c r="SJU157" s="69"/>
      <c r="SJV157" s="69"/>
      <c r="SJW157" s="69"/>
      <c r="SJX157" s="69"/>
      <c r="SJY157" s="69"/>
      <c r="SJZ157" s="69"/>
      <c r="SKA157" s="69"/>
      <c r="SKB157" s="69"/>
      <c r="SKC157" s="69"/>
      <c r="SKD157" s="69"/>
      <c r="SKE157" s="69"/>
      <c r="SKF157" s="69"/>
      <c r="SKG157" s="69"/>
      <c r="SKH157" s="69"/>
      <c r="SKI157" s="69"/>
      <c r="SKJ157" s="69"/>
      <c r="SKK157" s="69"/>
      <c r="SKL157" s="69"/>
      <c r="SKM157" s="69"/>
      <c r="SKN157" s="69"/>
      <c r="SKO157" s="69"/>
      <c r="SKP157" s="69"/>
      <c r="SKQ157" s="69"/>
      <c r="SKR157" s="69"/>
      <c r="SKS157" s="69"/>
      <c r="SKT157" s="69"/>
      <c r="SKU157" s="69"/>
      <c r="SKV157" s="69"/>
      <c r="SKW157" s="69"/>
      <c r="SKX157" s="69"/>
      <c r="SKY157" s="69"/>
      <c r="SKZ157" s="69"/>
      <c r="SLA157" s="69"/>
      <c r="SLB157" s="69"/>
      <c r="SLC157" s="69"/>
      <c r="SLD157" s="69"/>
      <c r="SLE157" s="69"/>
      <c r="SLF157" s="69"/>
      <c r="SLG157" s="69"/>
      <c r="SLH157" s="69"/>
      <c r="SLI157" s="69"/>
      <c r="SLJ157" s="69"/>
      <c r="SLK157" s="69"/>
      <c r="SLL157" s="69"/>
      <c r="SLM157" s="69"/>
      <c r="SLN157" s="69"/>
      <c r="SLO157" s="69"/>
      <c r="SLP157" s="69"/>
      <c r="SLQ157" s="69"/>
      <c r="SLR157" s="69"/>
      <c r="SLS157" s="69"/>
      <c r="SLT157" s="69"/>
      <c r="SLU157" s="69"/>
      <c r="SLV157" s="69"/>
      <c r="SLW157" s="69"/>
      <c r="SLX157" s="69"/>
      <c r="SLY157" s="69"/>
      <c r="SLZ157" s="69"/>
      <c r="SMA157" s="69"/>
      <c r="SMB157" s="69"/>
      <c r="SMC157" s="69"/>
      <c r="SMD157" s="69"/>
      <c r="SME157" s="69"/>
      <c r="SMF157" s="69"/>
      <c r="SMG157" s="69"/>
      <c r="SMH157" s="69"/>
      <c r="SMI157" s="69"/>
      <c r="SMJ157" s="69"/>
      <c r="SMK157" s="69"/>
      <c r="SML157" s="69"/>
      <c r="SMM157" s="69"/>
      <c r="SMN157" s="69"/>
      <c r="SMO157" s="69"/>
      <c r="SMP157" s="69"/>
      <c r="SMQ157" s="69"/>
      <c r="SMR157" s="69"/>
      <c r="SMS157" s="69"/>
      <c r="SMT157" s="69"/>
      <c r="SMU157" s="69"/>
      <c r="SMV157" s="69"/>
      <c r="SMW157" s="69"/>
      <c r="SMX157" s="69"/>
      <c r="SMY157" s="69"/>
      <c r="SMZ157" s="69"/>
      <c r="SNA157" s="69"/>
      <c r="SNB157" s="69"/>
      <c r="SNC157" s="69"/>
      <c r="SND157" s="69"/>
      <c r="SNE157" s="69"/>
      <c r="SNF157" s="69"/>
      <c r="SNG157" s="69"/>
      <c r="SNH157" s="69"/>
      <c r="SNI157" s="69"/>
      <c r="SNJ157" s="69"/>
      <c r="SNK157" s="69"/>
      <c r="SNL157" s="69"/>
      <c r="SNM157" s="69"/>
      <c r="SNN157" s="69"/>
      <c r="SNO157" s="69"/>
      <c r="SNP157" s="69"/>
      <c r="SNQ157" s="69"/>
      <c r="SNR157" s="69"/>
      <c r="SNS157" s="69"/>
      <c r="SNT157" s="69"/>
      <c r="SNU157" s="69"/>
      <c r="SNV157" s="69"/>
      <c r="SNW157" s="69"/>
      <c r="SNX157" s="69"/>
      <c r="SNY157" s="69"/>
      <c r="SNZ157" s="69"/>
      <c r="SOA157" s="69"/>
      <c r="SOB157" s="69"/>
      <c r="SOC157" s="69"/>
      <c r="SOD157" s="69"/>
      <c r="SOE157" s="69"/>
      <c r="SOF157" s="69"/>
      <c r="SOG157" s="69"/>
      <c r="SOH157" s="69"/>
      <c r="SOI157" s="69"/>
      <c r="SOJ157" s="69"/>
      <c r="SOK157" s="69"/>
      <c r="SOL157" s="69"/>
      <c r="SOM157" s="69"/>
      <c r="SON157" s="69"/>
      <c r="SOO157" s="69"/>
      <c r="SOP157" s="69"/>
      <c r="SOQ157" s="69"/>
      <c r="SOR157" s="69"/>
      <c r="SOS157" s="69"/>
      <c r="SOT157" s="69"/>
      <c r="SOU157" s="69"/>
      <c r="SOV157" s="69"/>
      <c r="SOW157" s="69"/>
      <c r="SOX157" s="69"/>
      <c r="SOY157" s="69"/>
      <c r="SOZ157" s="69"/>
      <c r="SPA157" s="69"/>
      <c r="SPB157" s="69"/>
      <c r="SPC157" s="69"/>
      <c r="SPD157" s="69"/>
      <c r="SPE157" s="69"/>
      <c r="SPF157" s="69"/>
      <c r="SPG157" s="69"/>
      <c r="SPH157" s="69"/>
      <c r="SPI157" s="69"/>
      <c r="SPJ157" s="69"/>
      <c r="SPK157" s="69"/>
      <c r="SPL157" s="69"/>
      <c r="SPM157" s="69"/>
      <c r="SPN157" s="69"/>
      <c r="SPO157" s="69"/>
      <c r="SPP157" s="69"/>
      <c r="SPQ157" s="69"/>
      <c r="SPR157" s="69"/>
      <c r="SPS157" s="69"/>
      <c r="SPT157" s="69"/>
      <c r="SPU157" s="69"/>
      <c r="SPV157" s="69"/>
      <c r="SPW157" s="69"/>
      <c r="SPX157" s="69"/>
      <c r="SPY157" s="69"/>
      <c r="SPZ157" s="69"/>
      <c r="SQA157" s="69"/>
      <c r="SQB157" s="69"/>
      <c r="SQC157" s="69"/>
      <c r="SQD157" s="69"/>
      <c r="SQE157" s="69"/>
      <c r="SQF157" s="69"/>
      <c r="SQG157" s="69"/>
      <c r="SQH157" s="69"/>
      <c r="SQI157" s="69"/>
      <c r="SQJ157" s="69"/>
      <c r="SQK157" s="69"/>
      <c r="SQL157" s="69"/>
      <c r="SQM157" s="69"/>
      <c r="SQN157" s="69"/>
      <c r="SQO157" s="69"/>
      <c r="SQP157" s="69"/>
      <c r="SQQ157" s="69"/>
      <c r="SQR157" s="69"/>
      <c r="SQS157" s="69"/>
      <c r="SQT157" s="69"/>
      <c r="SQU157" s="69"/>
      <c r="SQV157" s="69"/>
      <c r="SQW157" s="69"/>
      <c r="SQX157" s="69"/>
      <c r="SQY157" s="69"/>
      <c r="SQZ157" s="69"/>
      <c r="SRA157" s="69"/>
      <c r="SRB157" s="69"/>
      <c r="SRC157" s="69"/>
      <c r="SRD157" s="69"/>
      <c r="SRE157" s="69"/>
      <c r="SRF157" s="69"/>
      <c r="SRG157" s="69"/>
      <c r="SRH157" s="69"/>
      <c r="SRI157" s="69"/>
      <c r="SRJ157" s="69"/>
      <c r="SRK157" s="69"/>
      <c r="SRL157" s="69"/>
      <c r="SRM157" s="69"/>
      <c r="SRN157" s="69"/>
      <c r="SRO157" s="69"/>
      <c r="SRP157" s="69"/>
      <c r="SRQ157" s="69"/>
      <c r="SRR157" s="69"/>
      <c r="SRS157" s="69"/>
      <c r="SRT157" s="69"/>
      <c r="SRU157" s="69"/>
      <c r="SRV157" s="69"/>
      <c r="SRW157" s="69"/>
      <c r="SRX157" s="69"/>
      <c r="SRY157" s="69"/>
      <c r="SRZ157" s="69"/>
      <c r="SSA157" s="69"/>
      <c r="SSB157" s="69"/>
      <c r="SSC157" s="69"/>
      <c r="SSD157" s="69"/>
      <c r="SSE157" s="69"/>
      <c r="SSF157" s="69"/>
      <c r="SSG157" s="69"/>
      <c r="SSH157" s="69"/>
      <c r="SSI157" s="69"/>
      <c r="SSJ157" s="69"/>
      <c r="SSK157" s="69"/>
      <c r="SSL157" s="69"/>
      <c r="SSM157" s="69"/>
      <c r="SSN157" s="69"/>
      <c r="SSO157" s="69"/>
      <c r="SSP157" s="69"/>
      <c r="SSQ157" s="69"/>
      <c r="SSR157" s="69"/>
      <c r="SSS157" s="69"/>
      <c r="SST157" s="69"/>
      <c r="SSU157" s="69"/>
      <c r="SSV157" s="69"/>
      <c r="SSW157" s="69"/>
      <c r="SSX157" s="69"/>
      <c r="SSY157" s="69"/>
      <c r="SSZ157" s="69"/>
      <c r="STA157" s="69"/>
      <c r="STB157" s="69"/>
      <c r="STC157" s="69"/>
      <c r="STD157" s="69"/>
      <c r="STE157" s="69"/>
      <c r="STF157" s="69"/>
      <c r="STG157" s="69"/>
      <c r="STH157" s="69"/>
      <c r="STI157" s="69"/>
      <c r="STJ157" s="69"/>
      <c r="STK157" s="69"/>
      <c r="STL157" s="69"/>
      <c r="STM157" s="69"/>
      <c r="STN157" s="69"/>
      <c r="STO157" s="69"/>
      <c r="STP157" s="69"/>
      <c r="STQ157" s="69"/>
      <c r="STR157" s="69"/>
      <c r="STS157" s="69"/>
      <c r="STT157" s="69"/>
      <c r="STU157" s="69"/>
      <c r="STV157" s="69"/>
      <c r="STW157" s="69"/>
      <c r="STX157" s="69"/>
      <c r="STY157" s="69"/>
      <c r="STZ157" s="69"/>
      <c r="SUA157" s="69"/>
      <c r="SUB157" s="69"/>
      <c r="SUC157" s="69"/>
      <c r="SUD157" s="69"/>
      <c r="SUE157" s="69"/>
      <c r="SUF157" s="69"/>
      <c r="SUG157" s="69"/>
      <c r="SUH157" s="69"/>
      <c r="SUI157" s="69"/>
      <c r="SUJ157" s="69"/>
      <c r="SUK157" s="69"/>
      <c r="SUL157" s="69"/>
      <c r="SUM157" s="69"/>
      <c r="SUN157" s="69"/>
      <c r="SUO157" s="69"/>
      <c r="SUP157" s="69"/>
      <c r="SUQ157" s="69"/>
      <c r="SUR157" s="69"/>
      <c r="SUS157" s="69"/>
      <c r="SUT157" s="69"/>
      <c r="SUU157" s="69"/>
      <c r="SUV157" s="69"/>
      <c r="SUW157" s="69"/>
      <c r="SUX157" s="69"/>
      <c r="SUY157" s="69"/>
      <c r="SUZ157" s="69"/>
      <c r="SVA157" s="69"/>
      <c r="SVB157" s="69"/>
      <c r="SVC157" s="69"/>
      <c r="SVD157" s="69"/>
      <c r="SVE157" s="69"/>
      <c r="SVF157" s="69"/>
      <c r="SVG157" s="69"/>
      <c r="SVH157" s="69"/>
      <c r="SVI157" s="69"/>
      <c r="SVJ157" s="69"/>
      <c r="SVK157" s="69"/>
      <c r="SVL157" s="69"/>
      <c r="SVM157" s="69"/>
      <c r="SVN157" s="69"/>
      <c r="SVO157" s="69"/>
      <c r="SVP157" s="69"/>
      <c r="SVQ157" s="69"/>
      <c r="SVR157" s="69"/>
      <c r="SVS157" s="69"/>
      <c r="SVT157" s="69"/>
      <c r="SVU157" s="69"/>
      <c r="SVV157" s="69"/>
      <c r="SVW157" s="69"/>
      <c r="SVX157" s="69"/>
      <c r="SVY157" s="69"/>
      <c r="SVZ157" s="69"/>
      <c r="SWA157" s="69"/>
      <c r="SWB157" s="69"/>
      <c r="SWC157" s="69"/>
      <c r="SWD157" s="69"/>
      <c r="SWE157" s="69"/>
      <c r="SWF157" s="69"/>
      <c r="SWG157" s="69"/>
      <c r="SWH157" s="69"/>
      <c r="SWI157" s="69"/>
      <c r="SWJ157" s="69"/>
      <c r="SWK157" s="69"/>
      <c r="SWL157" s="69"/>
      <c r="SWM157" s="69"/>
      <c r="SWN157" s="69"/>
      <c r="SWO157" s="69"/>
      <c r="SWP157" s="69"/>
      <c r="SWQ157" s="69"/>
      <c r="SWR157" s="69"/>
      <c r="SWS157" s="69"/>
      <c r="SWT157" s="69"/>
      <c r="SWU157" s="69"/>
      <c r="SWV157" s="69"/>
      <c r="SWW157" s="69"/>
      <c r="SWX157" s="69"/>
      <c r="SWY157" s="69"/>
      <c r="SWZ157" s="69"/>
      <c r="SXA157" s="69"/>
      <c r="SXB157" s="69"/>
      <c r="SXC157" s="69"/>
      <c r="SXD157" s="69"/>
      <c r="SXE157" s="69"/>
      <c r="SXF157" s="69"/>
      <c r="SXG157" s="69"/>
      <c r="SXH157" s="69"/>
      <c r="SXI157" s="69"/>
      <c r="SXJ157" s="69"/>
      <c r="SXK157" s="69"/>
      <c r="SXL157" s="69"/>
      <c r="SXM157" s="69"/>
      <c r="SXN157" s="69"/>
      <c r="SXO157" s="69"/>
      <c r="SXP157" s="69"/>
      <c r="SXQ157" s="69"/>
      <c r="SXR157" s="69"/>
      <c r="SXS157" s="69"/>
      <c r="SXT157" s="69"/>
      <c r="SXU157" s="69"/>
      <c r="SXV157" s="69"/>
      <c r="SXW157" s="69"/>
      <c r="SXX157" s="69"/>
      <c r="SXY157" s="69"/>
      <c r="SXZ157" s="69"/>
      <c r="SYA157" s="69"/>
      <c r="SYB157" s="69"/>
      <c r="SYC157" s="69"/>
      <c r="SYD157" s="69"/>
      <c r="SYE157" s="69"/>
      <c r="SYF157" s="69"/>
      <c r="SYG157" s="69"/>
      <c r="SYH157" s="69"/>
      <c r="SYI157" s="69"/>
      <c r="SYJ157" s="69"/>
      <c r="SYK157" s="69"/>
      <c r="SYL157" s="69"/>
      <c r="SYM157" s="69"/>
      <c r="SYN157" s="69"/>
      <c r="SYO157" s="69"/>
      <c r="SYP157" s="69"/>
      <c r="SYQ157" s="69"/>
      <c r="SYR157" s="69"/>
      <c r="SYS157" s="69"/>
      <c r="SYT157" s="69"/>
      <c r="SYU157" s="69"/>
      <c r="SYV157" s="69"/>
      <c r="SYW157" s="69"/>
      <c r="SYX157" s="69"/>
      <c r="SYY157" s="69"/>
      <c r="SYZ157" s="69"/>
      <c r="SZA157" s="69"/>
      <c r="SZB157" s="69"/>
      <c r="SZC157" s="69"/>
      <c r="SZD157" s="69"/>
      <c r="SZE157" s="69"/>
      <c r="SZF157" s="69"/>
      <c r="SZG157" s="69"/>
      <c r="SZH157" s="69"/>
      <c r="SZI157" s="69"/>
      <c r="SZJ157" s="69"/>
      <c r="SZK157" s="69"/>
      <c r="SZL157" s="69"/>
      <c r="SZM157" s="69"/>
      <c r="SZN157" s="69"/>
      <c r="SZO157" s="69"/>
      <c r="SZP157" s="69"/>
      <c r="SZQ157" s="69"/>
      <c r="SZR157" s="69"/>
      <c r="SZS157" s="69"/>
      <c r="SZT157" s="69"/>
      <c r="SZU157" s="69"/>
      <c r="SZV157" s="69"/>
      <c r="SZW157" s="69"/>
      <c r="SZX157" s="69"/>
      <c r="SZY157" s="69"/>
      <c r="SZZ157" s="69"/>
      <c r="TAA157" s="69"/>
      <c r="TAB157" s="69"/>
      <c r="TAC157" s="69"/>
      <c r="TAD157" s="69"/>
      <c r="TAE157" s="69"/>
      <c r="TAF157" s="69"/>
      <c r="TAG157" s="69"/>
      <c r="TAH157" s="69"/>
      <c r="TAI157" s="69"/>
      <c r="TAJ157" s="69"/>
      <c r="TAK157" s="69"/>
      <c r="TAL157" s="69"/>
      <c r="TAM157" s="69"/>
      <c r="TAN157" s="69"/>
      <c r="TAO157" s="69"/>
      <c r="TAP157" s="69"/>
      <c r="TAQ157" s="69"/>
      <c r="TAR157" s="69"/>
      <c r="TAS157" s="69"/>
      <c r="TAT157" s="69"/>
      <c r="TAU157" s="69"/>
      <c r="TAV157" s="69"/>
      <c r="TAW157" s="69"/>
      <c r="TAX157" s="69"/>
      <c r="TAY157" s="69"/>
      <c r="TAZ157" s="69"/>
      <c r="TBA157" s="69"/>
      <c r="TBB157" s="69"/>
      <c r="TBC157" s="69"/>
      <c r="TBD157" s="69"/>
      <c r="TBE157" s="69"/>
      <c r="TBF157" s="69"/>
      <c r="TBG157" s="69"/>
      <c r="TBH157" s="69"/>
      <c r="TBI157" s="69"/>
      <c r="TBJ157" s="69"/>
      <c r="TBK157" s="69"/>
      <c r="TBL157" s="69"/>
      <c r="TBM157" s="69"/>
      <c r="TBN157" s="69"/>
      <c r="TBO157" s="69"/>
      <c r="TBP157" s="69"/>
      <c r="TBQ157" s="69"/>
      <c r="TBR157" s="69"/>
      <c r="TBS157" s="69"/>
      <c r="TBT157" s="69"/>
      <c r="TBU157" s="69"/>
      <c r="TBV157" s="69"/>
      <c r="TBW157" s="69"/>
      <c r="TBX157" s="69"/>
      <c r="TBY157" s="69"/>
      <c r="TBZ157" s="69"/>
      <c r="TCA157" s="69"/>
      <c r="TCB157" s="69"/>
      <c r="TCC157" s="69"/>
      <c r="TCD157" s="69"/>
      <c r="TCE157" s="69"/>
      <c r="TCF157" s="69"/>
      <c r="TCG157" s="69"/>
      <c r="TCH157" s="69"/>
      <c r="TCI157" s="69"/>
      <c r="TCJ157" s="69"/>
      <c r="TCK157" s="69"/>
      <c r="TCL157" s="69"/>
      <c r="TCM157" s="69"/>
      <c r="TCN157" s="69"/>
      <c r="TCO157" s="69"/>
      <c r="TCP157" s="69"/>
      <c r="TCQ157" s="69"/>
      <c r="TCR157" s="69"/>
      <c r="TCS157" s="69"/>
      <c r="TCT157" s="69"/>
      <c r="TCU157" s="69"/>
      <c r="TCV157" s="69"/>
      <c r="TCW157" s="69"/>
      <c r="TCX157" s="69"/>
      <c r="TCY157" s="69"/>
      <c r="TCZ157" s="69"/>
      <c r="TDA157" s="69"/>
      <c r="TDB157" s="69"/>
      <c r="TDC157" s="69"/>
      <c r="TDD157" s="69"/>
      <c r="TDE157" s="69"/>
      <c r="TDF157" s="69"/>
      <c r="TDG157" s="69"/>
      <c r="TDH157" s="69"/>
      <c r="TDI157" s="69"/>
      <c r="TDJ157" s="69"/>
      <c r="TDK157" s="69"/>
      <c r="TDL157" s="69"/>
      <c r="TDM157" s="69"/>
      <c r="TDN157" s="69"/>
      <c r="TDO157" s="69"/>
      <c r="TDP157" s="69"/>
      <c r="TDQ157" s="69"/>
      <c r="TDR157" s="69"/>
      <c r="TDS157" s="69"/>
      <c r="TDT157" s="69"/>
      <c r="TDU157" s="69"/>
      <c r="TDV157" s="69"/>
      <c r="TDW157" s="69"/>
      <c r="TDX157" s="69"/>
      <c r="TDY157" s="69"/>
      <c r="TDZ157" s="69"/>
      <c r="TEA157" s="69"/>
      <c r="TEB157" s="69"/>
      <c r="TEC157" s="69"/>
      <c r="TED157" s="69"/>
      <c r="TEE157" s="69"/>
      <c r="TEF157" s="69"/>
      <c r="TEG157" s="69"/>
      <c r="TEH157" s="69"/>
      <c r="TEI157" s="69"/>
      <c r="TEJ157" s="69"/>
      <c r="TEK157" s="69"/>
      <c r="TEL157" s="69"/>
      <c r="TEM157" s="69"/>
      <c r="TEN157" s="69"/>
      <c r="TEO157" s="69"/>
      <c r="TEP157" s="69"/>
      <c r="TEQ157" s="69"/>
      <c r="TER157" s="69"/>
      <c r="TES157" s="69"/>
      <c r="TET157" s="69"/>
      <c r="TEU157" s="69"/>
      <c r="TEV157" s="69"/>
      <c r="TEW157" s="69"/>
      <c r="TEX157" s="69"/>
      <c r="TEY157" s="69"/>
      <c r="TEZ157" s="69"/>
      <c r="TFA157" s="69"/>
      <c r="TFB157" s="69"/>
      <c r="TFC157" s="69"/>
      <c r="TFD157" s="69"/>
      <c r="TFE157" s="69"/>
      <c r="TFF157" s="69"/>
      <c r="TFG157" s="69"/>
      <c r="TFH157" s="69"/>
      <c r="TFI157" s="69"/>
      <c r="TFJ157" s="69"/>
      <c r="TFK157" s="69"/>
      <c r="TFL157" s="69"/>
      <c r="TFM157" s="69"/>
      <c r="TFN157" s="69"/>
      <c r="TFO157" s="69"/>
      <c r="TFP157" s="69"/>
      <c r="TFQ157" s="69"/>
      <c r="TFR157" s="69"/>
      <c r="TFS157" s="69"/>
      <c r="TFT157" s="69"/>
      <c r="TFU157" s="69"/>
      <c r="TFV157" s="69"/>
      <c r="TFW157" s="69"/>
      <c r="TFX157" s="69"/>
      <c r="TFY157" s="69"/>
      <c r="TFZ157" s="69"/>
      <c r="TGA157" s="69"/>
      <c r="TGB157" s="69"/>
      <c r="TGC157" s="69"/>
      <c r="TGD157" s="69"/>
      <c r="TGE157" s="69"/>
      <c r="TGF157" s="69"/>
      <c r="TGG157" s="69"/>
      <c r="TGH157" s="69"/>
      <c r="TGI157" s="69"/>
      <c r="TGJ157" s="69"/>
      <c r="TGK157" s="69"/>
      <c r="TGL157" s="69"/>
      <c r="TGM157" s="69"/>
      <c r="TGN157" s="69"/>
      <c r="TGO157" s="69"/>
      <c r="TGP157" s="69"/>
      <c r="TGQ157" s="69"/>
      <c r="TGR157" s="69"/>
      <c r="TGS157" s="69"/>
      <c r="TGT157" s="69"/>
      <c r="TGU157" s="69"/>
      <c r="TGV157" s="69"/>
      <c r="TGW157" s="69"/>
      <c r="TGX157" s="69"/>
      <c r="TGY157" s="69"/>
      <c r="TGZ157" s="69"/>
      <c r="THA157" s="69"/>
      <c r="THB157" s="69"/>
      <c r="THC157" s="69"/>
      <c r="THD157" s="69"/>
      <c r="THE157" s="69"/>
      <c r="THF157" s="69"/>
      <c r="THG157" s="69"/>
      <c r="THH157" s="69"/>
      <c r="THI157" s="69"/>
      <c r="THJ157" s="69"/>
      <c r="THK157" s="69"/>
      <c r="THL157" s="69"/>
      <c r="THM157" s="69"/>
      <c r="THN157" s="69"/>
      <c r="THO157" s="69"/>
      <c r="THP157" s="69"/>
      <c r="THQ157" s="69"/>
      <c r="THR157" s="69"/>
      <c r="THS157" s="69"/>
      <c r="THT157" s="69"/>
      <c r="THU157" s="69"/>
      <c r="THV157" s="69"/>
      <c r="THW157" s="69"/>
      <c r="THX157" s="69"/>
      <c r="THY157" s="69"/>
      <c r="THZ157" s="69"/>
      <c r="TIA157" s="69"/>
      <c r="TIB157" s="69"/>
      <c r="TIC157" s="69"/>
      <c r="TID157" s="69"/>
      <c r="TIE157" s="69"/>
      <c r="TIF157" s="69"/>
      <c r="TIG157" s="69"/>
      <c r="TIH157" s="69"/>
      <c r="TII157" s="69"/>
      <c r="TIJ157" s="69"/>
      <c r="TIK157" s="69"/>
      <c r="TIL157" s="69"/>
      <c r="TIM157" s="69"/>
      <c r="TIN157" s="69"/>
      <c r="TIO157" s="69"/>
      <c r="TIP157" s="69"/>
      <c r="TIQ157" s="69"/>
      <c r="TIR157" s="69"/>
      <c r="TIS157" s="69"/>
      <c r="TIT157" s="69"/>
      <c r="TIU157" s="69"/>
      <c r="TIV157" s="69"/>
      <c r="TIW157" s="69"/>
      <c r="TIX157" s="69"/>
      <c r="TIY157" s="69"/>
      <c r="TIZ157" s="69"/>
      <c r="TJA157" s="69"/>
      <c r="TJB157" s="69"/>
      <c r="TJC157" s="69"/>
      <c r="TJD157" s="69"/>
      <c r="TJE157" s="69"/>
      <c r="TJF157" s="69"/>
      <c r="TJG157" s="69"/>
      <c r="TJH157" s="69"/>
      <c r="TJI157" s="69"/>
      <c r="TJJ157" s="69"/>
      <c r="TJK157" s="69"/>
      <c r="TJL157" s="69"/>
      <c r="TJM157" s="69"/>
      <c r="TJN157" s="69"/>
      <c r="TJO157" s="69"/>
      <c r="TJP157" s="69"/>
      <c r="TJQ157" s="69"/>
      <c r="TJR157" s="69"/>
      <c r="TJS157" s="69"/>
      <c r="TJT157" s="69"/>
      <c r="TJU157" s="69"/>
      <c r="TJV157" s="69"/>
      <c r="TJW157" s="69"/>
      <c r="TJX157" s="69"/>
      <c r="TJY157" s="69"/>
      <c r="TJZ157" s="69"/>
      <c r="TKA157" s="69"/>
      <c r="TKB157" s="69"/>
      <c r="TKC157" s="69"/>
      <c r="TKD157" s="69"/>
      <c r="TKE157" s="69"/>
      <c r="TKF157" s="69"/>
      <c r="TKG157" s="69"/>
      <c r="TKH157" s="69"/>
      <c r="TKI157" s="69"/>
      <c r="TKJ157" s="69"/>
      <c r="TKK157" s="69"/>
      <c r="TKL157" s="69"/>
      <c r="TKM157" s="69"/>
      <c r="TKN157" s="69"/>
      <c r="TKO157" s="69"/>
      <c r="TKP157" s="69"/>
      <c r="TKQ157" s="69"/>
      <c r="TKR157" s="69"/>
      <c r="TKS157" s="69"/>
      <c r="TKT157" s="69"/>
      <c r="TKU157" s="69"/>
      <c r="TKV157" s="69"/>
      <c r="TKW157" s="69"/>
      <c r="TKX157" s="69"/>
      <c r="TKY157" s="69"/>
      <c r="TKZ157" s="69"/>
      <c r="TLA157" s="69"/>
      <c r="TLB157" s="69"/>
      <c r="TLC157" s="69"/>
      <c r="TLD157" s="69"/>
      <c r="TLE157" s="69"/>
      <c r="TLF157" s="69"/>
      <c r="TLG157" s="69"/>
      <c r="TLH157" s="69"/>
      <c r="TLI157" s="69"/>
      <c r="TLJ157" s="69"/>
      <c r="TLK157" s="69"/>
      <c r="TLL157" s="69"/>
      <c r="TLM157" s="69"/>
      <c r="TLN157" s="69"/>
      <c r="TLO157" s="69"/>
      <c r="TLP157" s="69"/>
      <c r="TLQ157" s="69"/>
      <c r="TLR157" s="69"/>
      <c r="TLS157" s="69"/>
      <c r="TLT157" s="69"/>
      <c r="TLU157" s="69"/>
      <c r="TLV157" s="69"/>
      <c r="TLW157" s="69"/>
      <c r="TLX157" s="69"/>
      <c r="TLY157" s="69"/>
      <c r="TLZ157" s="69"/>
      <c r="TMA157" s="69"/>
      <c r="TMB157" s="69"/>
      <c r="TMC157" s="69"/>
      <c r="TMD157" s="69"/>
      <c r="TME157" s="69"/>
      <c r="TMF157" s="69"/>
      <c r="TMG157" s="69"/>
      <c r="TMH157" s="69"/>
      <c r="TMI157" s="69"/>
      <c r="TMJ157" s="69"/>
      <c r="TMK157" s="69"/>
      <c r="TML157" s="69"/>
      <c r="TMM157" s="69"/>
      <c r="TMN157" s="69"/>
      <c r="TMO157" s="69"/>
      <c r="TMP157" s="69"/>
      <c r="TMQ157" s="69"/>
      <c r="TMR157" s="69"/>
      <c r="TMS157" s="69"/>
      <c r="TMT157" s="69"/>
      <c r="TMU157" s="69"/>
      <c r="TMV157" s="69"/>
      <c r="TMW157" s="69"/>
      <c r="TMX157" s="69"/>
      <c r="TMY157" s="69"/>
      <c r="TMZ157" s="69"/>
      <c r="TNA157" s="69"/>
      <c r="TNB157" s="69"/>
      <c r="TNC157" s="69"/>
      <c r="TND157" s="69"/>
      <c r="TNE157" s="69"/>
      <c r="TNF157" s="69"/>
      <c r="TNG157" s="69"/>
      <c r="TNH157" s="69"/>
      <c r="TNI157" s="69"/>
      <c r="TNJ157" s="69"/>
      <c r="TNK157" s="69"/>
      <c r="TNL157" s="69"/>
      <c r="TNM157" s="69"/>
      <c r="TNN157" s="69"/>
      <c r="TNO157" s="69"/>
      <c r="TNP157" s="69"/>
      <c r="TNQ157" s="69"/>
      <c r="TNR157" s="69"/>
      <c r="TNS157" s="69"/>
      <c r="TNT157" s="69"/>
      <c r="TNU157" s="69"/>
      <c r="TNV157" s="69"/>
      <c r="TNW157" s="69"/>
      <c r="TNX157" s="69"/>
      <c r="TNY157" s="69"/>
      <c r="TNZ157" s="69"/>
      <c r="TOA157" s="69"/>
      <c r="TOB157" s="69"/>
      <c r="TOC157" s="69"/>
      <c r="TOD157" s="69"/>
      <c r="TOE157" s="69"/>
      <c r="TOF157" s="69"/>
      <c r="TOG157" s="69"/>
      <c r="TOH157" s="69"/>
      <c r="TOI157" s="69"/>
      <c r="TOJ157" s="69"/>
      <c r="TOK157" s="69"/>
      <c r="TOL157" s="69"/>
      <c r="TOM157" s="69"/>
      <c r="TON157" s="69"/>
      <c r="TOO157" s="69"/>
      <c r="TOP157" s="69"/>
      <c r="TOQ157" s="69"/>
      <c r="TOR157" s="69"/>
      <c r="TOS157" s="69"/>
      <c r="TOT157" s="69"/>
      <c r="TOU157" s="69"/>
      <c r="TOV157" s="69"/>
      <c r="TOW157" s="69"/>
      <c r="TOX157" s="69"/>
      <c r="TOY157" s="69"/>
      <c r="TOZ157" s="69"/>
      <c r="TPA157" s="69"/>
      <c r="TPB157" s="69"/>
      <c r="TPC157" s="69"/>
      <c r="TPD157" s="69"/>
      <c r="TPE157" s="69"/>
      <c r="TPF157" s="69"/>
      <c r="TPG157" s="69"/>
      <c r="TPH157" s="69"/>
      <c r="TPI157" s="69"/>
      <c r="TPJ157" s="69"/>
      <c r="TPK157" s="69"/>
      <c r="TPL157" s="69"/>
      <c r="TPM157" s="69"/>
      <c r="TPN157" s="69"/>
      <c r="TPO157" s="69"/>
      <c r="TPP157" s="69"/>
      <c r="TPQ157" s="69"/>
      <c r="TPR157" s="69"/>
      <c r="TPS157" s="69"/>
      <c r="TPT157" s="69"/>
      <c r="TPU157" s="69"/>
      <c r="TPV157" s="69"/>
      <c r="TPW157" s="69"/>
      <c r="TPX157" s="69"/>
      <c r="TPY157" s="69"/>
      <c r="TPZ157" s="69"/>
      <c r="TQA157" s="69"/>
      <c r="TQB157" s="69"/>
      <c r="TQC157" s="69"/>
      <c r="TQD157" s="69"/>
      <c r="TQE157" s="69"/>
      <c r="TQF157" s="69"/>
      <c r="TQG157" s="69"/>
      <c r="TQH157" s="69"/>
      <c r="TQI157" s="69"/>
      <c r="TQJ157" s="69"/>
      <c r="TQK157" s="69"/>
      <c r="TQL157" s="69"/>
      <c r="TQM157" s="69"/>
      <c r="TQN157" s="69"/>
      <c r="TQO157" s="69"/>
      <c r="TQP157" s="69"/>
      <c r="TQQ157" s="69"/>
      <c r="TQR157" s="69"/>
      <c r="TQS157" s="69"/>
      <c r="TQT157" s="69"/>
      <c r="TQU157" s="69"/>
      <c r="TQV157" s="69"/>
      <c r="TQW157" s="69"/>
      <c r="TQX157" s="69"/>
      <c r="TQY157" s="69"/>
      <c r="TQZ157" s="69"/>
      <c r="TRA157" s="69"/>
      <c r="TRB157" s="69"/>
      <c r="TRC157" s="69"/>
      <c r="TRD157" s="69"/>
      <c r="TRE157" s="69"/>
      <c r="TRF157" s="69"/>
      <c r="TRG157" s="69"/>
      <c r="TRH157" s="69"/>
      <c r="TRI157" s="69"/>
      <c r="TRJ157" s="69"/>
      <c r="TRK157" s="69"/>
      <c r="TRL157" s="69"/>
      <c r="TRM157" s="69"/>
      <c r="TRN157" s="69"/>
      <c r="TRO157" s="69"/>
      <c r="TRP157" s="69"/>
      <c r="TRQ157" s="69"/>
      <c r="TRR157" s="69"/>
      <c r="TRS157" s="69"/>
      <c r="TRT157" s="69"/>
      <c r="TRU157" s="69"/>
      <c r="TRV157" s="69"/>
      <c r="TRW157" s="69"/>
      <c r="TRX157" s="69"/>
      <c r="TRY157" s="69"/>
      <c r="TRZ157" s="69"/>
      <c r="TSA157" s="69"/>
      <c r="TSB157" s="69"/>
      <c r="TSC157" s="69"/>
      <c r="TSD157" s="69"/>
      <c r="TSE157" s="69"/>
      <c r="TSF157" s="69"/>
      <c r="TSG157" s="69"/>
      <c r="TSH157" s="69"/>
      <c r="TSI157" s="69"/>
      <c r="TSJ157" s="69"/>
      <c r="TSK157" s="69"/>
      <c r="TSL157" s="69"/>
      <c r="TSM157" s="69"/>
      <c r="TSN157" s="69"/>
      <c r="TSO157" s="69"/>
      <c r="TSP157" s="69"/>
      <c r="TSQ157" s="69"/>
      <c r="TSR157" s="69"/>
      <c r="TSS157" s="69"/>
      <c r="TST157" s="69"/>
      <c r="TSU157" s="69"/>
      <c r="TSV157" s="69"/>
      <c r="TSW157" s="69"/>
      <c r="TSX157" s="69"/>
      <c r="TSY157" s="69"/>
      <c r="TSZ157" s="69"/>
      <c r="TTA157" s="69"/>
      <c r="TTB157" s="69"/>
      <c r="TTC157" s="69"/>
      <c r="TTD157" s="69"/>
      <c r="TTE157" s="69"/>
      <c r="TTF157" s="69"/>
      <c r="TTG157" s="69"/>
      <c r="TTH157" s="69"/>
      <c r="TTI157" s="69"/>
      <c r="TTJ157" s="69"/>
      <c r="TTK157" s="69"/>
      <c r="TTL157" s="69"/>
      <c r="TTM157" s="69"/>
      <c r="TTN157" s="69"/>
      <c r="TTO157" s="69"/>
      <c r="TTP157" s="69"/>
      <c r="TTQ157" s="69"/>
      <c r="TTR157" s="69"/>
      <c r="TTS157" s="69"/>
      <c r="TTT157" s="69"/>
      <c r="TTU157" s="69"/>
      <c r="TTV157" s="69"/>
      <c r="TTW157" s="69"/>
      <c r="TTX157" s="69"/>
      <c r="TTY157" s="69"/>
      <c r="TTZ157" s="69"/>
      <c r="TUA157" s="69"/>
      <c r="TUB157" s="69"/>
      <c r="TUC157" s="69"/>
      <c r="TUD157" s="69"/>
      <c r="TUE157" s="69"/>
      <c r="TUF157" s="69"/>
      <c r="TUG157" s="69"/>
      <c r="TUH157" s="69"/>
      <c r="TUI157" s="69"/>
      <c r="TUJ157" s="69"/>
      <c r="TUK157" s="69"/>
      <c r="TUL157" s="69"/>
      <c r="TUM157" s="69"/>
      <c r="TUN157" s="69"/>
      <c r="TUO157" s="69"/>
      <c r="TUP157" s="69"/>
      <c r="TUQ157" s="69"/>
      <c r="TUR157" s="69"/>
      <c r="TUS157" s="69"/>
      <c r="TUT157" s="69"/>
      <c r="TUU157" s="69"/>
      <c r="TUV157" s="69"/>
      <c r="TUW157" s="69"/>
      <c r="TUX157" s="69"/>
      <c r="TUY157" s="69"/>
      <c r="TUZ157" s="69"/>
      <c r="TVA157" s="69"/>
      <c r="TVB157" s="69"/>
      <c r="TVC157" s="69"/>
      <c r="TVD157" s="69"/>
      <c r="TVE157" s="69"/>
      <c r="TVF157" s="69"/>
      <c r="TVG157" s="69"/>
      <c r="TVH157" s="69"/>
      <c r="TVI157" s="69"/>
      <c r="TVJ157" s="69"/>
      <c r="TVK157" s="69"/>
      <c r="TVL157" s="69"/>
      <c r="TVM157" s="69"/>
      <c r="TVN157" s="69"/>
      <c r="TVO157" s="69"/>
      <c r="TVP157" s="69"/>
      <c r="TVQ157" s="69"/>
      <c r="TVR157" s="69"/>
      <c r="TVS157" s="69"/>
      <c r="TVT157" s="69"/>
      <c r="TVU157" s="69"/>
      <c r="TVV157" s="69"/>
      <c r="TVW157" s="69"/>
      <c r="TVX157" s="69"/>
      <c r="TVY157" s="69"/>
      <c r="TVZ157" s="69"/>
      <c r="TWA157" s="69"/>
      <c r="TWB157" s="69"/>
      <c r="TWC157" s="69"/>
      <c r="TWD157" s="69"/>
      <c r="TWE157" s="69"/>
      <c r="TWF157" s="69"/>
      <c r="TWG157" s="69"/>
      <c r="TWH157" s="69"/>
      <c r="TWI157" s="69"/>
      <c r="TWJ157" s="69"/>
      <c r="TWK157" s="69"/>
      <c r="TWL157" s="69"/>
      <c r="TWM157" s="69"/>
      <c r="TWN157" s="69"/>
      <c r="TWO157" s="69"/>
      <c r="TWP157" s="69"/>
      <c r="TWQ157" s="69"/>
      <c r="TWR157" s="69"/>
      <c r="TWS157" s="69"/>
      <c r="TWT157" s="69"/>
      <c r="TWU157" s="69"/>
      <c r="TWV157" s="69"/>
      <c r="TWW157" s="69"/>
      <c r="TWX157" s="69"/>
      <c r="TWY157" s="69"/>
      <c r="TWZ157" s="69"/>
      <c r="TXA157" s="69"/>
      <c r="TXB157" s="69"/>
      <c r="TXC157" s="69"/>
      <c r="TXD157" s="69"/>
      <c r="TXE157" s="69"/>
      <c r="TXF157" s="69"/>
      <c r="TXG157" s="69"/>
      <c r="TXH157" s="69"/>
      <c r="TXI157" s="69"/>
      <c r="TXJ157" s="69"/>
      <c r="TXK157" s="69"/>
      <c r="TXL157" s="69"/>
      <c r="TXM157" s="69"/>
      <c r="TXN157" s="69"/>
      <c r="TXO157" s="69"/>
      <c r="TXP157" s="69"/>
      <c r="TXQ157" s="69"/>
      <c r="TXR157" s="69"/>
      <c r="TXS157" s="69"/>
      <c r="TXT157" s="69"/>
      <c r="TXU157" s="69"/>
      <c r="TXV157" s="69"/>
      <c r="TXW157" s="69"/>
      <c r="TXX157" s="69"/>
      <c r="TXY157" s="69"/>
      <c r="TXZ157" s="69"/>
      <c r="TYA157" s="69"/>
      <c r="TYB157" s="69"/>
      <c r="TYC157" s="69"/>
      <c r="TYD157" s="69"/>
      <c r="TYE157" s="69"/>
      <c r="TYF157" s="69"/>
      <c r="TYG157" s="69"/>
      <c r="TYH157" s="69"/>
      <c r="TYI157" s="69"/>
      <c r="TYJ157" s="69"/>
      <c r="TYK157" s="69"/>
      <c r="TYL157" s="69"/>
      <c r="TYM157" s="69"/>
      <c r="TYN157" s="69"/>
      <c r="TYO157" s="69"/>
      <c r="TYP157" s="69"/>
      <c r="TYQ157" s="69"/>
      <c r="TYR157" s="69"/>
      <c r="TYS157" s="69"/>
      <c r="TYT157" s="69"/>
      <c r="TYU157" s="69"/>
      <c r="TYV157" s="69"/>
      <c r="TYW157" s="69"/>
      <c r="TYX157" s="69"/>
      <c r="TYY157" s="69"/>
      <c r="TYZ157" s="69"/>
      <c r="TZA157" s="69"/>
      <c r="TZB157" s="69"/>
      <c r="TZC157" s="69"/>
      <c r="TZD157" s="69"/>
      <c r="TZE157" s="69"/>
      <c r="TZF157" s="69"/>
      <c r="TZG157" s="69"/>
      <c r="TZH157" s="69"/>
      <c r="TZI157" s="69"/>
      <c r="TZJ157" s="69"/>
      <c r="TZK157" s="69"/>
      <c r="TZL157" s="69"/>
      <c r="TZM157" s="69"/>
      <c r="TZN157" s="69"/>
      <c r="TZO157" s="69"/>
      <c r="TZP157" s="69"/>
      <c r="TZQ157" s="69"/>
      <c r="TZR157" s="69"/>
      <c r="TZS157" s="69"/>
      <c r="TZT157" s="69"/>
      <c r="TZU157" s="69"/>
      <c r="TZV157" s="69"/>
      <c r="TZW157" s="69"/>
      <c r="TZX157" s="69"/>
      <c r="TZY157" s="69"/>
      <c r="TZZ157" s="69"/>
      <c r="UAA157" s="69"/>
      <c r="UAB157" s="69"/>
      <c r="UAC157" s="69"/>
      <c r="UAD157" s="69"/>
      <c r="UAE157" s="69"/>
      <c r="UAF157" s="69"/>
      <c r="UAG157" s="69"/>
      <c r="UAH157" s="69"/>
      <c r="UAI157" s="69"/>
      <c r="UAJ157" s="69"/>
      <c r="UAK157" s="69"/>
      <c r="UAL157" s="69"/>
      <c r="UAM157" s="69"/>
      <c r="UAN157" s="69"/>
      <c r="UAO157" s="69"/>
      <c r="UAP157" s="69"/>
      <c r="UAQ157" s="69"/>
      <c r="UAR157" s="69"/>
      <c r="UAS157" s="69"/>
      <c r="UAT157" s="69"/>
      <c r="UAU157" s="69"/>
      <c r="UAV157" s="69"/>
      <c r="UAW157" s="69"/>
      <c r="UAX157" s="69"/>
      <c r="UAY157" s="69"/>
      <c r="UAZ157" s="69"/>
      <c r="UBA157" s="69"/>
      <c r="UBB157" s="69"/>
      <c r="UBC157" s="69"/>
      <c r="UBD157" s="69"/>
      <c r="UBE157" s="69"/>
      <c r="UBF157" s="69"/>
      <c r="UBG157" s="69"/>
      <c r="UBH157" s="69"/>
      <c r="UBI157" s="69"/>
      <c r="UBJ157" s="69"/>
      <c r="UBK157" s="69"/>
      <c r="UBL157" s="69"/>
      <c r="UBM157" s="69"/>
      <c r="UBN157" s="69"/>
      <c r="UBO157" s="69"/>
      <c r="UBP157" s="69"/>
      <c r="UBQ157" s="69"/>
      <c r="UBR157" s="69"/>
      <c r="UBS157" s="69"/>
      <c r="UBT157" s="69"/>
      <c r="UBU157" s="69"/>
      <c r="UBV157" s="69"/>
      <c r="UBW157" s="69"/>
      <c r="UBX157" s="69"/>
      <c r="UBY157" s="69"/>
      <c r="UBZ157" s="69"/>
      <c r="UCA157" s="69"/>
      <c r="UCB157" s="69"/>
      <c r="UCC157" s="69"/>
      <c r="UCD157" s="69"/>
      <c r="UCE157" s="69"/>
      <c r="UCF157" s="69"/>
      <c r="UCG157" s="69"/>
      <c r="UCH157" s="69"/>
      <c r="UCI157" s="69"/>
      <c r="UCJ157" s="69"/>
      <c r="UCK157" s="69"/>
      <c r="UCL157" s="69"/>
      <c r="UCM157" s="69"/>
      <c r="UCN157" s="69"/>
      <c r="UCO157" s="69"/>
      <c r="UCP157" s="69"/>
      <c r="UCQ157" s="69"/>
      <c r="UCR157" s="69"/>
      <c r="UCS157" s="69"/>
      <c r="UCT157" s="69"/>
      <c r="UCU157" s="69"/>
      <c r="UCV157" s="69"/>
      <c r="UCW157" s="69"/>
      <c r="UCX157" s="69"/>
      <c r="UCY157" s="69"/>
      <c r="UCZ157" s="69"/>
      <c r="UDA157" s="69"/>
      <c r="UDB157" s="69"/>
      <c r="UDC157" s="69"/>
      <c r="UDD157" s="69"/>
      <c r="UDE157" s="69"/>
      <c r="UDF157" s="69"/>
      <c r="UDG157" s="69"/>
      <c r="UDH157" s="69"/>
      <c r="UDI157" s="69"/>
      <c r="UDJ157" s="69"/>
      <c r="UDK157" s="69"/>
      <c r="UDL157" s="69"/>
      <c r="UDM157" s="69"/>
      <c r="UDN157" s="69"/>
      <c r="UDO157" s="69"/>
      <c r="UDP157" s="69"/>
      <c r="UDQ157" s="69"/>
      <c r="UDR157" s="69"/>
      <c r="UDS157" s="69"/>
      <c r="UDT157" s="69"/>
      <c r="UDU157" s="69"/>
      <c r="UDV157" s="69"/>
      <c r="UDW157" s="69"/>
      <c r="UDX157" s="69"/>
      <c r="UDY157" s="69"/>
      <c r="UDZ157" s="69"/>
      <c r="UEA157" s="69"/>
      <c r="UEB157" s="69"/>
      <c r="UEC157" s="69"/>
      <c r="UED157" s="69"/>
      <c r="UEE157" s="69"/>
      <c r="UEF157" s="69"/>
      <c r="UEG157" s="69"/>
      <c r="UEH157" s="69"/>
      <c r="UEI157" s="69"/>
      <c r="UEJ157" s="69"/>
      <c r="UEK157" s="69"/>
      <c r="UEL157" s="69"/>
      <c r="UEM157" s="69"/>
      <c r="UEN157" s="69"/>
      <c r="UEO157" s="69"/>
      <c r="UEP157" s="69"/>
      <c r="UEQ157" s="69"/>
      <c r="UER157" s="69"/>
      <c r="UES157" s="69"/>
      <c r="UET157" s="69"/>
      <c r="UEU157" s="69"/>
      <c r="UEV157" s="69"/>
      <c r="UEW157" s="69"/>
      <c r="UEX157" s="69"/>
      <c r="UEY157" s="69"/>
      <c r="UEZ157" s="69"/>
      <c r="UFA157" s="69"/>
      <c r="UFB157" s="69"/>
      <c r="UFC157" s="69"/>
      <c r="UFD157" s="69"/>
      <c r="UFE157" s="69"/>
      <c r="UFF157" s="69"/>
      <c r="UFG157" s="69"/>
      <c r="UFH157" s="69"/>
      <c r="UFI157" s="69"/>
      <c r="UFJ157" s="69"/>
      <c r="UFK157" s="69"/>
      <c r="UFL157" s="69"/>
      <c r="UFM157" s="69"/>
      <c r="UFN157" s="69"/>
      <c r="UFO157" s="69"/>
      <c r="UFP157" s="69"/>
      <c r="UFQ157" s="69"/>
      <c r="UFR157" s="69"/>
      <c r="UFS157" s="69"/>
      <c r="UFT157" s="69"/>
      <c r="UFU157" s="69"/>
      <c r="UFV157" s="69"/>
      <c r="UFW157" s="69"/>
      <c r="UFX157" s="69"/>
      <c r="UFY157" s="69"/>
      <c r="UFZ157" s="69"/>
      <c r="UGA157" s="69"/>
      <c r="UGB157" s="69"/>
      <c r="UGC157" s="69"/>
      <c r="UGD157" s="69"/>
      <c r="UGE157" s="69"/>
      <c r="UGF157" s="69"/>
      <c r="UGG157" s="69"/>
      <c r="UGH157" s="69"/>
      <c r="UGI157" s="69"/>
      <c r="UGJ157" s="69"/>
      <c r="UGK157" s="69"/>
      <c r="UGL157" s="69"/>
      <c r="UGM157" s="69"/>
      <c r="UGN157" s="69"/>
      <c r="UGO157" s="69"/>
      <c r="UGP157" s="69"/>
      <c r="UGQ157" s="69"/>
      <c r="UGR157" s="69"/>
      <c r="UGS157" s="69"/>
      <c r="UGT157" s="69"/>
      <c r="UGU157" s="69"/>
      <c r="UGV157" s="69"/>
      <c r="UGW157" s="69"/>
      <c r="UGX157" s="69"/>
      <c r="UGY157" s="69"/>
      <c r="UGZ157" s="69"/>
      <c r="UHA157" s="69"/>
      <c r="UHB157" s="69"/>
      <c r="UHC157" s="69"/>
      <c r="UHD157" s="69"/>
      <c r="UHE157" s="69"/>
      <c r="UHF157" s="69"/>
      <c r="UHG157" s="69"/>
      <c r="UHH157" s="69"/>
      <c r="UHI157" s="69"/>
      <c r="UHJ157" s="69"/>
      <c r="UHK157" s="69"/>
      <c r="UHL157" s="69"/>
      <c r="UHM157" s="69"/>
      <c r="UHN157" s="69"/>
      <c r="UHO157" s="69"/>
      <c r="UHP157" s="69"/>
      <c r="UHQ157" s="69"/>
      <c r="UHR157" s="69"/>
      <c r="UHS157" s="69"/>
      <c r="UHT157" s="69"/>
      <c r="UHU157" s="69"/>
      <c r="UHV157" s="69"/>
      <c r="UHW157" s="69"/>
      <c r="UHX157" s="69"/>
      <c r="UHY157" s="69"/>
      <c r="UHZ157" s="69"/>
      <c r="UIA157" s="69"/>
      <c r="UIB157" s="69"/>
      <c r="UIC157" s="69"/>
      <c r="UID157" s="69"/>
      <c r="UIE157" s="69"/>
      <c r="UIF157" s="69"/>
      <c r="UIG157" s="69"/>
      <c r="UIH157" s="69"/>
      <c r="UII157" s="69"/>
      <c r="UIJ157" s="69"/>
      <c r="UIK157" s="69"/>
      <c r="UIL157" s="69"/>
      <c r="UIM157" s="69"/>
      <c r="UIN157" s="69"/>
      <c r="UIO157" s="69"/>
      <c r="UIP157" s="69"/>
      <c r="UIQ157" s="69"/>
      <c r="UIR157" s="69"/>
      <c r="UIS157" s="69"/>
      <c r="UIT157" s="69"/>
      <c r="UIU157" s="69"/>
      <c r="UIV157" s="69"/>
      <c r="UIW157" s="69"/>
      <c r="UIX157" s="69"/>
      <c r="UIY157" s="69"/>
      <c r="UIZ157" s="69"/>
      <c r="UJA157" s="69"/>
      <c r="UJB157" s="69"/>
      <c r="UJC157" s="69"/>
      <c r="UJD157" s="69"/>
      <c r="UJE157" s="69"/>
      <c r="UJF157" s="69"/>
      <c r="UJG157" s="69"/>
      <c r="UJH157" s="69"/>
      <c r="UJI157" s="69"/>
      <c r="UJJ157" s="69"/>
      <c r="UJK157" s="69"/>
      <c r="UJL157" s="69"/>
      <c r="UJM157" s="69"/>
      <c r="UJN157" s="69"/>
      <c r="UJO157" s="69"/>
      <c r="UJP157" s="69"/>
      <c r="UJQ157" s="69"/>
      <c r="UJR157" s="69"/>
      <c r="UJS157" s="69"/>
      <c r="UJT157" s="69"/>
      <c r="UJU157" s="69"/>
      <c r="UJV157" s="69"/>
      <c r="UJW157" s="69"/>
      <c r="UJX157" s="69"/>
      <c r="UJY157" s="69"/>
      <c r="UJZ157" s="69"/>
      <c r="UKA157" s="69"/>
      <c r="UKB157" s="69"/>
      <c r="UKC157" s="69"/>
      <c r="UKD157" s="69"/>
      <c r="UKE157" s="69"/>
      <c r="UKF157" s="69"/>
      <c r="UKG157" s="69"/>
      <c r="UKH157" s="69"/>
      <c r="UKI157" s="69"/>
      <c r="UKJ157" s="69"/>
      <c r="UKK157" s="69"/>
      <c r="UKL157" s="69"/>
      <c r="UKM157" s="69"/>
      <c r="UKN157" s="69"/>
      <c r="UKO157" s="69"/>
      <c r="UKP157" s="69"/>
      <c r="UKQ157" s="69"/>
      <c r="UKR157" s="69"/>
      <c r="UKS157" s="69"/>
      <c r="UKT157" s="69"/>
      <c r="UKU157" s="69"/>
      <c r="UKV157" s="69"/>
      <c r="UKW157" s="69"/>
      <c r="UKX157" s="69"/>
      <c r="UKY157" s="69"/>
      <c r="UKZ157" s="69"/>
      <c r="ULA157" s="69"/>
      <c r="ULB157" s="69"/>
      <c r="ULC157" s="69"/>
      <c r="ULD157" s="69"/>
      <c r="ULE157" s="69"/>
      <c r="ULF157" s="69"/>
      <c r="ULG157" s="69"/>
      <c r="ULH157" s="69"/>
      <c r="ULI157" s="69"/>
      <c r="ULJ157" s="69"/>
      <c r="ULK157" s="69"/>
      <c r="ULL157" s="69"/>
      <c r="ULM157" s="69"/>
      <c r="ULN157" s="69"/>
      <c r="ULO157" s="69"/>
      <c r="ULP157" s="69"/>
      <c r="ULQ157" s="69"/>
      <c r="ULR157" s="69"/>
      <c r="ULS157" s="69"/>
      <c r="ULT157" s="69"/>
      <c r="ULU157" s="69"/>
      <c r="ULV157" s="69"/>
      <c r="ULW157" s="69"/>
      <c r="ULX157" s="69"/>
      <c r="ULY157" s="69"/>
      <c r="ULZ157" s="69"/>
      <c r="UMA157" s="69"/>
      <c r="UMB157" s="69"/>
      <c r="UMC157" s="69"/>
      <c r="UMD157" s="69"/>
      <c r="UME157" s="69"/>
      <c r="UMF157" s="69"/>
      <c r="UMG157" s="69"/>
      <c r="UMH157" s="69"/>
      <c r="UMI157" s="69"/>
      <c r="UMJ157" s="69"/>
      <c r="UMK157" s="69"/>
      <c r="UML157" s="69"/>
      <c r="UMM157" s="69"/>
      <c r="UMN157" s="69"/>
      <c r="UMO157" s="69"/>
      <c r="UMP157" s="69"/>
      <c r="UMQ157" s="69"/>
      <c r="UMR157" s="69"/>
      <c r="UMS157" s="69"/>
      <c r="UMT157" s="69"/>
      <c r="UMU157" s="69"/>
      <c r="UMV157" s="69"/>
      <c r="UMW157" s="69"/>
      <c r="UMX157" s="69"/>
      <c r="UMY157" s="69"/>
      <c r="UMZ157" s="69"/>
      <c r="UNA157" s="69"/>
      <c r="UNB157" s="69"/>
      <c r="UNC157" s="69"/>
      <c r="UND157" s="69"/>
      <c r="UNE157" s="69"/>
      <c r="UNF157" s="69"/>
      <c r="UNG157" s="69"/>
      <c r="UNH157" s="69"/>
      <c r="UNI157" s="69"/>
      <c r="UNJ157" s="69"/>
      <c r="UNK157" s="69"/>
      <c r="UNL157" s="69"/>
      <c r="UNM157" s="69"/>
      <c r="UNN157" s="69"/>
      <c r="UNO157" s="69"/>
      <c r="UNP157" s="69"/>
      <c r="UNQ157" s="69"/>
      <c r="UNR157" s="69"/>
      <c r="UNS157" s="69"/>
      <c r="UNT157" s="69"/>
      <c r="UNU157" s="69"/>
      <c r="UNV157" s="69"/>
      <c r="UNW157" s="69"/>
      <c r="UNX157" s="69"/>
      <c r="UNY157" s="69"/>
      <c r="UNZ157" s="69"/>
      <c r="UOA157" s="69"/>
      <c r="UOB157" s="69"/>
      <c r="UOC157" s="69"/>
      <c r="UOD157" s="69"/>
      <c r="UOE157" s="69"/>
      <c r="UOF157" s="69"/>
      <c r="UOG157" s="69"/>
      <c r="UOH157" s="69"/>
      <c r="UOI157" s="69"/>
      <c r="UOJ157" s="69"/>
      <c r="UOK157" s="69"/>
      <c r="UOL157" s="69"/>
      <c r="UOM157" s="69"/>
      <c r="UON157" s="69"/>
      <c r="UOO157" s="69"/>
      <c r="UOP157" s="69"/>
      <c r="UOQ157" s="69"/>
      <c r="UOR157" s="69"/>
      <c r="UOS157" s="69"/>
      <c r="UOT157" s="69"/>
      <c r="UOU157" s="69"/>
      <c r="UOV157" s="69"/>
      <c r="UOW157" s="69"/>
      <c r="UOX157" s="69"/>
      <c r="UOY157" s="69"/>
      <c r="UOZ157" s="69"/>
      <c r="UPA157" s="69"/>
      <c r="UPB157" s="69"/>
      <c r="UPC157" s="69"/>
      <c r="UPD157" s="69"/>
      <c r="UPE157" s="69"/>
      <c r="UPF157" s="69"/>
      <c r="UPG157" s="69"/>
      <c r="UPH157" s="69"/>
      <c r="UPI157" s="69"/>
      <c r="UPJ157" s="69"/>
      <c r="UPK157" s="69"/>
      <c r="UPL157" s="69"/>
      <c r="UPM157" s="69"/>
      <c r="UPN157" s="69"/>
      <c r="UPO157" s="69"/>
      <c r="UPP157" s="69"/>
      <c r="UPQ157" s="69"/>
      <c r="UPR157" s="69"/>
      <c r="UPS157" s="69"/>
      <c r="UPT157" s="69"/>
      <c r="UPU157" s="69"/>
      <c r="UPV157" s="69"/>
      <c r="UPW157" s="69"/>
      <c r="UPX157" s="69"/>
      <c r="UPY157" s="69"/>
      <c r="UPZ157" s="69"/>
      <c r="UQA157" s="69"/>
      <c r="UQB157" s="69"/>
      <c r="UQC157" s="69"/>
      <c r="UQD157" s="69"/>
      <c r="UQE157" s="69"/>
      <c r="UQF157" s="69"/>
      <c r="UQG157" s="69"/>
      <c r="UQH157" s="69"/>
      <c r="UQI157" s="69"/>
      <c r="UQJ157" s="69"/>
      <c r="UQK157" s="69"/>
      <c r="UQL157" s="69"/>
      <c r="UQM157" s="69"/>
      <c r="UQN157" s="69"/>
      <c r="UQO157" s="69"/>
      <c r="UQP157" s="69"/>
      <c r="UQQ157" s="69"/>
      <c r="UQR157" s="69"/>
      <c r="UQS157" s="69"/>
      <c r="UQT157" s="69"/>
      <c r="UQU157" s="69"/>
      <c r="UQV157" s="69"/>
      <c r="UQW157" s="69"/>
      <c r="UQX157" s="69"/>
      <c r="UQY157" s="69"/>
      <c r="UQZ157" s="69"/>
      <c r="URA157" s="69"/>
      <c r="URB157" s="69"/>
      <c r="URC157" s="69"/>
      <c r="URD157" s="69"/>
      <c r="URE157" s="69"/>
      <c r="URF157" s="69"/>
      <c r="URG157" s="69"/>
      <c r="URH157" s="69"/>
      <c r="URI157" s="69"/>
      <c r="URJ157" s="69"/>
      <c r="URK157" s="69"/>
      <c r="URL157" s="69"/>
      <c r="URM157" s="69"/>
      <c r="URN157" s="69"/>
      <c r="URO157" s="69"/>
      <c r="URP157" s="69"/>
      <c r="URQ157" s="69"/>
      <c r="URR157" s="69"/>
      <c r="URS157" s="69"/>
      <c r="URT157" s="69"/>
      <c r="URU157" s="69"/>
      <c r="URV157" s="69"/>
      <c r="URW157" s="69"/>
      <c r="URX157" s="69"/>
      <c r="URY157" s="69"/>
      <c r="URZ157" s="69"/>
      <c r="USA157" s="69"/>
      <c r="USB157" s="69"/>
      <c r="USC157" s="69"/>
      <c r="USD157" s="69"/>
      <c r="USE157" s="69"/>
      <c r="USF157" s="69"/>
      <c r="USG157" s="69"/>
      <c r="USH157" s="69"/>
      <c r="USI157" s="69"/>
      <c r="USJ157" s="69"/>
      <c r="USK157" s="69"/>
      <c r="USL157" s="69"/>
      <c r="USM157" s="69"/>
      <c r="USN157" s="69"/>
      <c r="USO157" s="69"/>
      <c r="USP157" s="69"/>
      <c r="USQ157" s="69"/>
      <c r="USR157" s="69"/>
      <c r="USS157" s="69"/>
      <c r="UST157" s="69"/>
      <c r="USU157" s="69"/>
      <c r="USV157" s="69"/>
      <c r="USW157" s="69"/>
      <c r="USX157" s="69"/>
      <c r="USY157" s="69"/>
      <c r="USZ157" s="69"/>
      <c r="UTA157" s="69"/>
      <c r="UTB157" s="69"/>
      <c r="UTC157" s="69"/>
      <c r="UTD157" s="69"/>
      <c r="UTE157" s="69"/>
      <c r="UTF157" s="69"/>
      <c r="UTG157" s="69"/>
      <c r="UTH157" s="69"/>
      <c r="UTI157" s="69"/>
      <c r="UTJ157" s="69"/>
      <c r="UTK157" s="69"/>
      <c r="UTL157" s="69"/>
      <c r="UTM157" s="69"/>
      <c r="UTN157" s="69"/>
      <c r="UTO157" s="69"/>
      <c r="UTP157" s="69"/>
      <c r="UTQ157" s="69"/>
      <c r="UTR157" s="69"/>
      <c r="UTS157" s="69"/>
      <c r="UTT157" s="69"/>
      <c r="UTU157" s="69"/>
      <c r="UTV157" s="69"/>
      <c r="UTW157" s="69"/>
      <c r="UTX157" s="69"/>
      <c r="UTY157" s="69"/>
      <c r="UTZ157" s="69"/>
      <c r="UUA157" s="69"/>
      <c r="UUB157" s="69"/>
      <c r="UUC157" s="69"/>
      <c r="UUD157" s="69"/>
      <c r="UUE157" s="69"/>
      <c r="UUF157" s="69"/>
      <c r="UUG157" s="69"/>
      <c r="UUH157" s="69"/>
      <c r="UUI157" s="69"/>
      <c r="UUJ157" s="69"/>
      <c r="UUK157" s="69"/>
      <c r="UUL157" s="69"/>
      <c r="UUM157" s="69"/>
      <c r="UUN157" s="69"/>
      <c r="UUO157" s="69"/>
      <c r="UUP157" s="69"/>
      <c r="UUQ157" s="69"/>
      <c r="UUR157" s="69"/>
      <c r="UUS157" s="69"/>
      <c r="UUT157" s="69"/>
      <c r="UUU157" s="69"/>
      <c r="UUV157" s="69"/>
      <c r="UUW157" s="69"/>
      <c r="UUX157" s="69"/>
      <c r="UUY157" s="69"/>
      <c r="UUZ157" s="69"/>
      <c r="UVA157" s="69"/>
      <c r="UVB157" s="69"/>
      <c r="UVC157" s="69"/>
      <c r="UVD157" s="69"/>
      <c r="UVE157" s="69"/>
      <c r="UVF157" s="69"/>
      <c r="UVG157" s="69"/>
      <c r="UVH157" s="69"/>
      <c r="UVI157" s="69"/>
      <c r="UVJ157" s="69"/>
      <c r="UVK157" s="69"/>
      <c r="UVL157" s="69"/>
      <c r="UVM157" s="69"/>
      <c r="UVN157" s="69"/>
      <c r="UVO157" s="69"/>
      <c r="UVP157" s="69"/>
      <c r="UVQ157" s="69"/>
      <c r="UVR157" s="69"/>
      <c r="UVS157" s="69"/>
      <c r="UVT157" s="69"/>
      <c r="UVU157" s="69"/>
      <c r="UVV157" s="69"/>
      <c r="UVW157" s="69"/>
      <c r="UVX157" s="69"/>
      <c r="UVY157" s="69"/>
      <c r="UVZ157" s="69"/>
      <c r="UWA157" s="69"/>
      <c r="UWB157" s="69"/>
      <c r="UWC157" s="69"/>
      <c r="UWD157" s="69"/>
      <c r="UWE157" s="69"/>
      <c r="UWF157" s="69"/>
      <c r="UWG157" s="69"/>
      <c r="UWH157" s="69"/>
      <c r="UWI157" s="69"/>
      <c r="UWJ157" s="69"/>
      <c r="UWK157" s="69"/>
      <c r="UWL157" s="69"/>
      <c r="UWM157" s="69"/>
      <c r="UWN157" s="69"/>
      <c r="UWO157" s="69"/>
      <c r="UWP157" s="69"/>
      <c r="UWQ157" s="69"/>
      <c r="UWR157" s="69"/>
      <c r="UWS157" s="69"/>
      <c r="UWT157" s="69"/>
      <c r="UWU157" s="69"/>
      <c r="UWV157" s="69"/>
      <c r="UWW157" s="69"/>
      <c r="UWX157" s="69"/>
      <c r="UWY157" s="69"/>
      <c r="UWZ157" s="69"/>
      <c r="UXA157" s="69"/>
      <c r="UXB157" s="69"/>
      <c r="UXC157" s="69"/>
      <c r="UXD157" s="69"/>
      <c r="UXE157" s="69"/>
      <c r="UXF157" s="69"/>
      <c r="UXG157" s="69"/>
      <c r="UXH157" s="69"/>
      <c r="UXI157" s="69"/>
      <c r="UXJ157" s="69"/>
      <c r="UXK157" s="69"/>
      <c r="UXL157" s="69"/>
      <c r="UXM157" s="69"/>
      <c r="UXN157" s="69"/>
      <c r="UXO157" s="69"/>
      <c r="UXP157" s="69"/>
      <c r="UXQ157" s="69"/>
      <c r="UXR157" s="69"/>
      <c r="UXS157" s="69"/>
      <c r="UXT157" s="69"/>
      <c r="UXU157" s="69"/>
      <c r="UXV157" s="69"/>
      <c r="UXW157" s="69"/>
      <c r="UXX157" s="69"/>
      <c r="UXY157" s="69"/>
      <c r="UXZ157" s="69"/>
      <c r="UYA157" s="69"/>
      <c r="UYB157" s="69"/>
      <c r="UYC157" s="69"/>
      <c r="UYD157" s="69"/>
      <c r="UYE157" s="69"/>
      <c r="UYF157" s="69"/>
      <c r="UYG157" s="69"/>
      <c r="UYH157" s="69"/>
      <c r="UYI157" s="69"/>
      <c r="UYJ157" s="69"/>
      <c r="UYK157" s="69"/>
      <c r="UYL157" s="69"/>
      <c r="UYM157" s="69"/>
      <c r="UYN157" s="69"/>
      <c r="UYO157" s="69"/>
      <c r="UYP157" s="69"/>
      <c r="UYQ157" s="69"/>
      <c r="UYR157" s="69"/>
      <c r="UYS157" s="69"/>
      <c r="UYT157" s="69"/>
      <c r="UYU157" s="69"/>
      <c r="UYV157" s="69"/>
      <c r="UYW157" s="69"/>
      <c r="UYX157" s="69"/>
      <c r="UYY157" s="69"/>
      <c r="UYZ157" s="69"/>
      <c r="UZA157" s="69"/>
      <c r="UZB157" s="69"/>
      <c r="UZC157" s="69"/>
      <c r="UZD157" s="69"/>
      <c r="UZE157" s="69"/>
      <c r="UZF157" s="69"/>
      <c r="UZG157" s="69"/>
      <c r="UZH157" s="69"/>
      <c r="UZI157" s="69"/>
      <c r="UZJ157" s="69"/>
      <c r="UZK157" s="69"/>
      <c r="UZL157" s="69"/>
      <c r="UZM157" s="69"/>
      <c r="UZN157" s="69"/>
      <c r="UZO157" s="69"/>
      <c r="UZP157" s="69"/>
      <c r="UZQ157" s="69"/>
      <c r="UZR157" s="69"/>
      <c r="UZS157" s="69"/>
      <c r="UZT157" s="69"/>
      <c r="UZU157" s="69"/>
      <c r="UZV157" s="69"/>
      <c r="UZW157" s="69"/>
      <c r="UZX157" s="69"/>
      <c r="UZY157" s="69"/>
      <c r="UZZ157" s="69"/>
      <c r="VAA157" s="69"/>
      <c r="VAB157" s="69"/>
      <c r="VAC157" s="69"/>
      <c r="VAD157" s="69"/>
      <c r="VAE157" s="69"/>
      <c r="VAF157" s="69"/>
      <c r="VAG157" s="69"/>
      <c r="VAH157" s="69"/>
      <c r="VAI157" s="69"/>
      <c r="VAJ157" s="69"/>
      <c r="VAK157" s="69"/>
      <c r="VAL157" s="69"/>
      <c r="VAM157" s="69"/>
      <c r="VAN157" s="69"/>
      <c r="VAO157" s="69"/>
      <c r="VAP157" s="69"/>
      <c r="VAQ157" s="69"/>
      <c r="VAR157" s="69"/>
      <c r="VAS157" s="69"/>
      <c r="VAT157" s="69"/>
      <c r="VAU157" s="69"/>
      <c r="VAV157" s="69"/>
      <c r="VAW157" s="69"/>
      <c r="VAX157" s="69"/>
      <c r="VAY157" s="69"/>
      <c r="VAZ157" s="69"/>
      <c r="VBA157" s="69"/>
      <c r="VBB157" s="69"/>
      <c r="VBC157" s="69"/>
      <c r="VBD157" s="69"/>
      <c r="VBE157" s="69"/>
      <c r="VBF157" s="69"/>
      <c r="VBG157" s="69"/>
      <c r="VBH157" s="69"/>
      <c r="VBI157" s="69"/>
      <c r="VBJ157" s="69"/>
      <c r="VBK157" s="69"/>
      <c r="VBL157" s="69"/>
      <c r="VBM157" s="69"/>
      <c r="VBN157" s="69"/>
      <c r="VBO157" s="69"/>
      <c r="VBP157" s="69"/>
      <c r="VBQ157" s="69"/>
      <c r="VBR157" s="69"/>
      <c r="VBS157" s="69"/>
      <c r="VBT157" s="69"/>
      <c r="VBU157" s="69"/>
      <c r="VBV157" s="69"/>
      <c r="VBW157" s="69"/>
      <c r="VBX157" s="69"/>
      <c r="VBY157" s="69"/>
      <c r="VBZ157" s="69"/>
      <c r="VCA157" s="69"/>
      <c r="VCB157" s="69"/>
      <c r="VCC157" s="69"/>
      <c r="VCD157" s="69"/>
      <c r="VCE157" s="69"/>
      <c r="VCF157" s="69"/>
      <c r="VCG157" s="69"/>
      <c r="VCH157" s="69"/>
      <c r="VCI157" s="69"/>
      <c r="VCJ157" s="69"/>
      <c r="VCK157" s="69"/>
      <c r="VCL157" s="69"/>
      <c r="VCM157" s="69"/>
      <c r="VCN157" s="69"/>
      <c r="VCO157" s="69"/>
      <c r="VCP157" s="69"/>
      <c r="VCQ157" s="69"/>
      <c r="VCR157" s="69"/>
      <c r="VCS157" s="69"/>
      <c r="VCT157" s="69"/>
      <c r="VCU157" s="69"/>
      <c r="VCV157" s="69"/>
      <c r="VCW157" s="69"/>
      <c r="VCX157" s="69"/>
      <c r="VCY157" s="69"/>
      <c r="VCZ157" s="69"/>
      <c r="VDA157" s="69"/>
      <c r="VDB157" s="69"/>
      <c r="VDC157" s="69"/>
      <c r="VDD157" s="69"/>
      <c r="VDE157" s="69"/>
      <c r="VDF157" s="69"/>
      <c r="VDG157" s="69"/>
      <c r="VDH157" s="69"/>
      <c r="VDI157" s="69"/>
      <c r="VDJ157" s="69"/>
      <c r="VDK157" s="69"/>
      <c r="VDL157" s="69"/>
      <c r="VDM157" s="69"/>
      <c r="VDN157" s="69"/>
      <c r="VDO157" s="69"/>
      <c r="VDP157" s="69"/>
      <c r="VDQ157" s="69"/>
      <c r="VDR157" s="69"/>
      <c r="VDS157" s="69"/>
      <c r="VDT157" s="69"/>
      <c r="VDU157" s="69"/>
      <c r="VDV157" s="69"/>
      <c r="VDW157" s="69"/>
      <c r="VDX157" s="69"/>
      <c r="VDY157" s="69"/>
      <c r="VDZ157" s="69"/>
      <c r="VEA157" s="69"/>
      <c r="VEB157" s="69"/>
      <c r="VEC157" s="69"/>
      <c r="VED157" s="69"/>
      <c r="VEE157" s="69"/>
      <c r="VEF157" s="69"/>
      <c r="VEG157" s="69"/>
      <c r="VEH157" s="69"/>
      <c r="VEI157" s="69"/>
      <c r="VEJ157" s="69"/>
      <c r="VEK157" s="69"/>
      <c r="VEL157" s="69"/>
      <c r="VEM157" s="69"/>
      <c r="VEN157" s="69"/>
      <c r="VEO157" s="69"/>
      <c r="VEP157" s="69"/>
      <c r="VEQ157" s="69"/>
      <c r="VER157" s="69"/>
      <c r="VES157" s="69"/>
      <c r="VET157" s="69"/>
      <c r="VEU157" s="69"/>
      <c r="VEV157" s="69"/>
      <c r="VEW157" s="69"/>
      <c r="VEX157" s="69"/>
      <c r="VEY157" s="69"/>
      <c r="VEZ157" s="69"/>
      <c r="VFA157" s="69"/>
      <c r="VFB157" s="69"/>
      <c r="VFC157" s="69"/>
      <c r="VFD157" s="69"/>
      <c r="VFE157" s="69"/>
      <c r="VFF157" s="69"/>
      <c r="VFG157" s="69"/>
      <c r="VFH157" s="69"/>
      <c r="VFI157" s="69"/>
      <c r="VFJ157" s="69"/>
      <c r="VFK157" s="69"/>
      <c r="VFL157" s="69"/>
      <c r="VFM157" s="69"/>
      <c r="VFN157" s="69"/>
      <c r="VFO157" s="69"/>
      <c r="VFP157" s="69"/>
      <c r="VFQ157" s="69"/>
      <c r="VFR157" s="69"/>
      <c r="VFS157" s="69"/>
      <c r="VFT157" s="69"/>
      <c r="VFU157" s="69"/>
      <c r="VFV157" s="69"/>
      <c r="VFW157" s="69"/>
      <c r="VFX157" s="69"/>
      <c r="VFY157" s="69"/>
      <c r="VFZ157" s="69"/>
      <c r="VGA157" s="69"/>
      <c r="VGB157" s="69"/>
      <c r="VGC157" s="69"/>
      <c r="VGD157" s="69"/>
      <c r="VGE157" s="69"/>
      <c r="VGF157" s="69"/>
      <c r="VGG157" s="69"/>
      <c r="VGH157" s="69"/>
      <c r="VGI157" s="69"/>
      <c r="VGJ157" s="69"/>
      <c r="VGK157" s="69"/>
      <c r="VGL157" s="69"/>
      <c r="VGM157" s="69"/>
      <c r="VGN157" s="69"/>
      <c r="VGO157" s="69"/>
      <c r="VGP157" s="69"/>
      <c r="VGQ157" s="69"/>
      <c r="VGR157" s="69"/>
      <c r="VGS157" s="69"/>
      <c r="VGT157" s="69"/>
      <c r="VGU157" s="69"/>
      <c r="VGV157" s="69"/>
      <c r="VGW157" s="69"/>
      <c r="VGX157" s="69"/>
      <c r="VGY157" s="69"/>
      <c r="VGZ157" s="69"/>
      <c r="VHA157" s="69"/>
      <c r="VHB157" s="69"/>
      <c r="VHC157" s="69"/>
      <c r="VHD157" s="69"/>
      <c r="VHE157" s="69"/>
      <c r="VHF157" s="69"/>
      <c r="VHG157" s="69"/>
      <c r="VHH157" s="69"/>
      <c r="VHI157" s="69"/>
      <c r="VHJ157" s="69"/>
      <c r="VHK157" s="69"/>
      <c r="VHL157" s="69"/>
      <c r="VHM157" s="69"/>
      <c r="VHN157" s="69"/>
      <c r="VHO157" s="69"/>
      <c r="VHP157" s="69"/>
      <c r="VHQ157" s="69"/>
      <c r="VHR157" s="69"/>
      <c r="VHS157" s="69"/>
      <c r="VHT157" s="69"/>
      <c r="VHU157" s="69"/>
      <c r="VHV157" s="69"/>
      <c r="VHW157" s="69"/>
      <c r="VHX157" s="69"/>
      <c r="VHY157" s="69"/>
      <c r="VHZ157" s="69"/>
      <c r="VIA157" s="69"/>
      <c r="VIB157" s="69"/>
      <c r="VIC157" s="69"/>
      <c r="VID157" s="69"/>
      <c r="VIE157" s="69"/>
      <c r="VIF157" s="69"/>
      <c r="VIG157" s="69"/>
      <c r="VIH157" s="69"/>
      <c r="VII157" s="69"/>
      <c r="VIJ157" s="69"/>
      <c r="VIK157" s="69"/>
      <c r="VIL157" s="69"/>
      <c r="VIM157" s="69"/>
      <c r="VIN157" s="69"/>
      <c r="VIO157" s="69"/>
      <c r="VIP157" s="69"/>
      <c r="VIQ157" s="69"/>
      <c r="VIR157" s="69"/>
      <c r="VIS157" s="69"/>
      <c r="VIT157" s="69"/>
      <c r="VIU157" s="69"/>
      <c r="VIV157" s="69"/>
      <c r="VIW157" s="69"/>
      <c r="VIX157" s="69"/>
      <c r="VIY157" s="69"/>
      <c r="VIZ157" s="69"/>
      <c r="VJA157" s="69"/>
      <c r="VJB157" s="69"/>
      <c r="VJC157" s="69"/>
      <c r="VJD157" s="69"/>
      <c r="VJE157" s="69"/>
      <c r="VJF157" s="69"/>
      <c r="VJG157" s="69"/>
      <c r="VJH157" s="69"/>
      <c r="VJI157" s="69"/>
      <c r="VJJ157" s="69"/>
      <c r="VJK157" s="69"/>
      <c r="VJL157" s="69"/>
      <c r="VJM157" s="69"/>
      <c r="VJN157" s="69"/>
      <c r="VJO157" s="69"/>
      <c r="VJP157" s="69"/>
      <c r="VJQ157" s="69"/>
      <c r="VJR157" s="69"/>
      <c r="VJS157" s="69"/>
      <c r="VJT157" s="69"/>
      <c r="VJU157" s="69"/>
      <c r="VJV157" s="69"/>
      <c r="VJW157" s="69"/>
      <c r="VJX157" s="69"/>
      <c r="VJY157" s="69"/>
      <c r="VJZ157" s="69"/>
      <c r="VKA157" s="69"/>
      <c r="VKB157" s="69"/>
      <c r="VKC157" s="69"/>
      <c r="VKD157" s="69"/>
      <c r="VKE157" s="69"/>
      <c r="VKF157" s="69"/>
      <c r="VKG157" s="69"/>
      <c r="VKH157" s="69"/>
      <c r="VKI157" s="69"/>
      <c r="VKJ157" s="69"/>
      <c r="VKK157" s="69"/>
      <c r="VKL157" s="69"/>
      <c r="VKM157" s="69"/>
      <c r="VKN157" s="69"/>
      <c r="VKO157" s="69"/>
      <c r="VKP157" s="69"/>
      <c r="VKQ157" s="69"/>
      <c r="VKR157" s="69"/>
      <c r="VKS157" s="69"/>
      <c r="VKT157" s="69"/>
      <c r="VKU157" s="69"/>
      <c r="VKV157" s="69"/>
      <c r="VKW157" s="69"/>
      <c r="VKX157" s="69"/>
      <c r="VKY157" s="69"/>
      <c r="VKZ157" s="69"/>
      <c r="VLA157" s="69"/>
      <c r="VLB157" s="69"/>
      <c r="VLC157" s="69"/>
      <c r="VLD157" s="69"/>
      <c r="VLE157" s="69"/>
      <c r="VLF157" s="69"/>
      <c r="VLG157" s="69"/>
      <c r="VLH157" s="69"/>
      <c r="VLI157" s="69"/>
      <c r="VLJ157" s="69"/>
      <c r="VLK157" s="69"/>
      <c r="VLL157" s="69"/>
      <c r="VLM157" s="69"/>
      <c r="VLN157" s="69"/>
      <c r="VLO157" s="69"/>
      <c r="VLP157" s="69"/>
      <c r="VLQ157" s="69"/>
      <c r="VLR157" s="69"/>
      <c r="VLS157" s="69"/>
      <c r="VLT157" s="69"/>
      <c r="VLU157" s="69"/>
      <c r="VLV157" s="69"/>
      <c r="VLW157" s="69"/>
      <c r="VLX157" s="69"/>
      <c r="VLY157" s="69"/>
      <c r="VLZ157" s="69"/>
      <c r="VMA157" s="69"/>
      <c r="VMB157" s="69"/>
      <c r="VMC157" s="69"/>
      <c r="VMD157" s="69"/>
      <c r="VME157" s="69"/>
      <c r="VMF157" s="69"/>
      <c r="VMG157" s="69"/>
      <c r="VMH157" s="69"/>
      <c r="VMI157" s="69"/>
      <c r="VMJ157" s="69"/>
      <c r="VMK157" s="69"/>
      <c r="VML157" s="69"/>
      <c r="VMM157" s="69"/>
      <c r="VMN157" s="69"/>
      <c r="VMO157" s="69"/>
      <c r="VMP157" s="69"/>
      <c r="VMQ157" s="69"/>
      <c r="VMR157" s="69"/>
      <c r="VMS157" s="69"/>
      <c r="VMT157" s="69"/>
      <c r="VMU157" s="69"/>
      <c r="VMV157" s="69"/>
      <c r="VMW157" s="69"/>
      <c r="VMX157" s="69"/>
      <c r="VMY157" s="69"/>
      <c r="VMZ157" s="69"/>
      <c r="VNA157" s="69"/>
      <c r="VNB157" s="69"/>
      <c r="VNC157" s="69"/>
      <c r="VND157" s="69"/>
      <c r="VNE157" s="69"/>
      <c r="VNF157" s="69"/>
      <c r="VNG157" s="69"/>
      <c r="VNH157" s="69"/>
      <c r="VNI157" s="69"/>
      <c r="VNJ157" s="69"/>
      <c r="VNK157" s="69"/>
      <c r="VNL157" s="69"/>
      <c r="VNM157" s="69"/>
      <c r="VNN157" s="69"/>
      <c r="VNO157" s="69"/>
      <c r="VNP157" s="69"/>
      <c r="VNQ157" s="69"/>
      <c r="VNR157" s="69"/>
      <c r="VNS157" s="69"/>
      <c r="VNT157" s="69"/>
      <c r="VNU157" s="69"/>
      <c r="VNV157" s="69"/>
      <c r="VNW157" s="69"/>
      <c r="VNX157" s="69"/>
      <c r="VNY157" s="69"/>
      <c r="VNZ157" s="69"/>
      <c r="VOA157" s="69"/>
      <c r="VOB157" s="69"/>
      <c r="VOC157" s="69"/>
      <c r="VOD157" s="69"/>
      <c r="VOE157" s="69"/>
      <c r="VOF157" s="69"/>
      <c r="VOG157" s="69"/>
      <c r="VOH157" s="69"/>
      <c r="VOI157" s="69"/>
      <c r="VOJ157" s="69"/>
      <c r="VOK157" s="69"/>
      <c r="VOL157" s="69"/>
      <c r="VOM157" s="69"/>
      <c r="VON157" s="69"/>
      <c r="VOO157" s="69"/>
      <c r="VOP157" s="69"/>
      <c r="VOQ157" s="69"/>
      <c r="VOR157" s="69"/>
      <c r="VOS157" s="69"/>
      <c r="VOT157" s="69"/>
      <c r="VOU157" s="69"/>
      <c r="VOV157" s="69"/>
      <c r="VOW157" s="69"/>
      <c r="VOX157" s="69"/>
      <c r="VOY157" s="69"/>
      <c r="VOZ157" s="69"/>
      <c r="VPA157" s="69"/>
      <c r="VPB157" s="69"/>
      <c r="VPC157" s="69"/>
      <c r="VPD157" s="69"/>
      <c r="VPE157" s="69"/>
      <c r="VPF157" s="69"/>
      <c r="VPG157" s="69"/>
      <c r="VPH157" s="69"/>
      <c r="VPI157" s="69"/>
      <c r="VPJ157" s="69"/>
      <c r="VPK157" s="69"/>
      <c r="VPL157" s="69"/>
      <c r="VPM157" s="69"/>
      <c r="VPN157" s="69"/>
      <c r="VPO157" s="69"/>
      <c r="VPP157" s="69"/>
      <c r="VPQ157" s="69"/>
      <c r="VPR157" s="69"/>
      <c r="VPS157" s="69"/>
      <c r="VPT157" s="69"/>
      <c r="VPU157" s="69"/>
      <c r="VPV157" s="69"/>
      <c r="VPW157" s="69"/>
      <c r="VPX157" s="69"/>
      <c r="VPY157" s="69"/>
      <c r="VPZ157" s="69"/>
      <c r="VQA157" s="69"/>
      <c r="VQB157" s="69"/>
      <c r="VQC157" s="69"/>
      <c r="VQD157" s="69"/>
      <c r="VQE157" s="69"/>
      <c r="VQF157" s="69"/>
      <c r="VQG157" s="69"/>
      <c r="VQH157" s="69"/>
      <c r="VQI157" s="69"/>
      <c r="VQJ157" s="69"/>
      <c r="VQK157" s="69"/>
      <c r="VQL157" s="69"/>
      <c r="VQM157" s="69"/>
      <c r="VQN157" s="69"/>
      <c r="VQO157" s="69"/>
      <c r="VQP157" s="69"/>
      <c r="VQQ157" s="69"/>
      <c r="VQR157" s="69"/>
      <c r="VQS157" s="69"/>
      <c r="VQT157" s="69"/>
      <c r="VQU157" s="69"/>
      <c r="VQV157" s="69"/>
      <c r="VQW157" s="69"/>
      <c r="VQX157" s="69"/>
      <c r="VQY157" s="69"/>
      <c r="VQZ157" s="69"/>
      <c r="VRA157" s="69"/>
      <c r="VRB157" s="69"/>
      <c r="VRC157" s="69"/>
      <c r="VRD157" s="69"/>
      <c r="VRE157" s="69"/>
      <c r="VRF157" s="69"/>
      <c r="VRG157" s="69"/>
      <c r="VRH157" s="69"/>
      <c r="VRI157" s="69"/>
      <c r="VRJ157" s="69"/>
      <c r="VRK157" s="69"/>
      <c r="VRL157" s="69"/>
      <c r="VRM157" s="69"/>
      <c r="VRN157" s="69"/>
      <c r="VRO157" s="69"/>
      <c r="VRP157" s="69"/>
      <c r="VRQ157" s="69"/>
      <c r="VRR157" s="69"/>
      <c r="VRS157" s="69"/>
      <c r="VRT157" s="69"/>
      <c r="VRU157" s="69"/>
      <c r="VRV157" s="69"/>
      <c r="VRW157" s="69"/>
      <c r="VRX157" s="69"/>
      <c r="VRY157" s="69"/>
      <c r="VRZ157" s="69"/>
      <c r="VSA157" s="69"/>
      <c r="VSB157" s="69"/>
      <c r="VSC157" s="69"/>
      <c r="VSD157" s="69"/>
      <c r="VSE157" s="69"/>
      <c r="VSF157" s="69"/>
      <c r="VSG157" s="69"/>
      <c r="VSH157" s="69"/>
      <c r="VSI157" s="69"/>
      <c r="VSJ157" s="69"/>
      <c r="VSK157" s="69"/>
      <c r="VSL157" s="69"/>
      <c r="VSM157" s="69"/>
      <c r="VSN157" s="69"/>
      <c r="VSO157" s="69"/>
      <c r="VSP157" s="69"/>
      <c r="VSQ157" s="69"/>
      <c r="VSR157" s="69"/>
      <c r="VSS157" s="69"/>
      <c r="VST157" s="69"/>
      <c r="VSU157" s="69"/>
      <c r="VSV157" s="69"/>
      <c r="VSW157" s="69"/>
      <c r="VSX157" s="69"/>
      <c r="VSY157" s="69"/>
      <c r="VSZ157" s="69"/>
      <c r="VTA157" s="69"/>
      <c r="VTB157" s="69"/>
      <c r="VTC157" s="69"/>
      <c r="VTD157" s="69"/>
      <c r="VTE157" s="69"/>
      <c r="VTF157" s="69"/>
      <c r="VTG157" s="69"/>
      <c r="VTH157" s="69"/>
      <c r="VTI157" s="69"/>
      <c r="VTJ157" s="69"/>
      <c r="VTK157" s="69"/>
      <c r="VTL157" s="69"/>
      <c r="VTM157" s="69"/>
      <c r="VTN157" s="69"/>
      <c r="VTO157" s="69"/>
      <c r="VTP157" s="69"/>
      <c r="VTQ157" s="69"/>
      <c r="VTR157" s="69"/>
      <c r="VTS157" s="69"/>
      <c r="VTT157" s="69"/>
      <c r="VTU157" s="69"/>
      <c r="VTV157" s="69"/>
      <c r="VTW157" s="69"/>
      <c r="VTX157" s="69"/>
      <c r="VTY157" s="69"/>
      <c r="VTZ157" s="69"/>
      <c r="VUA157" s="69"/>
      <c r="VUB157" s="69"/>
      <c r="VUC157" s="69"/>
      <c r="VUD157" s="69"/>
      <c r="VUE157" s="69"/>
      <c r="VUF157" s="69"/>
      <c r="VUG157" s="69"/>
      <c r="VUH157" s="69"/>
      <c r="VUI157" s="69"/>
      <c r="VUJ157" s="69"/>
      <c r="VUK157" s="69"/>
      <c r="VUL157" s="69"/>
      <c r="VUM157" s="69"/>
      <c r="VUN157" s="69"/>
      <c r="VUO157" s="69"/>
      <c r="VUP157" s="69"/>
      <c r="VUQ157" s="69"/>
      <c r="VUR157" s="69"/>
      <c r="VUS157" s="69"/>
      <c r="VUT157" s="69"/>
      <c r="VUU157" s="69"/>
      <c r="VUV157" s="69"/>
      <c r="VUW157" s="69"/>
      <c r="VUX157" s="69"/>
      <c r="VUY157" s="69"/>
      <c r="VUZ157" s="69"/>
      <c r="VVA157" s="69"/>
      <c r="VVB157" s="69"/>
      <c r="VVC157" s="69"/>
      <c r="VVD157" s="69"/>
      <c r="VVE157" s="69"/>
      <c r="VVF157" s="69"/>
      <c r="VVG157" s="69"/>
      <c r="VVH157" s="69"/>
      <c r="VVI157" s="69"/>
      <c r="VVJ157" s="69"/>
      <c r="VVK157" s="69"/>
      <c r="VVL157" s="69"/>
      <c r="VVM157" s="69"/>
      <c r="VVN157" s="69"/>
      <c r="VVO157" s="69"/>
      <c r="VVP157" s="69"/>
      <c r="VVQ157" s="69"/>
      <c r="VVR157" s="69"/>
      <c r="VVS157" s="69"/>
      <c r="VVT157" s="69"/>
      <c r="VVU157" s="69"/>
      <c r="VVV157" s="69"/>
      <c r="VVW157" s="69"/>
      <c r="VVX157" s="69"/>
      <c r="VVY157" s="69"/>
      <c r="VVZ157" s="69"/>
      <c r="VWA157" s="69"/>
      <c r="VWB157" s="69"/>
      <c r="VWC157" s="69"/>
      <c r="VWD157" s="69"/>
      <c r="VWE157" s="69"/>
      <c r="VWF157" s="69"/>
      <c r="VWG157" s="69"/>
      <c r="VWH157" s="69"/>
      <c r="VWI157" s="69"/>
      <c r="VWJ157" s="69"/>
      <c r="VWK157" s="69"/>
      <c r="VWL157" s="69"/>
      <c r="VWM157" s="69"/>
      <c r="VWN157" s="69"/>
      <c r="VWO157" s="69"/>
      <c r="VWP157" s="69"/>
      <c r="VWQ157" s="69"/>
      <c r="VWR157" s="69"/>
      <c r="VWS157" s="69"/>
      <c r="VWT157" s="69"/>
      <c r="VWU157" s="69"/>
      <c r="VWV157" s="69"/>
      <c r="VWW157" s="69"/>
      <c r="VWX157" s="69"/>
      <c r="VWY157" s="69"/>
      <c r="VWZ157" s="69"/>
      <c r="VXA157" s="69"/>
      <c r="VXB157" s="69"/>
      <c r="VXC157" s="69"/>
      <c r="VXD157" s="69"/>
      <c r="VXE157" s="69"/>
      <c r="VXF157" s="69"/>
      <c r="VXG157" s="69"/>
      <c r="VXH157" s="69"/>
      <c r="VXI157" s="69"/>
      <c r="VXJ157" s="69"/>
      <c r="VXK157" s="69"/>
      <c r="VXL157" s="69"/>
      <c r="VXM157" s="69"/>
      <c r="VXN157" s="69"/>
      <c r="VXO157" s="69"/>
      <c r="VXP157" s="69"/>
      <c r="VXQ157" s="69"/>
      <c r="VXR157" s="69"/>
      <c r="VXS157" s="69"/>
      <c r="VXT157" s="69"/>
      <c r="VXU157" s="69"/>
      <c r="VXV157" s="69"/>
      <c r="VXW157" s="69"/>
      <c r="VXX157" s="69"/>
      <c r="VXY157" s="69"/>
      <c r="VXZ157" s="69"/>
      <c r="VYA157" s="69"/>
      <c r="VYB157" s="69"/>
      <c r="VYC157" s="69"/>
      <c r="VYD157" s="69"/>
      <c r="VYE157" s="69"/>
      <c r="VYF157" s="69"/>
      <c r="VYG157" s="69"/>
      <c r="VYH157" s="69"/>
      <c r="VYI157" s="69"/>
      <c r="VYJ157" s="69"/>
      <c r="VYK157" s="69"/>
      <c r="VYL157" s="69"/>
      <c r="VYM157" s="69"/>
      <c r="VYN157" s="69"/>
      <c r="VYO157" s="69"/>
      <c r="VYP157" s="69"/>
      <c r="VYQ157" s="69"/>
      <c r="VYR157" s="69"/>
      <c r="VYS157" s="69"/>
      <c r="VYT157" s="69"/>
      <c r="VYU157" s="69"/>
      <c r="VYV157" s="69"/>
      <c r="VYW157" s="69"/>
      <c r="VYX157" s="69"/>
      <c r="VYY157" s="69"/>
      <c r="VYZ157" s="69"/>
      <c r="VZA157" s="69"/>
      <c r="VZB157" s="69"/>
      <c r="VZC157" s="69"/>
      <c r="VZD157" s="69"/>
      <c r="VZE157" s="69"/>
      <c r="VZF157" s="69"/>
      <c r="VZG157" s="69"/>
      <c r="VZH157" s="69"/>
      <c r="VZI157" s="69"/>
      <c r="VZJ157" s="69"/>
      <c r="VZK157" s="69"/>
      <c r="VZL157" s="69"/>
      <c r="VZM157" s="69"/>
      <c r="VZN157" s="69"/>
      <c r="VZO157" s="69"/>
      <c r="VZP157" s="69"/>
      <c r="VZQ157" s="69"/>
      <c r="VZR157" s="69"/>
      <c r="VZS157" s="69"/>
      <c r="VZT157" s="69"/>
      <c r="VZU157" s="69"/>
      <c r="VZV157" s="69"/>
      <c r="VZW157" s="69"/>
      <c r="VZX157" s="69"/>
      <c r="VZY157" s="69"/>
      <c r="VZZ157" s="69"/>
      <c r="WAA157" s="69"/>
      <c r="WAB157" s="69"/>
      <c r="WAC157" s="69"/>
      <c r="WAD157" s="69"/>
      <c r="WAE157" s="69"/>
      <c r="WAF157" s="69"/>
      <c r="WAG157" s="69"/>
      <c r="WAH157" s="69"/>
      <c r="WAI157" s="69"/>
      <c r="WAJ157" s="69"/>
      <c r="WAK157" s="69"/>
      <c r="WAL157" s="69"/>
      <c r="WAM157" s="69"/>
      <c r="WAN157" s="69"/>
      <c r="WAO157" s="69"/>
      <c r="WAP157" s="69"/>
      <c r="WAQ157" s="69"/>
      <c r="WAR157" s="69"/>
      <c r="WAS157" s="69"/>
      <c r="WAT157" s="69"/>
      <c r="WAU157" s="69"/>
      <c r="WAV157" s="69"/>
      <c r="WAW157" s="69"/>
      <c r="WAX157" s="69"/>
      <c r="WAY157" s="69"/>
      <c r="WAZ157" s="69"/>
      <c r="WBA157" s="69"/>
      <c r="WBB157" s="69"/>
      <c r="WBC157" s="69"/>
      <c r="WBD157" s="69"/>
      <c r="WBE157" s="69"/>
      <c r="WBF157" s="69"/>
      <c r="WBG157" s="69"/>
      <c r="WBH157" s="69"/>
      <c r="WBI157" s="69"/>
      <c r="WBJ157" s="69"/>
      <c r="WBK157" s="69"/>
      <c r="WBL157" s="69"/>
      <c r="WBM157" s="69"/>
      <c r="WBN157" s="69"/>
      <c r="WBO157" s="69"/>
      <c r="WBP157" s="69"/>
      <c r="WBQ157" s="69"/>
      <c r="WBR157" s="69"/>
      <c r="WBS157" s="69"/>
      <c r="WBT157" s="69"/>
      <c r="WBU157" s="69"/>
      <c r="WBV157" s="69"/>
      <c r="WBW157" s="69"/>
      <c r="WBX157" s="69"/>
      <c r="WBY157" s="69"/>
      <c r="WBZ157" s="69"/>
      <c r="WCA157" s="69"/>
      <c r="WCB157" s="69"/>
      <c r="WCC157" s="69"/>
      <c r="WCD157" s="69"/>
      <c r="WCE157" s="69"/>
      <c r="WCF157" s="69"/>
      <c r="WCG157" s="69"/>
      <c r="WCH157" s="69"/>
      <c r="WCI157" s="69"/>
      <c r="WCJ157" s="69"/>
      <c r="WCK157" s="69"/>
      <c r="WCL157" s="69"/>
      <c r="WCM157" s="69"/>
      <c r="WCN157" s="69"/>
      <c r="WCO157" s="69"/>
      <c r="WCP157" s="69"/>
      <c r="WCQ157" s="69"/>
      <c r="WCR157" s="69"/>
      <c r="WCS157" s="69"/>
      <c r="WCT157" s="69"/>
      <c r="WCU157" s="69"/>
      <c r="WCV157" s="69"/>
      <c r="WCW157" s="69"/>
      <c r="WCX157" s="69"/>
      <c r="WCY157" s="69"/>
      <c r="WCZ157" s="69"/>
      <c r="WDA157" s="69"/>
      <c r="WDB157" s="69"/>
      <c r="WDC157" s="69"/>
      <c r="WDD157" s="69"/>
      <c r="WDE157" s="69"/>
      <c r="WDF157" s="69"/>
      <c r="WDG157" s="69"/>
      <c r="WDH157" s="69"/>
      <c r="WDI157" s="69"/>
      <c r="WDJ157" s="69"/>
      <c r="WDK157" s="69"/>
      <c r="WDL157" s="69"/>
      <c r="WDM157" s="69"/>
      <c r="WDN157" s="69"/>
      <c r="WDO157" s="69"/>
      <c r="WDP157" s="69"/>
      <c r="WDQ157" s="69"/>
      <c r="WDR157" s="69"/>
      <c r="WDS157" s="69"/>
      <c r="WDT157" s="69"/>
      <c r="WDU157" s="69"/>
      <c r="WDV157" s="69"/>
      <c r="WDW157" s="69"/>
      <c r="WDX157" s="69"/>
      <c r="WDY157" s="69"/>
      <c r="WDZ157" s="69"/>
      <c r="WEA157" s="69"/>
      <c r="WEB157" s="69"/>
      <c r="WEC157" s="69"/>
      <c r="WED157" s="69"/>
      <c r="WEE157" s="69"/>
      <c r="WEF157" s="69"/>
      <c r="WEG157" s="69"/>
      <c r="WEH157" s="69"/>
      <c r="WEI157" s="69"/>
      <c r="WEJ157" s="69"/>
      <c r="WEK157" s="69"/>
      <c r="WEL157" s="69"/>
      <c r="WEM157" s="69"/>
      <c r="WEN157" s="69"/>
      <c r="WEO157" s="69"/>
      <c r="WEP157" s="69"/>
      <c r="WEQ157" s="69"/>
      <c r="WER157" s="69"/>
      <c r="WES157" s="69"/>
      <c r="WET157" s="69"/>
      <c r="WEU157" s="69"/>
      <c r="WEV157" s="69"/>
      <c r="WEW157" s="69"/>
      <c r="WEX157" s="69"/>
      <c r="WEY157" s="69"/>
      <c r="WEZ157" s="69"/>
      <c r="WFA157" s="69"/>
      <c r="WFB157" s="69"/>
      <c r="WFC157" s="69"/>
      <c r="WFD157" s="69"/>
      <c r="WFE157" s="69"/>
      <c r="WFF157" s="69"/>
      <c r="WFG157" s="69"/>
      <c r="WFH157" s="69"/>
      <c r="WFI157" s="69"/>
      <c r="WFJ157" s="69"/>
      <c r="WFK157" s="69"/>
      <c r="WFL157" s="69"/>
      <c r="WFM157" s="69"/>
      <c r="WFN157" s="69"/>
      <c r="WFO157" s="69"/>
      <c r="WFP157" s="69"/>
      <c r="WFQ157" s="69"/>
      <c r="WFR157" s="69"/>
      <c r="WFS157" s="69"/>
      <c r="WFT157" s="69"/>
      <c r="WFU157" s="69"/>
      <c r="WFV157" s="69"/>
      <c r="WFW157" s="69"/>
      <c r="WFX157" s="69"/>
      <c r="WFY157" s="69"/>
      <c r="WFZ157" s="69"/>
      <c r="WGA157" s="69"/>
      <c r="WGB157" s="69"/>
      <c r="WGC157" s="69"/>
      <c r="WGD157" s="69"/>
      <c r="WGE157" s="69"/>
      <c r="WGF157" s="69"/>
      <c r="WGG157" s="69"/>
      <c r="WGH157" s="69"/>
      <c r="WGI157" s="69"/>
      <c r="WGJ157" s="69"/>
      <c r="WGK157" s="69"/>
      <c r="WGL157" s="69"/>
      <c r="WGM157" s="69"/>
      <c r="WGN157" s="69"/>
      <c r="WGO157" s="69"/>
      <c r="WGP157" s="69"/>
      <c r="WGQ157" s="69"/>
      <c r="WGR157" s="69"/>
      <c r="WGS157" s="69"/>
      <c r="WGT157" s="69"/>
      <c r="WGU157" s="69"/>
      <c r="WGV157" s="69"/>
      <c r="WGW157" s="69"/>
      <c r="WGX157" s="69"/>
      <c r="WGY157" s="69"/>
      <c r="WGZ157" s="69"/>
      <c r="WHA157" s="69"/>
      <c r="WHB157" s="69"/>
      <c r="WHC157" s="69"/>
      <c r="WHD157" s="69"/>
      <c r="WHE157" s="69"/>
      <c r="WHF157" s="69"/>
      <c r="WHG157" s="69"/>
      <c r="WHH157" s="69"/>
      <c r="WHI157" s="69"/>
      <c r="WHJ157" s="69"/>
      <c r="WHK157" s="69"/>
      <c r="WHL157" s="69"/>
      <c r="WHM157" s="69"/>
      <c r="WHN157" s="69"/>
      <c r="WHO157" s="69"/>
      <c r="WHP157" s="69"/>
      <c r="WHQ157" s="69"/>
      <c r="WHR157" s="69"/>
      <c r="WHS157" s="69"/>
      <c r="WHT157" s="69"/>
      <c r="WHU157" s="69"/>
      <c r="WHV157" s="69"/>
      <c r="WHW157" s="69"/>
      <c r="WHX157" s="69"/>
      <c r="WHY157" s="69"/>
      <c r="WHZ157" s="69"/>
      <c r="WIA157" s="69"/>
      <c r="WIB157" s="69"/>
      <c r="WIC157" s="69"/>
      <c r="WID157" s="69"/>
      <c r="WIE157" s="69"/>
      <c r="WIF157" s="69"/>
      <c r="WIG157" s="69"/>
      <c r="WIH157" s="69"/>
      <c r="WII157" s="69"/>
      <c r="WIJ157" s="69"/>
      <c r="WIK157" s="69"/>
      <c r="WIL157" s="69"/>
      <c r="WIM157" s="69"/>
      <c r="WIN157" s="69"/>
      <c r="WIO157" s="69"/>
      <c r="WIP157" s="69"/>
      <c r="WIQ157" s="69"/>
      <c r="WIR157" s="69"/>
      <c r="WIS157" s="69"/>
      <c r="WIT157" s="69"/>
      <c r="WIU157" s="69"/>
      <c r="WIV157" s="69"/>
      <c r="WIW157" s="69"/>
      <c r="WIX157" s="69"/>
      <c r="WIY157" s="69"/>
      <c r="WIZ157" s="69"/>
      <c r="WJA157" s="69"/>
      <c r="WJB157" s="69"/>
      <c r="WJC157" s="69"/>
      <c r="WJD157" s="69"/>
      <c r="WJE157" s="69"/>
      <c r="WJF157" s="69"/>
      <c r="WJG157" s="69"/>
      <c r="WJH157" s="69"/>
      <c r="WJI157" s="69"/>
      <c r="WJJ157" s="69"/>
      <c r="WJK157" s="69"/>
      <c r="WJL157" s="69"/>
      <c r="WJM157" s="69"/>
      <c r="WJN157" s="69"/>
      <c r="WJO157" s="69"/>
      <c r="WJP157" s="69"/>
      <c r="WJQ157" s="69"/>
      <c r="WJR157" s="69"/>
      <c r="WJS157" s="69"/>
      <c r="WJT157" s="69"/>
      <c r="WJU157" s="69"/>
      <c r="WJV157" s="69"/>
      <c r="WJW157" s="69"/>
      <c r="WJX157" s="69"/>
      <c r="WJY157" s="69"/>
      <c r="WJZ157" s="69"/>
      <c r="WKA157" s="69"/>
      <c r="WKB157" s="69"/>
      <c r="WKC157" s="69"/>
      <c r="WKD157" s="69"/>
      <c r="WKE157" s="69"/>
      <c r="WKF157" s="69"/>
      <c r="WKG157" s="69"/>
      <c r="WKH157" s="69"/>
      <c r="WKI157" s="69"/>
      <c r="WKJ157" s="69"/>
      <c r="WKK157" s="69"/>
      <c r="WKL157" s="69"/>
      <c r="WKM157" s="69"/>
      <c r="WKN157" s="69"/>
      <c r="WKO157" s="69"/>
      <c r="WKP157" s="69"/>
      <c r="WKQ157" s="69"/>
      <c r="WKR157" s="69"/>
      <c r="WKS157" s="69"/>
      <c r="WKT157" s="69"/>
      <c r="WKU157" s="69"/>
      <c r="WKV157" s="69"/>
      <c r="WKW157" s="69"/>
      <c r="WKX157" s="69"/>
      <c r="WKY157" s="69"/>
      <c r="WKZ157" s="69"/>
      <c r="WLA157" s="69"/>
      <c r="WLB157" s="69"/>
      <c r="WLC157" s="69"/>
      <c r="WLD157" s="69"/>
      <c r="WLE157" s="69"/>
      <c r="WLF157" s="69"/>
      <c r="WLG157" s="69"/>
      <c r="WLH157" s="69"/>
      <c r="WLI157" s="69"/>
      <c r="WLJ157" s="69"/>
      <c r="WLK157" s="69"/>
      <c r="WLL157" s="69"/>
      <c r="WLM157" s="69"/>
      <c r="WLN157" s="69"/>
      <c r="WLO157" s="69"/>
      <c r="WLP157" s="69"/>
      <c r="WLQ157" s="69"/>
      <c r="WLR157" s="69"/>
      <c r="WLS157" s="69"/>
      <c r="WLT157" s="69"/>
      <c r="WLU157" s="69"/>
      <c r="WLV157" s="69"/>
      <c r="WLW157" s="69"/>
      <c r="WLX157" s="69"/>
      <c r="WLY157" s="69"/>
      <c r="WLZ157" s="69"/>
      <c r="WMA157" s="69"/>
      <c r="WMB157" s="69"/>
      <c r="WMC157" s="69"/>
      <c r="WMD157" s="69"/>
      <c r="WME157" s="69"/>
      <c r="WMF157" s="69"/>
      <c r="WMG157" s="69"/>
      <c r="WMH157" s="69"/>
      <c r="WMI157" s="69"/>
      <c r="WMJ157" s="69"/>
      <c r="WMK157" s="69"/>
      <c r="WML157" s="69"/>
      <c r="WMM157" s="69"/>
      <c r="WMN157" s="69"/>
      <c r="WMO157" s="69"/>
      <c r="WMP157" s="69"/>
      <c r="WMQ157" s="69"/>
      <c r="WMR157" s="69"/>
      <c r="WMS157" s="69"/>
      <c r="WMT157" s="69"/>
      <c r="WMU157" s="69"/>
      <c r="WMV157" s="69"/>
      <c r="WMW157" s="69"/>
      <c r="WMX157" s="69"/>
      <c r="WMY157" s="69"/>
      <c r="WMZ157" s="69"/>
      <c r="WNA157" s="69"/>
      <c r="WNB157" s="69"/>
      <c r="WNC157" s="69"/>
      <c r="WND157" s="69"/>
      <c r="WNE157" s="69"/>
      <c r="WNF157" s="69"/>
      <c r="WNG157" s="69"/>
      <c r="WNH157" s="69"/>
      <c r="WNI157" s="69"/>
      <c r="WNJ157" s="69"/>
      <c r="WNK157" s="69"/>
      <c r="WNL157" s="69"/>
      <c r="WNM157" s="69"/>
      <c r="WNN157" s="69"/>
      <c r="WNO157" s="69"/>
      <c r="WNP157" s="69"/>
      <c r="WNQ157" s="69"/>
      <c r="WNR157" s="69"/>
      <c r="WNS157" s="69"/>
      <c r="WNT157" s="69"/>
      <c r="WNU157" s="69"/>
      <c r="WNV157" s="69"/>
      <c r="WNW157" s="69"/>
      <c r="WNX157" s="69"/>
      <c r="WNY157" s="69"/>
      <c r="WNZ157" s="69"/>
      <c r="WOA157" s="69"/>
      <c r="WOB157" s="69"/>
      <c r="WOC157" s="69"/>
      <c r="WOD157" s="69"/>
      <c r="WOE157" s="69"/>
      <c r="WOF157" s="69"/>
      <c r="WOG157" s="69"/>
      <c r="WOH157" s="69"/>
      <c r="WOI157" s="69"/>
      <c r="WOJ157" s="69"/>
      <c r="WOK157" s="69"/>
      <c r="WOL157" s="69"/>
      <c r="WOM157" s="69"/>
      <c r="WON157" s="69"/>
      <c r="WOO157" s="69"/>
      <c r="WOP157" s="69"/>
      <c r="WOQ157" s="69"/>
      <c r="WOR157" s="69"/>
      <c r="WOS157" s="69"/>
      <c r="WOT157" s="69"/>
      <c r="WOU157" s="69"/>
      <c r="WOV157" s="69"/>
      <c r="WOW157" s="69"/>
      <c r="WOX157" s="69"/>
      <c r="WOY157" s="69"/>
      <c r="WOZ157" s="69"/>
      <c r="WPA157" s="69"/>
      <c r="WPB157" s="69"/>
      <c r="WPC157" s="69"/>
      <c r="WPD157" s="69"/>
      <c r="WPE157" s="69"/>
      <c r="WPF157" s="69"/>
      <c r="WPG157" s="69"/>
      <c r="WPH157" s="69"/>
      <c r="WPI157" s="69"/>
      <c r="WPJ157" s="69"/>
      <c r="WPK157" s="69"/>
      <c r="WPL157" s="69"/>
      <c r="WPM157" s="69"/>
      <c r="WPN157" s="69"/>
      <c r="WPO157" s="69"/>
      <c r="WPP157" s="69"/>
      <c r="WPQ157" s="69"/>
      <c r="WPR157" s="69"/>
      <c r="WPS157" s="69"/>
      <c r="WPT157" s="69"/>
      <c r="WPU157" s="69"/>
      <c r="WPV157" s="69"/>
      <c r="WPW157" s="69"/>
      <c r="WPX157" s="69"/>
      <c r="WPY157" s="69"/>
      <c r="WPZ157" s="69"/>
      <c r="WQA157" s="69"/>
      <c r="WQB157" s="69"/>
      <c r="WQC157" s="69"/>
      <c r="WQD157" s="69"/>
      <c r="WQE157" s="69"/>
      <c r="WQF157" s="69"/>
      <c r="WQG157" s="69"/>
      <c r="WQH157" s="69"/>
      <c r="WQI157" s="69"/>
      <c r="WQJ157" s="69"/>
      <c r="WQK157" s="69"/>
      <c r="WQL157" s="69"/>
      <c r="WQM157" s="69"/>
      <c r="WQN157" s="69"/>
      <c r="WQO157" s="69"/>
      <c r="WQP157" s="69"/>
      <c r="WQQ157" s="69"/>
      <c r="WQR157" s="69"/>
      <c r="WQS157" s="69"/>
      <c r="WQT157" s="69"/>
      <c r="WQU157" s="69"/>
      <c r="WQV157" s="69"/>
      <c r="WQW157" s="69"/>
      <c r="WQX157" s="69"/>
      <c r="WQY157" s="69"/>
      <c r="WQZ157" s="69"/>
      <c r="WRA157" s="69"/>
      <c r="WRB157" s="69"/>
      <c r="WRC157" s="69"/>
      <c r="WRD157" s="69"/>
      <c r="WRE157" s="69"/>
      <c r="WRF157" s="69"/>
      <c r="WRG157" s="69"/>
      <c r="WRH157" s="69"/>
      <c r="WRI157" s="69"/>
      <c r="WRJ157" s="69"/>
      <c r="WRK157" s="69"/>
      <c r="WRL157" s="69"/>
      <c r="WRM157" s="69"/>
      <c r="WRN157" s="69"/>
      <c r="WRO157" s="69"/>
      <c r="WRP157" s="69"/>
      <c r="WRQ157" s="69"/>
      <c r="WRR157" s="69"/>
      <c r="WRS157" s="69"/>
      <c r="WRT157" s="69"/>
      <c r="WRU157" s="69"/>
      <c r="WRV157" s="69"/>
      <c r="WRW157" s="69"/>
      <c r="WRX157" s="69"/>
      <c r="WRY157" s="69"/>
      <c r="WRZ157" s="69"/>
      <c r="WSA157" s="69"/>
      <c r="WSB157" s="69"/>
      <c r="WSC157" s="69"/>
      <c r="WSD157" s="69"/>
      <c r="WSE157" s="69"/>
      <c r="WSF157" s="69"/>
      <c r="WSG157" s="69"/>
      <c r="WSH157" s="69"/>
      <c r="WSI157" s="69"/>
      <c r="WSJ157" s="69"/>
      <c r="WSK157" s="69"/>
      <c r="WSL157" s="69"/>
      <c r="WSM157" s="69"/>
      <c r="WSN157" s="69"/>
      <c r="WSO157" s="69"/>
      <c r="WSP157" s="69"/>
      <c r="WSQ157" s="69"/>
      <c r="WSR157" s="69"/>
      <c r="WSS157" s="69"/>
      <c r="WST157" s="69"/>
      <c r="WSU157" s="69"/>
      <c r="WSV157" s="69"/>
      <c r="WSW157" s="69"/>
      <c r="WSX157" s="69"/>
      <c r="WSY157" s="69"/>
      <c r="WSZ157" s="69"/>
      <c r="WTA157" s="69"/>
      <c r="WTB157" s="69"/>
      <c r="WTC157" s="69"/>
      <c r="WTD157" s="69"/>
      <c r="WTE157" s="69"/>
      <c r="WTF157" s="69"/>
      <c r="WTG157" s="69"/>
      <c r="WTH157" s="69"/>
      <c r="WTI157" s="69"/>
      <c r="WTJ157" s="69"/>
      <c r="WTK157" s="69"/>
      <c r="WTL157" s="69"/>
      <c r="WTM157" s="69"/>
      <c r="WTN157" s="69"/>
      <c r="WTO157" s="69"/>
      <c r="WTP157" s="69"/>
      <c r="WTQ157" s="69"/>
      <c r="WTR157" s="69"/>
      <c r="WTS157" s="69"/>
      <c r="WTT157" s="69"/>
      <c r="WTU157" s="69"/>
      <c r="WTV157" s="69"/>
      <c r="WTW157" s="69"/>
      <c r="WTX157" s="69"/>
      <c r="WTY157" s="69"/>
      <c r="WTZ157" s="69"/>
      <c r="WUA157" s="69"/>
      <c r="WUB157" s="69"/>
      <c r="WUC157" s="69"/>
      <c r="WUD157" s="69"/>
      <c r="WUE157" s="69"/>
      <c r="WUF157" s="69"/>
      <c r="WUG157" s="69"/>
      <c r="WUH157" s="69"/>
      <c r="WUI157" s="69"/>
      <c r="WUJ157" s="69"/>
      <c r="WUK157" s="69"/>
      <c r="WUL157" s="69"/>
      <c r="WUM157" s="69"/>
      <c r="WUN157" s="69"/>
      <c r="WUO157" s="69"/>
      <c r="WUP157" s="69"/>
      <c r="WUQ157" s="69"/>
      <c r="WUR157" s="69"/>
      <c r="WUS157" s="69"/>
      <c r="WUT157" s="69"/>
      <c r="WUU157" s="69"/>
      <c r="WUV157" s="69"/>
      <c r="WUW157" s="69"/>
      <c r="WUX157" s="69"/>
      <c r="WUY157" s="69"/>
      <c r="WUZ157" s="69"/>
      <c r="WVA157" s="69"/>
      <c r="WVB157" s="69"/>
      <c r="WVC157" s="69"/>
      <c r="WVD157" s="69"/>
      <c r="WVE157" s="69"/>
      <c r="WVF157" s="69"/>
      <c r="WVG157" s="69"/>
      <c r="WVH157" s="69"/>
      <c r="WVI157" s="69"/>
      <c r="WVJ157" s="69"/>
      <c r="WVK157" s="69"/>
      <c r="WVL157" s="69"/>
      <c r="WVM157" s="69"/>
      <c r="WVN157" s="69"/>
      <c r="WVO157" s="69"/>
      <c r="WVP157" s="69"/>
      <c r="WVQ157" s="69"/>
      <c r="WVR157" s="69"/>
      <c r="WVS157" s="69"/>
      <c r="WVT157" s="69"/>
      <c r="WVU157" s="69"/>
      <c r="WVV157" s="69"/>
      <c r="WVW157" s="69"/>
      <c r="WVX157" s="69"/>
      <c r="WVY157" s="69"/>
      <c r="WVZ157" s="69"/>
      <c r="WWA157" s="69"/>
      <c r="WWB157" s="69"/>
      <c r="WWC157" s="69"/>
      <c r="WWD157" s="69"/>
      <c r="WWE157" s="69"/>
      <c r="WWF157" s="69"/>
      <c r="WWG157" s="69"/>
      <c r="WWH157" s="69"/>
      <c r="WWI157" s="69"/>
      <c r="WWJ157" s="69"/>
      <c r="WWK157" s="69"/>
      <c r="WWL157" s="69"/>
      <c r="WWM157" s="69"/>
      <c r="WWN157" s="69"/>
      <c r="WWO157" s="69"/>
      <c r="WWP157" s="69"/>
      <c r="WWQ157" s="69"/>
      <c r="WWR157" s="69"/>
      <c r="WWS157" s="69"/>
      <c r="WWT157" s="69"/>
      <c r="WWU157" s="69"/>
      <c r="WWV157" s="69"/>
      <c r="WWW157" s="69"/>
      <c r="WWX157" s="69"/>
      <c r="WWY157" s="69"/>
      <c r="WWZ157" s="69"/>
      <c r="WXA157" s="69"/>
      <c r="WXB157" s="69"/>
      <c r="WXC157" s="69"/>
      <c r="WXD157" s="69"/>
      <c r="WXE157" s="69"/>
      <c r="WXF157" s="69"/>
      <c r="WXG157" s="69"/>
      <c r="WXH157" s="69"/>
      <c r="WXI157" s="69"/>
      <c r="WXJ157" s="69"/>
      <c r="WXK157" s="69"/>
      <c r="WXL157" s="69"/>
      <c r="WXM157" s="69"/>
      <c r="WXN157" s="69"/>
      <c r="WXO157" s="69"/>
      <c r="WXP157" s="69"/>
      <c r="WXQ157" s="69"/>
      <c r="WXR157" s="69"/>
      <c r="WXS157" s="69"/>
      <c r="WXT157" s="69"/>
      <c r="WXU157" s="69"/>
      <c r="WXV157" s="69"/>
      <c r="WXW157" s="69"/>
      <c r="WXX157" s="69"/>
      <c r="WXY157" s="69"/>
      <c r="WXZ157" s="69"/>
      <c r="WYA157" s="69"/>
      <c r="WYB157" s="69"/>
      <c r="WYC157" s="69"/>
      <c r="WYD157" s="69"/>
      <c r="WYE157" s="69"/>
      <c r="WYF157" s="69"/>
      <c r="WYG157" s="69"/>
      <c r="WYH157" s="69"/>
      <c r="WYI157" s="69"/>
      <c r="WYJ157" s="69"/>
      <c r="WYK157" s="69"/>
      <c r="WYL157" s="69"/>
      <c r="WYM157" s="69"/>
      <c r="WYN157" s="69"/>
      <c r="WYO157" s="69"/>
      <c r="WYP157" s="69"/>
      <c r="WYQ157" s="69"/>
      <c r="WYR157" s="69"/>
      <c r="WYS157" s="69"/>
      <c r="WYT157" s="69"/>
      <c r="WYU157" s="69"/>
      <c r="WYV157" s="69"/>
      <c r="WYW157" s="69"/>
      <c r="WYX157" s="69"/>
      <c r="WYY157" s="69"/>
      <c r="WYZ157" s="69"/>
      <c r="WZA157" s="69"/>
      <c r="WZB157" s="69"/>
      <c r="WZC157" s="69"/>
      <c r="WZD157" s="69"/>
      <c r="WZE157" s="69"/>
      <c r="WZF157" s="69"/>
      <c r="WZG157" s="69"/>
      <c r="WZH157" s="69"/>
      <c r="WZI157" s="69"/>
      <c r="WZJ157" s="69"/>
      <c r="WZK157" s="69"/>
      <c r="WZL157" s="69"/>
      <c r="WZM157" s="69"/>
      <c r="WZN157" s="69"/>
      <c r="WZO157" s="69"/>
      <c r="WZP157" s="69"/>
      <c r="WZQ157" s="69"/>
      <c r="WZR157" s="69"/>
      <c r="WZS157" s="69"/>
      <c r="WZT157" s="69"/>
      <c r="WZU157" s="69"/>
      <c r="WZV157" s="69"/>
      <c r="WZW157" s="69"/>
      <c r="WZX157" s="69"/>
      <c r="WZY157" s="69"/>
      <c r="WZZ157" s="69"/>
      <c r="XAA157" s="69"/>
      <c r="XAB157" s="69"/>
      <c r="XAC157" s="69"/>
      <c r="XAD157" s="69"/>
      <c r="XAE157" s="69"/>
      <c r="XAF157" s="69"/>
      <c r="XAG157" s="69"/>
      <c r="XAH157" s="69"/>
      <c r="XAI157" s="69"/>
      <c r="XAJ157" s="69"/>
      <c r="XAK157" s="69"/>
      <c r="XAL157" s="69"/>
      <c r="XAM157" s="69"/>
      <c r="XAN157" s="69"/>
      <c r="XAO157" s="69"/>
      <c r="XAP157" s="69"/>
      <c r="XAQ157" s="69"/>
      <c r="XAR157" s="69"/>
      <c r="XAS157" s="69"/>
      <c r="XAT157" s="69"/>
      <c r="XAU157" s="69"/>
      <c r="XAV157" s="69"/>
      <c r="XAW157" s="69"/>
      <c r="XAX157" s="69"/>
      <c r="XAY157" s="69"/>
      <c r="XAZ157" s="69"/>
      <c r="XBA157" s="69"/>
      <c r="XBB157" s="69"/>
      <c r="XBC157" s="69"/>
      <c r="XBD157" s="69"/>
      <c r="XBE157" s="69"/>
      <c r="XBF157" s="69"/>
      <c r="XBG157" s="69"/>
      <c r="XBH157" s="69"/>
      <c r="XBI157" s="69"/>
      <c r="XBJ157" s="69"/>
      <c r="XBK157" s="69"/>
      <c r="XBL157" s="69"/>
      <c r="XBM157" s="69"/>
      <c r="XBN157" s="69"/>
      <c r="XBO157" s="69"/>
      <c r="XBP157" s="69"/>
      <c r="XBQ157" s="69"/>
      <c r="XBR157" s="69"/>
      <c r="XBS157" s="69"/>
      <c r="XBT157" s="69"/>
      <c r="XBU157" s="69"/>
      <c r="XBV157" s="69"/>
      <c r="XBW157" s="69"/>
      <c r="XBX157" s="69"/>
      <c r="XBY157" s="69"/>
      <c r="XBZ157" s="69"/>
      <c r="XCA157" s="69"/>
      <c r="XCB157" s="69"/>
      <c r="XCC157" s="69"/>
      <c r="XCD157" s="69"/>
      <c r="XCE157" s="69"/>
      <c r="XCF157" s="69"/>
      <c r="XCG157" s="69"/>
      <c r="XCH157" s="69"/>
      <c r="XCI157" s="69"/>
      <c r="XCJ157" s="69"/>
      <c r="XCK157" s="69"/>
      <c r="XCL157" s="69"/>
      <c r="XCM157" s="69"/>
      <c r="XCN157" s="69"/>
      <c r="XCO157" s="69"/>
      <c r="XCP157" s="69"/>
      <c r="XCQ157" s="69"/>
      <c r="XCR157" s="69"/>
      <c r="XCS157" s="69"/>
      <c r="XCT157" s="69"/>
      <c r="XCU157" s="69"/>
      <c r="XCV157" s="69"/>
      <c r="XCW157" s="69"/>
      <c r="XCX157" s="69"/>
      <c r="XCY157" s="69"/>
      <c r="XCZ157" s="69"/>
      <c r="XDA157" s="69"/>
      <c r="XDB157" s="69"/>
      <c r="XDC157" s="69"/>
      <c r="XDD157" s="69"/>
      <c r="XDE157" s="69"/>
      <c r="XDF157" s="69"/>
      <c r="XDG157" s="69"/>
      <c r="XDH157" s="69"/>
      <c r="XDI157" s="69"/>
      <c r="XDJ157" s="69"/>
      <c r="XDK157" s="69"/>
      <c r="XDL157" s="69"/>
      <c r="XDM157" s="69"/>
      <c r="XDN157" s="69"/>
      <c r="XDO157" s="69"/>
      <c r="XDP157" s="69"/>
      <c r="XDQ157" s="69"/>
      <c r="XDR157" s="69"/>
      <c r="XDS157" s="69"/>
      <c r="XDT157" s="69"/>
      <c r="XDU157" s="69"/>
      <c r="XDV157" s="69"/>
      <c r="XDW157" s="69"/>
      <c r="XDX157" s="69"/>
      <c r="XDY157" s="69"/>
      <c r="XDZ157" s="69"/>
      <c r="XEA157" s="69"/>
      <c r="XEB157" s="69"/>
      <c r="XEC157" s="69"/>
      <c r="XED157" s="69"/>
      <c r="XEE157" s="69"/>
      <c r="XEF157" s="69"/>
      <c r="XEG157" s="69"/>
      <c r="XEH157" s="69"/>
      <c r="XEI157" s="69"/>
      <c r="XEJ157" s="69"/>
      <c r="XEK157" s="69"/>
      <c r="XEL157" s="69"/>
      <c r="XEM157" s="69"/>
      <c r="XEN157" s="69"/>
      <c r="XEO157" s="69"/>
      <c r="XEP157" s="69"/>
      <c r="XEQ157" s="69"/>
      <c r="XER157" s="69"/>
      <c r="XES157" s="69"/>
      <c r="XET157" s="69"/>
      <c r="XEU157" s="69"/>
      <c r="XEV157" s="69"/>
      <c r="XEW157" s="69"/>
      <c r="XEX157" s="69"/>
      <c r="XEY157" s="69"/>
      <c r="XEZ157" s="69"/>
      <c r="XFA157" s="69"/>
      <c r="XFB157" s="69"/>
      <c r="XFC157" s="69"/>
      <c r="XFD157" s="69"/>
    </row>
    <row r="158" spans="1:16384" s="36" customFormat="1" ht="11.25" customHeight="1">
      <c r="A158" s="69" t="s">
        <v>31</v>
      </c>
      <c r="B158" s="56">
        <f t="shared" ref="B158:AG158" si="148">B21/B9</f>
        <v>0.20842313218390804</v>
      </c>
      <c r="C158" s="78">
        <f t="shared" si="148"/>
        <v>0.23224637681159421</v>
      </c>
      <c r="D158" s="78">
        <f t="shared" si="148"/>
        <v>0.28093158660844253</v>
      </c>
      <c r="E158" s="78">
        <f t="shared" si="148"/>
        <v>0.27619387027797576</v>
      </c>
      <c r="F158" s="78">
        <f t="shared" si="148"/>
        <v>0.16734542761940022</v>
      </c>
      <c r="G158" s="56">
        <f t="shared" si="148"/>
        <v>0.23967317294598275</v>
      </c>
      <c r="H158" s="78">
        <f t="shared" si="148"/>
        <v>0.28627731995700467</v>
      </c>
      <c r="I158" s="78">
        <f t="shared" si="148"/>
        <v>0.28481894150417825</v>
      </c>
      <c r="J158" s="78">
        <f t="shared" si="148"/>
        <v>0.29924760601915185</v>
      </c>
      <c r="K158" s="78">
        <f t="shared" si="148"/>
        <v>0.16371077762619374</v>
      </c>
      <c r="L158" s="56">
        <f t="shared" si="148"/>
        <v>0.25800850768295858</v>
      </c>
      <c r="M158" s="78">
        <f t="shared" si="148"/>
        <v>0.29982847341337909</v>
      </c>
      <c r="N158" s="78">
        <f t="shared" si="148"/>
        <v>0.33210332103321033</v>
      </c>
      <c r="O158" s="78">
        <f t="shared" si="148"/>
        <v>0.32278272337619518</v>
      </c>
      <c r="P158" s="78">
        <f t="shared" si="148"/>
        <v>0.2946370176586004</v>
      </c>
      <c r="Q158" s="56">
        <f t="shared" si="148"/>
        <v>0.31233836656377745</v>
      </c>
      <c r="R158" s="78">
        <f t="shared" si="148"/>
        <v>0.22828698935805011</v>
      </c>
      <c r="S158" s="78">
        <f t="shared" si="148"/>
        <v>0.32319391634980987</v>
      </c>
      <c r="T158" s="78">
        <f t="shared" si="148"/>
        <v>0.32362015769626329</v>
      </c>
      <c r="U158" s="78">
        <f t="shared" si="148"/>
        <v>0.26830188679245282</v>
      </c>
      <c r="V158" s="56">
        <f t="shared" si="148"/>
        <v>0.28620416776576102</v>
      </c>
      <c r="W158" s="78">
        <f t="shared" si="148"/>
        <v>0.31021897810218979</v>
      </c>
      <c r="X158" s="78">
        <f t="shared" si="148"/>
        <v>0.28747591522157995</v>
      </c>
      <c r="Y158" s="78">
        <f t="shared" si="148"/>
        <v>0.26744186046511625</v>
      </c>
      <c r="Z158" s="78">
        <f t="shared" si="148"/>
        <v>0.3176806859942834</v>
      </c>
      <c r="AA158" s="56">
        <f t="shared" si="148"/>
        <v>0.29587468379062076</v>
      </c>
      <c r="AB158" s="78">
        <f t="shared" si="148"/>
        <v>0.31642411642411644</v>
      </c>
      <c r="AC158" s="78">
        <f t="shared" si="148"/>
        <v>0.31646108039132287</v>
      </c>
      <c r="AD158" s="78">
        <f t="shared" si="148"/>
        <v>0.30066722268557133</v>
      </c>
      <c r="AE158" s="78">
        <f t="shared" si="148"/>
        <v>0.24616023246160232</v>
      </c>
      <c r="AF158" s="56">
        <f t="shared" si="148"/>
        <v>0.29478197218446095</v>
      </c>
      <c r="AG158" s="78">
        <f t="shared" si="148"/>
        <v>0.29770662051060148</v>
      </c>
      <c r="AH158" s="78">
        <f t="shared" ref="AH158:AZ158" si="149">AH21/AH9</f>
        <v>0.5484444444444444</v>
      </c>
      <c r="AI158" s="78">
        <f t="shared" si="149"/>
        <v>0.30062724014336917</v>
      </c>
      <c r="AJ158" s="78">
        <f t="shared" si="149"/>
        <v>0.27984084880636606</v>
      </c>
      <c r="AK158" s="56">
        <v>0.35626725565985645</v>
      </c>
      <c r="AL158" s="78">
        <v>0.29254829806807725</v>
      </c>
      <c r="AM158" s="78">
        <v>0.30503265462927392</v>
      </c>
      <c r="AN158" s="78">
        <v>0.25057647963105306</v>
      </c>
      <c r="AO158" s="78">
        <v>0.18726016884113583</v>
      </c>
      <c r="AP158" s="56">
        <v>0.257386079118678</v>
      </c>
      <c r="AQ158" s="78">
        <v>0.22430636967565457</v>
      </c>
      <c r="AR158" s="78">
        <v>0.24532058940661092</v>
      </c>
      <c r="AS158" s="78">
        <v>0.23864541832669323</v>
      </c>
      <c r="AT158" s="78">
        <v>0.21246006389776359</v>
      </c>
      <c r="AU158" s="56">
        <v>0.23016660055533519</v>
      </c>
      <c r="AV158" s="78">
        <v>0.23073787199347737</v>
      </c>
      <c r="AW158" s="78">
        <v>0.23264311814859928</v>
      </c>
      <c r="AX158" s="78">
        <v>0.22525879917184266</v>
      </c>
      <c r="AY158" s="78">
        <v>0.17371847030105778</v>
      </c>
      <c r="AZ158" s="56">
        <v>0.21554806415364183</v>
      </c>
    </row>
    <row r="159" spans="1:16384" s="36" customFormat="1" ht="11.25" customHeight="1">
      <c r="A159" s="69" t="s">
        <v>39</v>
      </c>
      <c r="B159" s="56">
        <f t="shared" ref="B159:AG159" si="150">B33/B9</f>
        <v>0.11943247126436782</v>
      </c>
      <c r="C159" s="78">
        <f t="shared" si="150"/>
        <v>0.14891304347826087</v>
      </c>
      <c r="D159" s="78">
        <f t="shared" si="150"/>
        <v>0.16593886462882096</v>
      </c>
      <c r="E159" s="78">
        <f t="shared" si="150"/>
        <v>0.1646471846044191</v>
      </c>
      <c r="F159" s="78">
        <f t="shared" si="150"/>
        <v>0.11032950758978156</v>
      </c>
      <c r="G159" s="56">
        <f t="shared" si="150"/>
        <v>0.14770767135724014</v>
      </c>
      <c r="H159" s="78">
        <f t="shared" si="150"/>
        <v>0.21784306700107489</v>
      </c>
      <c r="I159" s="78">
        <f t="shared" si="150"/>
        <v>0.18837047353760444</v>
      </c>
      <c r="J159" s="78">
        <f t="shared" si="150"/>
        <v>0.71409028727770174</v>
      </c>
      <c r="K159" s="78">
        <f t="shared" si="150"/>
        <v>0.12482946793997271</v>
      </c>
      <c r="L159" s="56">
        <f t="shared" si="150"/>
        <v>0.31278756836530947</v>
      </c>
      <c r="M159" s="78">
        <f t="shared" si="150"/>
        <v>0.22024013722126928</v>
      </c>
      <c r="N159" s="78">
        <f t="shared" si="150"/>
        <v>0.2140221402214022</v>
      </c>
      <c r="O159" s="78">
        <f t="shared" si="150"/>
        <v>0.19386745796241345</v>
      </c>
      <c r="P159" s="78">
        <f t="shared" si="150"/>
        <v>0.1880313930673643</v>
      </c>
      <c r="Q159" s="56">
        <f t="shared" si="150"/>
        <v>0.20380412113122551</v>
      </c>
      <c r="R159" s="78">
        <f t="shared" si="150"/>
        <v>0.13971850326124272</v>
      </c>
      <c r="S159" s="78">
        <f t="shared" si="150"/>
        <v>0.20221223643276875</v>
      </c>
      <c r="T159" s="78">
        <f t="shared" si="150"/>
        <v>0.18854988001371273</v>
      </c>
      <c r="U159" s="78">
        <f t="shared" si="150"/>
        <v>0.20075471698113206</v>
      </c>
      <c r="V159" s="56">
        <f t="shared" si="150"/>
        <v>0.18236173393124067</v>
      </c>
      <c r="W159" s="78">
        <f t="shared" si="150"/>
        <v>0.2124087591240876</v>
      </c>
      <c r="X159" s="78">
        <f t="shared" si="150"/>
        <v>0.15992292870905589</v>
      </c>
      <c r="Y159" s="78">
        <f t="shared" si="150"/>
        <v>0.13712910986367283</v>
      </c>
      <c r="Z159" s="78">
        <f t="shared" si="150"/>
        <v>0.21314822376480197</v>
      </c>
      <c r="AA159" s="56">
        <f t="shared" si="150"/>
        <v>0.1810663553220471</v>
      </c>
      <c r="AB159" s="78">
        <f t="shared" si="150"/>
        <v>0.20665280665280666</v>
      </c>
      <c r="AC159" s="78">
        <f t="shared" si="150"/>
        <v>0.20119098256061252</v>
      </c>
      <c r="AD159" s="78">
        <f t="shared" si="150"/>
        <v>0.18723936613844872</v>
      </c>
      <c r="AE159" s="78">
        <f t="shared" si="150"/>
        <v>0.14611872146118721</v>
      </c>
      <c r="AF159" s="56">
        <f t="shared" si="150"/>
        <v>0.18519293108857054</v>
      </c>
      <c r="AG159" s="78">
        <f t="shared" si="150"/>
        <v>0.1977498918217222</v>
      </c>
      <c r="AH159" s="78">
        <f t="shared" ref="AH159:AZ159" si="151">AH33/AH9</f>
        <v>0.36</v>
      </c>
      <c r="AI159" s="78">
        <f t="shared" si="151"/>
        <v>0.1917562724014337</v>
      </c>
      <c r="AJ159" s="78">
        <f t="shared" si="151"/>
        <v>0.18390804597701149</v>
      </c>
      <c r="AK159" s="56">
        <v>0.2331308669243512</v>
      </c>
      <c r="AL159" s="78">
        <v>0.21297148114075437</v>
      </c>
      <c r="AM159" s="78">
        <v>0.18517095658855168</v>
      </c>
      <c r="AN159" s="78">
        <v>0.15641813989239048</v>
      </c>
      <c r="AO159" s="78">
        <v>0.14159631619339985</v>
      </c>
      <c r="AP159" s="56">
        <v>0.17235853780671007</v>
      </c>
      <c r="AQ159" s="78">
        <v>0.11254396248534584</v>
      </c>
      <c r="AR159" s="78">
        <v>0.15013938669852647</v>
      </c>
      <c r="AS159" s="78">
        <v>0.15697211155378485</v>
      </c>
      <c r="AT159" s="78">
        <v>7.3881789137380194E-2</v>
      </c>
      <c r="AU159" s="56">
        <v>0.12336374454581515</v>
      </c>
      <c r="AV159" s="78">
        <v>0.14268242967794537</v>
      </c>
      <c r="AW159" s="78">
        <v>0.14535119772634997</v>
      </c>
      <c r="AX159" s="78">
        <v>0.13333333333333333</v>
      </c>
      <c r="AY159" s="78">
        <v>8.3401139137510169E-2</v>
      </c>
      <c r="AZ159" s="56">
        <v>0.12616201859229748</v>
      </c>
    </row>
    <row r="160" spans="1:16384" s="36" customFormat="1" ht="11.25" customHeight="1">
      <c r="A160" s="69" t="s">
        <v>10</v>
      </c>
      <c r="B160" s="56">
        <f t="shared" ref="B160:AG160" si="152">B39/B9</f>
        <v>0.34392959770114945</v>
      </c>
      <c r="C160" s="78">
        <f t="shared" si="152"/>
        <v>0.36557971014492752</v>
      </c>
      <c r="D160" s="78">
        <f t="shared" si="152"/>
        <v>0.41229985443959244</v>
      </c>
      <c r="E160" s="78">
        <f t="shared" si="152"/>
        <v>0.40627227369921598</v>
      </c>
      <c r="F160" s="78">
        <f t="shared" si="152"/>
        <v>0.30211032950758976</v>
      </c>
      <c r="G160" s="56">
        <f t="shared" si="152"/>
        <v>0.37203812982296869</v>
      </c>
      <c r="H160" s="78">
        <f t="shared" si="152"/>
        <v>0.41920458616983158</v>
      </c>
      <c r="I160" s="78">
        <f t="shared" si="152"/>
        <v>0.41608635097493035</v>
      </c>
      <c r="J160" s="78">
        <f t="shared" si="152"/>
        <v>0.42270861833105333</v>
      </c>
      <c r="K160" s="78">
        <f t="shared" si="152"/>
        <v>0.29195088676671216</v>
      </c>
      <c r="L160" s="56">
        <f t="shared" si="152"/>
        <v>0.38692594843302369</v>
      </c>
      <c r="M160" s="78">
        <f t="shared" si="152"/>
        <v>0.41749571183533446</v>
      </c>
      <c r="N160" s="78">
        <f t="shared" si="152"/>
        <v>0.44884267024488428</v>
      </c>
      <c r="O160" s="78">
        <f t="shared" si="152"/>
        <v>0.43818001978239368</v>
      </c>
      <c r="P160" s="78">
        <f t="shared" si="152"/>
        <v>0.41497710922171355</v>
      </c>
      <c r="Q160" s="56">
        <f t="shared" si="152"/>
        <v>0.4298823725702845</v>
      </c>
      <c r="R160" s="78">
        <f t="shared" si="152"/>
        <v>0.34328870580157911</v>
      </c>
      <c r="S160" s="78">
        <f t="shared" si="152"/>
        <v>0.44348427238161081</v>
      </c>
      <c r="T160" s="78">
        <f t="shared" si="152"/>
        <v>0.44600617072334592</v>
      </c>
      <c r="U160" s="78">
        <f t="shared" si="152"/>
        <v>0.40226415094339624</v>
      </c>
      <c r="V160" s="56">
        <f t="shared" si="152"/>
        <v>0.40886309680823002</v>
      </c>
      <c r="W160" s="78">
        <f t="shared" si="152"/>
        <v>0.44087591240875912</v>
      </c>
      <c r="X160" s="78">
        <f t="shared" si="152"/>
        <v>0.4254335260115607</v>
      </c>
      <c r="Y160" s="78">
        <f t="shared" si="152"/>
        <v>0.41138732959101842</v>
      </c>
      <c r="Z160" s="78">
        <f t="shared" si="152"/>
        <v>0.46508779093507552</v>
      </c>
      <c r="AA160" s="56">
        <f t="shared" si="152"/>
        <v>0.43559058182525784</v>
      </c>
      <c r="AB160" s="78">
        <f t="shared" si="152"/>
        <v>0.45280665280665283</v>
      </c>
      <c r="AC160" s="78">
        <f t="shared" si="152"/>
        <v>0.4551254785197788</v>
      </c>
      <c r="AD160" s="78">
        <f t="shared" si="152"/>
        <v>0.4378648874061718</v>
      </c>
      <c r="AE160" s="78">
        <f t="shared" si="152"/>
        <v>0.38231631382316311</v>
      </c>
      <c r="AF160" s="56">
        <f t="shared" si="152"/>
        <v>0.43187284325002612</v>
      </c>
      <c r="AG160" s="78">
        <f t="shared" si="152"/>
        <v>0.43357853742968411</v>
      </c>
      <c r="AH160" s="78">
        <f t="shared" ref="AH160:AZ160" si="153">AH39/AH9</f>
        <v>0.69022222222222218</v>
      </c>
      <c r="AI160" s="78">
        <f t="shared" si="153"/>
        <v>0.44713261648745517</v>
      </c>
      <c r="AJ160" s="78">
        <f t="shared" si="153"/>
        <v>0.4217506631299735</v>
      </c>
      <c r="AK160" s="56">
        <v>0.49773605742683602</v>
      </c>
      <c r="AL160" s="78">
        <v>0.43836246550137997</v>
      </c>
      <c r="AM160" s="78">
        <v>0.47829427583557432</v>
      </c>
      <c r="AN160" s="78">
        <v>0.42621060722521137</v>
      </c>
      <c r="AO160" s="78">
        <v>0.36339217191097467</v>
      </c>
      <c r="AP160" s="56">
        <v>0.42603905858788182</v>
      </c>
      <c r="AQ160" s="78">
        <v>0.39976553341148885</v>
      </c>
      <c r="AR160" s="78">
        <v>0.42054958183990443</v>
      </c>
      <c r="AS160" s="78">
        <v>0.41474103585657368</v>
      </c>
      <c r="AT160" s="78">
        <v>0.37539936102236421</v>
      </c>
      <c r="AU160" s="56">
        <v>0.40261800872669573</v>
      </c>
      <c r="AV160" s="78">
        <v>0.40521810028536487</v>
      </c>
      <c r="AW160" s="78">
        <v>0.4047909053999188</v>
      </c>
      <c r="AX160" s="78">
        <v>0.40579710144927539</v>
      </c>
      <c r="AY160" s="78">
        <v>0.34743694060211555</v>
      </c>
      <c r="AZ160" s="56">
        <v>0.39074471345387679</v>
      </c>
    </row>
    <row r="161" spans="1:52" ht="11.55" customHeight="1">
      <c r="A161" s="69" t="s">
        <v>19</v>
      </c>
      <c r="B161" s="56">
        <f t="shared" ref="B161:AG161" si="154">B86/B9</f>
        <v>8.9031070402298851E-2</v>
      </c>
      <c r="C161" s="78">
        <f t="shared" si="154"/>
        <v>0.10384057971014493</v>
      </c>
      <c r="D161" s="78">
        <f t="shared" si="154"/>
        <v>0.12607205240174674</v>
      </c>
      <c r="E161" s="78">
        <f t="shared" si="154"/>
        <v>0.19214183891660727</v>
      </c>
      <c r="F161" s="78">
        <f t="shared" si="154"/>
        <v>0.13301110699740837</v>
      </c>
      <c r="G161" s="56">
        <f t="shared" si="154"/>
        <v>0.1390339536995007</v>
      </c>
      <c r="H161" s="78">
        <f t="shared" si="154"/>
        <v>0.14674453600859907</v>
      </c>
      <c r="I161" s="78">
        <f t="shared" si="154"/>
        <v>0.13269080779944289</v>
      </c>
      <c r="J161" s="78">
        <f t="shared" si="154"/>
        <v>0.13132694938440492</v>
      </c>
      <c r="K161" s="78">
        <f t="shared" si="154"/>
        <v>0.12290177353342428</v>
      </c>
      <c r="L161" s="56">
        <f t="shared" si="154"/>
        <v>0.13325809532077437</v>
      </c>
      <c r="M161" s="78">
        <f t="shared" si="154"/>
        <v>0.12658662092624356</v>
      </c>
      <c r="N161" s="78">
        <f t="shared" si="154"/>
        <v>0.13284132841328414</v>
      </c>
      <c r="O161" s="78">
        <f t="shared" si="154"/>
        <v>0.12396966699637323</v>
      </c>
      <c r="P161" s="78">
        <f t="shared" si="154"/>
        <v>0.15729234793982996</v>
      </c>
      <c r="Q161" s="56">
        <f t="shared" si="154"/>
        <v>0.13531325602736297</v>
      </c>
      <c r="R161" s="78">
        <f t="shared" si="154"/>
        <v>0.17164435290078955</v>
      </c>
      <c r="S161" s="78">
        <f t="shared" si="154"/>
        <v>0.15727618389215348</v>
      </c>
      <c r="T161" s="78">
        <f t="shared" si="154"/>
        <v>0.16420980459376072</v>
      </c>
      <c r="U161" s="78">
        <f t="shared" si="154"/>
        <v>0.1769811320754717</v>
      </c>
      <c r="V161" s="56">
        <f t="shared" si="154"/>
        <v>0.16732612327442187</v>
      </c>
      <c r="W161" s="78">
        <f t="shared" si="154"/>
        <v>0.16788321167883211</v>
      </c>
      <c r="X161" s="78">
        <f t="shared" si="154"/>
        <v>0.14720616570327552</v>
      </c>
      <c r="Y161" s="78">
        <f t="shared" si="154"/>
        <v>0.14715316760224539</v>
      </c>
      <c r="Z161" s="78">
        <f t="shared" si="154"/>
        <v>0.1351572070232748</v>
      </c>
      <c r="AA161" s="56">
        <f t="shared" si="154"/>
        <v>0.14983459817085035</v>
      </c>
      <c r="AB161" s="78">
        <f t="shared" si="154"/>
        <v>0.12016632016632017</v>
      </c>
      <c r="AC161" s="78">
        <f t="shared" si="154"/>
        <v>0.12803062526584433</v>
      </c>
      <c r="AD161" s="78">
        <f t="shared" si="154"/>
        <v>0.13344453711426188</v>
      </c>
      <c r="AE161" s="78">
        <f t="shared" si="154"/>
        <v>0.13200498132004981</v>
      </c>
      <c r="AF161" s="56">
        <f t="shared" si="154"/>
        <v>0.1284115863222838</v>
      </c>
      <c r="AG161" s="78">
        <f t="shared" si="154"/>
        <v>0.13630463003028992</v>
      </c>
      <c r="AH161" s="78">
        <f t="shared" ref="AH161:AZ161" si="155">AH86/AH9</f>
        <v>0.14355555555555555</v>
      </c>
      <c r="AI161" s="78">
        <f t="shared" si="155"/>
        <v>0.1442652329749104</v>
      </c>
      <c r="AJ161" s="78">
        <f t="shared" si="155"/>
        <v>0.13925729442970822</v>
      </c>
      <c r="AK161" s="56">
        <v>0.14080618442849255</v>
      </c>
      <c r="AL161" s="78">
        <v>0.16927322907083717</v>
      </c>
      <c r="AM161" s="78">
        <v>0.19631194775259317</v>
      </c>
      <c r="AN161" s="78">
        <v>0.16410453497309763</v>
      </c>
      <c r="AO161" s="78">
        <v>0.12624712202609362</v>
      </c>
      <c r="AP161" s="56">
        <v>0.16374561842764146</v>
      </c>
      <c r="AQ161" s="78">
        <v>0.13481828839390386</v>
      </c>
      <c r="AR161" s="78">
        <v>0.15412186379928317</v>
      </c>
      <c r="AS161" s="78">
        <v>0.13904382470119522</v>
      </c>
      <c r="AT161" s="78">
        <v>0.13378594249201278</v>
      </c>
      <c r="AU161" s="56">
        <v>0.14042046806822689</v>
      </c>
      <c r="AV161" s="78">
        <v>0.15491235222176927</v>
      </c>
      <c r="AW161" s="78">
        <v>0.16483962647178238</v>
      </c>
      <c r="AX161" s="78">
        <v>0.14616977225672878</v>
      </c>
      <c r="AY161" s="78">
        <v>0.15907241659886087</v>
      </c>
      <c r="AZ161" s="56">
        <v>0.15629788538155073</v>
      </c>
    </row>
    <row r="162" spans="1:52" ht="3" customHeight="1">
      <c r="A162" s="44"/>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row>
    <row r="163" spans="1:52" s="69" customFormat="1"/>
    <row r="164" spans="1:52" s="69" customFormat="1"/>
    <row r="165" spans="1:52" s="69" customFormat="1"/>
    <row r="166" spans="1:52" s="36" customFormat="1">
      <c r="A166" s="69"/>
      <c r="B166" s="123"/>
      <c r="C166" s="80"/>
      <c r="D166" s="80"/>
      <c r="E166" s="80"/>
      <c r="F166" s="80"/>
      <c r="G166" s="123"/>
      <c r="H166" s="80"/>
      <c r="I166" s="80"/>
      <c r="J166" s="80"/>
      <c r="K166" s="80"/>
      <c r="L166" s="123"/>
      <c r="M166" s="80"/>
      <c r="N166" s="80"/>
      <c r="O166" s="80"/>
      <c r="P166" s="80"/>
      <c r="Q166" s="123"/>
      <c r="R166" s="80"/>
      <c r="S166" s="80"/>
      <c r="T166" s="80"/>
      <c r="U166" s="80"/>
      <c r="V166" s="123"/>
      <c r="W166" s="80"/>
      <c r="X166" s="80"/>
      <c r="Y166" s="80"/>
      <c r="Z166" s="80"/>
      <c r="AA166" s="123"/>
      <c r="AB166" s="80"/>
      <c r="AC166" s="80"/>
      <c r="AD166" s="80"/>
      <c r="AE166" s="80"/>
      <c r="AF166" s="123"/>
      <c r="AG166" s="80"/>
      <c r="AH166" s="80"/>
      <c r="AI166" s="80"/>
      <c r="AJ166" s="80"/>
      <c r="AK166" s="69"/>
      <c r="AL166" s="69"/>
      <c r="AM166" s="69"/>
      <c r="AN166" s="69"/>
      <c r="AO166" s="69"/>
      <c r="AP166" s="69"/>
      <c r="AQ166" s="69"/>
      <c r="AR166" s="69"/>
      <c r="AS166" s="69"/>
      <c r="AT166" s="69"/>
      <c r="AU166" s="69"/>
      <c r="AV166" s="69"/>
      <c r="AW166" s="69"/>
      <c r="AX166" s="69"/>
      <c r="AY166" s="69"/>
      <c r="AZ166" s="69"/>
    </row>
    <row r="167" spans="1:52" s="36" customFormat="1">
      <c r="A167" s="69"/>
      <c r="B167" s="123"/>
      <c r="C167" s="80"/>
      <c r="D167" s="80"/>
      <c r="E167" s="80"/>
      <c r="F167" s="80"/>
      <c r="G167" s="123"/>
      <c r="H167" s="80"/>
      <c r="I167" s="80"/>
      <c r="J167" s="80"/>
      <c r="K167" s="80"/>
      <c r="L167" s="123"/>
      <c r="M167" s="80"/>
      <c r="N167" s="80"/>
      <c r="O167" s="80"/>
      <c r="P167" s="80"/>
      <c r="Q167" s="123"/>
      <c r="R167" s="80"/>
      <c r="S167" s="80"/>
      <c r="T167" s="80"/>
      <c r="U167" s="80"/>
      <c r="V167" s="123"/>
      <c r="W167" s="80"/>
      <c r="X167" s="80"/>
      <c r="Y167" s="80"/>
      <c r="Z167" s="80"/>
      <c r="AA167" s="123"/>
      <c r="AB167" s="80"/>
      <c r="AC167" s="80"/>
      <c r="AD167" s="80"/>
      <c r="AE167" s="80"/>
      <c r="AF167" s="123"/>
      <c r="AG167" s="80"/>
      <c r="AH167" s="80"/>
      <c r="AI167" s="80"/>
      <c r="AJ167" s="80"/>
      <c r="AK167" s="69"/>
      <c r="AL167" s="69"/>
      <c r="AM167" s="69"/>
      <c r="AN167" s="69"/>
      <c r="AO167" s="69"/>
      <c r="AP167" s="69"/>
      <c r="AQ167" s="69"/>
      <c r="AR167" s="69"/>
      <c r="AS167" s="69"/>
      <c r="AT167" s="69"/>
      <c r="AU167" s="69"/>
      <c r="AV167" s="69"/>
      <c r="AW167" s="69"/>
      <c r="AX167" s="69"/>
      <c r="AY167" s="69"/>
      <c r="AZ167" s="69"/>
    </row>
    <row r="168" spans="1:52">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5.25" customHeight="1">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21">
      <c r="A170" s="35" t="s">
        <v>56</v>
      </c>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c r="A171" s="40" t="s">
        <v>87</v>
      </c>
      <c r="B171" s="41"/>
      <c r="C171" s="49"/>
      <c r="D171" s="49"/>
      <c r="E171" s="49"/>
      <c r="F171" s="49"/>
      <c r="G171" s="41"/>
      <c r="H171" s="49"/>
      <c r="I171" s="49"/>
      <c r="J171" s="49"/>
      <c r="K171" s="49"/>
      <c r="L171" s="41"/>
      <c r="M171" s="49"/>
      <c r="N171" s="49"/>
      <c r="O171" s="49"/>
      <c r="P171" s="49"/>
      <c r="Q171" s="41"/>
      <c r="R171" s="49"/>
      <c r="S171" s="49"/>
      <c r="T171" s="49"/>
      <c r="U171" s="49"/>
      <c r="V171" s="41"/>
      <c r="W171" s="49"/>
      <c r="X171" s="49"/>
      <c r="Y171" s="49"/>
      <c r="Z171" s="49"/>
      <c r="AA171" s="41"/>
      <c r="AB171" s="49"/>
      <c r="AC171" s="49"/>
      <c r="AD171" s="49"/>
      <c r="AE171" s="49"/>
      <c r="AF171" s="41"/>
      <c r="AG171" s="49"/>
      <c r="AH171" s="49"/>
      <c r="AI171" s="49"/>
      <c r="AJ171" s="49"/>
      <c r="AK171" s="41"/>
      <c r="AL171" s="49"/>
      <c r="AM171" s="49"/>
      <c r="AN171" s="49"/>
      <c r="AO171" s="49"/>
      <c r="AP171" s="41"/>
      <c r="AQ171" s="49"/>
      <c r="AR171" s="49"/>
      <c r="AS171" s="49"/>
      <c r="AT171" s="49"/>
      <c r="AU171" s="41"/>
      <c r="AV171" s="49"/>
      <c r="AW171" s="49"/>
      <c r="AX171" s="49"/>
      <c r="AY171" s="49"/>
      <c r="AZ171" s="41"/>
    </row>
    <row r="172" spans="1:52">
      <c r="A172" s="69" t="s">
        <v>64</v>
      </c>
      <c r="B172" s="37">
        <f>SUM(B175:B187)</f>
        <v>5713</v>
      </c>
      <c r="C172" s="70">
        <v>1408</v>
      </c>
      <c r="D172" s="70">
        <v>1354</v>
      </c>
      <c r="E172" s="70">
        <v>1388</v>
      </c>
      <c r="F172" s="70">
        <f>G172-E172-D172-C172</f>
        <v>1348.0998720906809</v>
      </c>
      <c r="G172" s="37">
        <f>SUM(G175:G187)</f>
        <v>5498.0998720906809</v>
      </c>
      <c r="H172" s="70">
        <f>H187+H181+H178+H175</f>
        <v>1326</v>
      </c>
      <c r="I172" s="70">
        <f>I187+I181+I178+I175</f>
        <v>1318</v>
      </c>
      <c r="J172" s="70">
        <f>J187+J181+J178+J175</f>
        <v>1343</v>
      </c>
      <c r="K172" s="70">
        <f>L172-J172-I172-H172</f>
        <v>1316</v>
      </c>
      <c r="L172" s="37">
        <f>L187+L181+L178+L175</f>
        <v>5303</v>
      </c>
      <c r="M172" s="70">
        <f>M187+M181+M178+M175</f>
        <v>1304</v>
      </c>
      <c r="N172" s="70">
        <f>N187+N181+N178+N175</f>
        <v>1307</v>
      </c>
      <c r="O172" s="70">
        <f>O187+O181+O178+O175</f>
        <v>1323</v>
      </c>
      <c r="P172" s="70">
        <f>Q172-O172-N172-M172</f>
        <v>1329</v>
      </c>
      <c r="Q172" s="37">
        <v>5263</v>
      </c>
      <c r="R172" s="70">
        <f>R187+R181+R178+R175</f>
        <v>1178</v>
      </c>
      <c r="S172" s="70">
        <v>1170</v>
      </c>
      <c r="T172" s="70">
        <f>T175+T178+T181+T187</f>
        <v>1186</v>
      </c>
      <c r="U172" s="70">
        <f>V172-T172-S172-R172</f>
        <v>1114</v>
      </c>
      <c r="V172" s="37">
        <f>V175+V178+V181+V187</f>
        <v>4648</v>
      </c>
      <c r="W172" s="70">
        <f>W175+W178+W181+W187</f>
        <v>1199</v>
      </c>
      <c r="X172" s="70">
        <f>X175+X178+X181+X187</f>
        <v>1161</v>
      </c>
      <c r="Y172" s="70">
        <f>Y175+Y178+Y181+Y187</f>
        <v>1149</v>
      </c>
      <c r="Z172" s="70">
        <f>AA172-Y172-X172-W172</f>
        <v>1121</v>
      </c>
      <c r="AA172" s="37">
        <f>AA175+AA178+AA181+AA187</f>
        <v>4630</v>
      </c>
      <c r="AB172" s="70">
        <f>AB175+AB178+AB181+AB187</f>
        <v>1129</v>
      </c>
      <c r="AC172" s="70">
        <f>AC175+AC178+AC181+AC187</f>
        <v>1121</v>
      </c>
      <c r="AD172" s="70">
        <f>AD175+AD178+AD181+AD187</f>
        <v>1127</v>
      </c>
      <c r="AE172" s="70">
        <f>AF172-AD172-AC172-AB172</f>
        <v>1101</v>
      </c>
      <c r="AF172" s="37">
        <f>AF175+AF178+AF181+AF187</f>
        <v>4478</v>
      </c>
      <c r="AG172" s="70">
        <f>AG175+AG178+AG181+AG187</f>
        <v>1077</v>
      </c>
      <c r="AH172" s="70">
        <f>AH175+AH178+AH181+AH187</f>
        <v>1073</v>
      </c>
      <c r="AI172" s="70">
        <f>AI175+AI178+AI181+AI187</f>
        <v>1081</v>
      </c>
      <c r="AJ172" s="70">
        <f>AK172-AI172-AH172-AG172</f>
        <v>1086</v>
      </c>
      <c r="AK172" s="37">
        <v>4317</v>
      </c>
      <c r="AL172" s="70">
        <v>1113</v>
      </c>
      <c r="AM172" s="70">
        <v>1105</v>
      </c>
      <c r="AN172" s="70">
        <v>1101</v>
      </c>
      <c r="AO172" s="70">
        <v>1088</v>
      </c>
      <c r="AP172" s="37">
        <v>4407</v>
      </c>
      <c r="AQ172" s="70">
        <v>1112</v>
      </c>
      <c r="AR172" s="70">
        <v>1100</v>
      </c>
      <c r="AS172" s="70">
        <v>1089</v>
      </c>
      <c r="AT172" s="70">
        <v>1082</v>
      </c>
      <c r="AU172" s="37">
        <v>4383</v>
      </c>
      <c r="AV172" s="70">
        <v>1078</v>
      </c>
      <c r="AW172" s="70">
        <v>1058</v>
      </c>
      <c r="AX172" s="70">
        <v>1061</v>
      </c>
      <c r="AY172" s="70">
        <v>1047</v>
      </c>
      <c r="AZ172" s="37">
        <v>4244</v>
      </c>
    </row>
    <row r="173" spans="1:52">
      <c r="A173" s="71" t="s">
        <v>7</v>
      </c>
      <c r="B173" s="24"/>
      <c r="C173" s="72"/>
      <c r="D173" s="72">
        <f>D172/C172-1</f>
        <v>-3.8352272727272707E-2</v>
      </c>
      <c r="E173" s="72">
        <f>E172/D172-1</f>
        <v>2.5110782865583436E-2</v>
      </c>
      <c r="F173" s="72">
        <f>F172/E172-1</f>
        <v>-2.8746489848212597E-2</v>
      </c>
      <c r="G173" s="24"/>
      <c r="H173" s="72">
        <f>H172/F172-1</f>
        <v>-1.639334929719094E-2</v>
      </c>
      <c r="I173" s="72">
        <f>I172/H172-1</f>
        <v>-6.0331825037707176E-3</v>
      </c>
      <c r="J173" s="72">
        <f>J172/I172-1</f>
        <v>1.8968133535660181E-2</v>
      </c>
      <c r="K173" s="72">
        <f>K172/J172-1</f>
        <v>-2.010424422933732E-2</v>
      </c>
      <c r="L173" s="24"/>
      <c r="M173" s="72">
        <f>M172/K172-1</f>
        <v>-9.1185410334346795E-3</v>
      </c>
      <c r="N173" s="72">
        <f>N172/M172-1</f>
        <v>2.3006134969325576E-3</v>
      </c>
      <c r="O173" s="72">
        <f>O172/N172-1</f>
        <v>1.2241775057383331E-2</v>
      </c>
      <c r="P173" s="72">
        <f>P172/O172-1</f>
        <v>4.5351473922903285E-3</v>
      </c>
      <c r="Q173" s="24"/>
      <c r="R173" s="72">
        <f>R172/P172-1</f>
        <v>-0.11361926260346122</v>
      </c>
      <c r="S173" s="72">
        <f>S172/R172-1</f>
        <v>-6.7911714770797493E-3</v>
      </c>
      <c r="T173" s="72">
        <f>T172/S172-1</f>
        <v>1.3675213675213627E-2</v>
      </c>
      <c r="U173" s="72">
        <f>U172/T172-1</f>
        <v>-6.0708263069140012E-2</v>
      </c>
      <c r="V173" s="24"/>
      <c r="W173" s="72">
        <f>W172/U172-1</f>
        <v>7.6301615798922695E-2</v>
      </c>
      <c r="X173" s="72">
        <f>X172/W172-1</f>
        <v>-3.169307756463724E-2</v>
      </c>
      <c r="Y173" s="72">
        <f>Y172/X172-1</f>
        <v>-1.033591731266148E-2</v>
      </c>
      <c r="Z173" s="72">
        <f>Z172/Y172-1</f>
        <v>-2.4369016536118338E-2</v>
      </c>
      <c r="AA173" s="24"/>
      <c r="AB173" s="72">
        <f>AB172/Z172-1</f>
        <v>7.1364852809991941E-3</v>
      </c>
      <c r="AC173" s="72">
        <f>AC172/AB172-1</f>
        <v>-7.0859167404783152E-3</v>
      </c>
      <c r="AD173" s="72">
        <f>AD172/AC172-1</f>
        <v>5.3523639607493401E-3</v>
      </c>
      <c r="AE173" s="72">
        <f>AE172/AD172-1</f>
        <v>-2.3070097604259043E-2</v>
      </c>
      <c r="AF173" s="24"/>
      <c r="AG173" s="72">
        <f>AG172/AE172-1</f>
        <v>-2.1798365122615793E-2</v>
      </c>
      <c r="AH173" s="72">
        <f>AH172/AG172-1</f>
        <v>-3.71402042711233E-3</v>
      </c>
      <c r="AI173" s="72">
        <f>AI172/AH172-1</f>
        <v>7.455731593662529E-3</v>
      </c>
      <c r="AJ173" s="72">
        <f>AJ172/AI172-1</f>
        <v>4.6253469010175685E-3</v>
      </c>
      <c r="AK173" s="24"/>
      <c r="AL173" s="72">
        <v>2.4861878453038777E-2</v>
      </c>
      <c r="AM173" s="72">
        <v>-7.1877807726864473E-3</v>
      </c>
      <c r="AN173" s="72">
        <v>-3.6199095022624306E-3</v>
      </c>
      <c r="AO173" s="72">
        <v>-1.1807447774750179E-2</v>
      </c>
      <c r="AP173" s="24"/>
      <c r="AQ173" s="72">
        <v>2.2058823529411686E-2</v>
      </c>
      <c r="AR173" s="72">
        <v>-1.0791366906474864E-2</v>
      </c>
      <c r="AS173" s="72">
        <v>-1.0000000000000009E-2</v>
      </c>
      <c r="AT173" s="72">
        <v>-6.4279155188246007E-3</v>
      </c>
      <c r="AU173" s="24"/>
      <c r="AV173" s="72">
        <v>-3.6968576709797141E-3</v>
      </c>
      <c r="AW173" s="72">
        <v>-1.8552875695732829E-2</v>
      </c>
      <c r="AX173" s="72">
        <v>2.835538752362865E-3</v>
      </c>
      <c r="AY173" s="72">
        <v>-1.3195098963242224E-2</v>
      </c>
      <c r="AZ173" s="24"/>
    </row>
    <row r="174" spans="1:52" ht="11.25" customHeight="1">
      <c r="A174" s="71" t="s">
        <v>8</v>
      </c>
      <c r="B174" s="24"/>
      <c r="C174" s="73"/>
      <c r="D174" s="73"/>
      <c r="E174" s="73"/>
      <c r="F174" s="73"/>
      <c r="G174" s="24">
        <f t="shared" ref="G174:R174" si="156">G172/B172-1</f>
        <v>-3.7615985980976596E-2</v>
      </c>
      <c r="H174" s="73">
        <f t="shared" si="156"/>
        <v>-5.8238636363636354E-2</v>
      </c>
      <c r="I174" s="73">
        <f t="shared" si="156"/>
        <v>-2.6587887740029514E-2</v>
      </c>
      <c r="J174" s="73">
        <f t="shared" si="156"/>
        <v>-3.2420749279538863E-2</v>
      </c>
      <c r="K174" s="73">
        <f t="shared" si="156"/>
        <v>-2.381119734170678E-2</v>
      </c>
      <c r="L174" s="24">
        <f t="shared" si="156"/>
        <v>-3.548496328359585E-2</v>
      </c>
      <c r="M174" s="73">
        <f t="shared" si="156"/>
        <v>-1.6591251885369585E-2</v>
      </c>
      <c r="N174" s="73">
        <f t="shared" si="156"/>
        <v>-8.3459787556904308E-3</v>
      </c>
      <c r="O174" s="73">
        <f t="shared" si="156"/>
        <v>-1.4892032762472085E-2</v>
      </c>
      <c r="P174" s="73">
        <f t="shared" si="156"/>
        <v>9.8784194528875879E-3</v>
      </c>
      <c r="Q174" s="24">
        <f t="shared" si="156"/>
        <v>-7.5429002451442573E-3</v>
      </c>
      <c r="R174" s="73">
        <f t="shared" si="156"/>
        <v>-9.6625766871165641E-2</v>
      </c>
      <c r="S174" s="73">
        <f t="shared" ref="S174:Y174" si="157">S172/N172-1</f>
        <v>-0.10482019892884464</v>
      </c>
      <c r="T174" s="73">
        <f t="shared" si="157"/>
        <v>-0.10355253212396065</v>
      </c>
      <c r="U174" s="73">
        <f t="shared" si="157"/>
        <v>-0.16177577125658393</v>
      </c>
      <c r="V174" s="24">
        <f t="shared" si="157"/>
        <v>-0.11685350560516816</v>
      </c>
      <c r="W174" s="73">
        <f t="shared" si="157"/>
        <v>1.7826825127334356E-2</v>
      </c>
      <c r="X174" s="73">
        <f t="shared" si="157"/>
        <v>-7.692307692307665E-3</v>
      </c>
      <c r="Y174" s="73">
        <f t="shared" si="157"/>
        <v>-3.1197301854974713E-2</v>
      </c>
      <c r="Z174" s="73">
        <f t="shared" ref="Z174:AI174" si="158">Z172/U172-1</f>
        <v>6.2836624775584049E-3</v>
      </c>
      <c r="AA174" s="24">
        <f t="shared" si="158"/>
        <v>-3.8726333907056487E-3</v>
      </c>
      <c r="AB174" s="73">
        <f t="shared" si="158"/>
        <v>-5.8381984987489588E-2</v>
      </c>
      <c r="AC174" s="73">
        <f t="shared" si="158"/>
        <v>-3.4453057708871637E-2</v>
      </c>
      <c r="AD174" s="73">
        <f t="shared" si="158"/>
        <v>-1.9147084421235805E-2</v>
      </c>
      <c r="AE174" s="73">
        <f t="shared" si="158"/>
        <v>-1.7841213202497763E-2</v>
      </c>
      <c r="AF174" s="24">
        <f t="shared" si="158"/>
        <v>-3.2829373650107962E-2</v>
      </c>
      <c r="AG174" s="73">
        <f t="shared" si="158"/>
        <v>-4.6058458813108993E-2</v>
      </c>
      <c r="AH174" s="73">
        <f t="shared" si="158"/>
        <v>-4.281891168599461E-2</v>
      </c>
      <c r="AI174" s="73">
        <f t="shared" si="158"/>
        <v>-4.081632653061229E-2</v>
      </c>
      <c r="AJ174" s="73">
        <f t="shared" ref="AJ174:AS174" si="159">AJ172/AE172-1</f>
        <v>-1.3623978201634857E-2</v>
      </c>
      <c r="AK174" s="24">
        <v>-3.5953550692273351E-2</v>
      </c>
      <c r="AL174" s="73">
        <v>3.3426183844011081E-2</v>
      </c>
      <c r="AM174" s="73">
        <v>2.982292637465056E-2</v>
      </c>
      <c r="AN174" s="73">
        <v>1.8501387604070274E-2</v>
      </c>
      <c r="AO174" s="73">
        <v>1.8416206261511192E-3</v>
      </c>
      <c r="AP174" s="24">
        <v>2.0847810979847115E-2</v>
      </c>
      <c r="AQ174" s="73">
        <v>-8.9847259658581979E-4</v>
      </c>
      <c r="AR174" s="73">
        <v>-4.5248868778280382E-3</v>
      </c>
      <c r="AS174" s="73">
        <v>-1.0899182561307952E-2</v>
      </c>
      <c r="AT174" s="73">
        <v>-5.5147058823529216E-3</v>
      </c>
      <c r="AU174" s="24">
        <v>-5.4458815520762593E-3</v>
      </c>
      <c r="AV174" s="73">
        <v>-3.0575539568345356E-2</v>
      </c>
      <c r="AW174" s="73">
        <v>-3.8181818181818206E-2</v>
      </c>
      <c r="AX174" s="73">
        <v>-2.5711662075298403E-2</v>
      </c>
      <c r="AY174" s="73">
        <v>-3.2347504621072054E-2</v>
      </c>
      <c r="AZ174" s="24">
        <v>-3.1713438284280193E-2</v>
      </c>
    </row>
    <row r="175" spans="1:52" s="36" customFormat="1">
      <c r="A175" s="69" t="s">
        <v>265</v>
      </c>
      <c r="B175" s="37">
        <v>3905</v>
      </c>
      <c r="C175" s="80" t="s">
        <v>53</v>
      </c>
      <c r="D175" s="80" t="s">
        <v>53</v>
      </c>
      <c r="E175" s="80" t="s">
        <v>53</v>
      </c>
      <c r="F175" s="80" t="s">
        <v>53</v>
      </c>
      <c r="G175" s="37">
        <v>3572</v>
      </c>
      <c r="H175" s="70">
        <v>839</v>
      </c>
      <c r="I175" s="70">
        <v>828</v>
      </c>
      <c r="J175" s="70">
        <v>843</v>
      </c>
      <c r="K175" s="70">
        <f>L175-J175-I175-H175</f>
        <v>823</v>
      </c>
      <c r="L175" s="37">
        <v>3333</v>
      </c>
      <c r="M175" s="70">
        <v>785</v>
      </c>
      <c r="N175" s="70">
        <v>795</v>
      </c>
      <c r="O175" s="70">
        <v>788</v>
      </c>
      <c r="P175" s="70">
        <f>Q175-O175-N175-M175</f>
        <v>792</v>
      </c>
      <c r="Q175" s="37">
        <v>3160</v>
      </c>
      <c r="R175" s="70">
        <v>617</v>
      </c>
      <c r="S175" s="70">
        <v>607</v>
      </c>
      <c r="T175" s="70">
        <v>612</v>
      </c>
      <c r="U175" s="70">
        <f>V175-T175-S175-R175</f>
        <v>557</v>
      </c>
      <c r="V175" s="37">
        <v>2393</v>
      </c>
      <c r="W175" s="70">
        <v>588</v>
      </c>
      <c r="X175" s="70">
        <v>572</v>
      </c>
      <c r="Y175" s="70">
        <v>557</v>
      </c>
      <c r="Z175" s="70">
        <f>AA175-Y175-X175-W175</f>
        <v>537</v>
      </c>
      <c r="AA175" s="37">
        <v>2254</v>
      </c>
      <c r="AB175" s="70">
        <v>510</v>
      </c>
      <c r="AC175" s="70">
        <v>503</v>
      </c>
      <c r="AD175" s="70">
        <v>490</v>
      </c>
      <c r="AE175" s="70">
        <f>AF175-AD175-AC175-AB175</f>
        <v>468</v>
      </c>
      <c r="AF175" s="37">
        <v>1971</v>
      </c>
      <c r="AG175" s="70">
        <v>426</v>
      </c>
      <c r="AH175" s="70">
        <v>415</v>
      </c>
      <c r="AI175" s="70">
        <v>418</v>
      </c>
      <c r="AJ175" s="70">
        <f>AK175-AI175-AH175-AG175</f>
        <v>409</v>
      </c>
      <c r="AK175" s="37">
        <v>1668</v>
      </c>
      <c r="AL175" s="70">
        <v>381</v>
      </c>
      <c r="AM175" s="70">
        <v>375</v>
      </c>
      <c r="AN175" s="70">
        <v>373</v>
      </c>
      <c r="AO175" s="70">
        <v>370</v>
      </c>
      <c r="AP175" s="37">
        <v>1499</v>
      </c>
      <c r="AQ175" s="70">
        <v>359</v>
      </c>
      <c r="AR175" s="70">
        <v>351</v>
      </c>
      <c r="AS175" s="70">
        <v>351</v>
      </c>
      <c r="AT175" s="70">
        <v>331</v>
      </c>
      <c r="AU175" s="37">
        <v>1392</v>
      </c>
      <c r="AV175" s="70">
        <v>334</v>
      </c>
      <c r="AW175" s="70">
        <v>320</v>
      </c>
      <c r="AX175" s="70">
        <v>318</v>
      </c>
      <c r="AY175" s="70">
        <v>309</v>
      </c>
      <c r="AZ175" s="37">
        <v>1281</v>
      </c>
    </row>
    <row r="176" spans="1:52">
      <c r="A176" s="71" t="s">
        <v>7</v>
      </c>
      <c r="B176" s="24"/>
      <c r="C176" s="72"/>
      <c r="D176" s="72"/>
      <c r="E176" s="72"/>
      <c r="F176" s="72"/>
      <c r="G176" s="24"/>
      <c r="H176" s="72"/>
      <c r="I176" s="72">
        <f>I175/H175-1</f>
        <v>-1.3110846245530383E-2</v>
      </c>
      <c r="J176" s="72">
        <f>J175/I175-1</f>
        <v>1.8115942028985588E-2</v>
      </c>
      <c r="K176" s="72">
        <f>K175/J175-1</f>
        <v>-2.3724792408066464E-2</v>
      </c>
      <c r="L176" s="24"/>
      <c r="M176" s="72">
        <f>M175/K175-1</f>
        <v>-4.6172539489671927E-2</v>
      </c>
      <c r="N176" s="72">
        <f>N175/M175-1</f>
        <v>1.2738853503184711E-2</v>
      </c>
      <c r="O176" s="72">
        <f>O175/N175-1</f>
        <v>-8.8050314465408785E-3</v>
      </c>
      <c r="P176" s="72">
        <f>P175/O175-1</f>
        <v>5.0761421319795996E-3</v>
      </c>
      <c r="Q176" s="24"/>
      <c r="R176" s="72">
        <f>R175/P175-1</f>
        <v>-0.22095959595959591</v>
      </c>
      <c r="S176" s="72">
        <f>S175/R175-1</f>
        <v>-1.620745542949753E-2</v>
      </c>
      <c r="T176" s="72">
        <f>T175/S175-1</f>
        <v>8.2372322899506578E-3</v>
      </c>
      <c r="U176" s="72">
        <f>U175/T175-1</f>
        <v>-8.9869281045751648E-2</v>
      </c>
      <c r="V176" s="24"/>
      <c r="W176" s="72">
        <f>W175/U175-1</f>
        <v>5.5655296229802476E-2</v>
      </c>
      <c r="X176" s="72">
        <f>X175/W175-1</f>
        <v>-2.7210884353741527E-2</v>
      </c>
      <c r="Y176" s="72">
        <f>Y175/X175-1</f>
        <v>-2.6223776223776252E-2</v>
      </c>
      <c r="Z176" s="72">
        <f>Z175/Y175-1</f>
        <v>-3.590664272890487E-2</v>
      </c>
      <c r="AA176" s="24"/>
      <c r="AB176" s="72">
        <f>AB175/Z175-1</f>
        <v>-5.027932960893855E-2</v>
      </c>
      <c r="AC176" s="72">
        <f>AC175/AB175-1</f>
        <v>-1.3725490196078383E-2</v>
      </c>
      <c r="AD176" s="72">
        <f>AD175/AC175-1</f>
        <v>-2.5844930417495027E-2</v>
      </c>
      <c r="AE176" s="72">
        <f>AE175/AD175-1</f>
        <v>-4.4897959183673453E-2</v>
      </c>
      <c r="AF176" s="24"/>
      <c r="AG176" s="72">
        <f>AG175/AE175-1</f>
        <v>-8.9743589743589758E-2</v>
      </c>
      <c r="AH176" s="72">
        <f>AH175/AG175-1</f>
        <v>-2.5821596244131495E-2</v>
      </c>
      <c r="AI176" s="72">
        <f>AI175/AH175-1</f>
        <v>7.2289156626506035E-3</v>
      </c>
      <c r="AJ176" s="72">
        <f>AJ175/AI175-1</f>
        <v>-2.1531100478468845E-2</v>
      </c>
      <c r="AK176" s="24"/>
      <c r="AL176" s="72">
        <v>-6.8459657701711474E-2</v>
      </c>
      <c r="AM176" s="72">
        <v>-1.5748031496062964E-2</v>
      </c>
      <c r="AN176" s="72">
        <v>-5.3333333333333011E-3</v>
      </c>
      <c r="AO176" s="72">
        <v>-8.0428954423592547E-3</v>
      </c>
      <c r="AP176" s="24"/>
      <c r="AQ176" s="72">
        <v>-2.9729729729729759E-2</v>
      </c>
      <c r="AR176" s="72">
        <v>-2.2284122562674091E-2</v>
      </c>
      <c r="AS176" s="72">
        <v>0</v>
      </c>
      <c r="AT176" s="72">
        <v>-5.6980056980056926E-2</v>
      </c>
      <c r="AU176" s="24"/>
      <c r="AV176" s="72">
        <v>9.0634441087613649E-3</v>
      </c>
      <c r="AW176" s="72">
        <v>-4.1916167664670656E-2</v>
      </c>
      <c r="AX176" s="72">
        <v>-6.2499999999999778E-3</v>
      </c>
      <c r="AY176" s="72">
        <v>-2.8301886792452824E-2</v>
      </c>
      <c r="AZ176" s="24"/>
    </row>
    <row r="177" spans="1:52" ht="9.75" customHeight="1">
      <c r="A177" s="71" t="s">
        <v>8</v>
      </c>
      <c r="B177" s="24"/>
      <c r="C177" s="73"/>
      <c r="D177" s="73"/>
      <c r="E177" s="73"/>
      <c r="F177" s="73"/>
      <c r="G177" s="24">
        <f t="shared" ref="G177:N177" si="160">G175/B175-1</f>
        <v>-8.5275288092189538E-2</v>
      </c>
      <c r="H177" s="73"/>
      <c r="I177" s="73"/>
      <c r="J177" s="73"/>
      <c r="K177" s="73"/>
      <c r="L177" s="24">
        <f t="shared" si="160"/>
        <v>-6.690929451287797E-2</v>
      </c>
      <c r="M177" s="73">
        <f t="shared" si="160"/>
        <v>-6.4362336114421881E-2</v>
      </c>
      <c r="N177" s="73">
        <f t="shared" si="160"/>
        <v>-3.9855072463768071E-2</v>
      </c>
      <c r="O177" s="73">
        <f t="shared" ref="O177:Y177" si="161">O175/J175-1</f>
        <v>-6.5243179122182693E-2</v>
      </c>
      <c r="P177" s="73">
        <f t="shared" si="161"/>
        <v>-3.7667071688942899E-2</v>
      </c>
      <c r="Q177" s="24">
        <f t="shared" si="161"/>
        <v>-5.1905190519051958E-2</v>
      </c>
      <c r="R177" s="73">
        <f t="shared" si="161"/>
        <v>-0.21401273885350314</v>
      </c>
      <c r="S177" s="73">
        <f t="shared" si="161"/>
        <v>-0.2364779874213836</v>
      </c>
      <c r="T177" s="73">
        <f t="shared" si="161"/>
        <v>-0.2233502538071066</v>
      </c>
      <c r="U177" s="73">
        <f t="shared" si="161"/>
        <v>-0.29671717171717171</v>
      </c>
      <c r="V177" s="24">
        <f t="shared" si="161"/>
        <v>-0.24272151898734173</v>
      </c>
      <c r="W177" s="73">
        <f t="shared" si="161"/>
        <v>-4.7001620745542927E-2</v>
      </c>
      <c r="X177" s="73">
        <f t="shared" si="161"/>
        <v>-5.766062602965405E-2</v>
      </c>
      <c r="Y177" s="73">
        <f t="shared" si="161"/>
        <v>-8.9869281045751648E-2</v>
      </c>
      <c r="Z177" s="73">
        <f t="shared" ref="Z177:AI177" si="162">Z175/U175-1</f>
        <v>-3.590664272890487E-2</v>
      </c>
      <c r="AA177" s="24">
        <f t="shared" si="162"/>
        <v>-5.8086084412870886E-2</v>
      </c>
      <c r="AB177" s="73">
        <f t="shared" si="162"/>
        <v>-0.13265306122448983</v>
      </c>
      <c r="AC177" s="73">
        <f t="shared" si="162"/>
        <v>-0.12062937062937062</v>
      </c>
      <c r="AD177" s="73">
        <f t="shared" si="162"/>
        <v>-0.1202872531418312</v>
      </c>
      <c r="AE177" s="73">
        <f t="shared" si="162"/>
        <v>-0.12849162011173187</v>
      </c>
      <c r="AF177" s="24">
        <f t="shared" si="162"/>
        <v>-0.12555456965394851</v>
      </c>
      <c r="AG177" s="73">
        <f t="shared" si="162"/>
        <v>-0.16470588235294115</v>
      </c>
      <c r="AH177" s="73">
        <f t="shared" si="162"/>
        <v>-0.1749502982107356</v>
      </c>
      <c r="AI177" s="73">
        <f t="shared" si="162"/>
        <v>-0.14693877551020407</v>
      </c>
      <c r="AJ177" s="73">
        <f t="shared" ref="AJ177:AS177" si="163">AJ175/AE175-1</f>
        <v>-0.12606837606837606</v>
      </c>
      <c r="AK177" s="24">
        <v>-0.15372907153729076</v>
      </c>
      <c r="AL177" s="73">
        <v>-0.10563380281690138</v>
      </c>
      <c r="AM177" s="73">
        <v>-9.6385542168674676E-2</v>
      </c>
      <c r="AN177" s="73">
        <v>-0.10765550239234445</v>
      </c>
      <c r="AO177" s="73">
        <v>-9.5354523227383914E-2</v>
      </c>
      <c r="AP177" s="24">
        <v>-0.10131894484412474</v>
      </c>
      <c r="AQ177" s="73">
        <v>-5.7742782152230943E-2</v>
      </c>
      <c r="AR177" s="73">
        <v>-6.3999999999999946E-2</v>
      </c>
      <c r="AS177" s="73">
        <v>-5.8981233243967868E-2</v>
      </c>
      <c r="AT177" s="73">
        <v>-0.10540540540540544</v>
      </c>
      <c r="AU177" s="24">
        <v>-7.138092061374246E-2</v>
      </c>
      <c r="AV177" s="73">
        <v>-6.9637883008356494E-2</v>
      </c>
      <c r="AW177" s="73">
        <v>-8.8319088319088301E-2</v>
      </c>
      <c r="AX177" s="73">
        <v>-9.4017094017094016E-2</v>
      </c>
      <c r="AY177" s="73">
        <v>-6.6465256797583083E-2</v>
      </c>
      <c r="AZ177" s="24">
        <v>-7.9741379310344862E-2</v>
      </c>
    </row>
    <row r="178" spans="1:52">
      <c r="A178" s="69" t="s">
        <v>264</v>
      </c>
      <c r="B178" s="37">
        <v>712</v>
      </c>
      <c r="C178" s="80" t="s">
        <v>53</v>
      </c>
      <c r="D178" s="80" t="s">
        <v>53</v>
      </c>
      <c r="E178" s="80" t="s">
        <v>53</v>
      </c>
      <c r="F178" s="80" t="s">
        <v>53</v>
      </c>
      <c r="G178" s="37">
        <v>790</v>
      </c>
      <c r="H178" s="70">
        <v>207</v>
      </c>
      <c r="I178" s="70">
        <v>210</v>
      </c>
      <c r="J178" s="70">
        <v>221</v>
      </c>
      <c r="K178" s="70">
        <f>L178-J178-I178-H178</f>
        <v>225</v>
      </c>
      <c r="L178" s="37">
        <v>863</v>
      </c>
      <c r="M178" s="70">
        <v>236</v>
      </c>
      <c r="N178" s="70">
        <v>235</v>
      </c>
      <c r="O178" s="70">
        <v>249</v>
      </c>
      <c r="P178" s="70">
        <f>Q178-O178-N178-M178</f>
        <v>257</v>
      </c>
      <c r="Q178" s="37">
        <v>977</v>
      </c>
      <c r="R178" s="70">
        <v>265</v>
      </c>
      <c r="S178" s="70">
        <v>269</v>
      </c>
      <c r="T178" s="70">
        <v>276</v>
      </c>
      <c r="U178" s="70">
        <f>V178-T178-S178-R178</f>
        <v>282</v>
      </c>
      <c r="V178" s="37">
        <v>1092</v>
      </c>
      <c r="W178" s="70">
        <v>296</v>
      </c>
      <c r="X178" s="70">
        <v>285</v>
      </c>
      <c r="Y178" s="70">
        <v>291</v>
      </c>
      <c r="Z178" s="70">
        <f>AA178-Y178-X178-W178</f>
        <v>294</v>
      </c>
      <c r="AA178" s="37">
        <v>1166</v>
      </c>
      <c r="AB178" s="70">
        <v>310</v>
      </c>
      <c r="AC178" s="70">
        <v>321</v>
      </c>
      <c r="AD178" s="70">
        <v>332</v>
      </c>
      <c r="AE178" s="70">
        <f>AF178-AD178-AC178-AB178</f>
        <v>324</v>
      </c>
      <c r="AF178" s="37">
        <v>1287</v>
      </c>
      <c r="AG178" s="70">
        <v>332</v>
      </c>
      <c r="AH178" s="70">
        <v>345</v>
      </c>
      <c r="AI178" s="70">
        <v>353</v>
      </c>
      <c r="AJ178" s="70">
        <f>AK178-AI178-AH178-AG178</f>
        <v>364</v>
      </c>
      <c r="AK178" s="37">
        <v>1394</v>
      </c>
      <c r="AL178" s="70">
        <v>358</v>
      </c>
      <c r="AM178" s="70">
        <v>366</v>
      </c>
      <c r="AN178" s="70">
        <v>363</v>
      </c>
      <c r="AO178" s="70">
        <v>363</v>
      </c>
      <c r="AP178" s="37">
        <v>1450</v>
      </c>
      <c r="AQ178" s="70">
        <v>371</v>
      </c>
      <c r="AR178" s="70">
        <v>374</v>
      </c>
      <c r="AS178" s="70">
        <v>374</v>
      </c>
      <c r="AT178" s="70">
        <v>381</v>
      </c>
      <c r="AU178" s="37">
        <v>1500</v>
      </c>
      <c r="AV178" s="70">
        <v>382</v>
      </c>
      <c r="AW178" s="70">
        <v>380</v>
      </c>
      <c r="AX178" s="70">
        <v>385</v>
      </c>
      <c r="AY178" s="70">
        <v>397</v>
      </c>
      <c r="AZ178" s="37">
        <v>1544</v>
      </c>
    </row>
    <row r="179" spans="1:52">
      <c r="A179" s="71" t="s">
        <v>7</v>
      </c>
      <c r="B179" s="24"/>
      <c r="C179" s="72"/>
      <c r="D179" s="72"/>
      <c r="E179" s="72"/>
      <c r="F179" s="72"/>
      <c r="G179" s="24"/>
      <c r="H179" s="72"/>
      <c r="I179" s="72">
        <f>I178/H178-1</f>
        <v>1.449275362318847E-2</v>
      </c>
      <c r="J179" s="72">
        <f>J178/I178-1</f>
        <v>5.2380952380952417E-2</v>
      </c>
      <c r="K179" s="72">
        <f>K178/J178-1</f>
        <v>1.8099547511312153E-2</v>
      </c>
      <c r="L179" s="24"/>
      <c r="M179" s="72">
        <f>M178/K178-1</f>
        <v>4.8888888888888982E-2</v>
      </c>
      <c r="N179" s="72">
        <f>N178/M178-1</f>
        <v>-4.237288135593209E-3</v>
      </c>
      <c r="O179" s="72">
        <f>O178/N178-1</f>
        <v>5.9574468085106469E-2</v>
      </c>
      <c r="P179" s="72">
        <f>P178/O178-1</f>
        <v>3.2128514056224855E-2</v>
      </c>
      <c r="Q179" s="24"/>
      <c r="R179" s="72">
        <f>R178/P178-1</f>
        <v>3.112840466926059E-2</v>
      </c>
      <c r="S179" s="72">
        <f>S178/R178-1</f>
        <v>1.5094339622641506E-2</v>
      </c>
      <c r="T179" s="72">
        <f>T178/S178-1</f>
        <v>2.6022304832713727E-2</v>
      </c>
      <c r="U179" s="72">
        <f>U178/T178-1</f>
        <v>2.1739130434782705E-2</v>
      </c>
      <c r="V179" s="24"/>
      <c r="W179" s="72">
        <f>W178/U178-1</f>
        <v>4.9645390070921946E-2</v>
      </c>
      <c r="X179" s="72">
        <f>X178/W178-1</f>
        <v>-3.7162162162162171E-2</v>
      </c>
      <c r="Y179" s="72">
        <f>Y178/X178-1</f>
        <v>2.1052631578947434E-2</v>
      </c>
      <c r="Z179" s="72">
        <f>Z178/Y178-1</f>
        <v>1.0309278350515427E-2</v>
      </c>
      <c r="AA179" s="24"/>
      <c r="AB179" s="72">
        <f>AB178/Z178-1</f>
        <v>5.4421768707483054E-2</v>
      </c>
      <c r="AC179" s="72">
        <f>AC178/AB178-1</f>
        <v>3.548387096774186E-2</v>
      </c>
      <c r="AD179" s="72">
        <f>AD178/AC178-1</f>
        <v>3.4267912772585563E-2</v>
      </c>
      <c r="AE179" s="72">
        <f>AE178/AD178-1</f>
        <v>-2.4096385542168641E-2</v>
      </c>
      <c r="AF179" s="24"/>
      <c r="AG179" s="72">
        <f>AG178/AE178-1</f>
        <v>2.4691358024691468E-2</v>
      </c>
      <c r="AH179" s="72">
        <f>AH178/AG178-1</f>
        <v>3.9156626506024139E-2</v>
      </c>
      <c r="AI179" s="72">
        <f>AI178/AH178-1</f>
        <v>2.3188405797101463E-2</v>
      </c>
      <c r="AJ179" s="72">
        <f>AJ178/AI178-1</f>
        <v>3.1161473087818692E-2</v>
      </c>
      <c r="AK179" s="24"/>
      <c r="AL179" s="72">
        <v>-1.6483516483516536E-2</v>
      </c>
      <c r="AM179" s="72">
        <v>2.2346368715083775E-2</v>
      </c>
      <c r="AN179" s="72">
        <v>-8.1967213114754189E-3</v>
      </c>
      <c r="AO179" s="72">
        <v>0</v>
      </c>
      <c r="AP179" s="24"/>
      <c r="AQ179" s="72">
        <v>2.2038567493112948E-2</v>
      </c>
      <c r="AR179" s="72">
        <v>8.0862533692722671E-3</v>
      </c>
      <c r="AS179" s="72">
        <v>0</v>
      </c>
      <c r="AT179" s="72">
        <v>1.8716577540107027E-2</v>
      </c>
      <c r="AU179" s="24"/>
      <c r="AV179" s="72">
        <v>2.624671916010568E-3</v>
      </c>
      <c r="AW179" s="72">
        <v>-5.2356020942407877E-3</v>
      </c>
      <c r="AX179" s="72">
        <v>1.3157894736842035E-2</v>
      </c>
      <c r="AY179" s="72">
        <v>3.1168831168831179E-2</v>
      </c>
      <c r="AZ179" s="24"/>
    </row>
    <row r="180" spans="1:52" ht="9.75" customHeight="1">
      <c r="A180" s="71" t="s">
        <v>8</v>
      </c>
      <c r="B180" s="24"/>
      <c r="C180" s="73"/>
      <c r="D180" s="73"/>
      <c r="E180" s="73"/>
      <c r="F180" s="73"/>
      <c r="G180" s="24">
        <f>G178/B178-1</f>
        <v>0.1095505617977528</v>
      </c>
      <c r="H180" s="73"/>
      <c r="I180" s="73"/>
      <c r="J180" s="73"/>
      <c r="K180" s="73"/>
      <c r="L180" s="24">
        <f t="shared" ref="L180:R180" si="164">L178/G178-1</f>
        <v>9.2405063291139289E-2</v>
      </c>
      <c r="M180" s="73">
        <f t="shared" si="164"/>
        <v>0.14009661835748788</v>
      </c>
      <c r="N180" s="73">
        <f t="shared" si="164"/>
        <v>0.11904761904761907</v>
      </c>
      <c r="O180" s="73">
        <f t="shared" si="164"/>
        <v>0.12669683257918551</v>
      </c>
      <c r="P180" s="73">
        <f t="shared" si="164"/>
        <v>0.14222222222222225</v>
      </c>
      <c r="Q180" s="24">
        <f t="shared" si="164"/>
        <v>0.13209733487833142</v>
      </c>
      <c r="R180" s="73">
        <f t="shared" si="164"/>
        <v>0.12288135593220328</v>
      </c>
      <c r="S180" s="73">
        <f t="shared" ref="S180:Y180" si="165">S178/N178-1</f>
        <v>0.14468085106382977</v>
      </c>
      <c r="T180" s="73">
        <f t="shared" si="165"/>
        <v>0.10843373493975905</v>
      </c>
      <c r="U180" s="73">
        <f t="shared" si="165"/>
        <v>9.7276264591439787E-2</v>
      </c>
      <c r="V180" s="24">
        <f t="shared" si="165"/>
        <v>0.11770726714431934</v>
      </c>
      <c r="W180" s="73">
        <f t="shared" si="165"/>
        <v>0.11698113207547167</v>
      </c>
      <c r="X180" s="73">
        <f t="shared" si="165"/>
        <v>5.9479553903345694E-2</v>
      </c>
      <c r="Y180" s="73">
        <f t="shared" si="165"/>
        <v>5.4347826086956541E-2</v>
      </c>
      <c r="Z180" s="73">
        <f t="shared" ref="Z180:AI180" si="166">Z178/U178-1</f>
        <v>4.2553191489361764E-2</v>
      </c>
      <c r="AA180" s="24">
        <f t="shared" si="166"/>
        <v>6.7765567765567747E-2</v>
      </c>
      <c r="AB180" s="73">
        <f t="shared" si="166"/>
        <v>4.7297297297297369E-2</v>
      </c>
      <c r="AC180" s="73">
        <f t="shared" si="166"/>
        <v>0.12631578947368416</v>
      </c>
      <c r="AD180" s="73">
        <f t="shared" si="166"/>
        <v>0.14089347079037795</v>
      </c>
      <c r="AE180" s="73">
        <f t="shared" si="166"/>
        <v>0.1020408163265305</v>
      </c>
      <c r="AF180" s="24">
        <f t="shared" si="166"/>
        <v>0.10377358490566047</v>
      </c>
      <c r="AG180" s="73">
        <f t="shared" si="166"/>
        <v>7.0967741935483941E-2</v>
      </c>
      <c r="AH180" s="73">
        <f t="shared" si="166"/>
        <v>7.4766355140186924E-2</v>
      </c>
      <c r="AI180" s="73">
        <f t="shared" si="166"/>
        <v>6.3253012048192669E-2</v>
      </c>
      <c r="AJ180" s="73">
        <f t="shared" ref="AJ180:AS180" si="167">AJ178/AE178-1</f>
        <v>0.12345679012345689</v>
      </c>
      <c r="AK180" s="24">
        <v>8.3139083139083247E-2</v>
      </c>
      <c r="AL180" s="73">
        <v>7.8313253012048278E-2</v>
      </c>
      <c r="AM180" s="73">
        <v>6.0869565217391397E-2</v>
      </c>
      <c r="AN180" s="73">
        <v>2.8328611898017053E-2</v>
      </c>
      <c r="AO180" s="73">
        <v>-2.7472527472527375E-3</v>
      </c>
      <c r="AP180" s="24">
        <v>4.0172166427546729E-2</v>
      </c>
      <c r="AQ180" s="73">
        <v>3.6312849162011274E-2</v>
      </c>
      <c r="AR180" s="73">
        <v>2.1857923497267784E-2</v>
      </c>
      <c r="AS180" s="73">
        <v>3.0303030303030276E-2</v>
      </c>
      <c r="AT180" s="73">
        <v>4.9586776859504189E-2</v>
      </c>
      <c r="AU180" s="24">
        <v>3.4482758620689724E-2</v>
      </c>
      <c r="AV180" s="73">
        <v>2.9649595687331498E-2</v>
      </c>
      <c r="AW180" s="73">
        <v>1.6042780748663166E-2</v>
      </c>
      <c r="AX180" s="73">
        <v>2.9411764705882248E-2</v>
      </c>
      <c r="AY180" s="73">
        <v>4.1994750656167978E-2</v>
      </c>
      <c r="AZ180" s="24">
        <v>2.9333333333333433E-2</v>
      </c>
    </row>
    <row r="181" spans="1:52">
      <c r="A181" s="69" t="s">
        <v>267</v>
      </c>
      <c r="B181" s="37">
        <v>754</v>
      </c>
      <c r="C181" s="80" t="s">
        <v>53</v>
      </c>
      <c r="D181" s="80" t="s">
        <v>53</v>
      </c>
      <c r="E181" s="80" t="s">
        <v>53</v>
      </c>
      <c r="F181" s="80" t="s">
        <v>53</v>
      </c>
      <c r="G181" s="37">
        <v>811</v>
      </c>
      <c r="H181" s="70">
        <v>207</v>
      </c>
      <c r="I181" s="70">
        <v>213</v>
      </c>
      <c r="J181" s="70">
        <v>217</v>
      </c>
      <c r="K181" s="70">
        <f>L181-J181-I181-H181</f>
        <v>214</v>
      </c>
      <c r="L181" s="37">
        <v>851</v>
      </c>
      <c r="M181" s="70">
        <v>223</v>
      </c>
      <c r="N181" s="70">
        <v>221</v>
      </c>
      <c r="O181" s="70">
        <v>219</v>
      </c>
      <c r="P181" s="70">
        <f>Q181-O181-N181-M181</f>
        <v>219</v>
      </c>
      <c r="Q181" s="37">
        <v>882</v>
      </c>
      <c r="R181" s="70">
        <v>228</v>
      </c>
      <c r="S181" s="70">
        <v>233</v>
      </c>
      <c r="T181" s="70">
        <v>239</v>
      </c>
      <c r="U181" s="70">
        <f>V181-T181-S181-R181</f>
        <v>231</v>
      </c>
      <c r="V181" s="37">
        <v>931</v>
      </c>
      <c r="W181" s="70">
        <v>245</v>
      </c>
      <c r="X181" s="70">
        <v>247</v>
      </c>
      <c r="Y181" s="70">
        <v>243</v>
      </c>
      <c r="Z181" s="70">
        <f>AA181-Y181-X181-W181</f>
        <v>241</v>
      </c>
      <c r="AA181" s="37">
        <v>976</v>
      </c>
      <c r="AB181" s="70">
        <v>247</v>
      </c>
      <c r="AC181" s="70">
        <v>241</v>
      </c>
      <c r="AD181" s="70">
        <v>252</v>
      </c>
      <c r="AE181" s="70">
        <f>AF181-AD181-AC181-AB181</f>
        <v>250</v>
      </c>
      <c r="AF181" s="37">
        <v>990</v>
      </c>
      <c r="AG181" s="70">
        <v>259</v>
      </c>
      <c r="AH181" s="70">
        <v>255</v>
      </c>
      <c r="AI181" s="70">
        <v>251</v>
      </c>
      <c r="AJ181" s="70">
        <f>AK181-AI181-AH181-AG181</f>
        <v>257</v>
      </c>
      <c r="AK181" s="37">
        <v>1022</v>
      </c>
      <c r="AL181" s="70">
        <v>265</v>
      </c>
      <c r="AM181" s="70">
        <v>263</v>
      </c>
      <c r="AN181" s="70">
        <v>265</v>
      </c>
      <c r="AO181" s="70">
        <v>260</v>
      </c>
      <c r="AP181" s="37">
        <v>1053</v>
      </c>
      <c r="AQ181" s="70">
        <v>271</v>
      </c>
      <c r="AR181" s="70">
        <v>268</v>
      </c>
      <c r="AS181" s="70">
        <v>258</v>
      </c>
      <c r="AT181" s="70">
        <v>272</v>
      </c>
      <c r="AU181" s="37">
        <v>1069</v>
      </c>
      <c r="AV181" s="70">
        <v>250</v>
      </c>
      <c r="AW181" s="70">
        <v>245</v>
      </c>
      <c r="AX181" s="70">
        <v>244</v>
      </c>
      <c r="AY181" s="70">
        <v>236</v>
      </c>
      <c r="AZ181" s="37">
        <v>975</v>
      </c>
    </row>
    <row r="182" spans="1:52">
      <c r="A182" s="71" t="s">
        <v>7</v>
      </c>
      <c r="B182" s="24"/>
      <c r="C182" s="72"/>
      <c r="D182" s="72"/>
      <c r="E182" s="72"/>
      <c r="F182" s="72"/>
      <c r="G182" s="24"/>
      <c r="H182" s="72"/>
      <c r="I182" s="72">
        <f>I181/H181-1</f>
        <v>2.8985507246376718E-2</v>
      </c>
      <c r="J182" s="72">
        <f>J181/I181-1</f>
        <v>1.8779342723004744E-2</v>
      </c>
      <c r="K182" s="72">
        <f>K181/J181-1</f>
        <v>-1.3824884792626779E-2</v>
      </c>
      <c r="L182" s="24"/>
      <c r="M182" s="72">
        <f>M181/K181-1</f>
        <v>4.20560747663552E-2</v>
      </c>
      <c r="N182" s="72">
        <f>N181/M181-1</f>
        <v>-8.9686098654708779E-3</v>
      </c>
      <c r="O182" s="72">
        <f>O181/N181-1</f>
        <v>-9.0497737556560764E-3</v>
      </c>
      <c r="P182" s="72">
        <f>P181/O181-1</f>
        <v>0</v>
      </c>
      <c r="Q182" s="24"/>
      <c r="R182" s="72">
        <f>R181/P181-1</f>
        <v>4.1095890410958846E-2</v>
      </c>
      <c r="S182" s="72">
        <f>S181/R181-1</f>
        <v>2.1929824561403466E-2</v>
      </c>
      <c r="T182" s="72">
        <f>T181/S181-1</f>
        <v>2.5751072961373467E-2</v>
      </c>
      <c r="U182" s="72">
        <f>U181/T181-1</f>
        <v>-3.3472803347280311E-2</v>
      </c>
      <c r="V182" s="24"/>
      <c r="W182" s="72">
        <f>W181/U181-1</f>
        <v>6.0606060606060552E-2</v>
      </c>
      <c r="X182" s="72">
        <f>X181/W181-1</f>
        <v>8.1632653061225469E-3</v>
      </c>
      <c r="Y182" s="72">
        <f>Y181/X181-1</f>
        <v>-1.619433198380571E-2</v>
      </c>
      <c r="Z182" s="72">
        <f>Z181/Y181-1</f>
        <v>-8.2304526748970819E-3</v>
      </c>
      <c r="AA182" s="24"/>
      <c r="AB182" s="72">
        <f>AB181/Z181-1</f>
        <v>2.4896265560165887E-2</v>
      </c>
      <c r="AC182" s="72">
        <f>AC181/AB181-1</f>
        <v>-2.4291497975708509E-2</v>
      </c>
      <c r="AD182" s="72">
        <f>AD181/AC181-1</f>
        <v>4.5643153526971014E-2</v>
      </c>
      <c r="AE182" s="72">
        <f>AE181/AD181-1</f>
        <v>-7.9365079365079083E-3</v>
      </c>
      <c r="AF182" s="24"/>
      <c r="AG182" s="72">
        <f>AG181/AE181-1</f>
        <v>3.6000000000000032E-2</v>
      </c>
      <c r="AH182" s="72">
        <f>AH181/AG181-1</f>
        <v>-1.5444015444015413E-2</v>
      </c>
      <c r="AI182" s="72">
        <f>AI181/AH181-1</f>
        <v>-1.5686274509803977E-2</v>
      </c>
      <c r="AJ182" s="72">
        <f>AJ181/AI181-1</f>
        <v>2.3904382470119501E-2</v>
      </c>
      <c r="AK182" s="24"/>
      <c r="AL182" s="72">
        <v>3.112840466926059E-2</v>
      </c>
      <c r="AM182" s="72">
        <v>-7.547169811320753E-3</v>
      </c>
      <c r="AN182" s="72">
        <v>7.6045627376426506E-3</v>
      </c>
      <c r="AO182" s="72">
        <v>-1.8867924528301883E-2</v>
      </c>
      <c r="AP182" s="24"/>
      <c r="AQ182" s="72">
        <v>4.2307692307692379E-2</v>
      </c>
      <c r="AR182" s="72">
        <v>-1.1070110701106972E-2</v>
      </c>
      <c r="AS182" s="72">
        <v>-3.7313432835820892E-2</v>
      </c>
      <c r="AT182" s="72">
        <v>5.4263565891472965E-2</v>
      </c>
      <c r="AU182" s="24"/>
      <c r="AV182" s="72">
        <v>-8.0882352941176516E-2</v>
      </c>
      <c r="AW182" s="72">
        <v>-2.0000000000000018E-2</v>
      </c>
      <c r="AX182" s="72">
        <v>-4.0816326530612734E-3</v>
      </c>
      <c r="AY182" s="72">
        <v>-3.2786885245901676E-2</v>
      </c>
      <c r="AZ182" s="24"/>
    </row>
    <row r="183" spans="1:52">
      <c r="A183" s="71" t="s">
        <v>8</v>
      </c>
      <c r="B183" s="24"/>
      <c r="C183" s="73"/>
      <c r="D183" s="73"/>
      <c r="E183" s="73"/>
      <c r="F183" s="73"/>
      <c r="G183" s="24">
        <f>G181/B181-1</f>
        <v>7.5596816976127412E-2</v>
      </c>
      <c r="H183" s="73"/>
      <c r="I183" s="73"/>
      <c r="J183" s="73"/>
      <c r="K183" s="73"/>
      <c r="L183" s="24">
        <f t="shared" ref="L183:R183" si="168">L181/G181-1</f>
        <v>4.9321824907521572E-2</v>
      </c>
      <c r="M183" s="73">
        <f t="shared" si="168"/>
        <v>7.7294685990338063E-2</v>
      </c>
      <c r="N183" s="73">
        <f t="shared" si="168"/>
        <v>3.7558685446009488E-2</v>
      </c>
      <c r="O183" s="73">
        <f t="shared" si="168"/>
        <v>9.2165898617511122E-3</v>
      </c>
      <c r="P183" s="73">
        <f t="shared" si="168"/>
        <v>2.3364485981308469E-2</v>
      </c>
      <c r="Q183" s="24">
        <f t="shared" si="168"/>
        <v>3.6427732079906017E-2</v>
      </c>
      <c r="R183" s="73">
        <f t="shared" si="168"/>
        <v>2.2421524663677195E-2</v>
      </c>
      <c r="S183" s="73">
        <f t="shared" ref="S183:Y183" si="169">S181/N181-1</f>
        <v>5.4298642533936681E-2</v>
      </c>
      <c r="T183" s="73">
        <f t="shared" si="169"/>
        <v>9.1324200913242004E-2</v>
      </c>
      <c r="U183" s="73">
        <f t="shared" si="169"/>
        <v>5.4794520547945202E-2</v>
      </c>
      <c r="V183" s="24">
        <f t="shared" si="169"/>
        <v>5.555555555555558E-2</v>
      </c>
      <c r="W183" s="73">
        <f t="shared" si="169"/>
        <v>7.4561403508771829E-2</v>
      </c>
      <c r="X183" s="73">
        <f t="shared" si="169"/>
        <v>6.0085836909871349E-2</v>
      </c>
      <c r="Y183" s="73">
        <f t="shared" si="169"/>
        <v>1.6736401673640211E-2</v>
      </c>
      <c r="Z183" s="73">
        <f t="shared" ref="Z183:AI183" si="170">Z181/U181-1</f>
        <v>4.3290043290043378E-2</v>
      </c>
      <c r="AA183" s="24">
        <f t="shared" si="170"/>
        <v>4.8335123523093548E-2</v>
      </c>
      <c r="AB183" s="73">
        <f t="shared" si="170"/>
        <v>8.1632653061225469E-3</v>
      </c>
      <c r="AC183" s="73">
        <f t="shared" si="170"/>
        <v>-2.4291497975708509E-2</v>
      </c>
      <c r="AD183" s="73">
        <f t="shared" si="170"/>
        <v>3.7037037037036979E-2</v>
      </c>
      <c r="AE183" s="73">
        <f t="shared" si="170"/>
        <v>3.7344398340249052E-2</v>
      </c>
      <c r="AF183" s="24">
        <f t="shared" si="170"/>
        <v>1.4344262295082011E-2</v>
      </c>
      <c r="AG183" s="73">
        <f t="shared" si="170"/>
        <v>4.8582995951417018E-2</v>
      </c>
      <c r="AH183" s="73">
        <f t="shared" si="170"/>
        <v>5.8091286307053958E-2</v>
      </c>
      <c r="AI183" s="73">
        <f t="shared" si="170"/>
        <v>-3.9682539682539542E-3</v>
      </c>
      <c r="AJ183" s="73">
        <f t="shared" ref="AJ183:AS183" si="171">AJ181/AE181-1</f>
        <v>2.8000000000000025E-2</v>
      </c>
      <c r="AK183" s="24">
        <v>3.2323232323232309E-2</v>
      </c>
      <c r="AL183" s="73">
        <v>2.316602316602312E-2</v>
      </c>
      <c r="AM183" s="73">
        <v>3.1372549019607954E-2</v>
      </c>
      <c r="AN183" s="73">
        <v>5.5776892430278835E-2</v>
      </c>
      <c r="AO183" s="73">
        <v>1.1673151750972721E-2</v>
      </c>
      <c r="AP183" s="24">
        <v>3.0332681017612551E-2</v>
      </c>
      <c r="AQ183" s="73">
        <v>2.2641509433962259E-2</v>
      </c>
      <c r="AR183" s="73">
        <v>1.9011406844106515E-2</v>
      </c>
      <c r="AS183" s="73">
        <v>-2.6415094339622636E-2</v>
      </c>
      <c r="AT183" s="73">
        <v>4.6153846153846212E-2</v>
      </c>
      <c r="AU183" s="24">
        <v>1.5194681861348425E-2</v>
      </c>
      <c r="AV183" s="73">
        <v>-7.7490774907749027E-2</v>
      </c>
      <c r="AW183" s="73">
        <v>-8.582089552238803E-2</v>
      </c>
      <c r="AX183" s="73">
        <v>-5.4263565891472854E-2</v>
      </c>
      <c r="AY183" s="73">
        <v>-0.13235294117647056</v>
      </c>
      <c r="AZ183" s="24">
        <v>-8.7932647333957004E-2</v>
      </c>
    </row>
    <row r="184" spans="1:52">
      <c r="A184" s="69" t="s">
        <v>268</v>
      </c>
      <c r="B184" s="123" t="s">
        <v>45</v>
      </c>
      <c r="C184" s="80" t="s">
        <v>53</v>
      </c>
      <c r="D184" s="80" t="s">
        <v>53</v>
      </c>
      <c r="E184" s="80" t="s">
        <v>53</v>
      </c>
      <c r="F184" s="80" t="s">
        <v>53</v>
      </c>
      <c r="G184" s="123" t="s">
        <v>45</v>
      </c>
      <c r="H184" s="80" t="s">
        <v>53</v>
      </c>
      <c r="I184" s="80" t="s">
        <v>53</v>
      </c>
      <c r="J184" s="80" t="s">
        <v>53</v>
      </c>
      <c r="K184" s="80" t="s">
        <v>53</v>
      </c>
      <c r="L184" s="123" t="s">
        <v>45</v>
      </c>
      <c r="M184" s="80" t="s">
        <v>53</v>
      </c>
      <c r="N184" s="80" t="s">
        <v>53</v>
      </c>
      <c r="O184" s="80" t="s">
        <v>53</v>
      </c>
      <c r="P184" s="80" t="s">
        <v>53</v>
      </c>
      <c r="Q184" s="123" t="s">
        <v>45</v>
      </c>
      <c r="R184" s="80" t="s">
        <v>53</v>
      </c>
      <c r="S184" s="80" t="s">
        <v>53</v>
      </c>
      <c r="T184" s="80" t="s">
        <v>53</v>
      </c>
      <c r="U184" s="80" t="s">
        <v>53</v>
      </c>
      <c r="V184" s="123" t="s">
        <v>45</v>
      </c>
      <c r="W184" s="80" t="s">
        <v>53</v>
      </c>
      <c r="X184" s="80" t="s">
        <v>53</v>
      </c>
      <c r="Y184" s="80" t="s">
        <v>53</v>
      </c>
      <c r="Z184" s="80" t="s">
        <v>53</v>
      </c>
      <c r="AA184" s="123" t="s">
        <v>45</v>
      </c>
      <c r="AB184" s="80" t="s">
        <v>53</v>
      </c>
      <c r="AC184" s="80" t="s">
        <v>53</v>
      </c>
      <c r="AD184" s="80" t="s">
        <v>53</v>
      </c>
      <c r="AE184" s="80" t="s">
        <v>53</v>
      </c>
      <c r="AF184" s="123" t="s">
        <v>45</v>
      </c>
      <c r="AG184" s="80" t="s">
        <v>53</v>
      </c>
      <c r="AH184" s="80" t="s">
        <v>53</v>
      </c>
      <c r="AI184" s="80" t="s">
        <v>53</v>
      </c>
      <c r="AJ184" s="80" t="s">
        <v>53</v>
      </c>
      <c r="AK184" s="123" t="s">
        <v>45</v>
      </c>
      <c r="AL184" s="70">
        <v>48</v>
      </c>
      <c r="AM184" s="70">
        <v>43</v>
      </c>
      <c r="AN184" s="70">
        <v>46</v>
      </c>
      <c r="AO184" s="70">
        <v>46</v>
      </c>
      <c r="AP184" s="37">
        <v>184</v>
      </c>
      <c r="AQ184" s="70">
        <v>50</v>
      </c>
      <c r="AR184" s="70">
        <v>48</v>
      </c>
      <c r="AS184" s="70">
        <v>52</v>
      </c>
      <c r="AT184" s="70">
        <v>53</v>
      </c>
      <c r="AU184" s="37">
        <v>203</v>
      </c>
      <c r="AV184" s="70">
        <v>56</v>
      </c>
      <c r="AW184" s="70">
        <v>57</v>
      </c>
      <c r="AX184" s="70">
        <v>57</v>
      </c>
      <c r="AY184" s="70">
        <v>60</v>
      </c>
      <c r="AZ184" s="37">
        <v>230</v>
      </c>
    </row>
    <row r="185" spans="1:52">
      <c r="A185" s="71" t="s">
        <v>7</v>
      </c>
      <c r="B185" s="24"/>
      <c r="C185" s="73"/>
      <c r="D185" s="73"/>
      <c r="E185" s="73"/>
      <c r="F185" s="73"/>
      <c r="G185" s="24"/>
      <c r="H185" s="73"/>
      <c r="I185" s="73"/>
      <c r="J185" s="73"/>
      <c r="K185" s="73"/>
      <c r="L185" s="24"/>
      <c r="M185" s="73"/>
      <c r="N185" s="73"/>
      <c r="O185" s="73"/>
      <c r="P185" s="73"/>
      <c r="Q185" s="24"/>
      <c r="R185" s="73"/>
      <c r="S185" s="73"/>
      <c r="T185" s="73"/>
      <c r="U185" s="73"/>
      <c r="V185" s="24"/>
      <c r="W185" s="73"/>
      <c r="X185" s="73"/>
      <c r="Y185" s="73"/>
      <c r="Z185" s="73"/>
      <c r="AA185" s="24"/>
      <c r="AB185" s="73"/>
      <c r="AC185" s="73"/>
      <c r="AD185" s="73"/>
      <c r="AE185" s="73"/>
      <c r="AF185" s="24"/>
      <c r="AG185" s="73"/>
      <c r="AH185" s="73"/>
      <c r="AI185" s="73"/>
      <c r="AJ185" s="73"/>
      <c r="AK185" s="24"/>
      <c r="AL185" s="72"/>
      <c r="AM185" s="72">
        <v>-0.10416666666666663</v>
      </c>
      <c r="AN185" s="72">
        <v>6.9767441860465018E-2</v>
      </c>
      <c r="AO185" s="72">
        <v>0</v>
      </c>
      <c r="AP185" s="24"/>
      <c r="AQ185" s="72">
        <v>8.6956521739130377E-2</v>
      </c>
      <c r="AR185" s="72">
        <v>-4.0000000000000036E-2</v>
      </c>
      <c r="AS185" s="72">
        <v>8.3333333333333259E-2</v>
      </c>
      <c r="AT185" s="72">
        <v>1.9230769230769162E-2</v>
      </c>
      <c r="AU185" s="24"/>
      <c r="AV185" s="72">
        <v>5.6603773584905648E-2</v>
      </c>
      <c r="AW185" s="72">
        <v>1.7857142857142794E-2</v>
      </c>
      <c r="AX185" s="72">
        <v>0</v>
      </c>
      <c r="AY185" s="72">
        <v>5.2631578947368363E-2</v>
      </c>
      <c r="AZ185" s="24"/>
    </row>
    <row r="186" spans="1:52">
      <c r="A186" s="71" t="s">
        <v>8</v>
      </c>
      <c r="B186" s="24"/>
      <c r="C186" s="73"/>
      <c r="D186" s="73"/>
      <c r="E186" s="73"/>
      <c r="F186" s="73"/>
      <c r="G186" s="24"/>
      <c r="H186" s="73"/>
      <c r="I186" s="73"/>
      <c r="J186" s="73"/>
      <c r="K186" s="73"/>
      <c r="L186" s="24"/>
      <c r="M186" s="73"/>
      <c r="N186" s="73"/>
      <c r="O186" s="73"/>
      <c r="P186" s="73"/>
      <c r="Q186" s="24"/>
      <c r="R186" s="73"/>
      <c r="S186" s="73"/>
      <c r="T186" s="73"/>
      <c r="U186" s="73"/>
      <c r="V186" s="24"/>
      <c r="W186" s="73"/>
      <c r="X186" s="73"/>
      <c r="Y186" s="73"/>
      <c r="Z186" s="73"/>
      <c r="AA186" s="24"/>
      <c r="AB186" s="73"/>
      <c r="AC186" s="73"/>
      <c r="AD186" s="73"/>
      <c r="AE186" s="73"/>
      <c r="AF186" s="24"/>
      <c r="AG186" s="73"/>
      <c r="AH186" s="73"/>
      <c r="AI186" s="73"/>
      <c r="AJ186" s="73"/>
      <c r="AK186" s="24"/>
      <c r="AL186" s="73"/>
      <c r="AM186" s="73"/>
      <c r="AN186" s="73"/>
      <c r="AO186" s="73"/>
      <c r="AP186" s="24"/>
      <c r="AQ186" s="73">
        <v>4.1666666666666741E-2</v>
      </c>
      <c r="AR186" s="73">
        <v>0.11627906976744184</v>
      </c>
      <c r="AS186" s="73">
        <v>0.13043478260869557</v>
      </c>
      <c r="AT186" s="73">
        <v>0.15217391304347827</v>
      </c>
      <c r="AU186" s="24">
        <v>0.10326086956521729</v>
      </c>
      <c r="AV186" s="73">
        <v>0.12000000000000011</v>
      </c>
      <c r="AW186" s="73">
        <v>0.1875</v>
      </c>
      <c r="AX186" s="73">
        <v>9.6153846153846256E-2</v>
      </c>
      <c r="AY186" s="73">
        <v>0.13207547169811318</v>
      </c>
      <c r="AZ186" s="24">
        <v>0.13300492610837433</v>
      </c>
    </row>
    <row r="187" spans="1:52">
      <c r="A187" s="69" t="s">
        <v>266</v>
      </c>
      <c r="B187" s="37">
        <v>342</v>
      </c>
      <c r="C187" s="80" t="s">
        <v>53</v>
      </c>
      <c r="D187" s="80" t="s">
        <v>53</v>
      </c>
      <c r="E187" s="80" t="s">
        <v>53</v>
      </c>
      <c r="F187" s="80" t="s">
        <v>53</v>
      </c>
      <c r="G187" s="37">
        <v>325</v>
      </c>
      <c r="H187" s="70">
        <v>73</v>
      </c>
      <c r="I187" s="70">
        <v>67</v>
      </c>
      <c r="J187" s="70">
        <v>62</v>
      </c>
      <c r="K187" s="70">
        <f>L187-J187-I187-H187</f>
        <v>54</v>
      </c>
      <c r="L187" s="37">
        <v>256</v>
      </c>
      <c r="M187" s="70">
        <v>60</v>
      </c>
      <c r="N187" s="70">
        <v>56</v>
      </c>
      <c r="O187" s="70">
        <v>67</v>
      </c>
      <c r="P187" s="70">
        <f>Q187-O187-N187-M187</f>
        <v>61</v>
      </c>
      <c r="Q187" s="37">
        <v>244</v>
      </c>
      <c r="R187" s="70">
        <v>68</v>
      </c>
      <c r="S187" s="70">
        <v>61</v>
      </c>
      <c r="T187" s="70">
        <v>59</v>
      </c>
      <c r="U187" s="70">
        <f>V187-T187-S187-R187</f>
        <v>44</v>
      </c>
      <c r="V187" s="37">
        <v>232</v>
      </c>
      <c r="W187" s="70">
        <v>70</v>
      </c>
      <c r="X187" s="70">
        <v>57</v>
      </c>
      <c r="Y187" s="70">
        <v>58</v>
      </c>
      <c r="Z187" s="70">
        <f>AA187-Y187-X187-W187</f>
        <v>49</v>
      </c>
      <c r="AA187" s="37">
        <v>234</v>
      </c>
      <c r="AB187" s="70">
        <v>62</v>
      </c>
      <c r="AC187" s="70">
        <v>56</v>
      </c>
      <c r="AD187" s="70">
        <v>53</v>
      </c>
      <c r="AE187" s="70">
        <f>AF187-AD187-AC187-AB187</f>
        <v>59</v>
      </c>
      <c r="AF187" s="37">
        <v>230</v>
      </c>
      <c r="AG187" s="70">
        <v>60</v>
      </c>
      <c r="AH187" s="70">
        <v>58</v>
      </c>
      <c r="AI187" s="70">
        <v>59</v>
      </c>
      <c r="AJ187" s="70">
        <f>AK187-AI187-AH187-AG187</f>
        <v>56</v>
      </c>
      <c r="AK187" s="37">
        <v>233</v>
      </c>
      <c r="AL187" s="70">
        <v>61</v>
      </c>
      <c r="AM187" s="70">
        <v>58</v>
      </c>
      <c r="AN187" s="70">
        <v>54</v>
      </c>
      <c r="AO187" s="70">
        <v>48</v>
      </c>
      <c r="AP187" s="37">
        <v>221</v>
      </c>
      <c r="AQ187" s="70">
        <v>61</v>
      </c>
      <c r="AR187" s="70">
        <v>59</v>
      </c>
      <c r="AS187" s="70">
        <v>54</v>
      </c>
      <c r="AT187" s="70">
        <v>45</v>
      </c>
      <c r="AU187" s="37">
        <v>219</v>
      </c>
      <c r="AV187" s="70">
        <v>56</v>
      </c>
      <c r="AW187" s="70">
        <v>56</v>
      </c>
      <c r="AX187" s="70">
        <v>57</v>
      </c>
      <c r="AY187" s="70">
        <v>45</v>
      </c>
      <c r="AZ187" s="37">
        <v>214</v>
      </c>
    </row>
    <row r="188" spans="1:52" ht="11.25" customHeight="1">
      <c r="A188" s="71" t="s">
        <v>7</v>
      </c>
      <c r="B188" s="24"/>
      <c r="C188" s="72"/>
      <c r="D188" s="72"/>
      <c r="E188" s="72"/>
      <c r="F188" s="72"/>
      <c r="G188" s="24"/>
      <c r="H188" s="72"/>
      <c r="I188" s="72">
        <f>I187/H187-1</f>
        <v>-8.2191780821917804E-2</v>
      </c>
      <c r="J188" s="72">
        <f>J187/I187-1</f>
        <v>-7.4626865671641784E-2</v>
      </c>
      <c r="K188" s="72">
        <f>K187/J187-1</f>
        <v>-0.12903225806451613</v>
      </c>
      <c r="L188" s="24"/>
      <c r="M188" s="72">
        <f>M187/K187-1</f>
        <v>0.11111111111111116</v>
      </c>
      <c r="N188" s="72">
        <f>N187/M187-1</f>
        <v>-6.6666666666666652E-2</v>
      </c>
      <c r="O188" s="72">
        <f>O187/N187-1</f>
        <v>0.1964285714285714</v>
      </c>
      <c r="P188" s="72">
        <f>P187/O187-1</f>
        <v>-8.9552238805970186E-2</v>
      </c>
      <c r="Q188" s="24"/>
      <c r="R188" s="72">
        <f>R187/P187-1</f>
        <v>0.11475409836065564</v>
      </c>
      <c r="S188" s="72">
        <f>S187/R187-1</f>
        <v>-0.1029411764705882</v>
      </c>
      <c r="T188" s="72">
        <f>T187/S187-1</f>
        <v>-3.2786885245901676E-2</v>
      </c>
      <c r="U188" s="72">
        <f>U187/T187-1</f>
        <v>-0.25423728813559321</v>
      </c>
      <c r="V188" s="24"/>
      <c r="W188" s="72">
        <f>W187/U187-1</f>
        <v>0.59090909090909083</v>
      </c>
      <c r="X188" s="72">
        <f>X187/W187-1</f>
        <v>-0.18571428571428572</v>
      </c>
      <c r="Y188" s="72">
        <f>Y187/X187-1</f>
        <v>1.7543859649122862E-2</v>
      </c>
      <c r="Z188" s="72">
        <f>Z187/Y187-1</f>
        <v>-0.15517241379310343</v>
      </c>
      <c r="AA188" s="24"/>
      <c r="AB188" s="72">
        <f>AB187/Z187-1</f>
        <v>0.26530612244897966</v>
      </c>
      <c r="AC188" s="72">
        <f>AC187/AB187-1</f>
        <v>-9.6774193548387122E-2</v>
      </c>
      <c r="AD188" s="72">
        <f>AD187/AC187-1</f>
        <v>-5.3571428571428603E-2</v>
      </c>
      <c r="AE188" s="72">
        <f>AE187/AD187-1</f>
        <v>0.1132075471698113</v>
      </c>
      <c r="AF188" s="24"/>
      <c r="AG188" s="72">
        <f>AG187/AE187-1</f>
        <v>1.6949152542372836E-2</v>
      </c>
      <c r="AH188" s="72">
        <f>AH187/AG187-1</f>
        <v>-3.3333333333333326E-2</v>
      </c>
      <c r="AI188" s="72">
        <f>AI187/AH187-1</f>
        <v>1.7241379310344751E-2</v>
      </c>
      <c r="AJ188" s="72">
        <f>AJ187/AI187-1</f>
        <v>-5.084745762711862E-2</v>
      </c>
      <c r="AK188" s="24"/>
      <c r="AL188" s="72">
        <v>8.9285714285714191E-2</v>
      </c>
      <c r="AM188" s="72">
        <v>-4.9180327868852514E-2</v>
      </c>
      <c r="AN188" s="72">
        <v>-6.8965517241379337E-2</v>
      </c>
      <c r="AO188" s="72">
        <v>-0.11111111111111116</v>
      </c>
      <c r="AP188" s="24"/>
      <c r="AQ188" s="72">
        <v>0.27083333333333326</v>
      </c>
      <c r="AR188" s="72">
        <v>-3.2786885245901676E-2</v>
      </c>
      <c r="AS188" s="72">
        <v>-8.4745762711864403E-2</v>
      </c>
      <c r="AT188" s="72">
        <v>-0.16666666666666663</v>
      </c>
      <c r="AU188" s="24"/>
      <c r="AV188" s="72">
        <v>0.24444444444444446</v>
      </c>
      <c r="AW188" s="72">
        <v>0</v>
      </c>
      <c r="AX188" s="72">
        <v>1.7857142857142794E-2</v>
      </c>
      <c r="AY188" s="72">
        <v>-0.21052631578947367</v>
      </c>
      <c r="AZ188" s="24"/>
    </row>
    <row r="189" spans="1:52" ht="10.5" customHeight="1">
      <c r="A189" s="71" t="s">
        <v>8</v>
      </c>
      <c r="B189" s="24"/>
      <c r="C189" s="73"/>
      <c r="D189" s="73"/>
      <c r="E189" s="73"/>
      <c r="F189" s="73"/>
      <c r="G189" s="24">
        <f>G187/B187-1</f>
        <v>-4.9707602339181256E-2</v>
      </c>
      <c r="H189" s="73"/>
      <c r="I189" s="73"/>
      <c r="J189" s="73"/>
      <c r="K189" s="73"/>
      <c r="L189" s="24">
        <f t="shared" ref="L189:R189" si="172">L187/G187-1</f>
        <v>-0.21230769230769231</v>
      </c>
      <c r="M189" s="73">
        <f t="shared" si="172"/>
        <v>-0.17808219178082196</v>
      </c>
      <c r="N189" s="73">
        <f t="shared" si="172"/>
        <v>-0.16417910447761197</v>
      </c>
      <c r="O189" s="73">
        <f t="shared" si="172"/>
        <v>8.0645161290322509E-2</v>
      </c>
      <c r="P189" s="73">
        <f t="shared" si="172"/>
        <v>0.12962962962962954</v>
      </c>
      <c r="Q189" s="24">
        <f t="shared" si="172"/>
        <v>-4.6875E-2</v>
      </c>
      <c r="R189" s="73">
        <f t="shared" si="172"/>
        <v>0.1333333333333333</v>
      </c>
      <c r="S189" s="73">
        <f t="shared" ref="S189:Y189" si="173">S187/N187-1</f>
        <v>8.9285714285714191E-2</v>
      </c>
      <c r="T189" s="73">
        <f t="shared" si="173"/>
        <v>-0.11940298507462688</v>
      </c>
      <c r="U189" s="73">
        <f t="shared" si="173"/>
        <v>-0.27868852459016391</v>
      </c>
      <c r="V189" s="24">
        <f t="shared" si="173"/>
        <v>-4.9180327868852514E-2</v>
      </c>
      <c r="W189" s="73">
        <f t="shared" si="173"/>
        <v>2.9411764705882248E-2</v>
      </c>
      <c r="X189" s="73">
        <f t="shared" si="173"/>
        <v>-6.557377049180324E-2</v>
      </c>
      <c r="Y189" s="73">
        <f t="shared" si="173"/>
        <v>-1.6949152542372836E-2</v>
      </c>
      <c r="Z189" s="73">
        <f t="shared" ref="Z189:AI189" si="174">Z187/U187-1</f>
        <v>0.11363636363636354</v>
      </c>
      <c r="AA189" s="24">
        <f t="shared" si="174"/>
        <v>8.6206896551723755E-3</v>
      </c>
      <c r="AB189" s="73">
        <f t="shared" si="174"/>
        <v>-0.11428571428571432</v>
      </c>
      <c r="AC189" s="73">
        <f t="shared" si="174"/>
        <v>-1.7543859649122862E-2</v>
      </c>
      <c r="AD189" s="73">
        <f t="shared" si="174"/>
        <v>-8.6206896551724088E-2</v>
      </c>
      <c r="AE189" s="73">
        <f t="shared" si="174"/>
        <v>0.20408163265306123</v>
      </c>
      <c r="AF189" s="24">
        <f t="shared" si="174"/>
        <v>-1.7094017094017144E-2</v>
      </c>
      <c r="AG189" s="73">
        <f t="shared" si="174"/>
        <v>-3.2258064516129004E-2</v>
      </c>
      <c r="AH189" s="73">
        <f t="shared" si="174"/>
        <v>3.5714285714285809E-2</v>
      </c>
      <c r="AI189" s="73">
        <f t="shared" si="174"/>
        <v>0.1132075471698113</v>
      </c>
      <c r="AJ189" s="73">
        <f t="shared" ref="AJ189:AS189" si="175">AJ187/AE187-1</f>
        <v>-5.084745762711862E-2</v>
      </c>
      <c r="AK189" s="24">
        <v>1.304347826086949E-2</v>
      </c>
      <c r="AL189" s="73">
        <v>1.6666666666666607E-2</v>
      </c>
      <c r="AM189" s="73">
        <v>0</v>
      </c>
      <c r="AN189" s="73">
        <v>-8.4745762711864403E-2</v>
      </c>
      <c r="AO189" s="73">
        <v>-0.1428571428571429</v>
      </c>
      <c r="AP189" s="24">
        <v>-5.1502145922746823E-2</v>
      </c>
      <c r="AQ189" s="73">
        <v>0</v>
      </c>
      <c r="AR189" s="73">
        <v>1.7241379310344751E-2</v>
      </c>
      <c r="AS189" s="73">
        <v>0</v>
      </c>
      <c r="AT189" s="73">
        <v>-6.25E-2</v>
      </c>
      <c r="AU189" s="24">
        <v>-9.0497737556560764E-3</v>
      </c>
      <c r="AV189" s="73">
        <v>-8.1967213114754078E-2</v>
      </c>
      <c r="AW189" s="73">
        <v>-5.084745762711862E-2</v>
      </c>
      <c r="AX189" s="73">
        <v>5.555555555555558E-2</v>
      </c>
      <c r="AY189" s="73">
        <v>0</v>
      </c>
      <c r="AZ189" s="24">
        <v>-2.2831050228310557E-2</v>
      </c>
    </row>
    <row r="190" spans="1:52" ht="3" customHeight="1">
      <c r="A190" s="40"/>
      <c r="B190" s="41"/>
      <c r="C190" s="42"/>
      <c r="D190" s="42"/>
      <c r="E190" s="42"/>
      <c r="F190" s="42"/>
      <c r="G190" s="41"/>
      <c r="H190" s="42"/>
      <c r="I190" s="42"/>
      <c r="J190" s="42"/>
      <c r="K190" s="42"/>
      <c r="L190" s="41"/>
      <c r="M190" s="42"/>
      <c r="N190" s="42"/>
      <c r="O190" s="42"/>
      <c r="P190" s="42"/>
      <c r="Q190" s="41"/>
      <c r="R190" s="42"/>
      <c r="S190" s="42"/>
      <c r="T190" s="42"/>
      <c r="U190" s="42"/>
      <c r="V190" s="41"/>
      <c r="W190" s="42"/>
      <c r="X190" s="42"/>
      <c r="Y190" s="42"/>
      <c r="Z190" s="42"/>
      <c r="AA190" s="41"/>
      <c r="AB190" s="42"/>
      <c r="AC190" s="42"/>
      <c r="AD190" s="42"/>
      <c r="AE190" s="42"/>
      <c r="AF190" s="41"/>
      <c r="AG190" s="42"/>
      <c r="AH190" s="42"/>
      <c r="AI190" s="42"/>
      <c r="AJ190" s="42"/>
      <c r="AK190" s="41"/>
      <c r="AL190" s="42"/>
      <c r="AM190" s="42"/>
      <c r="AN190" s="42"/>
      <c r="AO190" s="42"/>
      <c r="AP190" s="41"/>
      <c r="AQ190" s="42"/>
      <c r="AR190" s="42"/>
      <c r="AS190" s="42"/>
      <c r="AT190" s="42"/>
      <c r="AU190" s="41"/>
      <c r="AV190" s="42"/>
      <c r="AW190" s="42"/>
      <c r="AX190" s="42"/>
      <c r="AY190" s="42"/>
      <c r="AZ190" s="41"/>
    </row>
    <row r="191" spans="1:52">
      <c r="A191" s="69" t="s">
        <v>144</v>
      </c>
      <c r="B191" s="123" t="s">
        <v>45</v>
      </c>
      <c r="C191" s="80" t="s">
        <v>53</v>
      </c>
      <c r="D191" s="80" t="s">
        <v>53</v>
      </c>
      <c r="E191" s="80" t="s">
        <v>53</v>
      </c>
      <c r="F191" s="80" t="s">
        <v>53</v>
      </c>
      <c r="G191" s="37">
        <v>3303</v>
      </c>
      <c r="H191" s="80" t="s">
        <v>53</v>
      </c>
      <c r="I191" s="80" t="s">
        <v>53</v>
      </c>
      <c r="J191" s="80" t="s">
        <v>53</v>
      </c>
      <c r="K191" s="80" t="s">
        <v>53</v>
      </c>
      <c r="L191" s="37">
        <v>3165</v>
      </c>
      <c r="M191" s="80" t="s">
        <v>53</v>
      </c>
      <c r="N191" s="80" t="s">
        <v>53</v>
      </c>
      <c r="O191" s="80" t="s">
        <v>53</v>
      </c>
      <c r="P191" s="80" t="s">
        <v>53</v>
      </c>
      <c r="Q191" s="37">
        <v>3128</v>
      </c>
      <c r="R191" s="80" t="s">
        <v>53</v>
      </c>
      <c r="S191" s="80" t="s">
        <v>53</v>
      </c>
      <c r="T191" s="80" t="s">
        <v>53</v>
      </c>
      <c r="U191" s="80" t="s">
        <v>53</v>
      </c>
      <c r="V191" s="37">
        <v>2777</v>
      </c>
      <c r="W191" s="80" t="s">
        <v>53</v>
      </c>
      <c r="X191" s="80" t="s">
        <v>53</v>
      </c>
      <c r="Y191" s="80" t="s">
        <v>53</v>
      </c>
      <c r="Z191" s="80" t="s">
        <v>53</v>
      </c>
      <c r="AA191" s="37">
        <v>2716</v>
      </c>
      <c r="AB191" s="80" t="s">
        <v>53</v>
      </c>
      <c r="AC191" s="80" t="s">
        <v>53</v>
      </c>
      <c r="AD191" s="80" t="s">
        <v>53</v>
      </c>
      <c r="AE191" s="80" t="s">
        <v>53</v>
      </c>
      <c r="AF191" s="37">
        <v>2605</v>
      </c>
      <c r="AG191" s="80" t="s">
        <v>53</v>
      </c>
      <c r="AH191" s="80" t="s">
        <v>53</v>
      </c>
      <c r="AI191" s="80" t="s">
        <v>53</v>
      </c>
      <c r="AJ191" s="80" t="s">
        <v>53</v>
      </c>
      <c r="AK191" s="37">
        <v>2498</v>
      </c>
      <c r="AL191" s="80" t="s">
        <v>53</v>
      </c>
      <c r="AM191" s="80" t="s">
        <v>53</v>
      </c>
      <c r="AN191" s="80" t="s">
        <v>53</v>
      </c>
      <c r="AO191" s="80" t="s">
        <v>53</v>
      </c>
      <c r="AP191" s="37">
        <v>2507</v>
      </c>
      <c r="AQ191" s="80" t="s">
        <v>53</v>
      </c>
      <c r="AR191" s="80" t="s">
        <v>53</v>
      </c>
      <c r="AS191" s="80" t="s">
        <v>53</v>
      </c>
      <c r="AT191" s="80" t="s">
        <v>53</v>
      </c>
      <c r="AU191" s="37">
        <v>2329</v>
      </c>
      <c r="AV191" s="80" t="s">
        <v>53</v>
      </c>
      <c r="AW191" s="80" t="s">
        <v>53</v>
      </c>
      <c r="AX191" s="80" t="s">
        <v>53</v>
      </c>
      <c r="AY191" s="80" t="s">
        <v>53</v>
      </c>
      <c r="AZ191" s="37">
        <v>2232</v>
      </c>
    </row>
    <row r="192" spans="1:52" ht="9" customHeight="1">
      <c r="A192" s="71" t="s">
        <v>146</v>
      </c>
      <c r="B192" s="24"/>
      <c r="C192" s="73"/>
      <c r="D192" s="73"/>
      <c r="E192" s="73"/>
      <c r="F192" s="73"/>
      <c r="G192" s="24">
        <f>G191/G172</f>
        <v>0.60075300137172971</v>
      </c>
      <c r="H192" s="73"/>
      <c r="I192" s="73"/>
      <c r="J192" s="73"/>
      <c r="K192" s="73"/>
      <c r="L192" s="24">
        <f>L191/L172</f>
        <v>0.59683198189703945</v>
      </c>
      <c r="M192" s="73"/>
      <c r="N192" s="73"/>
      <c r="O192" s="73"/>
      <c r="P192" s="73"/>
      <c r="Q192" s="24">
        <f>Q191/Q172</f>
        <v>0.59433783013490404</v>
      </c>
      <c r="R192" s="73"/>
      <c r="S192" s="73"/>
      <c r="T192" s="73"/>
      <c r="U192" s="73"/>
      <c r="V192" s="24">
        <f>V191/V172</f>
        <v>0.59746127366609292</v>
      </c>
      <c r="W192" s="73"/>
      <c r="X192" s="73"/>
      <c r="Y192" s="73"/>
      <c r="Z192" s="73"/>
      <c r="AA192" s="24">
        <f>AA191/AA172</f>
        <v>0.58660907127429807</v>
      </c>
      <c r="AB192" s="73"/>
      <c r="AC192" s="73"/>
      <c r="AD192" s="73"/>
      <c r="AE192" s="73"/>
      <c r="AF192" s="24">
        <f>AF191/AF172</f>
        <v>0.58173291648057168</v>
      </c>
      <c r="AG192" s="73"/>
      <c r="AH192" s="73"/>
      <c r="AI192" s="73"/>
      <c r="AJ192" s="73"/>
      <c r="AK192" s="24">
        <v>0.57864257586286771</v>
      </c>
      <c r="AL192" s="73"/>
      <c r="AM192" s="73"/>
      <c r="AN192" s="73"/>
      <c r="AO192" s="73"/>
      <c r="AP192" s="24">
        <v>0.56886771046063078</v>
      </c>
      <c r="AQ192" s="73"/>
      <c r="AR192" s="73"/>
      <c r="AS192" s="73"/>
      <c r="AT192" s="73"/>
      <c r="AU192" s="24">
        <v>0.53137120693588868</v>
      </c>
      <c r="AV192" s="73"/>
      <c r="AW192" s="73"/>
      <c r="AX192" s="73"/>
      <c r="AY192" s="73"/>
      <c r="AZ192" s="24">
        <v>0.52591894439208298</v>
      </c>
    </row>
    <row r="193" spans="1:52">
      <c r="A193" s="69" t="s">
        <v>145</v>
      </c>
      <c r="B193" s="123" t="s">
        <v>45</v>
      </c>
      <c r="C193" s="80" t="s">
        <v>53</v>
      </c>
      <c r="D193" s="80" t="s">
        <v>53</v>
      </c>
      <c r="E193" s="80" t="s">
        <v>53</v>
      </c>
      <c r="F193" s="80" t="s">
        <v>53</v>
      </c>
      <c r="G193" s="37">
        <v>2195</v>
      </c>
      <c r="H193" s="80" t="s">
        <v>53</v>
      </c>
      <c r="I193" s="80" t="s">
        <v>53</v>
      </c>
      <c r="J193" s="80" t="s">
        <v>53</v>
      </c>
      <c r="K193" s="80" t="s">
        <v>53</v>
      </c>
      <c r="L193" s="37">
        <v>2138</v>
      </c>
      <c r="M193" s="80" t="s">
        <v>53</v>
      </c>
      <c r="N193" s="80" t="s">
        <v>53</v>
      </c>
      <c r="O193" s="80" t="s">
        <v>53</v>
      </c>
      <c r="P193" s="80" t="s">
        <v>53</v>
      </c>
      <c r="Q193" s="37">
        <v>2134</v>
      </c>
      <c r="R193" s="80" t="s">
        <v>53</v>
      </c>
      <c r="S193" s="80" t="s">
        <v>53</v>
      </c>
      <c r="T193" s="80" t="s">
        <v>53</v>
      </c>
      <c r="U193" s="80" t="s">
        <v>53</v>
      </c>
      <c r="V193" s="37">
        <v>1871</v>
      </c>
      <c r="W193" s="80" t="s">
        <v>53</v>
      </c>
      <c r="X193" s="80" t="s">
        <v>53</v>
      </c>
      <c r="Y193" s="80" t="s">
        <v>53</v>
      </c>
      <c r="Z193" s="80" t="s">
        <v>53</v>
      </c>
      <c r="AA193" s="37">
        <v>1914</v>
      </c>
      <c r="AB193" s="80" t="s">
        <v>53</v>
      </c>
      <c r="AC193" s="80" t="s">
        <v>53</v>
      </c>
      <c r="AD193" s="80" t="s">
        <v>53</v>
      </c>
      <c r="AE193" s="80" t="s">
        <v>53</v>
      </c>
      <c r="AF193" s="37">
        <v>1873</v>
      </c>
      <c r="AG193" s="80" t="s">
        <v>53</v>
      </c>
      <c r="AH193" s="80" t="s">
        <v>53</v>
      </c>
      <c r="AI193" s="80" t="s">
        <v>53</v>
      </c>
      <c r="AJ193" s="80" t="s">
        <v>53</v>
      </c>
      <c r="AK193" s="37">
        <v>1819</v>
      </c>
      <c r="AL193" s="80" t="s">
        <v>53</v>
      </c>
      <c r="AM193" s="80" t="s">
        <v>53</v>
      </c>
      <c r="AN193" s="80" t="s">
        <v>53</v>
      </c>
      <c r="AO193" s="80" t="s">
        <v>53</v>
      </c>
      <c r="AP193" s="37">
        <v>1900</v>
      </c>
      <c r="AQ193" s="80" t="s">
        <v>53</v>
      </c>
      <c r="AR193" s="80" t="s">
        <v>53</v>
      </c>
      <c r="AS193" s="80" t="s">
        <v>53</v>
      </c>
      <c r="AT193" s="80" t="s">
        <v>53</v>
      </c>
      <c r="AU193" s="37">
        <v>2054</v>
      </c>
      <c r="AV193" s="80" t="s">
        <v>53</v>
      </c>
      <c r="AW193" s="80" t="s">
        <v>53</v>
      </c>
      <c r="AX193" s="80" t="s">
        <v>53</v>
      </c>
      <c r="AY193" s="80" t="s">
        <v>53</v>
      </c>
      <c r="AZ193" s="37">
        <v>2012</v>
      </c>
    </row>
    <row r="194" spans="1:52" ht="9" customHeight="1">
      <c r="A194" s="71" t="s">
        <v>146</v>
      </c>
      <c r="B194" s="24"/>
      <c r="C194" s="73"/>
      <c r="D194" s="73"/>
      <c r="E194" s="73"/>
      <c r="F194" s="73"/>
      <c r="G194" s="24">
        <f>G193/G172</f>
        <v>0.39922883379078011</v>
      </c>
      <c r="H194" s="73"/>
      <c r="I194" s="73"/>
      <c r="J194" s="73"/>
      <c r="K194" s="73"/>
      <c r="L194" s="24">
        <f>L193/L172</f>
        <v>0.4031680181029606</v>
      </c>
      <c r="M194" s="73"/>
      <c r="N194" s="73"/>
      <c r="O194" s="73"/>
      <c r="P194" s="73"/>
      <c r="Q194" s="24">
        <f>Q193/Q172</f>
        <v>0.40547216416492493</v>
      </c>
      <c r="R194" s="73"/>
      <c r="S194" s="73"/>
      <c r="T194" s="73"/>
      <c r="U194" s="73"/>
      <c r="V194" s="24">
        <f>V193/V172</f>
        <v>0.40253872633390708</v>
      </c>
      <c r="W194" s="73"/>
      <c r="X194" s="73"/>
      <c r="Y194" s="73"/>
      <c r="Z194" s="73"/>
      <c r="AA194" s="24">
        <f>AA193/AA172</f>
        <v>0.41339092872570193</v>
      </c>
      <c r="AB194" s="73"/>
      <c r="AC194" s="73"/>
      <c r="AD194" s="73"/>
      <c r="AE194" s="73"/>
      <c r="AF194" s="24">
        <f>AF193/AF172</f>
        <v>0.41826708351942832</v>
      </c>
      <c r="AG194" s="73"/>
      <c r="AH194" s="73"/>
      <c r="AI194" s="73"/>
      <c r="AJ194" s="73"/>
      <c r="AK194" s="24">
        <v>0.42135742413713229</v>
      </c>
      <c r="AL194" s="73"/>
      <c r="AM194" s="73"/>
      <c r="AN194" s="73"/>
      <c r="AO194" s="73"/>
      <c r="AP194" s="24">
        <v>0.43113228953936916</v>
      </c>
      <c r="AQ194" s="73"/>
      <c r="AR194" s="73"/>
      <c r="AS194" s="73"/>
      <c r="AT194" s="73"/>
      <c r="AU194" s="24">
        <v>0.46862879306411132</v>
      </c>
      <c r="AV194" s="73"/>
      <c r="AW194" s="73"/>
      <c r="AX194" s="73"/>
      <c r="AY194" s="73"/>
      <c r="AZ194" s="24">
        <v>0.47408105560791708</v>
      </c>
    </row>
    <row r="195" spans="1:52">
      <c r="A195" s="40" t="s">
        <v>81</v>
      </c>
      <c r="B195" s="41"/>
      <c r="C195" s="42"/>
      <c r="D195" s="42"/>
      <c r="E195" s="42"/>
      <c r="F195" s="42"/>
      <c r="G195" s="41"/>
      <c r="H195" s="42"/>
      <c r="I195" s="42"/>
      <c r="J195" s="42"/>
      <c r="K195" s="42"/>
      <c r="L195" s="41"/>
      <c r="M195" s="42"/>
      <c r="N195" s="42"/>
      <c r="O195" s="42"/>
      <c r="P195" s="42"/>
      <c r="Q195" s="41"/>
      <c r="R195" s="42"/>
      <c r="S195" s="42"/>
      <c r="T195" s="42"/>
      <c r="U195" s="42"/>
      <c r="V195" s="41"/>
      <c r="W195" s="42"/>
      <c r="X195" s="42"/>
      <c r="Y195" s="42"/>
      <c r="Z195" s="42"/>
      <c r="AA195" s="41"/>
      <c r="AB195" s="42"/>
      <c r="AC195" s="42"/>
      <c r="AD195" s="42"/>
      <c r="AE195" s="42"/>
      <c r="AF195" s="41"/>
      <c r="AG195" s="42"/>
      <c r="AH195" s="42"/>
      <c r="AI195" s="42"/>
      <c r="AJ195" s="42"/>
      <c r="AK195" s="41"/>
      <c r="AL195" s="42"/>
      <c r="AM195" s="42"/>
      <c r="AN195" s="42"/>
      <c r="AO195" s="42"/>
      <c r="AP195" s="41"/>
      <c r="AQ195" s="42"/>
      <c r="AR195" s="42"/>
      <c r="AS195" s="42"/>
      <c r="AT195" s="42"/>
      <c r="AU195" s="41"/>
      <c r="AV195" s="42"/>
      <c r="AW195" s="42"/>
      <c r="AX195" s="42"/>
      <c r="AY195" s="42"/>
      <c r="AZ195" s="41"/>
    </row>
    <row r="196" spans="1:52" s="36" customFormat="1">
      <c r="A196" s="69" t="s">
        <v>11</v>
      </c>
      <c r="B196" s="37">
        <v>941</v>
      </c>
      <c r="C196" s="70">
        <v>218</v>
      </c>
      <c r="D196" s="70">
        <v>211</v>
      </c>
      <c r="E196" s="70">
        <v>214</v>
      </c>
      <c r="F196" s="70">
        <f>G196-E196-D196-C196</f>
        <v>209</v>
      </c>
      <c r="G196" s="37">
        <v>852</v>
      </c>
      <c r="H196" s="70">
        <v>211</v>
      </c>
      <c r="I196" s="70">
        <v>205</v>
      </c>
      <c r="J196" s="70">
        <v>184</v>
      </c>
      <c r="K196" s="70">
        <f>L196-J196-I196-H196</f>
        <v>194</v>
      </c>
      <c r="L196" s="37">
        <v>794</v>
      </c>
      <c r="M196" s="70">
        <v>170</v>
      </c>
      <c r="N196" s="70">
        <v>171</v>
      </c>
      <c r="O196" s="70">
        <v>171</v>
      </c>
      <c r="P196" s="70">
        <f>Q196-O196-N196-M196</f>
        <v>178</v>
      </c>
      <c r="Q196" s="37">
        <v>690</v>
      </c>
      <c r="R196" s="70">
        <v>162</v>
      </c>
      <c r="S196" s="70">
        <v>171</v>
      </c>
      <c r="T196" s="70">
        <v>180</v>
      </c>
      <c r="U196" s="70">
        <f>V196-T196-S196-R196</f>
        <v>175</v>
      </c>
      <c r="V196" s="37">
        <v>688</v>
      </c>
      <c r="W196" s="70">
        <v>178</v>
      </c>
      <c r="X196" s="70">
        <v>178</v>
      </c>
      <c r="Y196" s="70">
        <v>185</v>
      </c>
      <c r="Z196" s="70">
        <f>AA196-Y196-X196-W196</f>
        <v>189</v>
      </c>
      <c r="AA196" s="37">
        <v>730</v>
      </c>
      <c r="AB196" s="70">
        <v>167</v>
      </c>
      <c r="AC196" s="70">
        <v>168</v>
      </c>
      <c r="AD196" s="70">
        <v>174</v>
      </c>
      <c r="AE196" s="70">
        <f>AF196-AD196-AC196-AB196</f>
        <v>174</v>
      </c>
      <c r="AF196" s="37">
        <v>683</v>
      </c>
      <c r="AG196" s="70">
        <v>168</v>
      </c>
      <c r="AH196" s="70">
        <v>172</v>
      </c>
      <c r="AI196" s="70">
        <v>178</v>
      </c>
      <c r="AJ196" s="70">
        <f>AK196-AI196-AH196-AG196</f>
        <v>170</v>
      </c>
      <c r="AK196" s="37">
        <v>688</v>
      </c>
      <c r="AL196" s="70">
        <v>176</v>
      </c>
      <c r="AM196" s="70">
        <v>180</v>
      </c>
      <c r="AN196" s="70">
        <v>184</v>
      </c>
      <c r="AO196" s="70">
        <v>185</v>
      </c>
      <c r="AP196" s="37">
        <v>725</v>
      </c>
      <c r="AQ196" s="70">
        <v>183</v>
      </c>
      <c r="AR196" s="70">
        <v>185</v>
      </c>
      <c r="AS196" s="70">
        <v>188</v>
      </c>
      <c r="AT196" s="70">
        <v>161</v>
      </c>
      <c r="AU196" s="37">
        <v>717</v>
      </c>
      <c r="AV196" s="70">
        <v>180</v>
      </c>
      <c r="AW196" s="70">
        <v>177</v>
      </c>
      <c r="AX196" s="70">
        <v>186</v>
      </c>
      <c r="AY196" s="70">
        <v>185</v>
      </c>
      <c r="AZ196" s="37">
        <v>728</v>
      </c>
    </row>
    <row r="197" spans="1:52" ht="9.75" customHeight="1">
      <c r="A197" s="71" t="s">
        <v>7</v>
      </c>
      <c r="B197" s="24"/>
      <c r="C197" s="72"/>
      <c r="D197" s="72">
        <f>D196/C196-1</f>
        <v>-3.2110091743119296E-2</v>
      </c>
      <c r="E197" s="72">
        <f>E196/D196-1</f>
        <v>1.4218009478673022E-2</v>
      </c>
      <c r="F197" s="72">
        <f>F196/E196-1</f>
        <v>-2.3364485981308358E-2</v>
      </c>
      <c r="G197" s="24"/>
      <c r="H197" s="72">
        <f>H196/F196-1</f>
        <v>9.5693779904306719E-3</v>
      </c>
      <c r="I197" s="72">
        <f>I196/H196-1</f>
        <v>-2.8436018957345932E-2</v>
      </c>
      <c r="J197" s="72">
        <f>J196/I196-1</f>
        <v>-0.10243902439024388</v>
      </c>
      <c r="K197" s="72">
        <f>K196/J196-1</f>
        <v>5.4347826086956541E-2</v>
      </c>
      <c r="L197" s="24"/>
      <c r="M197" s="72">
        <f>M196/K196-1</f>
        <v>-0.12371134020618557</v>
      </c>
      <c r="N197" s="72">
        <f>N196/M196-1</f>
        <v>5.8823529411764497E-3</v>
      </c>
      <c r="O197" s="72">
        <f>O196/N196-1</f>
        <v>0</v>
      </c>
      <c r="P197" s="72">
        <f>P196/O196-1</f>
        <v>4.0935672514619936E-2</v>
      </c>
      <c r="Q197" s="24"/>
      <c r="R197" s="72">
        <f>R196/P196-1</f>
        <v>-8.98876404494382E-2</v>
      </c>
      <c r="S197" s="72">
        <f>S196/R196-1</f>
        <v>5.555555555555558E-2</v>
      </c>
      <c r="T197" s="72">
        <f>T196/S196-1</f>
        <v>5.2631578947368363E-2</v>
      </c>
      <c r="U197" s="72">
        <f>U196/T196-1</f>
        <v>-2.777777777777779E-2</v>
      </c>
      <c r="V197" s="24"/>
      <c r="W197" s="72">
        <f>W196/U196-1</f>
        <v>1.7142857142857126E-2</v>
      </c>
      <c r="X197" s="72">
        <f>X196/W196-1</f>
        <v>0</v>
      </c>
      <c r="Y197" s="72">
        <f>Y196/X196-1</f>
        <v>3.9325842696629199E-2</v>
      </c>
      <c r="Z197" s="72">
        <f>Z196/Y196-1</f>
        <v>2.1621621621621623E-2</v>
      </c>
      <c r="AA197" s="24"/>
      <c r="AB197" s="72">
        <f>AB196/Z196-1</f>
        <v>-0.1164021164021164</v>
      </c>
      <c r="AC197" s="72">
        <f>AC196/AB196-1</f>
        <v>5.9880239520957446E-3</v>
      </c>
      <c r="AD197" s="72">
        <f>AD196/AC196-1</f>
        <v>3.5714285714285809E-2</v>
      </c>
      <c r="AE197" s="72">
        <f>AE196/AD196-1</f>
        <v>0</v>
      </c>
      <c r="AF197" s="24"/>
      <c r="AG197" s="72">
        <f>AG196/AE196-1</f>
        <v>-3.4482758620689613E-2</v>
      </c>
      <c r="AH197" s="72">
        <f>AH196/AG196-1</f>
        <v>2.3809523809523725E-2</v>
      </c>
      <c r="AI197" s="72">
        <f>AI196/AH196-1</f>
        <v>3.488372093023262E-2</v>
      </c>
      <c r="AJ197" s="72">
        <f>AJ196/AI196-1</f>
        <v>-4.49438202247191E-2</v>
      </c>
      <c r="AK197" s="24"/>
      <c r="AL197" s="72">
        <v>3.529411764705892E-2</v>
      </c>
      <c r="AM197" s="72">
        <v>2.2727272727272707E-2</v>
      </c>
      <c r="AN197" s="72">
        <v>2.2222222222222143E-2</v>
      </c>
      <c r="AO197" s="72">
        <v>5.4347826086955653E-3</v>
      </c>
      <c r="AP197" s="24"/>
      <c r="AQ197" s="72">
        <v>-1.0810810810810811E-2</v>
      </c>
      <c r="AR197" s="72">
        <v>1.0928961748633892E-2</v>
      </c>
      <c r="AS197" s="72">
        <v>1.6216216216216273E-2</v>
      </c>
      <c r="AT197" s="72">
        <v>-0.1436170212765957</v>
      </c>
      <c r="AU197" s="24"/>
      <c r="AV197" s="72">
        <v>0.11801242236024834</v>
      </c>
      <c r="AW197" s="72">
        <v>-1.6666666666666718E-2</v>
      </c>
      <c r="AX197" s="72">
        <v>5.0847457627118731E-2</v>
      </c>
      <c r="AY197" s="72">
        <v>-5.3763440860215006E-3</v>
      </c>
      <c r="AZ197" s="24"/>
    </row>
    <row r="198" spans="1:52" ht="11.25" customHeight="1">
      <c r="A198" s="71" t="s">
        <v>8</v>
      </c>
      <c r="B198" s="24"/>
      <c r="C198" s="73"/>
      <c r="D198" s="73"/>
      <c r="E198" s="73"/>
      <c r="F198" s="73"/>
      <c r="G198" s="24">
        <f t="shared" ref="G198:N198" si="176">G196/B196-1</f>
        <v>-9.4580233793836399E-2</v>
      </c>
      <c r="H198" s="73">
        <f t="shared" si="176"/>
        <v>-3.2110091743119296E-2</v>
      </c>
      <c r="I198" s="73">
        <f t="shared" si="176"/>
        <v>-2.8436018957345932E-2</v>
      </c>
      <c r="J198" s="73">
        <f t="shared" si="176"/>
        <v>-0.14018691588785048</v>
      </c>
      <c r="K198" s="73">
        <f t="shared" si="176"/>
        <v>-7.1770334928229707E-2</v>
      </c>
      <c r="L198" s="24">
        <f t="shared" si="176"/>
        <v>-6.8075117370892002E-2</v>
      </c>
      <c r="M198" s="73">
        <f t="shared" si="176"/>
        <v>-0.19431279620853081</v>
      </c>
      <c r="N198" s="73">
        <f t="shared" si="176"/>
        <v>-0.1658536585365854</v>
      </c>
      <c r="O198" s="73">
        <f t="shared" ref="O198:Y198" si="177">O196/J196-1</f>
        <v>-7.0652173913043459E-2</v>
      </c>
      <c r="P198" s="73">
        <f t="shared" si="177"/>
        <v>-8.2474226804123751E-2</v>
      </c>
      <c r="Q198" s="24">
        <f t="shared" si="177"/>
        <v>-0.13098236775818639</v>
      </c>
      <c r="R198" s="73">
        <f t="shared" si="177"/>
        <v>-4.705882352941182E-2</v>
      </c>
      <c r="S198" s="73">
        <f t="shared" si="177"/>
        <v>0</v>
      </c>
      <c r="T198" s="73">
        <f t="shared" si="177"/>
        <v>5.2631578947368363E-2</v>
      </c>
      <c r="U198" s="73">
        <f t="shared" si="177"/>
        <v>-1.6853932584269704E-2</v>
      </c>
      <c r="V198" s="24">
        <f t="shared" si="177"/>
        <v>-2.8985507246376274E-3</v>
      </c>
      <c r="W198" s="73">
        <f t="shared" si="177"/>
        <v>9.8765432098765427E-2</v>
      </c>
      <c r="X198" s="73">
        <f t="shared" si="177"/>
        <v>4.0935672514619936E-2</v>
      </c>
      <c r="Y198" s="73">
        <f t="shared" si="177"/>
        <v>2.7777777777777679E-2</v>
      </c>
      <c r="Z198" s="73">
        <f t="shared" ref="Z198:AI198" si="178">Z196/U196-1</f>
        <v>8.0000000000000071E-2</v>
      </c>
      <c r="AA198" s="24">
        <f t="shared" si="178"/>
        <v>6.1046511627907085E-2</v>
      </c>
      <c r="AB198" s="73">
        <f t="shared" si="178"/>
        <v>-6.1797752808988804E-2</v>
      </c>
      <c r="AC198" s="73">
        <f t="shared" si="178"/>
        <v>-5.6179775280898903E-2</v>
      </c>
      <c r="AD198" s="73">
        <f t="shared" si="178"/>
        <v>-5.9459459459459407E-2</v>
      </c>
      <c r="AE198" s="73">
        <f t="shared" si="178"/>
        <v>-7.9365079365079416E-2</v>
      </c>
      <c r="AF198" s="24">
        <f t="shared" si="178"/>
        <v>-6.438356164383563E-2</v>
      </c>
      <c r="AG198" s="73">
        <f t="shared" si="178"/>
        <v>5.9880239520957446E-3</v>
      </c>
      <c r="AH198" s="73">
        <f t="shared" si="178"/>
        <v>2.3809523809523725E-2</v>
      </c>
      <c r="AI198" s="73">
        <f t="shared" si="178"/>
        <v>2.2988505747126409E-2</v>
      </c>
      <c r="AJ198" s="73">
        <f t="shared" ref="AJ198:AS198" si="179">AJ196/AE196-1</f>
        <v>-2.2988505747126409E-2</v>
      </c>
      <c r="AK198" s="24">
        <v>7.3206442166910968E-3</v>
      </c>
      <c r="AL198" s="73">
        <v>4.7619047619047672E-2</v>
      </c>
      <c r="AM198" s="73">
        <v>4.6511627906976827E-2</v>
      </c>
      <c r="AN198" s="73">
        <v>3.3707865168539408E-2</v>
      </c>
      <c r="AO198" s="73">
        <v>8.8235294117646967E-2</v>
      </c>
      <c r="AP198" s="24">
        <v>5.3779069767441845E-2</v>
      </c>
      <c r="AQ198" s="73">
        <v>3.9772727272727293E-2</v>
      </c>
      <c r="AR198" s="73">
        <v>2.7777777777777679E-2</v>
      </c>
      <c r="AS198" s="73">
        <v>2.1739130434782705E-2</v>
      </c>
      <c r="AT198" s="73">
        <v>-0.12972972972972974</v>
      </c>
      <c r="AU198" s="24">
        <v>-1.1034482758620734E-2</v>
      </c>
      <c r="AV198" s="73">
        <v>-1.6393442622950838E-2</v>
      </c>
      <c r="AW198" s="73">
        <v>-4.3243243243243246E-2</v>
      </c>
      <c r="AX198" s="73">
        <v>-1.0638297872340385E-2</v>
      </c>
      <c r="AY198" s="73">
        <v>0.14906832298136652</v>
      </c>
      <c r="AZ198" s="24">
        <v>1.5341701534170138E-2</v>
      </c>
    </row>
    <row r="199" spans="1:52">
      <c r="A199" s="69" t="s">
        <v>103</v>
      </c>
      <c r="B199" s="37">
        <v>1293</v>
      </c>
      <c r="C199" s="80" t="s">
        <v>53</v>
      </c>
      <c r="D199" s="80" t="s">
        <v>53</v>
      </c>
      <c r="E199" s="80" t="s">
        <v>53</v>
      </c>
      <c r="F199" s="80" t="s">
        <v>53</v>
      </c>
      <c r="G199" s="37">
        <v>1202</v>
      </c>
      <c r="H199" s="70">
        <v>278</v>
      </c>
      <c r="I199" s="70">
        <v>264</v>
      </c>
      <c r="J199" s="70">
        <v>255</v>
      </c>
      <c r="K199" s="70">
        <f>L199-J199-I199-H199</f>
        <v>297</v>
      </c>
      <c r="L199" s="37">
        <v>1094</v>
      </c>
      <c r="M199" s="70">
        <v>277</v>
      </c>
      <c r="N199" s="70">
        <v>250</v>
      </c>
      <c r="O199" s="70">
        <v>256</v>
      </c>
      <c r="P199" s="70">
        <f>Q199-O199-N199-M199</f>
        <v>296</v>
      </c>
      <c r="Q199" s="37">
        <v>1079</v>
      </c>
      <c r="R199" s="70">
        <v>284</v>
      </c>
      <c r="S199" s="70">
        <v>291</v>
      </c>
      <c r="T199" s="70">
        <v>284</v>
      </c>
      <c r="U199" s="70">
        <f>V199-T199-S199-R199</f>
        <v>217</v>
      </c>
      <c r="V199" s="37">
        <v>1076</v>
      </c>
      <c r="W199" s="70">
        <v>267</v>
      </c>
      <c r="X199" s="70">
        <v>267</v>
      </c>
      <c r="Y199" s="70">
        <v>274</v>
      </c>
      <c r="Z199" s="70">
        <f>AA199-Y199-X199-W199</f>
        <v>228</v>
      </c>
      <c r="AA199" s="37">
        <v>1036</v>
      </c>
      <c r="AB199" s="70">
        <v>270</v>
      </c>
      <c r="AC199" s="70">
        <v>242</v>
      </c>
      <c r="AD199" s="70">
        <v>243</v>
      </c>
      <c r="AE199" s="70">
        <f>AF199-AD199-AC199-AB199</f>
        <v>225</v>
      </c>
      <c r="AF199" s="37">
        <v>980</v>
      </c>
      <c r="AG199" s="70">
        <v>223</v>
      </c>
      <c r="AH199" s="70">
        <v>228</v>
      </c>
      <c r="AI199" s="70">
        <v>227</v>
      </c>
      <c r="AJ199" s="70">
        <f>AK199-AI199-AH199-AG199</f>
        <v>217</v>
      </c>
      <c r="AK199" s="37">
        <v>895</v>
      </c>
      <c r="AL199" s="70">
        <v>227</v>
      </c>
      <c r="AM199" s="70">
        <v>226</v>
      </c>
      <c r="AN199" s="70">
        <v>232</v>
      </c>
      <c r="AO199" s="70">
        <v>227</v>
      </c>
      <c r="AP199" s="37">
        <v>912</v>
      </c>
      <c r="AQ199" s="70">
        <v>230</v>
      </c>
      <c r="AR199" s="70">
        <v>217</v>
      </c>
      <c r="AS199" s="70">
        <v>225</v>
      </c>
      <c r="AT199" s="70">
        <v>226</v>
      </c>
      <c r="AU199" s="37">
        <v>898</v>
      </c>
      <c r="AV199" s="70">
        <v>224</v>
      </c>
      <c r="AW199" s="70">
        <v>220</v>
      </c>
      <c r="AX199" s="70">
        <v>224</v>
      </c>
      <c r="AY199" s="70">
        <v>223</v>
      </c>
      <c r="AZ199" s="37">
        <v>891</v>
      </c>
    </row>
    <row r="200" spans="1:52" ht="11.25" customHeight="1">
      <c r="A200" s="71" t="s">
        <v>7</v>
      </c>
      <c r="B200" s="24"/>
      <c r="C200" s="73"/>
      <c r="D200" s="73"/>
      <c r="E200" s="73"/>
      <c r="F200" s="73"/>
      <c r="G200" s="24"/>
      <c r="H200" s="72"/>
      <c r="I200" s="72">
        <f>I199/H199-1</f>
        <v>-5.0359712230215847E-2</v>
      </c>
      <c r="J200" s="72">
        <f>J199/I199-1</f>
        <v>-3.4090909090909061E-2</v>
      </c>
      <c r="K200" s="72">
        <f>K199/J199-1</f>
        <v>0.16470588235294126</v>
      </c>
      <c r="L200" s="24"/>
      <c r="M200" s="72">
        <f>M199/K199-1</f>
        <v>-6.7340067340067367E-2</v>
      </c>
      <c r="N200" s="72">
        <f>N199/M199-1</f>
        <v>-9.7472924187725685E-2</v>
      </c>
      <c r="O200" s="72">
        <f>O199/N199-1</f>
        <v>2.4000000000000021E-2</v>
      </c>
      <c r="P200" s="72">
        <f>P199/O199-1</f>
        <v>0.15625</v>
      </c>
      <c r="Q200" s="24"/>
      <c r="R200" s="72">
        <f>R199/P199-1</f>
        <v>-4.0540540540540571E-2</v>
      </c>
      <c r="S200" s="72">
        <f>S199/R199-1</f>
        <v>2.464788732394374E-2</v>
      </c>
      <c r="T200" s="72">
        <f>T199/S199-1</f>
        <v>-2.4054982817869441E-2</v>
      </c>
      <c r="U200" s="72">
        <f>U199/T199-1</f>
        <v>-0.2359154929577465</v>
      </c>
      <c r="V200" s="24"/>
      <c r="W200" s="72">
        <f>W199/U199-1</f>
        <v>0.23041474654377869</v>
      </c>
      <c r="X200" s="72">
        <f>X199/W199-1</f>
        <v>0</v>
      </c>
      <c r="Y200" s="72">
        <f>Y199/X199-1</f>
        <v>2.621722846441954E-2</v>
      </c>
      <c r="Z200" s="72">
        <f>Z199/Y199-1</f>
        <v>-0.16788321167883213</v>
      </c>
      <c r="AA200" s="24"/>
      <c r="AB200" s="72">
        <f>AB199/Z199-1</f>
        <v>0.18421052631578938</v>
      </c>
      <c r="AC200" s="72">
        <f>AC199/AB199-1</f>
        <v>-0.10370370370370374</v>
      </c>
      <c r="AD200" s="72">
        <f>AD199/AC199-1</f>
        <v>4.1322314049587749E-3</v>
      </c>
      <c r="AE200" s="72">
        <f>AE199/AD199-1</f>
        <v>-7.407407407407407E-2</v>
      </c>
      <c r="AF200" s="24"/>
      <c r="AG200" s="72">
        <f>AG199/AE199-1</f>
        <v>-8.8888888888888351E-3</v>
      </c>
      <c r="AH200" s="72">
        <f>AH199/AG199-1</f>
        <v>2.2421524663677195E-2</v>
      </c>
      <c r="AI200" s="72">
        <f>AI199/AH199-1</f>
        <v>-4.3859649122807154E-3</v>
      </c>
      <c r="AJ200" s="72">
        <f>AJ199/AI199-1</f>
        <v>-4.4052863436123357E-2</v>
      </c>
      <c r="AK200" s="24"/>
      <c r="AL200" s="72">
        <v>4.6082949308755783E-2</v>
      </c>
      <c r="AM200" s="72">
        <v>-4.405286343612369E-3</v>
      </c>
      <c r="AN200" s="72">
        <v>2.6548672566371723E-2</v>
      </c>
      <c r="AO200" s="72">
        <v>-2.155172413793105E-2</v>
      </c>
      <c r="AP200" s="24"/>
      <c r="AQ200" s="72">
        <v>1.3215859030837107E-2</v>
      </c>
      <c r="AR200" s="72">
        <v>-5.6521739130434789E-2</v>
      </c>
      <c r="AS200" s="72">
        <v>3.6866359447004671E-2</v>
      </c>
      <c r="AT200" s="72">
        <v>4.4444444444444731E-3</v>
      </c>
      <c r="AU200" s="24"/>
      <c r="AV200" s="72">
        <v>-8.8495575221239076E-3</v>
      </c>
      <c r="AW200" s="72">
        <v>-1.7857142857142905E-2</v>
      </c>
      <c r="AX200" s="72">
        <v>1.8181818181818077E-2</v>
      </c>
      <c r="AY200" s="72">
        <v>-4.4642857142856984E-3</v>
      </c>
      <c r="AZ200" s="24"/>
    </row>
    <row r="201" spans="1:52" ht="10.5" customHeight="1">
      <c r="A201" s="71" t="s">
        <v>8</v>
      </c>
      <c r="B201" s="24"/>
      <c r="C201" s="73"/>
      <c r="D201" s="73"/>
      <c r="E201" s="73"/>
      <c r="F201" s="73"/>
      <c r="G201" s="24">
        <f>G199/B199-1</f>
        <v>-7.0378963650425397E-2</v>
      </c>
      <c r="H201" s="70"/>
      <c r="I201" s="70"/>
      <c r="J201" s="70"/>
      <c r="K201" s="70"/>
      <c r="L201" s="24">
        <f t="shared" ref="L201:Y201" si="180">L199/G199-1</f>
        <v>-8.9850249584026654E-2</v>
      </c>
      <c r="M201" s="73">
        <f t="shared" si="180"/>
        <v>-3.597122302158251E-3</v>
      </c>
      <c r="N201" s="73">
        <f t="shared" si="180"/>
        <v>-5.3030303030302983E-2</v>
      </c>
      <c r="O201" s="73">
        <f t="shared" si="180"/>
        <v>3.9215686274509665E-3</v>
      </c>
      <c r="P201" s="73">
        <f t="shared" si="180"/>
        <v>-3.3670033670033517E-3</v>
      </c>
      <c r="Q201" s="24">
        <f t="shared" si="180"/>
        <v>-1.3711151736745864E-2</v>
      </c>
      <c r="R201" s="73">
        <f t="shared" si="180"/>
        <v>2.5270758122743597E-2</v>
      </c>
      <c r="S201" s="73">
        <f t="shared" si="180"/>
        <v>0.16399999999999992</v>
      </c>
      <c r="T201" s="73">
        <f t="shared" si="180"/>
        <v>0.109375</v>
      </c>
      <c r="U201" s="73">
        <f t="shared" si="180"/>
        <v>-0.26689189189189189</v>
      </c>
      <c r="V201" s="24">
        <f t="shared" si="180"/>
        <v>-2.780352177942591E-3</v>
      </c>
      <c r="W201" s="73">
        <f t="shared" si="180"/>
        <v>-5.9859154929577496E-2</v>
      </c>
      <c r="X201" s="73">
        <f t="shared" si="180"/>
        <v>-8.2474226804123751E-2</v>
      </c>
      <c r="Y201" s="73">
        <f t="shared" si="180"/>
        <v>-3.5211267605633756E-2</v>
      </c>
      <c r="Z201" s="73">
        <f t="shared" ref="Z201:AI201" si="181">Z199/U199-1</f>
        <v>5.0691244239631228E-2</v>
      </c>
      <c r="AA201" s="24">
        <f t="shared" si="181"/>
        <v>-3.7174721189591087E-2</v>
      </c>
      <c r="AB201" s="73">
        <f t="shared" si="181"/>
        <v>1.1235955056179803E-2</v>
      </c>
      <c r="AC201" s="73">
        <f t="shared" si="181"/>
        <v>-9.3632958801498134E-2</v>
      </c>
      <c r="AD201" s="73">
        <f t="shared" si="181"/>
        <v>-0.11313868613138689</v>
      </c>
      <c r="AE201" s="73">
        <f t="shared" si="181"/>
        <v>-1.3157894736842146E-2</v>
      </c>
      <c r="AF201" s="24">
        <f t="shared" si="181"/>
        <v>-5.4054054054054057E-2</v>
      </c>
      <c r="AG201" s="73">
        <f t="shared" si="181"/>
        <v>-0.17407407407407405</v>
      </c>
      <c r="AH201" s="73">
        <f t="shared" si="181"/>
        <v>-5.7851239669421517E-2</v>
      </c>
      <c r="AI201" s="73">
        <f t="shared" si="181"/>
        <v>-6.5843621399176988E-2</v>
      </c>
      <c r="AJ201" s="73">
        <f t="shared" ref="AJ201:AS201" si="182">AJ199/AE199-1</f>
        <v>-3.5555555555555562E-2</v>
      </c>
      <c r="AK201" s="24">
        <v>-8.6734693877551061E-2</v>
      </c>
      <c r="AL201" s="73">
        <v>1.7937219730941756E-2</v>
      </c>
      <c r="AM201" s="73">
        <v>-8.7719298245614308E-3</v>
      </c>
      <c r="AN201" s="73">
        <v>2.2026431718061623E-2</v>
      </c>
      <c r="AO201" s="73">
        <v>4.6082949308755783E-2</v>
      </c>
      <c r="AP201" s="24">
        <v>1.8994413407821265E-2</v>
      </c>
      <c r="AQ201" s="73">
        <v>1.3215859030837107E-2</v>
      </c>
      <c r="AR201" s="73">
        <v>-3.9823008849557473E-2</v>
      </c>
      <c r="AS201" s="73">
        <v>-3.0172413793103425E-2</v>
      </c>
      <c r="AT201" s="73">
        <v>-4.405286343612369E-3</v>
      </c>
      <c r="AU201" s="24">
        <v>-1.5350877192982448E-2</v>
      </c>
      <c r="AV201" s="73">
        <v>-2.6086956521739091E-2</v>
      </c>
      <c r="AW201" s="73">
        <v>1.3824884792626779E-2</v>
      </c>
      <c r="AX201" s="73">
        <v>-4.4444444444444731E-3</v>
      </c>
      <c r="AY201" s="73">
        <v>-1.3274336283185861E-2</v>
      </c>
      <c r="AZ201" s="24">
        <v>-7.7951002227171218E-3</v>
      </c>
    </row>
    <row r="202" spans="1:52">
      <c r="A202" s="69" t="s">
        <v>108</v>
      </c>
      <c r="B202" s="37">
        <v>39</v>
      </c>
      <c r="C202" s="80" t="s">
        <v>53</v>
      </c>
      <c r="D202" s="80" t="s">
        <v>53</v>
      </c>
      <c r="E202" s="80" t="s">
        <v>53</v>
      </c>
      <c r="F202" s="80" t="s">
        <v>53</v>
      </c>
      <c r="G202" s="37">
        <v>96</v>
      </c>
      <c r="H202" s="186">
        <v>-20</v>
      </c>
      <c r="I202" s="186">
        <v>4</v>
      </c>
      <c r="J202" s="186">
        <v>-38</v>
      </c>
      <c r="K202" s="186">
        <f>L202-J202-I202-H202</f>
        <v>256</v>
      </c>
      <c r="L202" s="37">
        <v>202</v>
      </c>
      <c r="M202" s="186">
        <v>-25</v>
      </c>
      <c r="N202" s="186">
        <v>-13</v>
      </c>
      <c r="O202" s="186">
        <v>-59</v>
      </c>
      <c r="P202" s="186">
        <f>Q202-O202-N202-M202</f>
        <v>-61</v>
      </c>
      <c r="Q202" s="178">
        <v>-158</v>
      </c>
      <c r="R202" s="186">
        <v>250</v>
      </c>
      <c r="S202" s="186">
        <v>-62</v>
      </c>
      <c r="T202" s="186">
        <v>-106</v>
      </c>
      <c r="U202" s="186">
        <f>V202-T202-S202-R202</f>
        <v>57</v>
      </c>
      <c r="V202" s="37">
        <v>139</v>
      </c>
      <c r="W202" s="186">
        <v>-22</v>
      </c>
      <c r="X202" s="186">
        <v>16</v>
      </c>
      <c r="Y202" s="186">
        <v>-7</v>
      </c>
      <c r="Z202" s="186">
        <f>AA202-Y202-X202-W202</f>
        <v>-115</v>
      </c>
      <c r="AA202" s="178">
        <v>-128</v>
      </c>
      <c r="AB202" s="186">
        <v>-73</v>
      </c>
      <c r="AC202" s="186">
        <v>-17</v>
      </c>
      <c r="AD202" s="186">
        <v>-8</v>
      </c>
      <c r="AE202" s="186">
        <f>AF202-AD202-AC202-AB202</f>
        <v>20</v>
      </c>
      <c r="AF202" s="178">
        <v>-78</v>
      </c>
      <c r="AG202" s="186">
        <v>-8</v>
      </c>
      <c r="AH202" s="186">
        <v>14</v>
      </c>
      <c r="AI202" s="186">
        <v>-25</v>
      </c>
      <c r="AJ202" s="186">
        <f>AK202-AI202-AH202-AG202</f>
        <v>-4</v>
      </c>
      <c r="AK202" s="178">
        <v>-23</v>
      </c>
      <c r="AL202" s="186">
        <v>-17</v>
      </c>
      <c r="AM202" s="186">
        <v>-139</v>
      </c>
      <c r="AN202" s="186">
        <v>-13</v>
      </c>
      <c r="AO202" s="186">
        <v>70</v>
      </c>
      <c r="AP202" s="178">
        <v>-99</v>
      </c>
      <c r="AQ202" s="186">
        <v>-9</v>
      </c>
      <c r="AR202" s="186">
        <v>-12</v>
      </c>
      <c r="AS202" s="186">
        <v>-26</v>
      </c>
      <c r="AT202" s="186">
        <v>34</v>
      </c>
      <c r="AU202" s="178">
        <v>-13</v>
      </c>
      <c r="AV202" s="186">
        <v>-4</v>
      </c>
      <c r="AW202" s="186">
        <v>-1</v>
      </c>
      <c r="AX202" s="186">
        <v>-24</v>
      </c>
      <c r="AY202" s="186">
        <v>6</v>
      </c>
      <c r="AZ202" s="178">
        <v>-23</v>
      </c>
    </row>
    <row r="203" spans="1:52" ht="11.25" customHeight="1">
      <c r="A203" s="71" t="s">
        <v>7</v>
      </c>
      <c r="B203" s="24"/>
      <c r="C203" s="73"/>
      <c r="D203" s="73"/>
      <c r="E203" s="73"/>
      <c r="F203" s="73"/>
      <c r="G203" s="24"/>
      <c r="H203" s="72"/>
      <c r="I203" s="83" t="s">
        <v>44</v>
      </c>
      <c r="J203" s="83" t="s">
        <v>44</v>
      </c>
      <c r="K203" s="83" t="s">
        <v>44</v>
      </c>
      <c r="L203" s="24"/>
      <c r="M203" s="83" t="s">
        <v>44</v>
      </c>
      <c r="N203" s="72">
        <f>N202/M202-1</f>
        <v>-0.48</v>
      </c>
      <c r="O203" s="72">
        <f>O202/N202-1</f>
        <v>3.5384615384615383</v>
      </c>
      <c r="P203" s="72">
        <f>P202/O202-1</f>
        <v>3.3898305084745672E-2</v>
      </c>
      <c r="Q203" s="24"/>
      <c r="R203" s="83" t="s">
        <v>44</v>
      </c>
      <c r="S203" s="83" t="s">
        <v>44</v>
      </c>
      <c r="T203" s="72">
        <f>T202/S202-1</f>
        <v>0.70967741935483875</v>
      </c>
      <c r="U203" s="83" t="s">
        <v>44</v>
      </c>
      <c r="V203" s="24"/>
      <c r="W203" s="83" t="s">
        <v>44</v>
      </c>
      <c r="X203" s="83" t="s">
        <v>44</v>
      </c>
      <c r="Y203" s="83" t="s">
        <v>44</v>
      </c>
      <c r="Z203" s="72">
        <f>Z202/Y202-1</f>
        <v>15.428571428571427</v>
      </c>
      <c r="AA203" s="24"/>
      <c r="AB203" s="72">
        <f>AB202/Z202-1</f>
        <v>-0.36521739130434783</v>
      </c>
      <c r="AC203" s="72">
        <f>AC202/AB202-1</f>
        <v>-0.76712328767123283</v>
      </c>
      <c r="AD203" s="72">
        <f>AD202/AC202-1</f>
        <v>-0.52941176470588236</v>
      </c>
      <c r="AE203" s="83" t="s">
        <v>44</v>
      </c>
      <c r="AF203" s="24"/>
      <c r="AG203" s="83" t="s">
        <v>44</v>
      </c>
      <c r="AH203" s="72">
        <f>AH202/AG202-1</f>
        <v>-2.75</v>
      </c>
      <c r="AI203" s="83" t="s">
        <v>44</v>
      </c>
      <c r="AJ203" s="83" t="s">
        <v>44</v>
      </c>
      <c r="AK203" s="24"/>
      <c r="AL203" s="83" t="s">
        <v>44</v>
      </c>
      <c r="AM203" s="72">
        <v>7.1764705882352935</v>
      </c>
      <c r="AN203" s="72">
        <v>-0.90647482014388492</v>
      </c>
      <c r="AO203" s="83" t="s">
        <v>44</v>
      </c>
      <c r="AP203" s="24"/>
      <c r="AQ203" s="83" t="s">
        <v>44</v>
      </c>
      <c r="AR203" s="72">
        <v>0.33333333333333326</v>
      </c>
      <c r="AS203" s="72">
        <v>1.1666666666666665</v>
      </c>
      <c r="AT203" s="83" t="s">
        <v>44</v>
      </c>
      <c r="AU203" s="24"/>
      <c r="AV203" s="85" t="s">
        <v>44</v>
      </c>
      <c r="AW203" s="72">
        <v>-0.75</v>
      </c>
      <c r="AX203" s="72">
        <v>23</v>
      </c>
      <c r="AY203" s="72">
        <v>-1.25</v>
      </c>
      <c r="AZ203" s="24"/>
    </row>
    <row r="204" spans="1:52" ht="10.5" customHeight="1">
      <c r="A204" s="71" t="s">
        <v>8</v>
      </c>
      <c r="B204" s="24"/>
      <c r="C204" s="73"/>
      <c r="D204" s="73"/>
      <c r="E204" s="73"/>
      <c r="F204" s="73"/>
      <c r="G204" s="24">
        <f>G202/B202-1</f>
        <v>1.4615384615384617</v>
      </c>
      <c r="H204" s="73"/>
      <c r="I204" s="73"/>
      <c r="J204" s="73"/>
      <c r="K204" s="73"/>
      <c r="L204" s="92" t="s">
        <v>44</v>
      </c>
      <c r="M204" s="73">
        <f>M202/H202-1</f>
        <v>0.25</v>
      </c>
      <c r="N204" s="83" t="s">
        <v>44</v>
      </c>
      <c r="O204" s="73">
        <f>O202/J202-1</f>
        <v>0.55263157894736836</v>
      </c>
      <c r="P204" s="83" t="s">
        <v>44</v>
      </c>
      <c r="Q204" s="92" t="s">
        <v>44</v>
      </c>
      <c r="R204" s="83" t="s">
        <v>44</v>
      </c>
      <c r="S204" s="73">
        <f>S202/N202-1</f>
        <v>3.7692307692307692</v>
      </c>
      <c r="T204" s="73">
        <f>T202/O202-1</f>
        <v>0.79661016949152552</v>
      </c>
      <c r="U204" s="83" t="s">
        <v>44</v>
      </c>
      <c r="V204" s="92" t="s">
        <v>44</v>
      </c>
      <c r="W204" s="83" t="s">
        <v>44</v>
      </c>
      <c r="X204" s="83" t="s">
        <v>44</v>
      </c>
      <c r="Y204" s="73">
        <f>Y202/T202-1</f>
        <v>-0.93396226415094341</v>
      </c>
      <c r="Z204" s="83" t="s">
        <v>44</v>
      </c>
      <c r="AA204" s="92" t="s">
        <v>44</v>
      </c>
      <c r="AB204" s="73">
        <f>AB202/W202-1</f>
        <v>2.3181818181818183</v>
      </c>
      <c r="AC204" s="85" t="s">
        <v>49</v>
      </c>
      <c r="AD204" s="73">
        <f>AD202/Y202-1</f>
        <v>0.14285714285714279</v>
      </c>
      <c r="AE204" s="83" t="s">
        <v>44</v>
      </c>
      <c r="AF204" s="92">
        <f>AF202/AA202-1</f>
        <v>-0.390625</v>
      </c>
      <c r="AG204" s="73">
        <f>AG202/AB202-1</f>
        <v>-0.8904109589041096</v>
      </c>
      <c r="AH204" s="73">
        <f>AH202/AC202-1</f>
        <v>-1.8235294117647058</v>
      </c>
      <c r="AI204" s="73">
        <f>AI202/AD202-1</f>
        <v>2.125</v>
      </c>
      <c r="AJ204" s="83" t="s">
        <v>44</v>
      </c>
      <c r="AK204" s="92">
        <v>-0.70512820512820507</v>
      </c>
      <c r="AL204" s="83" t="s">
        <v>44</v>
      </c>
      <c r="AM204" s="83" t="s">
        <v>44</v>
      </c>
      <c r="AN204" s="73">
        <v>-0.48</v>
      </c>
      <c r="AO204" s="83" t="s">
        <v>44</v>
      </c>
      <c r="AP204" s="92">
        <v>3.3043478260869561</v>
      </c>
      <c r="AQ204" s="73">
        <v>-0.47058823529411764</v>
      </c>
      <c r="AR204" s="73">
        <v>-0.91366906474820142</v>
      </c>
      <c r="AS204" s="73">
        <v>1</v>
      </c>
      <c r="AT204" s="83" t="s">
        <v>44</v>
      </c>
      <c r="AU204" s="92">
        <v>-0.86868686868686873</v>
      </c>
      <c r="AV204" s="73">
        <v>-0.55555555555555558</v>
      </c>
      <c r="AW204" s="73">
        <v>-0.91666666666666663</v>
      </c>
      <c r="AX204" s="73">
        <v>-7.6923076923076872E-2</v>
      </c>
      <c r="AY204" s="73">
        <v>-0.82352941176470584</v>
      </c>
      <c r="AZ204" s="92">
        <v>0.76923076923076916</v>
      </c>
    </row>
    <row r="205" spans="1:52" s="36" customFormat="1">
      <c r="A205" s="69" t="s">
        <v>43</v>
      </c>
      <c r="B205" s="37">
        <v>1319</v>
      </c>
      <c r="C205" s="70">
        <v>373</v>
      </c>
      <c r="D205" s="70">
        <v>442</v>
      </c>
      <c r="E205" s="70">
        <v>428</v>
      </c>
      <c r="F205" s="70">
        <f>G205-E205-D205-C205</f>
        <v>232</v>
      </c>
      <c r="G205" s="37">
        <v>1475</v>
      </c>
      <c r="H205" s="70">
        <v>437</v>
      </c>
      <c r="I205" s="70">
        <v>434</v>
      </c>
      <c r="J205" s="70">
        <v>491</v>
      </c>
      <c r="K205" s="70">
        <f>L205-J205-I205-H205</f>
        <v>161</v>
      </c>
      <c r="L205" s="37">
        <v>1523</v>
      </c>
      <c r="M205" s="70">
        <v>490</v>
      </c>
      <c r="N205" s="70">
        <v>503</v>
      </c>
      <c r="O205" s="70">
        <v>556</v>
      </c>
      <c r="P205" s="70">
        <f>Q205-O205-N205-M205</f>
        <v>494</v>
      </c>
      <c r="Q205" s="37">
        <v>2043</v>
      </c>
      <c r="R205" s="70">
        <v>211</v>
      </c>
      <c r="S205" s="70">
        <v>517</v>
      </c>
      <c r="T205" s="70">
        <v>546</v>
      </c>
      <c r="U205" s="70">
        <f>V205-T205-S205-R205</f>
        <v>397</v>
      </c>
      <c r="V205" s="37">
        <v>1671</v>
      </c>
      <c r="W205" s="70">
        <v>539</v>
      </c>
      <c r="X205" s="70">
        <v>437</v>
      </c>
      <c r="Y205" s="70">
        <v>419</v>
      </c>
      <c r="Z205" s="70">
        <f>AA205-Y205-X205-W205</f>
        <v>564</v>
      </c>
      <c r="AA205" s="37">
        <v>1959</v>
      </c>
      <c r="AB205" s="70">
        <v>535</v>
      </c>
      <c r="AC205" s="70">
        <v>510</v>
      </c>
      <c r="AD205" s="70">
        <v>494</v>
      </c>
      <c r="AE205" s="70">
        <f>AF205-AD205-AC205-AB205</f>
        <v>459</v>
      </c>
      <c r="AF205" s="37">
        <v>1998</v>
      </c>
      <c r="AG205" s="70">
        <v>504</v>
      </c>
      <c r="AH205" s="70">
        <v>471</v>
      </c>
      <c r="AI205" s="70">
        <v>498</v>
      </c>
      <c r="AJ205" s="70">
        <f>AK205-AI205-AH205-AG205</f>
        <v>507</v>
      </c>
      <c r="AK205" s="37">
        <v>1980</v>
      </c>
      <c r="AL205" s="70">
        <v>547</v>
      </c>
      <c r="AM205" s="70">
        <v>662</v>
      </c>
      <c r="AN205" s="70">
        <v>512</v>
      </c>
      <c r="AO205" s="70">
        <v>427</v>
      </c>
      <c r="AP205" s="37">
        <v>2148</v>
      </c>
      <c r="AQ205" s="70">
        <v>536</v>
      </c>
      <c r="AR205" s="70">
        <v>540</v>
      </c>
      <c r="AS205" s="70">
        <v>519</v>
      </c>
      <c r="AT205" s="70">
        <v>481</v>
      </c>
      <c r="AU205" s="37">
        <v>2076</v>
      </c>
      <c r="AV205" s="70">
        <v>513</v>
      </c>
      <c r="AW205" s="70">
        <v>496</v>
      </c>
      <c r="AX205" s="70">
        <v>492</v>
      </c>
      <c r="AY205" s="70">
        <v>470</v>
      </c>
      <c r="AZ205" s="37">
        <v>1971</v>
      </c>
    </row>
    <row r="206" spans="1:52">
      <c r="A206" s="71" t="s">
        <v>7</v>
      </c>
      <c r="B206" s="24"/>
      <c r="C206" s="72"/>
      <c r="D206" s="72">
        <f>D205/C205-1</f>
        <v>0.18498659517426264</v>
      </c>
      <c r="E206" s="72">
        <f>E205/D205-1</f>
        <v>-3.1674208144796379E-2</v>
      </c>
      <c r="F206" s="72">
        <f>F205/E205-1</f>
        <v>-0.45794392523364491</v>
      </c>
      <c r="G206" s="24"/>
      <c r="H206" s="72">
        <f>H205/F205-1</f>
        <v>0.88362068965517238</v>
      </c>
      <c r="I206" s="72">
        <f>I205/H205-1</f>
        <v>-6.8649885583523806E-3</v>
      </c>
      <c r="J206" s="72">
        <f>J205/I205-1</f>
        <v>0.13133640552995396</v>
      </c>
      <c r="K206" s="72">
        <f>K205/J205-1</f>
        <v>-0.67209775967413443</v>
      </c>
      <c r="L206" s="24"/>
      <c r="M206" s="72">
        <f>M205/K205-1</f>
        <v>2.0434782608695654</v>
      </c>
      <c r="N206" s="72">
        <f>N205/M205-1</f>
        <v>2.6530612244898055E-2</v>
      </c>
      <c r="O206" s="72">
        <f>O205/N205-1</f>
        <v>0.10536779324055656</v>
      </c>
      <c r="P206" s="72">
        <f>P205/O205-1</f>
        <v>-0.11151079136690645</v>
      </c>
      <c r="Q206" s="24"/>
      <c r="R206" s="72">
        <f>R205/P205-1</f>
        <v>-0.57287449392712553</v>
      </c>
      <c r="S206" s="72">
        <f>S205/R205-1</f>
        <v>1.4502369668246446</v>
      </c>
      <c r="T206" s="72">
        <f>T205/S205-1</f>
        <v>5.6092843326885911E-2</v>
      </c>
      <c r="U206" s="72">
        <f>U205/T205-1</f>
        <v>-0.27289377289377292</v>
      </c>
      <c r="V206" s="24"/>
      <c r="W206" s="72">
        <f>W205/U205-1</f>
        <v>0.35768261964735526</v>
      </c>
      <c r="X206" s="72">
        <f>X205/W205-1</f>
        <v>-0.18923933209647492</v>
      </c>
      <c r="Y206" s="72">
        <f>Y205/X205-1</f>
        <v>-4.1189931350114395E-2</v>
      </c>
      <c r="Z206" s="72">
        <f>Z205/Y205-1</f>
        <v>0.34606205250596656</v>
      </c>
      <c r="AA206" s="24"/>
      <c r="AB206" s="72">
        <f>AB205/Z205-1</f>
        <v>-5.1418439716312103E-2</v>
      </c>
      <c r="AC206" s="72">
        <f>AC205/AB205-1</f>
        <v>-4.6728971962616828E-2</v>
      </c>
      <c r="AD206" s="72">
        <f>AD205/AC205-1</f>
        <v>-3.1372549019607843E-2</v>
      </c>
      <c r="AE206" s="72">
        <f>AE205/AD205-1</f>
        <v>-7.0850202429149745E-2</v>
      </c>
      <c r="AF206" s="24"/>
      <c r="AG206" s="72">
        <f>AG205/AE205-1</f>
        <v>9.8039215686274606E-2</v>
      </c>
      <c r="AH206" s="72">
        <f>AH205/AG205-1</f>
        <v>-6.5476190476190466E-2</v>
      </c>
      <c r="AI206" s="72">
        <f>AI205/AH205-1</f>
        <v>5.7324840764331197E-2</v>
      </c>
      <c r="AJ206" s="72">
        <f>AJ205/AI205-1</f>
        <v>1.8072289156626509E-2</v>
      </c>
      <c r="AK206" s="24"/>
      <c r="AL206" s="72">
        <v>7.8895463510848085E-2</v>
      </c>
      <c r="AM206" s="72">
        <v>0.21023765996343702</v>
      </c>
      <c r="AN206" s="72">
        <v>-0.22658610271903323</v>
      </c>
      <c r="AO206" s="72">
        <v>-0.166015625</v>
      </c>
      <c r="AP206" s="24"/>
      <c r="AQ206" s="72">
        <v>0.2552693208430914</v>
      </c>
      <c r="AR206" s="72">
        <v>7.4626865671640896E-3</v>
      </c>
      <c r="AS206" s="72">
        <v>-3.8888888888888862E-2</v>
      </c>
      <c r="AT206" s="72">
        <v>-7.3217726396917149E-2</v>
      </c>
      <c r="AU206" s="24"/>
      <c r="AV206" s="72">
        <v>6.6528066528066532E-2</v>
      </c>
      <c r="AW206" s="72">
        <v>-3.3138401559454245E-2</v>
      </c>
      <c r="AX206" s="72">
        <v>-8.0645161290322509E-3</v>
      </c>
      <c r="AY206" s="72">
        <v>-4.471544715447151E-2</v>
      </c>
      <c r="AZ206" s="24"/>
    </row>
    <row r="207" spans="1:52">
      <c r="A207" s="71" t="s">
        <v>8</v>
      </c>
      <c r="B207" s="24"/>
      <c r="C207" s="73"/>
      <c r="D207" s="73"/>
      <c r="E207" s="73"/>
      <c r="F207" s="73"/>
      <c r="G207" s="24">
        <f t="shared" ref="G207:N207" si="183">G205/B205-1</f>
        <v>0.1182714177407127</v>
      </c>
      <c r="H207" s="73">
        <f t="shared" si="183"/>
        <v>0.17158176943699721</v>
      </c>
      <c r="I207" s="73">
        <f t="shared" si="183"/>
        <v>-1.8099547511312264E-2</v>
      </c>
      <c r="J207" s="73">
        <f t="shared" si="183"/>
        <v>0.14719626168224309</v>
      </c>
      <c r="K207" s="73">
        <f t="shared" si="183"/>
        <v>-0.30603448275862066</v>
      </c>
      <c r="L207" s="24">
        <f t="shared" si="183"/>
        <v>3.2542372881355863E-2</v>
      </c>
      <c r="M207" s="73">
        <f t="shared" si="183"/>
        <v>0.12128146453089239</v>
      </c>
      <c r="N207" s="73">
        <f t="shared" si="183"/>
        <v>0.1589861751152073</v>
      </c>
      <c r="O207" s="73">
        <f t="shared" ref="O207:Y207" si="184">O205/J205-1</f>
        <v>0.13238289205702647</v>
      </c>
      <c r="P207" s="73">
        <f t="shared" si="184"/>
        <v>2.0683229813664594</v>
      </c>
      <c r="Q207" s="24">
        <f t="shared" si="184"/>
        <v>0.34143138542350626</v>
      </c>
      <c r="R207" s="73">
        <f t="shared" si="184"/>
        <v>-0.56938775510204076</v>
      </c>
      <c r="S207" s="73">
        <f t="shared" si="184"/>
        <v>2.7833001988071482E-2</v>
      </c>
      <c r="T207" s="73">
        <f t="shared" si="184"/>
        <v>-1.7985611510791366E-2</v>
      </c>
      <c r="U207" s="73">
        <f t="shared" si="184"/>
        <v>-0.19635627530364375</v>
      </c>
      <c r="V207" s="24">
        <f t="shared" si="184"/>
        <v>-0.18208516886930981</v>
      </c>
      <c r="W207" s="73">
        <f t="shared" si="184"/>
        <v>1.5545023696682465</v>
      </c>
      <c r="X207" s="73">
        <f t="shared" si="184"/>
        <v>-0.15473887814313347</v>
      </c>
      <c r="Y207" s="73">
        <f t="shared" si="184"/>
        <v>-0.23260073260073255</v>
      </c>
      <c r="Z207" s="73">
        <f t="shared" ref="Z207:AI207" si="185">Z205/U205-1</f>
        <v>0.420654911838791</v>
      </c>
      <c r="AA207" s="24">
        <f t="shared" si="185"/>
        <v>0.17235188509874333</v>
      </c>
      <c r="AB207" s="73">
        <f t="shared" si="185"/>
        <v>-7.4211502782931538E-3</v>
      </c>
      <c r="AC207" s="73">
        <f t="shared" si="185"/>
        <v>0.16704805491990848</v>
      </c>
      <c r="AD207" s="73">
        <f t="shared" si="185"/>
        <v>0.17899761336515518</v>
      </c>
      <c r="AE207" s="73">
        <f t="shared" si="185"/>
        <v>-0.18617021276595747</v>
      </c>
      <c r="AF207" s="24">
        <f t="shared" si="185"/>
        <v>1.9908116385911168E-2</v>
      </c>
      <c r="AG207" s="73">
        <f t="shared" si="185"/>
        <v>-5.7943925233644888E-2</v>
      </c>
      <c r="AH207" s="73">
        <f t="shared" si="185"/>
        <v>-7.6470588235294068E-2</v>
      </c>
      <c r="AI207" s="73">
        <f t="shared" si="185"/>
        <v>8.0971659919029104E-3</v>
      </c>
      <c r="AJ207" s="73">
        <f t="shared" ref="AJ207:AS207" si="186">AJ205/AE205-1</f>
        <v>0.10457516339869288</v>
      </c>
      <c r="AK207" s="24">
        <v>-9.009009009009028E-3</v>
      </c>
      <c r="AL207" s="73">
        <v>8.5317460317460236E-2</v>
      </c>
      <c r="AM207" s="73">
        <v>0.40552016985137995</v>
      </c>
      <c r="AN207" s="73">
        <v>2.8112449799196693E-2</v>
      </c>
      <c r="AO207" s="73">
        <v>-0.15779092702169628</v>
      </c>
      <c r="AP207" s="24">
        <v>8.4848484848484951E-2</v>
      </c>
      <c r="AQ207" s="73">
        <v>-2.0109689213894E-2</v>
      </c>
      <c r="AR207" s="73">
        <v>-0.18429003021148038</v>
      </c>
      <c r="AS207" s="73">
        <v>1.3671875E-2</v>
      </c>
      <c r="AT207" s="73">
        <v>0.12646370023419196</v>
      </c>
      <c r="AU207" s="24">
        <v>-3.3519553072625663E-2</v>
      </c>
      <c r="AV207" s="73">
        <v>-4.2910447761194015E-2</v>
      </c>
      <c r="AW207" s="73">
        <v>-8.1481481481481488E-2</v>
      </c>
      <c r="AX207" s="73">
        <v>-5.2023121387283267E-2</v>
      </c>
      <c r="AY207" s="73">
        <v>-2.2869022869022815E-2</v>
      </c>
      <c r="AZ207" s="24">
        <v>-5.0578034682080886E-2</v>
      </c>
    </row>
    <row r="208" spans="1:52">
      <c r="A208" s="69" t="s">
        <v>98</v>
      </c>
      <c r="B208" s="37">
        <v>188</v>
      </c>
      <c r="C208" s="80" t="s">
        <v>53</v>
      </c>
      <c r="D208" s="80" t="s">
        <v>53</v>
      </c>
      <c r="E208" s="80" t="s">
        <v>53</v>
      </c>
      <c r="F208" s="80" t="s">
        <v>53</v>
      </c>
      <c r="G208" s="37">
        <v>125</v>
      </c>
      <c r="H208" s="186">
        <v>-21</v>
      </c>
      <c r="I208" s="186">
        <v>-4</v>
      </c>
      <c r="J208" s="186">
        <v>3</v>
      </c>
      <c r="K208" s="186">
        <f>L208-J208-I208-H208</f>
        <v>7</v>
      </c>
      <c r="L208" s="178">
        <v>-15</v>
      </c>
      <c r="M208" s="186">
        <v>-1</v>
      </c>
      <c r="N208" s="186">
        <v>29</v>
      </c>
      <c r="O208" s="186">
        <v>30</v>
      </c>
      <c r="P208" s="186">
        <f>Q208-O208-N208-M208</f>
        <v>32</v>
      </c>
      <c r="Q208" s="37">
        <v>90</v>
      </c>
      <c r="R208" s="70">
        <v>26</v>
      </c>
      <c r="S208" s="70">
        <v>73</v>
      </c>
      <c r="T208" s="70">
        <v>88</v>
      </c>
      <c r="U208" s="70">
        <f>V208-T208-S208-R208</f>
        <v>53</v>
      </c>
      <c r="V208" s="37">
        <v>240</v>
      </c>
      <c r="W208" s="70">
        <v>49</v>
      </c>
      <c r="X208" s="70">
        <v>76</v>
      </c>
      <c r="Y208" s="70">
        <v>63</v>
      </c>
      <c r="Z208" s="70">
        <f>AA208-Y208-X208-W208</f>
        <v>71</v>
      </c>
      <c r="AA208" s="37">
        <v>259</v>
      </c>
      <c r="AB208" s="70">
        <v>98</v>
      </c>
      <c r="AC208" s="70">
        <v>112</v>
      </c>
      <c r="AD208" s="70">
        <v>130</v>
      </c>
      <c r="AE208" s="70">
        <f>AF208-AD208-AC208-AB208</f>
        <v>102</v>
      </c>
      <c r="AF208" s="37">
        <v>442</v>
      </c>
      <c r="AG208" s="147">
        <v>93</v>
      </c>
      <c r="AH208" s="147">
        <v>110</v>
      </c>
      <c r="AI208" s="147">
        <v>116</v>
      </c>
      <c r="AJ208" s="147">
        <f>AK208-AI208-AH208-AG208</f>
        <v>81</v>
      </c>
      <c r="AK208" s="37">
        <v>400</v>
      </c>
      <c r="AL208" s="147">
        <v>75</v>
      </c>
      <c r="AM208" s="147">
        <v>100</v>
      </c>
      <c r="AN208" s="147">
        <v>138</v>
      </c>
      <c r="AO208" s="147">
        <v>19</v>
      </c>
      <c r="AP208" s="37">
        <v>332</v>
      </c>
      <c r="AQ208" s="147">
        <v>101</v>
      </c>
      <c r="AR208" s="147">
        <v>105</v>
      </c>
      <c r="AS208" s="147">
        <v>93</v>
      </c>
      <c r="AT208" s="147">
        <v>146</v>
      </c>
      <c r="AU208" s="37">
        <v>445</v>
      </c>
      <c r="AV208" s="147">
        <v>92</v>
      </c>
      <c r="AW208" s="147">
        <v>82</v>
      </c>
      <c r="AX208" s="147">
        <v>107</v>
      </c>
      <c r="AY208" s="147">
        <v>122</v>
      </c>
      <c r="AZ208" s="37">
        <v>403</v>
      </c>
    </row>
    <row r="209" spans="1:52" ht="10.050000000000001" customHeight="1">
      <c r="A209" s="71" t="s">
        <v>7</v>
      </c>
      <c r="B209" s="24"/>
      <c r="C209" s="73"/>
      <c r="D209" s="73"/>
      <c r="E209" s="73"/>
      <c r="F209" s="73"/>
      <c r="G209" s="24"/>
      <c r="H209" s="72"/>
      <c r="I209" s="72">
        <f>I208/H208-1</f>
        <v>-0.80952380952380953</v>
      </c>
      <c r="J209" s="83" t="s">
        <v>44</v>
      </c>
      <c r="K209" s="72">
        <f>K208/J208-1</f>
        <v>1.3333333333333335</v>
      </c>
      <c r="L209" s="24"/>
      <c r="M209" s="83" t="s">
        <v>44</v>
      </c>
      <c r="N209" s="83" t="s">
        <v>44</v>
      </c>
      <c r="O209" s="72">
        <f>O208/N208-1</f>
        <v>3.4482758620689724E-2</v>
      </c>
      <c r="P209" s="72">
        <f>P208/O208-1</f>
        <v>6.6666666666666652E-2</v>
      </c>
      <c r="Q209" s="24"/>
      <c r="R209" s="72">
        <f>R208/P208-1</f>
        <v>-0.1875</v>
      </c>
      <c r="S209" s="72">
        <f>S208/R208-1</f>
        <v>1.8076923076923075</v>
      </c>
      <c r="T209" s="72">
        <f>T208/S208-1</f>
        <v>0.20547945205479445</v>
      </c>
      <c r="U209" s="72">
        <f>U208/T208-1</f>
        <v>-0.39772727272727271</v>
      </c>
      <c r="V209" s="24"/>
      <c r="W209" s="72">
        <f>W208/U208-1</f>
        <v>-7.547169811320753E-2</v>
      </c>
      <c r="X209" s="72">
        <f>X208/W208-1</f>
        <v>0.55102040816326525</v>
      </c>
      <c r="Y209" s="72">
        <f>Y208/X208-1</f>
        <v>-0.17105263157894735</v>
      </c>
      <c r="Z209" s="72">
        <f>Z208/Y208-1</f>
        <v>0.12698412698412698</v>
      </c>
      <c r="AA209" s="24"/>
      <c r="AB209" s="72">
        <f>AB208/Z208-1</f>
        <v>0.38028169014084501</v>
      </c>
      <c r="AC209" s="72">
        <f>AC208/AB208-1</f>
        <v>0.14285714285714279</v>
      </c>
      <c r="AD209" s="72">
        <f>AD208/AC208-1</f>
        <v>0.16071428571428581</v>
      </c>
      <c r="AE209" s="72">
        <f>AE208/AD208-1</f>
        <v>-0.2153846153846154</v>
      </c>
      <c r="AF209" s="24"/>
      <c r="AG209" s="72">
        <f>AG208/AE208-1</f>
        <v>-8.8235294117647078E-2</v>
      </c>
      <c r="AH209" s="72">
        <f>AH208/AG208-1</f>
        <v>0.18279569892473124</v>
      </c>
      <c r="AI209" s="72">
        <f>AI208/AH208-1</f>
        <v>5.4545454545454453E-2</v>
      </c>
      <c r="AJ209" s="72">
        <f>AJ208/AI208-1</f>
        <v>-0.30172413793103448</v>
      </c>
      <c r="AK209" s="24"/>
      <c r="AL209" s="72">
        <v>-7.407407407407407E-2</v>
      </c>
      <c r="AM209" s="72">
        <v>0.33333333333333326</v>
      </c>
      <c r="AN209" s="72">
        <v>0.37999999999999989</v>
      </c>
      <c r="AO209" s="72">
        <v>-0.8623188405797102</v>
      </c>
      <c r="AP209" s="24"/>
      <c r="AQ209" s="72">
        <v>4.3157894736842106</v>
      </c>
      <c r="AR209" s="72">
        <v>3.9603960396039639E-2</v>
      </c>
      <c r="AS209" s="72">
        <v>-0.11428571428571432</v>
      </c>
      <c r="AT209" s="72">
        <v>0.56989247311827951</v>
      </c>
      <c r="AU209" s="24"/>
      <c r="AV209" s="72">
        <v>-0.36986301369863017</v>
      </c>
      <c r="AW209" s="72">
        <v>-0.10869565217391308</v>
      </c>
      <c r="AX209" s="72">
        <v>0.30487804878048785</v>
      </c>
      <c r="AY209" s="72">
        <v>0.14018691588785037</v>
      </c>
      <c r="AZ209" s="24"/>
    </row>
    <row r="210" spans="1:52" ht="10.5" customHeight="1">
      <c r="A210" s="71" t="s">
        <v>8</v>
      </c>
      <c r="B210" s="24"/>
      <c r="C210" s="73"/>
      <c r="D210" s="73"/>
      <c r="E210" s="73"/>
      <c r="F210" s="73"/>
      <c r="G210" s="24">
        <f>G208/B208-1</f>
        <v>-0.33510638297872342</v>
      </c>
      <c r="H210" s="73"/>
      <c r="I210" s="73"/>
      <c r="J210" s="73"/>
      <c r="K210" s="73"/>
      <c r="L210" s="92" t="s">
        <v>44</v>
      </c>
      <c r="M210" s="73">
        <f>M208/H208-1</f>
        <v>-0.95238095238095233</v>
      </c>
      <c r="N210" s="73">
        <f>N208/I208-1</f>
        <v>-8.25</v>
      </c>
      <c r="O210" s="73">
        <f>O208/J208-1</f>
        <v>9</v>
      </c>
      <c r="P210" s="73">
        <f>P208/K208-1</f>
        <v>3.5714285714285712</v>
      </c>
      <c r="Q210" s="92" t="s">
        <v>44</v>
      </c>
      <c r="R210" s="83" t="s">
        <v>44</v>
      </c>
      <c r="S210" s="73">
        <f t="shared" ref="S210:AD210" si="187">S208/N208-1</f>
        <v>1.5172413793103448</v>
      </c>
      <c r="T210" s="73">
        <f t="shared" si="187"/>
        <v>1.9333333333333331</v>
      </c>
      <c r="U210" s="73">
        <f t="shared" si="187"/>
        <v>0.65625</v>
      </c>
      <c r="V210" s="24">
        <f t="shared" si="187"/>
        <v>1.6666666666666665</v>
      </c>
      <c r="W210" s="73">
        <f t="shared" si="187"/>
        <v>0.88461538461538458</v>
      </c>
      <c r="X210" s="73">
        <f t="shared" si="187"/>
        <v>4.1095890410958846E-2</v>
      </c>
      <c r="Y210" s="73">
        <f t="shared" si="187"/>
        <v>-0.28409090909090906</v>
      </c>
      <c r="Z210" s="73">
        <f t="shared" si="187"/>
        <v>0.33962264150943389</v>
      </c>
      <c r="AA210" s="24">
        <f t="shared" si="187"/>
        <v>7.9166666666666607E-2</v>
      </c>
      <c r="AB210" s="73">
        <f t="shared" si="187"/>
        <v>1</v>
      </c>
      <c r="AC210" s="73">
        <f t="shared" si="187"/>
        <v>0.47368421052631571</v>
      </c>
      <c r="AD210" s="73">
        <f t="shared" si="187"/>
        <v>1.0634920634920637</v>
      </c>
      <c r="AE210" s="73">
        <f t="shared" ref="AE210:AN210" si="188">AE208/Z208-1</f>
        <v>0.43661971830985924</v>
      </c>
      <c r="AF210" s="24">
        <f t="shared" si="188"/>
        <v>0.70656370656370648</v>
      </c>
      <c r="AG210" s="73">
        <f t="shared" si="188"/>
        <v>-5.1020408163265252E-2</v>
      </c>
      <c r="AH210" s="73">
        <f t="shared" si="188"/>
        <v>-1.7857142857142905E-2</v>
      </c>
      <c r="AI210" s="73">
        <f t="shared" si="188"/>
        <v>-0.10769230769230764</v>
      </c>
      <c r="AJ210" s="73">
        <f t="shared" si="188"/>
        <v>-0.20588235294117652</v>
      </c>
      <c r="AK210" s="24">
        <v>-9.5022624434389136E-2</v>
      </c>
      <c r="AL210" s="73">
        <v>-0.19354838709677424</v>
      </c>
      <c r="AM210" s="73">
        <v>-9.0909090909090939E-2</v>
      </c>
      <c r="AN210" s="73">
        <v>0.18965517241379315</v>
      </c>
      <c r="AO210" s="73">
        <v>-0.76543209876543217</v>
      </c>
      <c r="AP210" s="24">
        <v>-0.17000000000000004</v>
      </c>
      <c r="AQ210" s="73">
        <v>0.34666666666666668</v>
      </c>
      <c r="AR210" s="73">
        <v>5.0000000000000044E-2</v>
      </c>
      <c r="AS210" s="73">
        <v>-0.32608695652173914</v>
      </c>
      <c r="AT210" s="73">
        <v>6.6842105263157894</v>
      </c>
      <c r="AU210" s="24">
        <v>0.34036144578313254</v>
      </c>
      <c r="AV210" s="73">
        <v>-8.9108910891089077E-2</v>
      </c>
      <c r="AW210" s="73">
        <v>-0.21904761904761905</v>
      </c>
      <c r="AX210" s="73">
        <v>0.15053763440860224</v>
      </c>
      <c r="AY210" s="73">
        <v>-0.16438356164383561</v>
      </c>
      <c r="AZ210" s="24">
        <v>-9.4382022471910076E-2</v>
      </c>
    </row>
    <row r="211" spans="1:52" ht="11.1" customHeight="1">
      <c r="A211" s="69" t="s">
        <v>210</v>
      </c>
      <c r="B211" s="37">
        <v>394</v>
      </c>
      <c r="C211" s="80" t="s">
        <v>53</v>
      </c>
      <c r="D211" s="80" t="s">
        <v>53</v>
      </c>
      <c r="E211" s="80" t="s">
        <v>53</v>
      </c>
      <c r="F211" s="80" t="s">
        <v>53</v>
      </c>
      <c r="G211" s="37">
        <v>400</v>
      </c>
      <c r="H211" s="80" t="s">
        <v>53</v>
      </c>
      <c r="I211" s="80" t="s">
        <v>53</v>
      </c>
      <c r="J211" s="80" t="s">
        <v>53</v>
      </c>
      <c r="K211" s="80" t="s">
        <v>53</v>
      </c>
      <c r="L211" s="178">
        <v>431</v>
      </c>
      <c r="M211" s="80" t="s">
        <v>53</v>
      </c>
      <c r="N211" s="80" t="s">
        <v>53</v>
      </c>
      <c r="O211" s="80" t="s">
        <v>53</v>
      </c>
      <c r="P211" s="80" t="s">
        <v>53</v>
      </c>
      <c r="Q211" s="37">
        <v>527</v>
      </c>
      <c r="R211" s="80" t="s">
        <v>53</v>
      </c>
      <c r="S211" s="80" t="s">
        <v>53</v>
      </c>
      <c r="T211" s="80" t="s">
        <v>53</v>
      </c>
      <c r="U211" s="80" t="s">
        <v>53</v>
      </c>
      <c r="V211" s="37">
        <v>356</v>
      </c>
      <c r="W211" s="80" t="s">
        <v>53</v>
      </c>
      <c r="X211" s="80" t="s">
        <v>53</v>
      </c>
      <c r="Y211" s="80" t="s">
        <v>53</v>
      </c>
      <c r="Z211" s="80" t="s">
        <v>53</v>
      </c>
      <c r="AA211" s="37">
        <v>493</v>
      </c>
      <c r="AB211" s="80" t="s">
        <v>53</v>
      </c>
      <c r="AC211" s="80" t="s">
        <v>53</v>
      </c>
      <c r="AD211" s="80" t="s">
        <v>53</v>
      </c>
      <c r="AE211" s="80" t="s">
        <v>53</v>
      </c>
      <c r="AF211" s="37">
        <v>410</v>
      </c>
      <c r="AG211" s="80" t="s">
        <v>53</v>
      </c>
      <c r="AH211" s="80" t="s">
        <v>53</v>
      </c>
      <c r="AI211" s="80" t="s">
        <v>53</v>
      </c>
      <c r="AJ211" s="80" t="s">
        <v>53</v>
      </c>
      <c r="AK211" s="37">
        <v>478</v>
      </c>
      <c r="AL211" s="80" t="s">
        <v>53</v>
      </c>
      <c r="AM211" s="80" t="s">
        <v>53</v>
      </c>
      <c r="AN211" s="80" t="s">
        <v>53</v>
      </c>
      <c r="AO211" s="80" t="s">
        <v>53</v>
      </c>
      <c r="AP211" s="37">
        <v>492</v>
      </c>
      <c r="AQ211" s="147">
        <v>107</v>
      </c>
      <c r="AR211" s="147">
        <v>109</v>
      </c>
      <c r="AS211" s="147">
        <v>83</v>
      </c>
      <c r="AT211" s="147">
        <v>100</v>
      </c>
      <c r="AU211" s="37">
        <v>399</v>
      </c>
      <c r="AV211" s="147">
        <v>102</v>
      </c>
      <c r="AW211" s="147">
        <v>97</v>
      </c>
      <c r="AX211" s="147">
        <v>109</v>
      </c>
      <c r="AY211" s="147">
        <v>88</v>
      </c>
      <c r="AZ211" s="37">
        <v>396</v>
      </c>
    </row>
    <row r="212" spans="1:52" ht="11.55" customHeight="1">
      <c r="A212" s="71" t="s">
        <v>7</v>
      </c>
      <c r="B212" s="24"/>
      <c r="C212" s="72"/>
      <c r="D212" s="72"/>
      <c r="E212" s="72"/>
      <c r="F212" s="72"/>
      <c r="G212" s="24"/>
      <c r="H212" s="72"/>
      <c r="I212" s="72"/>
      <c r="J212" s="72"/>
      <c r="K212" s="72"/>
      <c r="L212" s="24"/>
      <c r="M212" s="72"/>
      <c r="N212" s="72"/>
      <c r="O212" s="72"/>
      <c r="P212" s="72"/>
      <c r="Q212" s="24"/>
      <c r="R212" s="72"/>
      <c r="S212" s="72"/>
      <c r="T212" s="72"/>
      <c r="U212" s="72"/>
      <c r="V212" s="24"/>
      <c r="W212" s="72"/>
      <c r="X212" s="72"/>
      <c r="Y212" s="72"/>
      <c r="Z212" s="72"/>
      <c r="AA212" s="24"/>
      <c r="AB212" s="72"/>
      <c r="AC212" s="72"/>
      <c r="AD212" s="72"/>
      <c r="AE212" s="72"/>
      <c r="AF212" s="24"/>
      <c r="AG212" s="72"/>
      <c r="AH212" s="72"/>
      <c r="AI212" s="72"/>
      <c r="AJ212" s="72"/>
      <c r="AK212" s="24"/>
      <c r="AL212" s="72"/>
      <c r="AM212" s="72"/>
      <c r="AN212" s="72"/>
      <c r="AO212" s="72"/>
      <c r="AP212" s="24"/>
      <c r="AQ212" s="72"/>
      <c r="AR212" s="72">
        <v>1.8691588785046731E-2</v>
      </c>
      <c r="AS212" s="72">
        <v>-0.23853211009174313</v>
      </c>
      <c r="AT212" s="72">
        <v>0.20481927710843384</v>
      </c>
      <c r="AU212" s="24"/>
      <c r="AV212" s="72">
        <v>2.0000000000000018E-2</v>
      </c>
      <c r="AW212" s="72">
        <v>-4.9019607843137303E-2</v>
      </c>
      <c r="AX212" s="72">
        <v>0.12371134020618557</v>
      </c>
      <c r="AY212" s="72">
        <v>-0.19266055045871555</v>
      </c>
      <c r="AZ212" s="24"/>
    </row>
    <row r="213" spans="1:52" ht="10.5" customHeight="1">
      <c r="A213" s="71" t="s">
        <v>8</v>
      </c>
      <c r="B213" s="24"/>
      <c r="C213" s="73"/>
      <c r="D213" s="73"/>
      <c r="E213" s="73"/>
      <c r="F213" s="73"/>
      <c r="G213" s="24">
        <f t="shared" ref="G213" si="189">G211/B211-1</f>
        <v>1.5228426395939021E-2</v>
      </c>
      <c r="H213" s="73"/>
      <c r="I213" s="73"/>
      <c r="J213" s="73"/>
      <c r="K213" s="73"/>
      <c r="L213" s="24">
        <f t="shared" ref="L213" si="190">L211/G211-1</f>
        <v>7.7499999999999902E-2</v>
      </c>
      <c r="M213" s="73"/>
      <c r="N213" s="73"/>
      <c r="O213" s="73"/>
      <c r="P213" s="73"/>
      <c r="Q213" s="24">
        <f t="shared" ref="Q213" si="191">Q211/L211-1</f>
        <v>0.22273781902552203</v>
      </c>
      <c r="R213" s="73"/>
      <c r="S213" s="73"/>
      <c r="T213" s="73"/>
      <c r="U213" s="73"/>
      <c r="V213" s="24">
        <f t="shared" ref="V213" si="192">V211/Q211-1</f>
        <v>-0.32447817836812143</v>
      </c>
      <c r="W213" s="73"/>
      <c r="X213" s="73"/>
      <c r="Y213" s="73"/>
      <c r="Z213" s="73"/>
      <c r="AA213" s="24">
        <f t="shared" ref="AA213" si="193">AA211/V211-1</f>
        <v>0.38483146067415741</v>
      </c>
      <c r="AB213" s="73"/>
      <c r="AC213" s="73"/>
      <c r="AD213" s="73"/>
      <c r="AE213" s="73"/>
      <c r="AF213" s="24">
        <f t="shared" ref="AF213" si="194">AF211/AA211-1</f>
        <v>-0.16835699797160242</v>
      </c>
      <c r="AG213" s="73"/>
      <c r="AH213" s="73"/>
      <c r="AI213" s="73"/>
      <c r="AJ213" s="73"/>
      <c r="AK213" s="24">
        <v>0.16585365853658529</v>
      </c>
      <c r="AL213" s="73"/>
      <c r="AM213" s="73"/>
      <c r="AN213" s="73"/>
      <c r="AO213" s="73"/>
      <c r="AP213" s="24">
        <v>2.9288702928870203E-2</v>
      </c>
      <c r="AQ213" s="73"/>
      <c r="AR213" s="73"/>
      <c r="AS213" s="73"/>
      <c r="AT213" s="73"/>
      <c r="AU213" s="24">
        <v>-0.18902439024390238</v>
      </c>
      <c r="AV213" s="73">
        <v>-4.6728971962616828E-2</v>
      </c>
      <c r="AW213" s="73">
        <v>-0.11009174311926606</v>
      </c>
      <c r="AX213" s="73">
        <v>0.31325301204819267</v>
      </c>
      <c r="AY213" s="73">
        <v>-0.12</v>
      </c>
      <c r="AZ213" s="24">
        <v>-7.5187969924812581E-3</v>
      </c>
    </row>
    <row r="214" spans="1:52" ht="12" customHeight="1">
      <c r="A214" s="69" t="s">
        <v>58</v>
      </c>
      <c r="B214" s="37">
        <f>1330-593</f>
        <v>737</v>
      </c>
      <c r="C214" s="70">
        <f>398-154</f>
        <v>244</v>
      </c>
      <c r="D214" s="70">
        <f>468-178</f>
        <v>290</v>
      </c>
      <c r="E214" s="70">
        <f>462-191</f>
        <v>271</v>
      </c>
      <c r="F214" s="70">
        <f>G214-E214-D214-C214</f>
        <v>145</v>
      </c>
      <c r="G214" s="37">
        <f>1627-677</f>
        <v>950</v>
      </c>
      <c r="H214" s="70">
        <f>608-272</f>
        <v>336</v>
      </c>
      <c r="I214" s="70">
        <f>541-225</f>
        <v>316</v>
      </c>
      <c r="J214" s="70">
        <v>319</v>
      </c>
      <c r="K214" s="70">
        <f>L214-J214-I214-H214</f>
        <v>136</v>
      </c>
      <c r="L214" s="37">
        <f>3603-958-1538</f>
        <v>1107</v>
      </c>
      <c r="M214" s="70">
        <f>642-282</f>
        <v>360</v>
      </c>
      <c r="N214" s="70">
        <f>638-289</f>
        <v>349</v>
      </c>
      <c r="O214" s="70">
        <f>588-211</f>
        <v>377</v>
      </c>
      <c r="P214" s="70">
        <f>Q214-O214-N214-M214</f>
        <v>340</v>
      </c>
      <c r="Q214" s="37">
        <f>2443-1017</f>
        <v>1426</v>
      </c>
      <c r="R214" s="70">
        <f>185-62</f>
        <v>123</v>
      </c>
      <c r="S214" s="70">
        <v>330</v>
      </c>
      <c r="T214" s="70">
        <f>458-147</f>
        <v>311</v>
      </c>
      <c r="U214" s="70">
        <f>V214-T214-S214-R214</f>
        <v>309</v>
      </c>
      <c r="V214" s="37">
        <v>1073</v>
      </c>
      <c r="W214" s="70">
        <f>490-162+20</f>
        <v>348</v>
      </c>
      <c r="X214" s="70">
        <f>361-98</f>
        <v>263</v>
      </c>
      <c r="Y214" s="70">
        <f>356-110</f>
        <v>246</v>
      </c>
      <c r="Z214" s="70">
        <f>AA214-Y214-X214-W214</f>
        <v>370</v>
      </c>
      <c r="AA214" s="37">
        <f>1700-493+20</f>
        <v>1227</v>
      </c>
      <c r="AB214" s="70">
        <v>303</v>
      </c>
      <c r="AC214" s="70">
        <v>292</v>
      </c>
      <c r="AD214" s="70">
        <v>288</v>
      </c>
      <c r="AE214" s="70">
        <f>AF214-AD214-AC214-AB214</f>
        <v>263</v>
      </c>
      <c r="AF214" s="37">
        <v>1146</v>
      </c>
      <c r="AG214" s="147">
        <v>295</v>
      </c>
      <c r="AH214" s="147">
        <v>251</v>
      </c>
      <c r="AI214" s="147">
        <v>263</v>
      </c>
      <c r="AJ214" s="147">
        <f>AK214-AI214-AH214-AG214</f>
        <v>293</v>
      </c>
      <c r="AK214" s="37">
        <v>1102</v>
      </c>
      <c r="AL214" s="70">
        <v>346</v>
      </c>
      <c r="AM214" s="70">
        <v>382</v>
      </c>
      <c r="AN214" s="70">
        <v>256</v>
      </c>
      <c r="AO214" s="147">
        <v>340</v>
      </c>
      <c r="AP214" s="37">
        <v>1324</v>
      </c>
      <c r="AQ214" s="70">
        <v>328</v>
      </c>
      <c r="AR214" s="70">
        <v>326</v>
      </c>
      <c r="AS214" s="70">
        <v>343</v>
      </c>
      <c r="AT214" s="147">
        <v>235</v>
      </c>
      <c r="AU214" s="37">
        <v>1232</v>
      </c>
      <c r="AV214" s="70">
        <v>319</v>
      </c>
      <c r="AW214" s="70">
        <v>317</v>
      </c>
      <c r="AX214" s="70">
        <v>276</v>
      </c>
      <c r="AY214" s="147">
        <v>260</v>
      </c>
      <c r="AZ214" s="37">
        <v>1172</v>
      </c>
    </row>
    <row r="215" spans="1:52" ht="11.55" customHeight="1">
      <c r="A215" s="71" t="s">
        <v>7</v>
      </c>
      <c r="B215" s="24"/>
      <c r="C215" s="72"/>
      <c r="D215" s="72">
        <f>D214/C214-1</f>
        <v>0.18852459016393452</v>
      </c>
      <c r="E215" s="72">
        <f>E214/D214-1</f>
        <v>-6.5517241379310365E-2</v>
      </c>
      <c r="F215" s="72">
        <f>F214/E214-1</f>
        <v>-0.4649446494464945</v>
      </c>
      <c r="G215" s="24"/>
      <c r="H215" s="72">
        <f>H214/F214-1</f>
        <v>1.317241379310345</v>
      </c>
      <c r="I215" s="72">
        <f>I214/H214-1</f>
        <v>-5.9523809523809534E-2</v>
      </c>
      <c r="J215" s="72">
        <f>J214/I214-1</f>
        <v>9.493670886076E-3</v>
      </c>
      <c r="K215" s="72">
        <f>K214/J214-1</f>
        <v>-0.57366771159874608</v>
      </c>
      <c r="L215" s="24"/>
      <c r="M215" s="72">
        <f>M214/K214-1</f>
        <v>1.6470588235294117</v>
      </c>
      <c r="N215" s="72">
        <f>N214/M214-1</f>
        <v>-3.0555555555555558E-2</v>
      </c>
      <c r="O215" s="72">
        <f>O214/N214-1</f>
        <v>8.022922636103158E-2</v>
      </c>
      <c r="P215" s="72">
        <f>P214/O214-1</f>
        <v>-9.8143236074270557E-2</v>
      </c>
      <c r="Q215" s="24"/>
      <c r="R215" s="72">
        <f>R214/P214-1</f>
        <v>-0.63823529411764701</v>
      </c>
      <c r="S215" s="72">
        <f>S214/R214-1</f>
        <v>1.6829268292682928</v>
      </c>
      <c r="T215" s="72">
        <f>T214/S214-1</f>
        <v>-5.7575757575757613E-2</v>
      </c>
      <c r="U215" s="72">
        <f>U214/T214-1</f>
        <v>-6.4308681672026191E-3</v>
      </c>
      <c r="V215" s="24"/>
      <c r="W215" s="72">
        <f>W214/U214-1</f>
        <v>0.12621359223300965</v>
      </c>
      <c r="X215" s="72">
        <f>X214/W214-1</f>
        <v>-0.24425287356321834</v>
      </c>
      <c r="Y215" s="72">
        <f>Y214/X214-1</f>
        <v>-6.4638783269961975E-2</v>
      </c>
      <c r="Z215" s="72">
        <f>Z214/Y214-1</f>
        <v>0.50406504065040658</v>
      </c>
      <c r="AA215" s="24"/>
      <c r="AB215" s="72">
        <f>AB214/Z214-1</f>
        <v>-0.18108108108108112</v>
      </c>
      <c r="AC215" s="72">
        <f>AC214/AB214-1</f>
        <v>-3.6303630363036299E-2</v>
      </c>
      <c r="AD215" s="72">
        <f>AD214/AC214-1</f>
        <v>-1.3698630136986356E-2</v>
      </c>
      <c r="AE215" s="72">
        <f>AE214/AD214-1</f>
        <v>-8.680555555555558E-2</v>
      </c>
      <c r="AF215" s="24"/>
      <c r="AG215" s="72">
        <f>AG214/AE214-1</f>
        <v>0.1216730038022813</v>
      </c>
      <c r="AH215" s="72">
        <f>AH214/AG214-1</f>
        <v>-0.14915254237288134</v>
      </c>
      <c r="AI215" s="72">
        <f>AI214/AH214-1</f>
        <v>4.7808764940239001E-2</v>
      </c>
      <c r="AJ215" s="72">
        <f>AJ214/AI214-1</f>
        <v>0.11406844106463887</v>
      </c>
      <c r="AK215" s="24"/>
      <c r="AL215" s="72">
        <v>0.1808873720136519</v>
      </c>
      <c r="AM215" s="72">
        <v>0.10404624277456653</v>
      </c>
      <c r="AN215" s="72">
        <v>-0.32984293193717273</v>
      </c>
      <c r="AO215" s="72">
        <v>0.328125</v>
      </c>
      <c r="AP215" s="24"/>
      <c r="AQ215" s="72">
        <v>-3.5294117647058809E-2</v>
      </c>
      <c r="AR215" s="72">
        <v>-6.0975609756097615E-3</v>
      </c>
      <c r="AS215" s="72">
        <v>5.2147239263803602E-2</v>
      </c>
      <c r="AT215" s="72">
        <v>-0.314868804664723</v>
      </c>
      <c r="AU215" s="24"/>
      <c r="AV215" s="72">
        <v>0.35744680851063837</v>
      </c>
      <c r="AW215" s="72">
        <v>-6.2695924764890609E-3</v>
      </c>
      <c r="AX215" s="72">
        <v>-0.12933753943217663</v>
      </c>
      <c r="AY215" s="72">
        <v>-5.7971014492753659E-2</v>
      </c>
      <c r="AZ215" s="24"/>
    </row>
    <row r="216" spans="1:52" ht="9" customHeight="1">
      <c r="A216" s="71" t="s">
        <v>8</v>
      </c>
      <c r="B216" s="24"/>
      <c r="C216" s="73"/>
      <c r="D216" s="73"/>
      <c r="E216" s="73"/>
      <c r="F216" s="73"/>
      <c r="G216" s="24">
        <f t="shared" ref="G216:N216" si="195">G214/B214-1</f>
        <v>0.28900949796472175</v>
      </c>
      <c r="H216" s="73">
        <f t="shared" si="195"/>
        <v>0.37704918032786883</v>
      </c>
      <c r="I216" s="73">
        <f t="shared" si="195"/>
        <v>8.9655172413793061E-2</v>
      </c>
      <c r="J216" s="73">
        <f t="shared" si="195"/>
        <v>0.17712177121771222</v>
      </c>
      <c r="K216" s="73">
        <f t="shared" si="195"/>
        <v>-6.2068965517241392E-2</v>
      </c>
      <c r="L216" s="24">
        <f t="shared" si="195"/>
        <v>0.16526315789473678</v>
      </c>
      <c r="M216" s="73">
        <f t="shared" si="195"/>
        <v>7.1428571428571397E-2</v>
      </c>
      <c r="N216" s="73">
        <f t="shared" si="195"/>
        <v>0.10443037974683533</v>
      </c>
      <c r="O216" s="73">
        <f t="shared" ref="O216:Y216" si="196">O214/J214-1</f>
        <v>0.18181818181818188</v>
      </c>
      <c r="P216" s="73">
        <f t="shared" si="196"/>
        <v>1.5</v>
      </c>
      <c r="Q216" s="24">
        <f t="shared" si="196"/>
        <v>0.28816621499548334</v>
      </c>
      <c r="R216" s="73">
        <f t="shared" si="196"/>
        <v>-0.65833333333333333</v>
      </c>
      <c r="S216" s="73">
        <f t="shared" si="196"/>
        <v>-5.4441260744985676E-2</v>
      </c>
      <c r="T216" s="73">
        <f t="shared" si="196"/>
        <v>-0.17506631299734743</v>
      </c>
      <c r="U216" s="73">
        <f t="shared" si="196"/>
        <v>-9.1176470588235303E-2</v>
      </c>
      <c r="V216" s="24">
        <f t="shared" si="196"/>
        <v>-0.24754558204768584</v>
      </c>
      <c r="W216" s="73">
        <f t="shared" si="196"/>
        <v>1.8292682926829267</v>
      </c>
      <c r="X216" s="73">
        <f t="shared" si="196"/>
        <v>-0.20303030303030301</v>
      </c>
      <c r="Y216" s="73">
        <f t="shared" si="196"/>
        <v>-0.20900321543408362</v>
      </c>
      <c r="Z216" s="73">
        <f t="shared" ref="Z216:AI216" si="197">Z214/U214-1</f>
        <v>0.19741100323624594</v>
      </c>
      <c r="AA216" s="24">
        <f t="shared" si="197"/>
        <v>0.14352283317800563</v>
      </c>
      <c r="AB216" s="73">
        <f t="shared" si="197"/>
        <v>-0.12931034482758619</v>
      </c>
      <c r="AC216" s="73">
        <f t="shared" si="197"/>
        <v>0.11026615969581743</v>
      </c>
      <c r="AD216" s="73">
        <f t="shared" si="197"/>
        <v>0.1707317073170731</v>
      </c>
      <c r="AE216" s="73">
        <f t="shared" si="197"/>
        <v>-0.28918918918918923</v>
      </c>
      <c r="AF216" s="24">
        <f t="shared" si="197"/>
        <v>-6.6014669926650393E-2</v>
      </c>
      <c r="AG216" s="73">
        <f t="shared" si="197"/>
        <v>-2.6402640264026389E-2</v>
      </c>
      <c r="AH216" s="73">
        <f t="shared" si="197"/>
        <v>-0.1404109589041096</v>
      </c>
      <c r="AI216" s="73">
        <f t="shared" si="197"/>
        <v>-8.680555555555558E-2</v>
      </c>
      <c r="AJ216" s="73">
        <f t="shared" ref="AJ216:AS216" si="198">AJ214/AE214-1</f>
        <v>0.11406844106463887</v>
      </c>
      <c r="AK216" s="24">
        <v>-3.839441535776611E-2</v>
      </c>
      <c r="AL216" s="73">
        <v>0.17288135593220333</v>
      </c>
      <c r="AM216" s="73">
        <v>0.52191235059760954</v>
      </c>
      <c r="AN216" s="73">
        <v>-2.6615969581749055E-2</v>
      </c>
      <c r="AO216" s="73">
        <v>0.16040955631399312</v>
      </c>
      <c r="AP216" s="24">
        <v>0.20145190562613435</v>
      </c>
      <c r="AQ216" s="73">
        <v>-5.2023121387283267E-2</v>
      </c>
      <c r="AR216" s="73">
        <v>-0.1465968586387435</v>
      </c>
      <c r="AS216" s="73">
        <v>0.33984375</v>
      </c>
      <c r="AT216" s="73">
        <v>-0.30882352941176472</v>
      </c>
      <c r="AU216" s="24">
        <v>-6.9486404833836835E-2</v>
      </c>
      <c r="AV216" s="73">
        <v>-2.7439024390243927E-2</v>
      </c>
      <c r="AW216" s="73">
        <v>-2.7607361963190136E-2</v>
      </c>
      <c r="AX216" s="73">
        <v>-0.19533527696793007</v>
      </c>
      <c r="AY216" s="73">
        <v>0.1063829787234043</v>
      </c>
      <c r="AZ216" s="24">
        <v>-4.870129870129869E-2</v>
      </c>
    </row>
    <row r="217" spans="1:52">
      <c r="A217" s="69" t="s">
        <v>217</v>
      </c>
      <c r="B217" s="37">
        <f>B220+B202</f>
        <v>2299</v>
      </c>
      <c r="C217" s="80" t="s">
        <v>53</v>
      </c>
      <c r="D217" s="80" t="s">
        <v>53</v>
      </c>
      <c r="E217" s="80" t="s">
        <v>53</v>
      </c>
      <c r="F217" s="80" t="s">
        <v>53</v>
      </c>
      <c r="G217" s="37">
        <f>G220+G202</f>
        <v>2423</v>
      </c>
      <c r="H217" s="147">
        <f t="shared" ref="H217:J217" si="199">H220+H202</f>
        <v>628</v>
      </c>
      <c r="I217" s="147">
        <f t="shared" si="199"/>
        <v>643</v>
      </c>
      <c r="J217" s="147">
        <f t="shared" si="199"/>
        <v>637</v>
      </c>
      <c r="K217" s="147">
        <f>L217-J217-I217-H217</f>
        <v>611</v>
      </c>
      <c r="L217" s="37">
        <f>L220+L202</f>
        <v>2519</v>
      </c>
      <c r="M217" s="147">
        <f t="shared" ref="M217:O217" si="200">M220+M202</f>
        <v>635</v>
      </c>
      <c r="N217" s="147">
        <f t="shared" si="200"/>
        <v>661</v>
      </c>
      <c r="O217" s="147">
        <f t="shared" si="200"/>
        <v>668</v>
      </c>
      <c r="P217" s="147">
        <f>Q217-O217-N217-M217</f>
        <v>611</v>
      </c>
      <c r="Q217" s="37">
        <f>Q220+Q202</f>
        <v>2575</v>
      </c>
      <c r="R217" s="147">
        <f t="shared" ref="R217:T217" si="201">R220+R202</f>
        <v>623</v>
      </c>
      <c r="S217" s="147">
        <f t="shared" si="201"/>
        <v>626</v>
      </c>
      <c r="T217" s="147">
        <f t="shared" si="201"/>
        <v>620</v>
      </c>
      <c r="U217" s="147">
        <f>V217-T217-S217-R217</f>
        <v>629</v>
      </c>
      <c r="V217" s="37">
        <f>V220+V202</f>
        <v>2498</v>
      </c>
      <c r="W217" s="147">
        <f t="shared" ref="W217:Y217" si="202">W220+W202</f>
        <v>695</v>
      </c>
      <c r="X217" s="147">
        <f t="shared" si="202"/>
        <v>631</v>
      </c>
      <c r="Y217" s="147">
        <f t="shared" si="202"/>
        <v>597</v>
      </c>
      <c r="Z217" s="147">
        <f>AA217-Y217-X217-W217</f>
        <v>638</v>
      </c>
      <c r="AA217" s="37">
        <f>AA220+AA202</f>
        <v>2561</v>
      </c>
      <c r="AB217" s="147">
        <f t="shared" ref="AB217:AD217" si="203">AB220+AB202</f>
        <v>629</v>
      </c>
      <c r="AC217" s="147">
        <f t="shared" si="203"/>
        <v>661</v>
      </c>
      <c r="AD217" s="147">
        <f t="shared" si="203"/>
        <v>660</v>
      </c>
      <c r="AE217" s="147">
        <f>AF217-AD217-AC217-AB217</f>
        <v>653</v>
      </c>
      <c r="AF217" s="37">
        <f>AF220+AF202</f>
        <v>2603</v>
      </c>
      <c r="AG217" s="147">
        <f t="shared" ref="AG217:AI217" si="204">AG220+AG202</f>
        <v>664</v>
      </c>
      <c r="AH217" s="147">
        <f t="shared" si="204"/>
        <v>657</v>
      </c>
      <c r="AI217" s="147">
        <f t="shared" si="204"/>
        <v>651</v>
      </c>
      <c r="AJ217" s="147">
        <f>AK217-AI217-AH217-AG217</f>
        <v>673</v>
      </c>
      <c r="AK217" s="37">
        <v>2645</v>
      </c>
      <c r="AL217" s="147">
        <v>706</v>
      </c>
      <c r="AM217" s="147">
        <v>703</v>
      </c>
      <c r="AN217" s="147">
        <v>683</v>
      </c>
      <c r="AO217" s="147">
        <v>682</v>
      </c>
      <c r="AP217" s="37">
        <v>2774</v>
      </c>
      <c r="AQ217" s="147">
        <v>710</v>
      </c>
      <c r="AR217" s="147">
        <v>713</v>
      </c>
      <c r="AS217" s="147">
        <v>681</v>
      </c>
      <c r="AT217" s="147">
        <v>676</v>
      </c>
      <c r="AU217" s="37">
        <v>2780</v>
      </c>
      <c r="AV217" s="147">
        <v>689</v>
      </c>
      <c r="AW217" s="147">
        <v>672</v>
      </c>
      <c r="AX217" s="147">
        <v>654</v>
      </c>
      <c r="AY217" s="147">
        <v>661</v>
      </c>
      <c r="AZ217" s="37">
        <v>2676</v>
      </c>
    </row>
    <row r="218" spans="1:52" ht="11.25" customHeight="1">
      <c r="A218" s="71" t="s">
        <v>7</v>
      </c>
      <c r="B218" s="24"/>
      <c r="C218" s="72"/>
      <c r="D218" s="72"/>
      <c r="E218" s="72"/>
      <c r="F218" s="72"/>
      <c r="G218" s="24"/>
      <c r="H218" s="72"/>
      <c r="I218" s="72">
        <f>I217/H217-1</f>
        <v>2.3885350318471277E-2</v>
      </c>
      <c r="J218" s="72">
        <f>J217/I217-1</f>
        <v>-9.3312597200622127E-3</v>
      </c>
      <c r="K218" s="72">
        <f>K217/J217-1</f>
        <v>-4.081632653061229E-2</v>
      </c>
      <c r="L218" s="24"/>
      <c r="M218" s="72">
        <f>M217/K217-1</f>
        <v>3.9279869067103013E-2</v>
      </c>
      <c r="N218" s="72">
        <f>N217/M217-1</f>
        <v>4.0944881889763751E-2</v>
      </c>
      <c r="O218" s="72">
        <f>O217/N217-1</f>
        <v>1.0590015128593144E-2</v>
      </c>
      <c r="P218" s="72">
        <f>P217/O217-1</f>
        <v>-8.5329341317365248E-2</v>
      </c>
      <c r="Q218" s="24"/>
      <c r="R218" s="72">
        <f>R217/P217-1</f>
        <v>1.9639934533551617E-2</v>
      </c>
      <c r="S218" s="72">
        <f>S217/R217-1</f>
        <v>4.8154093097914075E-3</v>
      </c>
      <c r="T218" s="72">
        <f>T217/S217-1</f>
        <v>-9.5846645367412275E-3</v>
      </c>
      <c r="U218" s="72">
        <f>U217/T217-1</f>
        <v>1.4516129032257963E-2</v>
      </c>
      <c r="V218" s="24"/>
      <c r="W218" s="72">
        <f>W217/U217-1</f>
        <v>0.10492845786963434</v>
      </c>
      <c r="X218" s="72">
        <f>X217/W217-1</f>
        <v>-9.2086330935251759E-2</v>
      </c>
      <c r="Y218" s="72">
        <f>Y217/X217-1</f>
        <v>-5.3882725832012701E-2</v>
      </c>
      <c r="Z218" s="72">
        <f>Z217/Y217-1</f>
        <v>6.8676716917922986E-2</v>
      </c>
      <c r="AA218" s="24"/>
      <c r="AB218" s="72">
        <f>AB217/Z217-1</f>
        <v>-1.4106583072100332E-2</v>
      </c>
      <c r="AC218" s="72">
        <f>AC217/AB217-1</f>
        <v>5.0874403815580393E-2</v>
      </c>
      <c r="AD218" s="72">
        <f>AD217/AC217-1</f>
        <v>-1.5128593040847349E-3</v>
      </c>
      <c r="AE218" s="72">
        <f>AE217/AD217-1</f>
        <v>-1.0606060606060619E-2</v>
      </c>
      <c r="AF218" s="24"/>
      <c r="AG218" s="72">
        <f>AG217/AE217-1</f>
        <v>1.6845329249617125E-2</v>
      </c>
      <c r="AH218" s="72">
        <f>AH217/AG217-1</f>
        <v>-1.0542168674698815E-2</v>
      </c>
      <c r="AI218" s="72">
        <f>AI217/AH217-1</f>
        <v>-9.1324200913242004E-3</v>
      </c>
      <c r="AJ218" s="72">
        <f>AJ217/AI217-1</f>
        <v>3.3794162826420893E-2</v>
      </c>
      <c r="AK218" s="24"/>
      <c r="AL218" s="72">
        <v>4.9034175334323971E-2</v>
      </c>
      <c r="AM218" s="72">
        <v>-4.2492917847025691E-3</v>
      </c>
      <c r="AN218" s="72">
        <v>-2.8449502133712667E-2</v>
      </c>
      <c r="AO218" s="72">
        <v>-1.4641288433382416E-3</v>
      </c>
      <c r="AP218" s="24"/>
      <c r="AQ218" s="72">
        <v>4.1055718475073277E-2</v>
      </c>
      <c r="AR218" s="72">
        <v>4.2253521126760507E-3</v>
      </c>
      <c r="AS218" s="72">
        <v>-4.4880785413744739E-2</v>
      </c>
      <c r="AT218" s="72">
        <v>-7.342143906020504E-3</v>
      </c>
      <c r="AU218" s="24"/>
      <c r="AV218" s="72">
        <v>1.9230769230769162E-2</v>
      </c>
      <c r="AW218" s="72">
        <v>-2.4673439767779359E-2</v>
      </c>
      <c r="AX218" s="72">
        <v>-2.6785714285714302E-2</v>
      </c>
      <c r="AY218" s="72">
        <v>1.0703363914372988E-2</v>
      </c>
      <c r="AZ218" s="24"/>
    </row>
    <row r="219" spans="1:52" ht="10.5" customHeight="1">
      <c r="A219" s="71" t="s">
        <v>8</v>
      </c>
      <c r="B219" s="24"/>
      <c r="C219" s="73"/>
      <c r="D219" s="73"/>
      <c r="E219" s="73"/>
      <c r="F219" s="73"/>
      <c r="G219" s="24">
        <f t="shared" ref="G219" si="205">G217/B217-1</f>
        <v>5.3936494127881707E-2</v>
      </c>
      <c r="H219" s="73"/>
      <c r="I219" s="73"/>
      <c r="J219" s="73"/>
      <c r="K219" s="73"/>
      <c r="L219" s="24">
        <f t="shared" ref="L219" si="206">L217/G217-1</f>
        <v>3.962030540652095E-2</v>
      </c>
      <c r="M219" s="73">
        <f t="shared" ref="M219" si="207">M217/H217-1</f>
        <v>1.1146496815286566E-2</v>
      </c>
      <c r="N219" s="73">
        <f t="shared" ref="N219" si="208">N217/I217-1</f>
        <v>2.7993779160186527E-2</v>
      </c>
      <c r="O219" s="73">
        <f t="shared" ref="O219" si="209">O217/J217-1</f>
        <v>4.8665620094191508E-2</v>
      </c>
      <c r="P219" s="73">
        <f t="shared" ref="P219" si="210">P217/K217-1</f>
        <v>0</v>
      </c>
      <c r="Q219" s="24">
        <f t="shared" ref="Q219" si="211">Q217/L217-1</f>
        <v>2.2231044065105232E-2</v>
      </c>
      <c r="R219" s="73">
        <f t="shared" ref="R219" si="212">R217/M217-1</f>
        <v>-1.8897637795275646E-2</v>
      </c>
      <c r="S219" s="73">
        <f t="shared" ref="S219" si="213">S217/N217-1</f>
        <v>-5.2950075642965166E-2</v>
      </c>
      <c r="T219" s="73">
        <f t="shared" ref="T219" si="214">T217/O217-1</f>
        <v>-7.1856287425149712E-2</v>
      </c>
      <c r="U219" s="73">
        <f t="shared" ref="U219" si="215">U217/P217-1</f>
        <v>2.9459901800327426E-2</v>
      </c>
      <c r="V219" s="24">
        <f t="shared" ref="V219" si="216">V217/Q217-1</f>
        <v>-2.9902912621359246E-2</v>
      </c>
      <c r="W219" s="73">
        <f t="shared" ref="W219" si="217">W217/R217-1</f>
        <v>0.115569823434992</v>
      </c>
      <c r="X219" s="73">
        <f t="shared" ref="X219" si="218">X217/S217-1</f>
        <v>7.9872204472843933E-3</v>
      </c>
      <c r="Y219" s="73">
        <f t="shared" ref="Y219" si="219">Y217/T217-1</f>
        <v>-3.7096774193548399E-2</v>
      </c>
      <c r="Z219" s="73">
        <f t="shared" ref="Z219" si="220">Z217/U217-1</f>
        <v>1.4308426073131875E-2</v>
      </c>
      <c r="AA219" s="24">
        <f t="shared" ref="AA219" si="221">AA217/V217-1</f>
        <v>2.5220176140912764E-2</v>
      </c>
      <c r="AB219" s="73">
        <f t="shared" ref="AB219" si="222">AB217/W217-1</f>
        <v>-9.4964028776978404E-2</v>
      </c>
      <c r="AC219" s="73">
        <f t="shared" ref="AC219" si="223">AC217/X217-1</f>
        <v>4.7543581616481756E-2</v>
      </c>
      <c r="AD219" s="73">
        <f t="shared" ref="AD219" si="224">AD217/Y217-1</f>
        <v>0.10552763819095468</v>
      </c>
      <c r="AE219" s="73">
        <f t="shared" ref="AE219" si="225">AE217/Z217-1</f>
        <v>2.3510971786833812E-2</v>
      </c>
      <c r="AF219" s="24">
        <f t="shared" ref="AF219" si="226">AF217/AA217-1</f>
        <v>1.6399843811011339E-2</v>
      </c>
      <c r="AG219" s="73">
        <f t="shared" ref="AG219" si="227">AG217/AB217-1</f>
        <v>5.5643879173290944E-2</v>
      </c>
      <c r="AH219" s="73">
        <f t="shared" ref="AH219" si="228">AH217/AC217-1</f>
        <v>-6.0514372163388286E-3</v>
      </c>
      <c r="AI219" s="73">
        <f t="shared" ref="AI219" si="229">AI217/AD217-1</f>
        <v>-1.3636363636363669E-2</v>
      </c>
      <c r="AJ219" s="73">
        <f t="shared" ref="AJ219" si="230">AJ217/AE217-1</f>
        <v>3.0627871362940207E-2</v>
      </c>
      <c r="AK219" s="24">
        <v>1.6135228582405015E-2</v>
      </c>
      <c r="AL219" s="73">
        <v>6.3253012048192669E-2</v>
      </c>
      <c r="AM219" s="73">
        <v>7.0015220700152314E-2</v>
      </c>
      <c r="AN219" s="73">
        <v>4.9155145929339561E-2</v>
      </c>
      <c r="AO219" s="73">
        <v>1.3372956909361022E-2</v>
      </c>
      <c r="AP219" s="24">
        <v>4.8771266540642788E-2</v>
      </c>
      <c r="AQ219" s="73">
        <v>5.6657223796034994E-3</v>
      </c>
      <c r="AR219" s="73">
        <v>1.4224751066856278E-2</v>
      </c>
      <c r="AS219" s="73">
        <v>-2.9282576866763721E-3</v>
      </c>
      <c r="AT219" s="73">
        <v>-8.7976539589442737E-3</v>
      </c>
      <c r="AU219" s="24">
        <v>2.1629416005768398E-3</v>
      </c>
      <c r="AV219" s="73">
        <v>-2.9577464788732355E-2</v>
      </c>
      <c r="AW219" s="73">
        <v>-5.7503506311360475E-2</v>
      </c>
      <c r="AX219" s="73">
        <v>-3.9647577092510988E-2</v>
      </c>
      <c r="AY219" s="73">
        <v>-2.2189349112425982E-2</v>
      </c>
      <c r="AZ219" s="24">
        <v>-3.7410071942446055E-2</v>
      </c>
    </row>
    <row r="220" spans="1:52" s="36" customFormat="1">
      <c r="A220" s="69" t="s">
        <v>220</v>
      </c>
      <c r="B220" s="37">
        <f>B196+B205</f>
        <v>2260</v>
      </c>
      <c r="C220" s="77">
        <f>C196+C205</f>
        <v>591</v>
      </c>
      <c r="D220" s="77">
        <f>D196+D205</f>
        <v>653</v>
      </c>
      <c r="E220" s="77">
        <f>E196+E205</f>
        <v>642</v>
      </c>
      <c r="F220" s="70">
        <f>G220-E220-D220-C220</f>
        <v>441</v>
      </c>
      <c r="G220" s="37">
        <f>G196+G205</f>
        <v>2327</v>
      </c>
      <c r="H220" s="77">
        <f>H196+H205</f>
        <v>648</v>
      </c>
      <c r="I220" s="77">
        <f>I196+I205</f>
        <v>639</v>
      </c>
      <c r="J220" s="77">
        <f>J196+J205</f>
        <v>675</v>
      </c>
      <c r="K220" s="70">
        <f>L220-J220-I220-H220</f>
        <v>355</v>
      </c>
      <c r="L220" s="37">
        <f>L196+L205</f>
        <v>2317</v>
      </c>
      <c r="M220" s="77">
        <f>M196+M205</f>
        <v>660</v>
      </c>
      <c r="N220" s="77">
        <f>N196+N205</f>
        <v>674</v>
      </c>
      <c r="O220" s="77">
        <f>O196+O205</f>
        <v>727</v>
      </c>
      <c r="P220" s="70">
        <f>Q220-O220-N220-M220</f>
        <v>672</v>
      </c>
      <c r="Q220" s="37">
        <f>Q196+Q205</f>
        <v>2733</v>
      </c>
      <c r="R220" s="77">
        <f>R196+R205</f>
        <v>373</v>
      </c>
      <c r="S220" s="77">
        <f>S196+S205</f>
        <v>688</v>
      </c>
      <c r="T220" s="77">
        <f>T196+T205</f>
        <v>726</v>
      </c>
      <c r="U220" s="70">
        <f>V220-T220-S220-R220</f>
        <v>572</v>
      </c>
      <c r="V220" s="37">
        <f>V196+V205</f>
        <v>2359</v>
      </c>
      <c r="W220" s="77">
        <f>W196+W205</f>
        <v>717</v>
      </c>
      <c r="X220" s="77">
        <f>X196+X205</f>
        <v>615</v>
      </c>
      <c r="Y220" s="77">
        <f>Y196+Y205</f>
        <v>604</v>
      </c>
      <c r="Z220" s="70">
        <f>AA220-Y220-X220-W220</f>
        <v>753</v>
      </c>
      <c r="AA220" s="37">
        <f>AA196+AA205</f>
        <v>2689</v>
      </c>
      <c r="AB220" s="77">
        <f>AB196+AB205</f>
        <v>702</v>
      </c>
      <c r="AC220" s="77">
        <f>AC196+AC205</f>
        <v>678</v>
      </c>
      <c r="AD220" s="77">
        <f>AD196+AD205</f>
        <v>668</v>
      </c>
      <c r="AE220" s="70">
        <f>AF220-AD220-AC220-AB220</f>
        <v>633</v>
      </c>
      <c r="AF220" s="37">
        <f>AF196+AF205</f>
        <v>2681</v>
      </c>
      <c r="AG220" s="77">
        <f>AG196+AG205</f>
        <v>672</v>
      </c>
      <c r="AH220" s="77">
        <f>AH196+AH205</f>
        <v>643</v>
      </c>
      <c r="AI220" s="77">
        <f>AI196+AI205</f>
        <v>676</v>
      </c>
      <c r="AJ220" s="70">
        <f>AK220-AI220-AH220-AG220</f>
        <v>677</v>
      </c>
      <c r="AK220" s="37">
        <v>2668</v>
      </c>
      <c r="AL220" s="77">
        <v>723</v>
      </c>
      <c r="AM220" s="77">
        <v>842</v>
      </c>
      <c r="AN220" s="77">
        <v>696</v>
      </c>
      <c r="AO220" s="70">
        <v>612</v>
      </c>
      <c r="AP220" s="37">
        <v>2873</v>
      </c>
      <c r="AQ220" s="77">
        <v>719</v>
      </c>
      <c r="AR220" s="77">
        <v>725</v>
      </c>
      <c r="AS220" s="77">
        <v>707</v>
      </c>
      <c r="AT220" s="70">
        <v>642</v>
      </c>
      <c r="AU220" s="37">
        <v>2793</v>
      </c>
      <c r="AV220" s="77">
        <v>693</v>
      </c>
      <c r="AW220" s="77">
        <v>673</v>
      </c>
      <c r="AX220" s="77">
        <v>678</v>
      </c>
      <c r="AY220" s="70">
        <v>655</v>
      </c>
      <c r="AZ220" s="37">
        <v>2699</v>
      </c>
    </row>
    <row r="221" spans="1:52" ht="11.1" customHeight="1">
      <c r="A221" s="71" t="s">
        <v>7</v>
      </c>
      <c r="B221" s="24"/>
      <c r="C221" s="72"/>
      <c r="D221" s="72">
        <f>D220/C220-1</f>
        <v>0.10490693739424706</v>
      </c>
      <c r="E221" s="72">
        <f>E220/D220-1</f>
        <v>-1.6845329249617125E-2</v>
      </c>
      <c r="F221" s="72">
        <f>F220/E220-1</f>
        <v>-0.31308411214953269</v>
      </c>
      <c r="G221" s="24"/>
      <c r="H221" s="72">
        <f>H220/F220-1</f>
        <v>0.46938775510204089</v>
      </c>
      <c r="I221" s="72">
        <f>I220/H220-1</f>
        <v>-1.388888888888884E-2</v>
      </c>
      <c r="J221" s="72">
        <f>J220/I220-1</f>
        <v>5.6338028169014009E-2</v>
      </c>
      <c r="K221" s="72">
        <f>K220/J220-1</f>
        <v>-0.47407407407407409</v>
      </c>
      <c r="L221" s="24"/>
      <c r="M221" s="72">
        <f>M220/K220-1</f>
        <v>0.85915492957746475</v>
      </c>
      <c r="N221" s="72">
        <f>N220/M220-1</f>
        <v>2.1212121212121238E-2</v>
      </c>
      <c r="O221" s="72">
        <f>O220/N220-1</f>
        <v>7.8635014836795358E-2</v>
      </c>
      <c r="P221" s="72">
        <f>P220/O220-1</f>
        <v>-7.5653370013755161E-2</v>
      </c>
      <c r="Q221" s="24"/>
      <c r="R221" s="72">
        <f>R220/P220-1</f>
        <v>-0.44494047619047616</v>
      </c>
      <c r="S221" s="72">
        <f>S220/R220-1</f>
        <v>0.84450402144772108</v>
      </c>
      <c r="T221" s="72">
        <f>T220/S220-1</f>
        <v>5.5232558139534982E-2</v>
      </c>
      <c r="U221" s="72">
        <f>U220/T220-1</f>
        <v>-0.21212121212121215</v>
      </c>
      <c r="V221" s="24"/>
      <c r="W221" s="72">
        <f>W220/U220-1</f>
        <v>0.25349650349650354</v>
      </c>
      <c r="X221" s="72">
        <f>X220/W220-1</f>
        <v>-0.14225941422594146</v>
      </c>
      <c r="Y221" s="72">
        <f>Y220/X220-1</f>
        <v>-1.7886178861788671E-2</v>
      </c>
      <c r="Z221" s="72">
        <f>Z220/Y220-1</f>
        <v>0.2466887417218544</v>
      </c>
      <c r="AA221" s="24"/>
      <c r="AB221" s="72">
        <f>AB220/Z220-1</f>
        <v>-6.7729083665338696E-2</v>
      </c>
      <c r="AC221" s="72">
        <f>AC220/AB220-1</f>
        <v>-3.4188034188034178E-2</v>
      </c>
      <c r="AD221" s="72">
        <f>AD220/AC220-1</f>
        <v>-1.4749262536873142E-2</v>
      </c>
      <c r="AE221" s="72">
        <f>AE220/AD220-1</f>
        <v>-5.239520958083832E-2</v>
      </c>
      <c r="AF221" s="24"/>
      <c r="AG221" s="72">
        <f>AG220/AE220-1</f>
        <v>6.1611374407583019E-2</v>
      </c>
      <c r="AH221" s="72">
        <f>AH220/AG220-1</f>
        <v>-4.3154761904761862E-2</v>
      </c>
      <c r="AI221" s="72">
        <f>AI220/AH220-1</f>
        <v>5.1321928460342114E-2</v>
      </c>
      <c r="AJ221" s="72">
        <f>AJ220/AI220-1</f>
        <v>1.4792899408284654E-3</v>
      </c>
      <c r="AK221" s="24"/>
      <c r="AL221" s="72">
        <v>6.794682422452003E-2</v>
      </c>
      <c r="AM221" s="72">
        <v>0.16459197786998625</v>
      </c>
      <c r="AN221" s="72">
        <v>-0.17339667458432306</v>
      </c>
      <c r="AO221" s="72">
        <v>-0.12068965517241381</v>
      </c>
      <c r="AP221" s="24"/>
      <c r="AQ221" s="72">
        <v>0.17483660130718959</v>
      </c>
      <c r="AR221" s="72">
        <v>8.3449235048678183E-3</v>
      </c>
      <c r="AS221" s="72">
        <v>-2.4827586206896513E-2</v>
      </c>
      <c r="AT221" s="72">
        <v>-9.1937765205091893E-2</v>
      </c>
      <c r="AU221" s="24"/>
      <c r="AV221" s="72">
        <v>7.9439252336448662E-2</v>
      </c>
      <c r="AW221" s="72">
        <v>-2.8860028860028808E-2</v>
      </c>
      <c r="AX221" s="72">
        <v>7.429420505200568E-3</v>
      </c>
      <c r="AY221" s="72">
        <v>-3.3923303834808238E-2</v>
      </c>
      <c r="AZ221" s="24"/>
    </row>
    <row r="222" spans="1:52" ht="10.050000000000001" customHeight="1">
      <c r="A222" s="71" t="s">
        <v>8</v>
      </c>
      <c r="B222" s="24"/>
      <c r="C222" s="73"/>
      <c r="D222" s="73"/>
      <c r="E222" s="73"/>
      <c r="F222" s="73"/>
      <c r="G222" s="24">
        <f t="shared" ref="G222:N222" si="231">G220/B220-1</f>
        <v>2.9646017699115124E-2</v>
      </c>
      <c r="H222" s="73">
        <f t="shared" si="231"/>
        <v>9.6446700507614169E-2</v>
      </c>
      <c r="I222" s="73">
        <f t="shared" si="231"/>
        <v>-2.1439509954058189E-2</v>
      </c>
      <c r="J222" s="73">
        <f t="shared" si="231"/>
        <v>5.1401869158878455E-2</v>
      </c>
      <c r="K222" s="73">
        <f t="shared" si="231"/>
        <v>-0.19501133786848068</v>
      </c>
      <c r="L222" s="24">
        <f t="shared" si="231"/>
        <v>-4.2973785990545466E-3</v>
      </c>
      <c r="M222" s="73">
        <f t="shared" si="231"/>
        <v>1.8518518518518601E-2</v>
      </c>
      <c r="N222" s="73">
        <f t="shared" si="231"/>
        <v>5.4773082942096929E-2</v>
      </c>
      <c r="O222" s="73">
        <f t="shared" ref="O222:Y222" si="232">O220/J220-1</f>
        <v>7.7037037037037015E-2</v>
      </c>
      <c r="P222" s="73">
        <f t="shared" si="232"/>
        <v>0.89295774647887316</v>
      </c>
      <c r="Q222" s="24">
        <f t="shared" si="232"/>
        <v>0.17954251186879588</v>
      </c>
      <c r="R222" s="73">
        <f t="shared" si="232"/>
        <v>-0.43484848484848482</v>
      </c>
      <c r="S222" s="73">
        <f t="shared" si="232"/>
        <v>2.0771513353115667E-2</v>
      </c>
      <c r="T222" s="73">
        <f t="shared" si="232"/>
        <v>-1.3755158184318717E-3</v>
      </c>
      <c r="U222" s="73">
        <f t="shared" si="232"/>
        <v>-0.14880952380952384</v>
      </c>
      <c r="V222" s="24">
        <f t="shared" si="232"/>
        <v>-0.13684595682400291</v>
      </c>
      <c r="W222" s="73">
        <f t="shared" si="232"/>
        <v>0.92225201072386054</v>
      </c>
      <c r="X222" s="73">
        <f t="shared" si="232"/>
        <v>-0.10610465116279066</v>
      </c>
      <c r="Y222" s="73">
        <f t="shared" si="232"/>
        <v>-0.16804407713498626</v>
      </c>
      <c r="Z222" s="73">
        <f t="shared" ref="Z222:AI222" si="233">Z220/U220-1</f>
        <v>0.31643356643356646</v>
      </c>
      <c r="AA222" s="24">
        <f t="shared" si="233"/>
        <v>0.1398897838066977</v>
      </c>
      <c r="AB222" s="73">
        <f t="shared" si="233"/>
        <v>-2.0920502092050208E-2</v>
      </c>
      <c r="AC222" s="73">
        <f t="shared" si="233"/>
        <v>0.10243902439024399</v>
      </c>
      <c r="AD222" s="73">
        <f t="shared" si="233"/>
        <v>0.10596026490066235</v>
      </c>
      <c r="AE222" s="73">
        <f t="shared" si="233"/>
        <v>-0.15936254980079678</v>
      </c>
      <c r="AF222" s="24">
        <f t="shared" si="233"/>
        <v>-2.9750836742283848E-3</v>
      </c>
      <c r="AG222" s="73">
        <f t="shared" si="233"/>
        <v>-4.2735042735042694E-2</v>
      </c>
      <c r="AH222" s="73">
        <f t="shared" si="233"/>
        <v>-5.1622418879056053E-2</v>
      </c>
      <c r="AI222" s="73">
        <f t="shared" si="233"/>
        <v>1.1976047904191711E-2</v>
      </c>
      <c r="AJ222" s="73">
        <f t="shared" ref="AJ222:AS222" si="234">AJ220/AE220-1</f>
        <v>6.9510268562401167E-2</v>
      </c>
      <c r="AK222" s="24">
        <v>-4.8489369638194946E-3</v>
      </c>
      <c r="AL222" s="73">
        <v>7.5892857142857206E-2</v>
      </c>
      <c r="AM222" s="73">
        <v>0.30948678071539648</v>
      </c>
      <c r="AN222" s="73">
        <v>2.9585798816567976E-2</v>
      </c>
      <c r="AO222" s="73">
        <v>-9.6011816838995623E-2</v>
      </c>
      <c r="AP222" s="24">
        <v>7.6836581709145424E-2</v>
      </c>
      <c r="AQ222" s="73">
        <v>-5.5325034578146415E-3</v>
      </c>
      <c r="AR222" s="73">
        <v>-0.13895486935866985</v>
      </c>
      <c r="AS222" s="73">
        <v>1.5804597701149392E-2</v>
      </c>
      <c r="AT222" s="73">
        <v>4.9019607843137303E-2</v>
      </c>
      <c r="AU222" s="24">
        <v>-2.7845457709711141E-2</v>
      </c>
      <c r="AV222" s="73">
        <v>-3.6161335187760768E-2</v>
      </c>
      <c r="AW222" s="73">
        <v>-7.1724137931034493E-2</v>
      </c>
      <c r="AX222" s="73">
        <v>-4.1018387553040991E-2</v>
      </c>
      <c r="AY222" s="73">
        <v>2.024922118380057E-2</v>
      </c>
      <c r="AZ222" s="24">
        <v>-3.365556749015397E-2</v>
      </c>
    </row>
    <row r="223" spans="1:52">
      <c r="A223" s="40" t="s">
        <v>82</v>
      </c>
      <c r="B223" s="41"/>
      <c r="C223" s="49"/>
      <c r="D223" s="49"/>
      <c r="E223" s="49"/>
      <c r="F223" s="49"/>
      <c r="G223" s="41"/>
      <c r="H223" s="49"/>
      <c r="I223" s="49"/>
      <c r="J223" s="49"/>
      <c r="K223" s="49"/>
      <c r="L223" s="41"/>
      <c r="M223" s="49"/>
      <c r="N223" s="49"/>
      <c r="O223" s="49"/>
      <c r="P223" s="49"/>
      <c r="Q223" s="41"/>
      <c r="R223" s="49"/>
      <c r="S223" s="49"/>
      <c r="T223" s="49"/>
      <c r="U223" s="49"/>
      <c r="V223" s="41"/>
      <c r="W223" s="49"/>
      <c r="X223" s="49"/>
      <c r="Y223" s="49"/>
      <c r="Z223" s="49"/>
      <c r="AA223" s="41"/>
      <c r="AB223" s="49"/>
      <c r="AC223" s="49"/>
      <c r="AD223" s="49"/>
      <c r="AE223" s="49"/>
      <c r="AF223" s="41"/>
      <c r="AG223" s="49"/>
      <c r="AH223" s="49"/>
      <c r="AI223" s="49"/>
      <c r="AJ223" s="49"/>
      <c r="AK223" s="41"/>
      <c r="AL223" s="49"/>
      <c r="AM223" s="49"/>
      <c r="AN223" s="49"/>
      <c r="AO223" s="49"/>
      <c r="AP223" s="41"/>
      <c r="AQ223" s="49"/>
      <c r="AR223" s="49"/>
      <c r="AS223" s="49"/>
      <c r="AT223" s="49"/>
      <c r="AU223" s="41"/>
      <c r="AV223" s="49"/>
      <c r="AW223" s="49"/>
      <c r="AX223" s="49"/>
      <c r="AY223" s="49"/>
      <c r="AZ223" s="41"/>
    </row>
    <row r="224" spans="1:52">
      <c r="A224" s="69" t="s">
        <v>12</v>
      </c>
      <c r="B224" s="65">
        <v>1379</v>
      </c>
      <c r="C224" s="80" t="s">
        <v>53</v>
      </c>
      <c r="D224" s="80" t="s">
        <v>53</v>
      </c>
      <c r="E224" s="80" t="s">
        <v>53</v>
      </c>
      <c r="F224" s="80" t="s">
        <v>53</v>
      </c>
      <c r="G224" s="65">
        <v>1691</v>
      </c>
      <c r="H224" s="70">
        <v>635</v>
      </c>
      <c r="I224" s="70">
        <v>408</v>
      </c>
      <c r="J224" s="70">
        <v>526</v>
      </c>
      <c r="K224" s="70">
        <f>L224-J224-I224-H224</f>
        <v>651</v>
      </c>
      <c r="L224" s="65">
        <v>2220</v>
      </c>
      <c r="M224" s="70">
        <v>393</v>
      </c>
      <c r="N224" s="70">
        <v>523</v>
      </c>
      <c r="O224" s="70">
        <v>684</v>
      </c>
      <c r="P224" s="70">
        <f>Q224-O224-N224-M224</f>
        <v>540</v>
      </c>
      <c r="Q224" s="65">
        <v>2140</v>
      </c>
      <c r="R224" s="70">
        <f>419</f>
        <v>419</v>
      </c>
      <c r="S224" s="70">
        <v>496</v>
      </c>
      <c r="T224" s="70">
        <v>641</v>
      </c>
      <c r="U224" s="70">
        <f>V224-T224-S224-R224</f>
        <v>549.93499999999995</v>
      </c>
      <c r="V224" s="65">
        <v>2105.9349999999999</v>
      </c>
      <c r="W224" s="70">
        <v>651</v>
      </c>
      <c r="X224" s="70">
        <v>376</v>
      </c>
      <c r="Y224" s="70">
        <v>470</v>
      </c>
      <c r="Z224" s="70">
        <f>AA224-Y224-X224-W224</f>
        <v>512</v>
      </c>
      <c r="AA224" s="65">
        <v>2009</v>
      </c>
      <c r="AB224" s="70">
        <v>561</v>
      </c>
      <c r="AC224" s="70">
        <v>556</v>
      </c>
      <c r="AD224" s="70">
        <v>631</v>
      </c>
      <c r="AE224" s="70">
        <f>AF224-AD224-AC224-AB224</f>
        <v>526</v>
      </c>
      <c r="AF224" s="65">
        <v>2274</v>
      </c>
      <c r="AG224" s="70">
        <v>616</v>
      </c>
      <c r="AH224" s="70">
        <v>545</v>
      </c>
      <c r="AI224" s="70">
        <v>599</v>
      </c>
      <c r="AJ224" s="70">
        <f>AK224-AI224-AH224-AG224</f>
        <v>499</v>
      </c>
      <c r="AK224" s="65">
        <v>2259</v>
      </c>
      <c r="AL224" s="70">
        <v>548</v>
      </c>
      <c r="AM224" s="70">
        <v>456</v>
      </c>
      <c r="AN224" s="70">
        <v>686</v>
      </c>
      <c r="AO224" s="70">
        <v>668</v>
      </c>
      <c r="AP224" s="65">
        <v>2358</v>
      </c>
      <c r="AQ224" s="70">
        <v>539</v>
      </c>
      <c r="AR224" s="70">
        <v>517</v>
      </c>
      <c r="AS224" s="70">
        <v>526</v>
      </c>
      <c r="AT224" s="70">
        <v>482</v>
      </c>
      <c r="AU224" s="65">
        <v>2064</v>
      </c>
      <c r="AV224" s="70">
        <v>600</v>
      </c>
      <c r="AW224" s="70">
        <v>465</v>
      </c>
      <c r="AX224" s="70">
        <v>573</v>
      </c>
      <c r="AY224" s="70">
        <v>587</v>
      </c>
      <c r="AZ224" s="65">
        <v>2225</v>
      </c>
    </row>
    <row r="225" spans="1:52" ht="10.050000000000001" customHeight="1">
      <c r="A225" s="71" t="s">
        <v>7</v>
      </c>
      <c r="B225" s="24"/>
      <c r="C225" s="72"/>
      <c r="D225" s="72"/>
      <c r="E225" s="72"/>
      <c r="F225" s="72"/>
      <c r="G225" s="24"/>
      <c r="H225" s="72"/>
      <c r="I225" s="72">
        <f>I224/H224-1</f>
        <v>-0.35748031496062993</v>
      </c>
      <c r="J225" s="72">
        <f>J224/I224-1</f>
        <v>0.28921568627450989</v>
      </c>
      <c r="K225" s="73">
        <f>K224/J224-1</f>
        <v>0.23764258555133089</v>
      </c>
      <c r="L225" s="24"/>
      <c r="M225" s="72">
        <f>M224/K224-1</f>
        <v>-0.39631336405529949</v>
      </c>
      <c r="N225" s="72">
        <f>N224/M224-1</f>
        <v>0.33078880407124678</v>
      </c>
      <c r="O225" s="72">
        <f>O224/N224-1</f>
        <v>0.30783938814531542</v>
      </c>
      <c r="P225" s="72">
        <f>P224/O224-1</f>
        <v>-0.21052631578947367</v>
      </c>
      <c r="Q225" s="24"/>
      <c r="R225" s="72">
        <f>R224/P224-1</f>
        <v>-0.22407407407407409</v>
      </c>
      <c r="S225" s="72">
        <f>S224/R224-1</f>
        <v>0.18377088305489253</v>
      </c>
      <c r="T225" s="72">
        <f>T224/S224-1</f>
        <v>0.29233870967741926</v>
      </c>
      <c r="U225" s="72">
        <f>U224/T224-1</f>
        <v>-0.14206708268330737</v>
      </c>
      <c r="V225" s="24"/>
      <c r="W225" s="72">
        <f>W224/U224-1</f>
        <v>0.18377626446761908</v>
      </c>
      <c r="X225" s="72">
        <f>X224/W224-1</f>
        <v>-0.42242703533026116</v>
      </c>
      <c r="Y225" s="72">
        <f>Y224/X224-1</f>
        <v>0.25</v>
      </c>
      <c r="Z225" s="72">
        <f>Z224/Y224-1</f>
        <v>8.9361702127659592E-2</v>
      </c>
      <c r="AA225" s="24"/>
      <c r="AB225" s="72">
        <f>AB224/Z224-1</f>
        <v>9.5703125E-2</v>
      </c>
      <c r="AC225" s="72">
        <f>AC224/AB224-1</f>
        <v>-8.9126559714794995E-3</v>
      </c>
      <c r="AD225" s="72">
        <f>AD224/AC224-1</f>
        <v>0.1348920863309353</v>
      </c>
      <c r="AE225" s="72">
        <f>AE224/AD224-1</f>
        <v>-0.16640253565768626</v>
      </c>
      <c r="AF225" s="24"/>
      <c r="AG225" s="72">
        <f>AG224/AE224-1</f>
        <v>0.17110266159695819</v>
      </c>
      <c r="AH225" s="72">
        <f>AH224/AG224-1</f>
        <v>-0.11525974025974028</v>
      </c>
      <c r="AI225" s="72">
        <f>AI224/AH224-1</f>
        <v>9.9082568807339344E-2</v>
      </c>
      <c r="AJ225" s="72">
        <f>AJ224/AI224-1</f>
        <v>-0.1669449081803005</v>
      </c>
      <c r="AK225" s="24"/>
      <c r="AL225" s="72">
        <v>9.8196392785571129E-2</v>
      </c>
      <c r="AM225" s="72">
        <v>-0.16788321167883213</v>
      </c>
      <c r="AN225" s="72">
        <v>0.5043859649122806</v>
      </c>
      <c r="AO225" s="72">
        <v>-2.6239067055393583E-2</v>
      </c>
      <c r="AP225" s="24"/>
      <c r="AQ225" s="72">
        <v>-0.19311377245508987</v>
      </c>
      <c r="AR225" s="72">
        <v>-4.081632653061229E-2</v>
      </c>
      <c r="AS225" s="72">
        <v>1.740812379110257E-2</v>
      </c>
      <c r="AT225" s="72">
        <v>-8.365019011406849E-2</v>
      </c>
      <c r="AU225" s="24"/>
      <c r="AV225" s="72">
        <v>0.24481327800829877</v>
      </c>
      <c r="AW225" s="72">
        <v>-0.22499999999999998</v>
      </c>
      <c r="AX225" s="72">
        <v>0.23225806451612896</v>
      </c>
      <c r="AY225" s="72">
        <v>2.4432809773123898E-2</v>
      </c>
      <c r="AZ225" s="24"/>
    </row>
    <row r="226" spans="1:52" ht="11.1" customHeight="1">
      <c r="A226" s="71" t="s">
        <v>8</v>
      </c>
      <c r="B226" s="24"/>
      <c r="C226" s="73"/>
      <c r="D226" s="73"/>
      <c r="E226" s="73"/>
      <c r="F226" s="73"/>
      <c r="G226" s="24">
        <f>G224/B224-1</f>
        <v>0.22625090645395218</v>
      </c>
      <c r="H226" s="73"/>
      <c r="I226" s="73"/>
      <c r="J226" s="73"/>
      <c r="L226" s="24">
        <f t="shared" ref="L226:R226" si="235">L224/G224-1</f>
        <v>0.31283264340626848</v>
      </c>
      <c r="M226" s="73">
        <f t="shared" si="235"/>
        <v>-0.38110236220472438</v>
      </c>
      <c r="N226" s="73">
        <f t="shared" si="235"/>
        <v>0.28186274509803932</v>
      </c>
      <c r="O226" s="73">
        <f t="shared" si="235"/>
        <v>0.30038022813688214</v>
      </c>
      <c r="P226" s="73">
        <f t="shared" si="235"/>
        <v>-0.17050691244239635</v>
      </c>
      <c r="Q226" s="24">
        <f t="shared" si="235"/>
        <v>-3.6036036036036001E-2</v>
      </c>
      <c r="R226" s="73">
        <f t="shared" si="235"/>
        <v>6.61577608142494E-2</v>
      </c>
      <c r="S226" s="73">
        <f t="shared" ref="S226:Y226" si="236">S224/N224-1</f>
        <v>-5.1625239005736123E-2</v>
      </c>
      <c r="T226" s="73">
        <f t="shared" si="236"/>
        <v>-6.2865497076023402E-2</v>
      </c>
      <c r="U226" s="73">
        <f t="shared" si="236"/>
        <v>1.8398148148148108E-2</v>
      </c>
      <c r="V226" s="24">
        <f t="shared" si="236"/>
        <v>-1.591822429906542E-2</v>
      </c>
      <c r="W226" s="73">
        <f t="shared" si="236"/>
        <v>0.55369928400954649</v>
      </c>
      <c r="X226" s="73">
        <f t="shared" si="236"/>
        <v>-0.24193548387096775</v>
      </c>
      <c r="Y226" s="73">
        <f t="shared" si="236"/>
        <v>-0.26677067082683303</v>
      </c>
      <c r="Z226" s="73">
        <f t="shared" ref="Z226:AI226" si="237">Z224/U224-1</f>
        <v>-6.8980879558493191E-2</v>
      </c>
      <c r="AA226" s="24">
        <f t="shared" si="237"/>
        <v>-4.6029435856282386E-2</v>
      </c>
      <c r="AB226" s="73">
        <f t="shared" si="237"/>
        <v>-0.13824884792626724</v>
      </c>
      <c r="AC226" s="73">
        <f t="shared" si="237"/>
        <v>0.47872340425531923</v>
      </c>
      <c r="AD226" s="73">
        <f t="shared" si="237"/>
        <v>0.34255319148936181</v>
      </c>
      <c r="AE226" s="73">
        <f t="shared" si="237"/>
        <v>2.734375E-2</v>
      </c>
      <c r="AF226" s="24">
        <f t="shared" si="237"/>
        <v>0.13190642110502737</v>
      </c>
      <c r="AG226" s="73">
        <f t="shared" si="237"/>
        <v>9.8039215686274606E-2</v>
      </c>
      <c r="AH226" s="73">
        <f t="shared" si="237"/>
        <v>-1.9784172661870492E-2</v>
      </c>
      <c r="AI226" s="73">
        <f t="shared" si="237"/>
        <v>-5.0713153724247229E-2</v>
      </c>
      <c r="AJ226" s="73">
        <f t="shared" ref="AJ226:AS226" si="238">AJ224/AE224-1</f>
        <v>-5.1330798479087503E-2</v>
      </c>
      <c r="AK226" s="24">
        <v>-6.5963060686016206E-3</v>
      </c>
      <c r="AL226" s="73">
        <v>-0.11038961038961037</v>
      </c>
      <c r="AM226" s="73">
        <v>-0.16330275229357794</v>
      </c>
      <c r="AN226" s="73">
        <v>0.14524207011686152</v>
      </c>
      <c r="AO226" s="73">
        <v>0.33867735470941884</v>
      </c>
      <c r="AP226" s="24">
        <v>4.3824701195219085E-2</v>
      </c>
      <c r="AQ226" s="73">
        <v>-1.6423357664233529E-2</v>
      </c>
      <c r="AR226" s="73">
        <v>0.13377192982456143</v>
      </c>
      <c r="AS226" s="73">
        <v>-0.23323615160349853</v>
      </c>
      <c r="AT226" s="73">
        <v>-0.27844311377245512</v>
      </c>
      <c r="AU226" s="24">
        <v>-0.12468193384223913</v>
      </c>
      <c r="AV226" s="73">
        <v>0.1131725417439704</v>
      </c>
      <c r="AW226" s="73">
        <v>-0.10058027079303677</v>
      </c>
      <c r="AX226" s="73">
        <v>8.9353612167300422E-2</v>
      </c>
      <c r="AY226" s="73">
        <v>0.21784232365145217</v>
      </c>
      <c r="AZ226" s="24">
        <v>7.8003875968992276E-2</v>
      </c>
    </row>
    <row r="227" spans="1:52" hidden="1">
      <c r="A227" s="69" t="s">
        <v>50</v>
      </c>
      <c r="B227" s="37">
        <v>513</v>
      </c>
      <c r="C227" s="70">
        <v>128</v>
      </c>
      <c r="D227" s="70">
        <v>139</v>
      </c>
      <c r="E227" s="70">
        <v>112</v>
      </c>
      <c r="F227" s="70">
        <f>G227-E227-D227-C227</f>
        <v>221</v>
      </c>
      <c r="G227" s="37">
        <f>554+46</f>
        <v>600</v>
      </c>
      <c r="H227" s="70">
        <v>210</v>
      </c>
      <c r="I227" s="70">
        <v>209</v>
      </c>
      <c r="J227" s="70">
        <v>191</v>
      </c>
      <c r="K227" s="70">
        <f>L227-J227-I227-H227</f>
        <v>234</v>
      </c>
      <c r="L227" s="37">
        <v>844</v>
      </c>
      <c r="M227" s="70">
        <v>228</v>
      </c>
      <c r="N227" s="70">
        <v>269</v>
      </c>
      <c r="O227" s="70">
        <v>250</v>
      </c>
      <c r="P227" s="70">
        <v>294</v>
      </c>
      <c r="Q227" s="37">
        <f>P227+O227+N227+M227</f>
        <v>1041</v>
      </c>
      <c r="R227" s="70">
        <v>340</v>
      </c>
      <c r="S227" s="70">
        <v>310</v>
      </c>
      <c r="T227" s="70">
        <v>243</v>
      </c>
      <c r="U227" s="70">
        <f>V227-T227-S227-R227</f>
        <v>281</v>
      </c>
      <c r="V227" s="37">
        <v>1174</v>
      </c>
      <c r="W227" s="70">
        <v>262</v>
      </c>
      <c r="X227" s="70">
        <v>239</v>
      </c>
      <c r="Y227" s="70">
        <v>238</v>
      </c>
      <c r="Z227" s="70">
        <v>206</v>
      </c>
      <c r="AA227" s="37">
        <f>Z227+Y227+X227+W227</f>
        <v>945</v>
      </c>
      <c r="AB227" s="70">
        <v>164</v>
      </c>
      <c r="AC227" s="70">
        <v>197</v>
      </c>
      <c r="AD227" s="70">
        <v>191</v>
      </c>
      <c r="AE227" s="70">
        <v>225</v>
      </c>
      <c r="AF227" s="37">
        <f>AE227+AD227+AC227+AB227</f>
        <v>777</v>
      </c>
      <c r="AG227" s="70">
        <v>215</v>
      </c>
      <c r="AH227" s="70">
        <v>215</v>
      </c>
      <c r="AI227" s="70">
        <v>198</v>
      </c>
      <c r="AJ227" s="70">
        <f>AK227-AI227-AH227-AG227</f>
        <v>207</v>
      </c>
      <c r="AK227" s="37">
        <v>835</v>
      </c>
      <c r="AL227" s="70">
        <v>228</v>
      </c>
      <c r="AM227" s="70">
        <v>203</v>
      </c>
      <c r="AN227" s="70">
        <v>208</v>
      </c>
      <c r="AO227" s="70">
        <v>198</v>
      </c>
      <c r="AP227" s="37">
        <v>837</v>
      </c>
      <c r="AQ227" s="70">
        <v>222</v>
      </c>
      <c r="AR227" s="70">
        <v>203</v>
      </c>
      <c r="AS227" s="70">
        <v>204</v>
      </c>
      <c r="AT227" s="70"/>
      <c r="AU227" s="37"/>
      <c r="AV227" s="70">
        <v>222</v>
      </c>
      <c r="AW227" s="70">
        <v>222</v>
      </c>
      <c r="AX227" s="70">
        <v>222</v>
      </c>
      <c r="AY227" s="70"/>
      <c r="AZ227" s="37"/>
    </row>
    <row r="228" spans="1:52" hidden="1">
      <c r="A228" s="71" t="s">
        <v>7</v>
      </c>
      <c r="B228" s="24"/>
      <c r="C228" s="72"/>
      <c r="D228" s="72">
        <f>D227/C227-1</f>
        <v>8.59375E-2</v>
      </c>
      <c r="E228" s="72">
        <f>E227/D227-1</f>
        <v>-0.19424460431654678</v>
      </c>
      <c r="F228" s="72">
        <f>F227/E227-1</f>
        <v>0.97321428571428581</v>
      </c>
      <c r="G228" s="24"/>
      <c r="H228" s="72">
        <f>H227/F227-1</f>
        <v>-4.9773755656108642E-2</v>
      </c>
      <c r="I228" s="72">
        <f>I227/H227-1</f>
        <v>-4.761904761904745E-3</v>
      </c>
      <c r="J228" s="72">
        <f>J227/I227-1</f>
        <v>-8.6124401913875603E-2</v>
      </c>
      <c r="K228" s="72">
        <f>K227/J227-1</f>
        <v>0.22513089005235609</v>
      </c>
      <c r="L228" s="24"/>
      <c r="M228" s="72">
        <f>M227/K227-1</f>
        <v>-2.5641025641025661E-2</v>
      </c>
      <c r="N228" s="72">
        <f>N227/M227-1</f>
        <v>0.17982456140350878</v>
      </c>
      <c r="O228" s="72">
        <f>O227/N227-1</f>
        <v>-7.0631970260223054E-2</v>
      </c>
      <c r="P228" s="72">
        <f>P227/O227-1</f>
        <v>0.17599999999999993</v>
      </c>
      <c r="Q228" s="24"/>
      <c r="R228" s="72">
        <f>R227/P227-1</f>
        <v>0.15646258503401356</v>
      </c>
      <c r="S228" s="72">
        <f>S227/R227-1</f>
        <v>-8.8235294117647078E-2</v>
      </c>
      <c r="T228" s="72">
        <f>T227/S227-1</f>
        <v>-0.21612903225806457</v>
      </c>
      <c r="U228" s="72">
        <f>U227/T227-1</f>
        <v>0.15637860082304522</v>
      </c>
      <c r="V228" s="24"/>
      <c r="W228" s="72">
        <f>W227/U227-1</f>
        <v>-6.7615658362989328E-2</v>
      </c>
      <c r="X228" s="72">
        <f>X227/W227-1</f>
        <v>-8.7786259541984712E-2</v>
      </c>
      <c r="Y228" s="72">
        <f>Y227/X227-1</f>
        <v>-4.1841004184099972E-3</v>
      </c>
      <c r="Z228" s="72">
        <f>Z227/Y227-1</f>
        <v>-0.13445378151260501</v>
      </c>
      <c r="AA228" s="24"/>
      <c r="AB228" s="72">
        <f>AB227/Z227-1</f>
        <v>-0.20388349514563109</v>
      </c>
      <c r="AC228" s="72">
        <f>AC227/AB227-1</f>
        <v>0.20121951219512191</v>
      </c>
      <c r="AD228" s="72">
        <f>AD227/AC227-1</f>
        <v>-3.0456852791878153E-2</v>
      </c>
      <c r="AE228" s="72">
        <f>AE227/AD227-1</f>
        <v>0.17801047120418856</v>
      </c>
      <c r="AF228" s="24"/>
      <c r="AG228" s="72">
        <f>AG227/AE227-1</f>
        <v>-4.4444444444444398E-2</v>
      </c>
      <c r="AH228" s="72">
        <f>AH227/AG227-1</f>
        <v>0</v>
      </c>
      <c r="AI228" s="72">
        <f>AI227/AH227-1</f>
        <v>-7.906976744186045E-2</v>
      </c>
      <c r="AJ228" s="72">
        <f>AJ227/AI227-1</f>
        <v>4.5454545454545414E-2</v>
      </c>
      <c r="AK228" s="24"/>
      <c r="AL228" s="72">
        <v>0.10144927536231885</v>
      </c>
      <c r="AM228" s="72">
        <v>-0.10964912280701755</v>
      </c>
      <c r="AN228" s="72">
        <v>2.4630541871921263E-2</v>
      </c>
      <c r="AO228" s="72">
        <v>-4.8076923076923128E-2</v>
      </c>
      <c r="AP228" s="24"/>
      <c r="AQ228" s="72">
        <v>0.1212121212121211</v>
      </c>
      <c r="AR228" s="72">
        <v>-8.55855855855856E-2</v>
      </c>
      <c r="AS228" s="72">
        <v>4.9261083743843415E-3</v>
      </c>
      <c r="AT228" s="72"/>
      <c r="AU228" s="24"/>
      <c r="AV228" s="72" t="e">
        <v>#DIV/0!</v>
      </c>
      <c r="AW228" s="72" t="e">
        <v>#DIV/0!</v>
      </c>
      <c r="AX228" s="72">
        <v>0</v>
      </c>
      <c r="AY228" s="72"/>
      <c r="AZ228" s="24"/>
    </row>
    <row r="229" spans="1:52" hidden="1">
      <c r="A229" s="71" t="s">
        <v>8</v>
      </c>
      <c r="B229" s="24"/>
      <c r="C229" s="73"/>
      <c r="D229" s="73"/>
      <c r="E229" s="73"/>
      <c r="F229" s="73"/>
      <c r="G229" s="24">
        <f t="shared" ref="G229:N229" si="239">G227/B227-1</f>
        <v>0.16959064327485374</v>
      </c>
      <c r="H229" s="73">
        <f t="shared" si="239"/>
        <v>0.640625</v>
      </c>
      <c r="I229" s="73">
        <f t="shared" si="239"/>
        <v>0.50359712230215825</v>
      </c>
      <c r="J229" s="73">
        <f t="shared" si="239"/>
        <v>0.70535714285714279</v>
      </c>
      <c r="K229" s="73">
        <f t="shared" si="239"/>
        <v>5.8823529411764719E-2</v>
      </c>
      <c r="L229" s="24">
        <f t="shared" si="239"/>
        <v>0.40666666666666673</v>
      </c>
      <c r="M229" s="73">
        <f t="shared" si="239"/>
        <v>8.5714285714285632E-2</v>
      </c>
      <c r="N229" s="73">
        <f t="shared" si="239"/>
        <v>0.2870813397129186</v>
      </c>
      <c r="O229" s="73">
        <f t="shared" ref="O229:Y229" si="240">O227/J227-1</f>
        <v>0.30890052356020936</v>
      </c>
      <c r="P229" s="73">
        <f t="shared" si="240"/>
        <v>0.25641025641025639</v>
      </c>
      <c r="Q229" s="24">
        <f t="shared" si="240"/>
        <v>0.23341232227488162</v>
      </c>
      <c r="R229" s="73">
        <f t="shared" si="240"/>
        <v>0.49122807017543857</v>
      </c>
      <c r="S229" s="73">
        <f t="shared" si="240"/>
        <v>0.15241635687732336</v>
      </c>
      <c r="T229" s="73">
        <f t="shared" si="240"/>
        <v>-2.8000000000000025E-2</v>
      </c>
      <c r="U229" s="73">
        <f t="shared" si="240"/>
        <v>-4.4217687074829981E-2</v>
      </c>
      <c r="V229" s="24">
        <f t="shared" si="240"/>
        <v>0.12776176753121993</v>
      </c>
      <c r="W229" s="73">
        <f t="shared" si="240"/>
        <v>-0.22941176470588232</v>
      </c>
      <c r="X229" s="73">
        <f t="shared" si="240"/>
        <v>-0.2290322580645161</v>
      </c>
      <c r="Y229" s="73">
        <f t="shared" si="240"/>
        <v>-2.0576131687242816E-2</v>
      </c>
      <c r="Z229" s="73">
        <f t="shared" ref="Z229:AI229" si="241">Z227/U227-1</f>
        <v>-0.26690391459074736</v>
      </c>
      <c r="AA229" s="24">
        <f t="shared" si="241"/>
        <v>-0.19505962521294717</v>
      </c>
      <c r="AB229" s="73">
        <f t="shared" si="241"/>
        <v>-0.37404580152671751</v>
      </c>
      <c r="AC229" s="73">
        <f t="shared" si="241"/>
        <v>-0.17573221757322177</v>
      </c>
      <c r="AD229" s="73">
        <f t="shared" si="241"/>
        <v>-0.19747899159663862</v>
      </c>
      <c r="AE229" s="73">
        <f t="shared" si="241"/>
        <v>9.2233009708737823E-2</v>
      </c>
      <c r="AF229" s="24">
        <f t="shared" si="241"/>
        <v>-0.17777777777777781</v>
      </c>
      <c r="AG229" s="73">
        <f t="shared" si="241"/>
        <v>0.31097560975609762</v>
      </c>
      <c r="AH229" s="73">
        <f t="shared" si="241"/>
        <v>9.137055837563457E-2</v>
      </c>
      <c r="AI229" s="73">
        <f t="shared" si="241"/>
        <v>3.6649214659685958E-2</v>
      </c>
      <c r="AJ229" s="73">
        <f t="shared" ref="AJ229:AS229" si="242">AJ227/AE227-1</f>
        <v>-7.999999999999996E-2</v>
      </c>
      <c r="AK229" s="24">
        <v>7.4646074646074645E-2</v>
      </c>
      <c r="AL229" s="73">
        <v>6.0465116279069697E-2</v>
      </c>
      <c r="AM229" s="73">
        <v>-5.5813953488372148E-2</v>
      </c>
      <c r="AN229" s="73">
        <v>5.0505050505050608E-2</v>
      </c>
      <c r="AO229" s="73">
        <v>-4.3478260869565188E-2</v>
      </c>
      <c r="AP229" s="24">
        <v>2.3952095808383866E-3</v>
      </c>
      <c r="AQ229" s="73">
        <v>-2.6315789473684181E-2</v>
      </c>
      <c r="AR229" s="73">
        <v>0</v>
      </c>
      <c r="AS229" s="73">
        <v>-1.9230769230769273E-2</v>
      </c>
      <c r="AT229" s="73"/>
      <c r="AU229" s="24"/>
      <c r="AV229" s="73">
        <v>0</v>
      </c>
      <c r="AW229" s="73">
        <v>9.3596059113300489E-2</v>
      </c>
      <c r="AX229" s="73">
        <v>8.8235294117646967E-2</v>
      </c>
      <c r="AY229" s="73"/>
      <c r="AZ229" s="24"/>
    </row>
    <row r="230" spans="1:52">
      <c r="A230" s="69" t="s">
        <v>51</v>
      </c>
      <c r="B230" s="65">
        <f>93+412</f>
        <v>505</v>
      </c>
      <c r="C230" s="70">
        <v>158</v>
      </c>
      <c r="D230" s="70">
        <v>132</v>
      </c>
      <c r="E230" s="70">
        <v>156</v>
      </c>
      <c r="F230" s="70">
        <f>G230-E230-D230-C230</f>
        <v>170</v>
      </c>
      <c r="G230" s="65">
        <f>98+518</f>
        <v>616</v>
      </c>
      <c r="H230" s="70">
        <f>216+22</f>
        <v>238</v>
      </c>
      <c r="I230" s="70">
        <f>152+39</f>
        <v>191</v>
      </c>
      <c r="J230" s="70">
        <v>204</v>
      </c>
      <c r="K230" s="70">
        <f>L230-J230-I230-H230</f>
        <v>220</v>
      </c>
      <c r="L230" s="65">
        <f>133+720</f>
        <v>853</v>
      </c>
      <c r="M230" s="70">
        <f>33+205</f>
        <v>238</v>
      </c>
      <c r="N230" s="70">
        <f>215+32</f>
        <v>247</v>
      </c>
      <c r="O230" s="70">
        <f>40+205</f>
        <v>245</v>
      </c>
      <c r="P230" s="70">
        <f>Q230-O230-N230-M230</f>
        <v>302</v>
      </c>
      <c r="Q230" s="65">
        <f>156+876</f>
        <v>1032</v>
      </c>
      <c r="R230" s="70">
        <f>289+30</f>
        <v>319</v>
      </c>
      <c r="S230" s="70">
        <v>319</v>
      </c>
      <c r="T230" s="70">
        <f>41+227</f>
        <v>268</v>
      </c>
      <c r="U230" s="70">
        <f>V230-T230-S230-R230</f>
        <v>259</v>
      </c>
      <c r="V230" s="65">
        <f>167+998</f>
        <v>1165</v>
      </c>
      <c r="W230" s="70">
        <f>36+233</f>
        <v>269</v>
      </c>
      <c r="X230" s="70">
        <f>34+204</f>
        <v>238</v>
      </c>
      <c r="Y230" s="70">
        <f>33+216</f>
        <v>249</v>
      </c>
      <c r="Z230" s="70">
        <f>AA230-Y230-X230-W230</f>
        <v>202</v>
      </c>
      <c r="AA230" s="65">
        <f>136+822</f>
        <v>958</v>
      </c>
      <c r="AB230" s="70">
        <f>21+162</f>
        <v>183</v>
      </c>
      <c r="AC230" s="70">
        <f>20+166</f>
        <v>186</v>
      </c>
      <c r="AD230" s="70">
        <f>22+176</f>
        <v>198</v>
      </c>
      <c r="AE230" s="70">
        <f>AF230-AD230-AC230-AB230</f>
        <v>222</v>
      </c>
      <c r="AF230" s="65">
        <f>86+703</f>
        <v>789</v>
      </c>
      <c r="AG230" s="70">
        <v>210</v>
      </c>
      <c r="AH230" s="70">
        <f>20+187</f>
        <v>207</v>
      </c>
      <c r="AI230" s="70">
        <f>190+20</f>
        <v>210</v>
      </c>
      <c r="AJ230" s="70">
        <f>AK230-AI230-AH230-AG230</f>
        <v>195</v>
      </c>
      <c r="AK230" s="65">
        <v>822</v>
      </c>
      <c r="AL230" s="70">
        <v>231</v>
      </c>
      <c r="AM230" s="70">
        <v>191</v>
      </c>
      <c r="AN230" s="70">
        <v>230</v>
      </c>
      <c r="AO230" s="70">
        <v>197</v>
      </c>
      <c r="AP230" s="65">
        <v>849</v>
      </c>
      <c r="AQ230" s="70">
        <v>195</v>
      </c>
      <c r="AR230" s="70">
        <v>227</v>
      </c>
      <c r="AS230" s="70">
        <v>207</v>
      </c>
      <c r="AT230" s="70">
        <v>205</v>
      </c>
      <c r="AU230" s="65">
        <v>834</v>
      </c>
      <c r="AV230" s="70">
        <v>210</v>
      </c>
      <c r="AW230" s="70">
        <v>219</v>
      </c>
      <c r="AX230" s="70">
        <v>170</v>
      </c>
      <c r="AY230" s="70">
        <v>226</v>
      </c>
      <c r="AZ230" s="65">
        <v>825</v>
      </c>
    </row>
    <row r="231" spans="1:52">
      <c r="A231" s="71" t="s">
        <v>7</v>
      </c>
      <c r="B231" s="24"/>
      <c r="C231" s="72"/>
      <c r="D231" s="72">
        <f>D230/C230-1</f>
        <v>-0.16455696202531644</v>
      </c>
      <c r="E231" s="72">
        <f>E230/D230-1</f>
        <v>0.18181818181818188</v>
      </c>
      <c r="F231" s="72">
        <f>F230/E230-1</f>
        <v>8.9743589743589647E-2</v>
      </c>
      <c r="G231" s="24"/>
      <c r="H231" s="72">
        <f>H230/F230-1</f>
        <v>0.39999999999999991</v>
      </c>
      <c r="I231" s="72">
        <f>I230/H230-1</f>
        <v>-0.19747899159663862</v>
      </c>
      <c r="J231" s="72">
        <f>J230/I230-1</f>
        <v>6.8062827225130906E-2</v>
      </c>
      <c r="K231" s="72">
        <f>K230/J230-1</f>
        <v>7.8431372549019551E-2</v>
      </c>
      <c r="L231" s="24"/>
      <c r="M231" s="72">
        <f>M230/K230-1</f>
        <v>8.181818181818179E-2</v>
      </c>
      <c r="N231" s="72">
        <f>N230/M230-1</f>
        <v>3.7815126050420256E-2</v>
      </c>
      <c r="O231" s="72">
        <f>O230/N230-1</f>
        <v>-8.0971659919027994E-3</v>
      </c>
      <c r="P231" s="72">
        <f>P230/O230-1</f>
        <v>0.2326530612244897</v>
      </c>
      <c r="Q231" s="24"/>
      <c r="R231" s="72">
        <f>R230/P230-1</f>
        <v>5.6291390728476776E-2</v>
      </c>
      <c r="S231" s="72">
        <f>S230/R230-1</f>
        <v>0</v>
      </c>
      <c r="T231" s="72">
        <f>T230/S230-1</f>
        <v>-0.15987460815047017</v>
      </c>
      <c r="U231" s="72">
        <f>U230/T230-1</f>
        <v>-3.3582089552238847E-2</v>
      </c>
      <c r="V231" s="24"/>
      <c r="W231" s="72">
        <f>W230/U230-1</f>
        <v>3.8610038610038533E-2</v>
      </c>
      <c r="X231" s="72">
        <f>X230/W230-1</f>
        <v>-0.11524163568773238</v>
      </c>
      <c r="Y231" s="72">
        <f>Y230/X230-1</f>
        <v>4.6218487394958041E-2</v>
      </c>
      <c r="Z231" s="72">
        <f>Z230/Y230-1</f>
        <v>-0.1887550200803213</v>
      </c>
      <c r="AA231" s="24"/>
      <c r="AB231" s="72">
        <f>AB230/Z230-1</f>
        <v>-9.4059405940594032E-2</v>
      </c>
      <c r="AC231" s="72">
        <f>AC230/AB230-1</f>
        <v>1.6393442622950838E-2</v>
      </c>
      <c r="AD231" s="72">
        <f>AD230/AC230-1</f>
        <v>6.4516129032258007E-2</v>
      </c>
      <c r="AE231" s="72">
        <f>AE230/AD230-1</f>
        <v>0.1212121212121211</v>
      </c>
      <c r="AF231" s="24"/>
      <c r="AG231" s="72">
        <f>AG230/AE230-1</f>
        <v>-5.4054054054054057E-2</v>
      </c>
      <c r="AH231" s="72">
        <f>AH230/AG230-1</f>
        <v>-1.4285714285714235E-2</v>
      </c>
      <c r="AI231" s="72">
        <f>AI230/AH230-1</f>
        <v>1.449275362318847E-2</v>
      </c>
      <c r="AJ231" s="72">
        <f>AJ230/AI230-1</f>
        <v>-7.1428571428571397E-2</v>
      </c>
      <c r="AK231" s="24"/>
      <c r="AL231" s="72">
        <v>0.18461538461538463</v>
      </c>
      <c r="AM231" s="72">
        <v>-0.17316017316017318</v>
      </c>
      <c r="AN231" s="72">
        <v>0.20418848167539272</v>
      </c>
      <c r="AO231" s="72">
        <v>-0.14347826086956517</v>
      </c>
      <c r="AP231" s="24"/>
      <c r="AQ231" s="72">
        <v>-1.0152284263959421E-2</v>
      </c>
      <c r="AR231" s="72">
        <v>0.16410256410256419</v>
      </c>
      <c r="AS231" s="72">
        <v>-8.8105726872246715E-2</v>
      </c>
      <c r="AT231" s="72">
        <v>-9.6618357487923134E-3</v>
      </c>
      <c r="AU231" s="24"/>
      <c r="AV231" s="72">
        <v>2.4390243902439046E-2</v>
      </c>
      <c r="AW231" s="72">
        <v>4.2857142857142927E-2</v>
      </c>
      <c r="AX231" s="72">
        <v>-0.22374429223744297</v>
      </c>
      <c r="AY231" s="72">
        <v>0.32941176470588229</v>
      </c>
      <c r="AZ231" s="24"/>
    </row>
    <row r="232" spans="1:52" ht="10.050000000000001" customHeight="1">
      <c r="A232" s="71" t="s">
        <v>8</v>
      </c>
      <c r="B232" s="24"/>
      <c r="C232" s="73"/>
      <c r="D232" s="73"/>
      <c r="E232" s="73"/>
      <c r="F232" s="73"/>
      <c r="G232" s="24">
        <f t="shared" ref="G232:N232" si="243">G230/B230-1</f>
        <v>0.21980198019801978</v>
      </c>
      <c r="H232" s="73">
        <f t="shared" si="243"/>
        <v>0.50632911392405067</v>
      </c>
      <c r="I232" s="73">
        <f t="shared" si="243"/>
        <v>0.44696969696969702</v>
      </c>
      <c r="J232" s="73">
        <f t="shared" si="243"/>
        <v>0.30769230769230771</v>
      </c>
      <c r="K232" s="73">
        <f t="shared" si="243"/>
        <v>0.29411764705882359</v>
      </c>
      <c r="L232" s="24">
        <f t="shared" si="243"/>
        <v>0.38474025974025983</v>
      </c>
      <c r="M232" s="73">
        <f t="shared" si="243"/>
        <v>0</v>
      </c>
      <c r="N232" s="73">
        <f t="shared" si="243"/>
        <v>0.293193717277487</v>
      </c>
      <c r="O232" s="73">
        <f t="shared" ref="O232:Y232" si="244">O230/J230-1</f>
        <v>0.2009803921568627</v>
      </c>
      <c r="P232" s="73">
        <f t="shared" si="244"/>
        <v>0.3727272727272728</v>
      </c>
      <c r="Q232" s="24">
        <f t="shared" si="244"/>
        <v>0.20984759671746778</v>
      </c>
      <c r="R232" s="73">
        <f t="shared" si="244"/>
        <v>0.34033613445378141</v>
      </c>
      <c r="S232" s="73">
        <f t="shared" si="244"/>
        <v>0.29149797570850211</v>
      </c>
      <c r="T232" s="73">
        <f t="shared" si="244"/>
        <v>9.3877551020408179E-2</v>
      </c>
      <c r="U232" s="73">
        <f t="shared" si="244"/>
        <v>-0.14238410596026485</v>
      </c>
      <c r="V232" s="24">
        <f t="shared" si="244"/>
        <v>0.12887596899224807</v>
      </c>
      <c r="W232" s="73">
        <f t="shared" si="244"/>
        <v>-0.15673981191222575</v>
      </c>
      <c r="X232" s="73">
        <f t="shared" si="244"/>
        <v>-0.25391849529780564</v>
      </c>
      <c r="Y232" s="73">
        <f t="shared" si="244"/>
        <v>-7.089552238805974E-2</v>
      </c>
      <c r="Z232" s="73">
        <f t="shared" ref="Z232:AI232" si="245">Z230/U230-1</f>
        <v>-0.22007722007722008</v>
      </c>
      <c r="AA232" s="24">
        <f t="shared" si="245"/>
        <v>-0.17768240343347641</v>
      </c>
      <c r="AB232" s="73">
        <f t="shared" si="245"/>
        <v>-0.3197026022304833</v>
      </c>
      <c r="AC232" s="73">
        <f t="shared" si="245"/>
        <v>-0.21848739495798319</v>
      </c>
      <c r="AD232" s="73">
        <f t="shared" si="245"/>
        <v>-0.20481927710843373</v>
      </c>
      <c r="AE232" s="73">
        <f t="shared" si="245"/>
        <v>9.9009900990099098E-2</v>
      </c>
      <c r="AF232" s="24">
        <f t="shared" si="245"/>
        <v>-0.17640918580375786</v>
      </c>
      <c r="AG232" s="73">
        <f t="shared" si="245"/>
        <v>0.14754098360655732</v>
      </c>
      <c r="AH232" s="73">
        <f t="shared" si="245"/>
        <v>0.11290322580645151</v>
      </c>
      <c r="AI232" s="73">
        <f t="shared" si="245"/>
        <v>6.0606060606060552E-2</v>
      </c>
      <c r="AJ232" s="73">
        <f t="shared" ref="AJ232:AS232" si="246">AJ230/AE230-1</f>
        <v>-0.1216216216216216</v>
      </c>
      <c r="AK232" s="24">
        <v>4.1825095057034245E-2</v>
      </c>
      <c r="AL232" s="73">
        <v>0.10000000000000009</v>
      </c>
      <c r="AM232" s="73">
        <v>-7.7294685990338174E-2</v>
      </c>
      <c r="AN232" s="73">
        <v>9.5238095238095344E-2</v>
      </c>
      <c r="AO232" s="73">
        <v>1.025641025641022E-2</v>
      </c>
      <c r="AP232" s="24">
        <v>3.2846715328467058E-2</v>
      </c>
      <c r="AQ232" s="73">
        <v>-0.1558441558441559</v>
      </c>
      <c r="AR232" s="73">
        <v>0.18848167539267013</v>
      </c>
      <c r="AS232" s="73">
        <v>-9.9999999999999978E-2</v>
      </c>
      <c r="AT232" s="73">
        <v>4.0609137055837463E-2</v>
      </c>
      <c r="AU232" s="24">
        <v>-1.7667844522968212E-2</v>
      </c>
      <c r="AV232" s="73">
        <v>7.6923076923076872E-2</v>
      </c>
      <c r="AW232" s="73">
        <v>-3.524229074889873E-2</v>
      </c>
      <c r="AX232" s="73">
        <v>-0.17874396135265702</v>
      </c>
      <c r="AY232" s="73">
        <v>0.10243902439024399</v>
      </c>
      <c r="AZ232" s="24">
        <v>-1.0791366906474864E-2</v>
      </c>
    </row>
    <row r="233" spans="1:52">
      <c r="A233" s="69" t="s">
        <v>221</v>
      </c>
      <c r="B233" s="65">
        <f>B230-169</f>
        <v>336</v>
      </c>
      <c r="C233" s="70">
        <v>98</v>
      </c>
      <c r="D233" s="70">
        <v>107</v>
      </c>
      <c r="E233" s="70">
        <f>E230-12</f>
        <v>144</v>
      </c>
      <c r="F233" s="70">
        <f>G233-E233-D233-C233</f>
        <v>123</v>
      </c>
      <c r="G233" s="65">
        <f>G230-144</f>
        <v>472</v>
      </c>
      <c r="H233" s="70">
        <f>H230-49</f>
        <v>189</v>
      </c>
      <c r="I233" s="70">
        <f>I230-9</f>
        <v>182</v>
      </c>
      <c r="J233" s="70">
        <f>J230-19</f>
        <v>185</v>
      </c>
      <c r="K233" s="70">
        <f>L233-J233-I233-H233</f>
        <v>211</v>
      </c>
      <c r="L233" s="65">
        <f>L230-86</f>
        <v>767</v>
      </c>
      <c r="M233" s="70">
        <f>M230-15</f>
        <v>223</v>
      </c>
      <c r="N233" s="70">
        <f>N230-26</f>
        <v>221</v>
      </c>
      <c r="O233" s="70">
        <f>O230-48</f>
        <v>197</v>
      </c>
      <c r="P233" s="70">
        <f>Q233-O233-N233-M233</f>
        <v>259</v>
      </c>
      <c r="Q233" s="65">
        <f>Q230-132</f>
        <v>900</v>
      </c>
      <c r="R233" s="70">
        <f>R230-72</f>
        <v>247</v>
      </c>
      <c r="S233" s="70">
        <f>S230-48</f>
        <v>271</v>
      </c>
      <c r="T233" s="70">
        <f>T230-68</f>
        <v>200</v>
      </c>
      <c r="U233" s="70">
        <f>V233-T233-S233-R233</f>
        <v>219</v>
      </c>
      <c r="V233" s="65">
        <f>V230-228</f>
        <v>937</v>
      </c>
      <c r="W233" s="70">
        <f>W230-46</f>
        <v>223</v>
      </c>
      <c r="X233" s="70">
        <f>X230-22</f>
        <v>216</v>
      </c>
      <c r="Y233" s="70">
        <f>Y230-96</f>
        <v>153</v>
      </c>
      <c r="Z233" s="70">
        <f>AA233-Y233-X233-W233</f>
        <v>66</v>
      </c>
      <c r="AA233" s="65">
        <f>AA230-300</f>
        <v>658</v>
      </c>
      <c r="AB233" s="70">
        <f>AB230-42</f>
        <v>141</v>
      </c>
      <c r="AC233" s="70">
        <f>AC230-124</f>
        <v>62</v>
      </c>
      <c r="AD233" s="70">
        <f>AD230-48</f>
        <v>150</v>
      </c>
      <c r="AE233" s="70">
        <f>AF233-AD233-AC233-AB233</f>
        <v>132</v>
      </c>
      <c r="AF233" s="65">
        <f>AF230-304</f>
        <v>485</v>
      </c>
      <c r="AG233" s="70">
        <f>AG230-28</f>
        <v>182</v>
      </c>
      <c r="AH233" s="70">
        <f>AH230-42</f>
        <v>165</v>
      </c>
      <c r="AI233" s="70">
        <f>AI230-69</f>
        <v>141</v>
      </c>
      <c r="AJ233" s="70">
        <f>AK233-AI233-AH233-AG233</f>
        <v>113</v>
      </c>
      <c r="AK233" s="65">
        <v>601</v>
      </c>
      <c r="AL233" s="70">
        <v>219</v>
      </c>
      <c r="AM233" s="70">
        <v>111</v>
      </c>
      <c r="AN233" s="70">
        <v>209</v>
      </c>
      <c r="AO233" s="70">
        <v>164</v>
      </c>
      <c r="AP233" s="65">
        <v>703</v>
      </c>
      <c r="AQ233" s="70">
        <v>154</v>
      </c>
      <c r="AR233" s="70">
        <v>173</v>
      </c>
      <c r="AS233" s="70">
        <v>185</v>
      </c>
      <c r="AT233" s="70">
        <v>190</v>
      </c>
      <c r="AU233" s="65">
        <v>702</v>
      </c>
      <c r="AV233" s="70">
        <v>200</v>
      </c>
      <c r="AW233" s="70">
        <v>203</v>
      </c>
      <c r="AX233" s="70">
        <v>124</v>
      </c>
      <c r="AY233" s="70">
        <v>204</v>
      </c>
      <c r="AZ233" s="65">
        <v>731</v>
      </c>
    </row>
    <row r="234" spans="1:52">
      <c r="A234" s="71" t="s">
        <v>7</v>
      </c>
      <c r="B234" s="24"/>
      <c r="C234" s="72"/>
      <c r="D234" s="72">
        <f>D233/C233-1</f>
        <v>9.1836734693877542E-2</v>
      </c>
      <c r="E234" s="72">
        <f>E233/D233-1</f>
        <v>0.34579439252336441</v>
      </c>
      <c r="F234" s="72">
        <f>F233/E233-1</f>
        <v>-0.14583333333333337</v>
      </c>
      <c r="G234" s="24"/>
      <c r="H234" s="72">
        <f>H233/F233-1</f>
        <v>0.53658536585365857</v>
      </c>
      <c r="I234" s="72">
        <f>I233/H233-1</f>
        <v>-3.703703703703709E-2</v>
      </c>
      <c r="J234" s="72">
        <f>J233/I233-1</f>
        <v>1.6483516483516425E-2</v>
      </c>
      <c r="K234" s="72">
        <f>K233/J233-1</f>
        <v>0.14054054054054044</v>
      </c>
      <c r="L234" s="24"/>
      <c r="M234" s="72">
        <f>M233/K233-1</f>
        <v>5.6872037914691864E-2</v>
      </c>
      <c r="N234" s="72">
        <f>N233/M233-1</f>
        <v>-8.9686098654708779E-3</v>
      </c>
      <c r="O234" s="72">
        <f>O233/N233-1</f>
        <v>-0.10859728506787325</v>
      </c>
      <c r="P234" s="72">
        <f>P233/O233-1</f>
        <v>0.31472081218274117</v>
      </c>
      <c r="Q234" s="24"/>
      <c r="R234" s="72">
        <f>R233/P233-1</f>
        <v>-4.633204633204635E-2</v>
      </c>
      <c r="S234" s="72">
        <f>S233/R233-1</f>
        <v>9.7165991902834037E-2</v>
      </c>
      <c r="T234" s="72">
        <f>T233/S233-1</f>
        <v>-0.26199261992619927</v>
      </c>
      <c r="U234" s="72">
        <f>U233/T233-1</f>
        <v>9.4999999999999973E-2</v>
      </c>
      <c r="V234" s="24"/>
      <c r="W234" s="72">
        <f>W233/U233-1</f>
        <v>1.8264840182648401E-2</v>
      </c>
      <c r="X234" s="72">
        <f>X233/W233-1</f>
        <v>-3.1390134529147962E-2</v>
      </c>
      <c r="Y234" s="72">
        <f>Y233/X233-1</f>
        <v>-0.29166666666666663</v>
      </c>
      <c r="Z234" s="72">
        <f>Z233/Y233-1</f>
        <v>-0.56862745098039214</v>
      </c>
      <c r="AA234" s="24"/>
      <c r="AB234" s="72">
        <f>AB233/Z233-1</f>
        <v>1.1363636363636362</v>
      </c>
      <c r="AC234" s="72">
        <f>AC233/AB233-1</f>
        <v>-0.56028368794326244</v>
      </c>
      <c r="AD234" s="72">
        <f>AD233/AC233-1</f>
        <v>1.4193548387096775</v>
      </c>
      <c r="AE234" s="72">
        <f>AE233/AD233-1</f>
        <v>-0.12</v>
      </c>
      <c r="AF234" s="24"/>
      <c r="AG234" s="72">
        <f>AG233/AE233-1</f>
        <v>0.3787878787878789</v>
      </c>
      <c r="AH234" s="72">
        <f>AH233/AG233-1</f>
        <v>-9.3406593406593408E-2</v>
      </c>
      <c r="AI234" s="72">
        <f>AI233/AH233-1</f>
        <v>-0.1454545454545455</v>
      </c>
      <c r="AJ234" s="72">
        <f>AJ233/AI233-1</f>
        <v>-0.1985815602836879</v>
      </c>
      <c r="AK234" s="24"/>
      <c r="AL234" s="72">
        <v>0.93805309734513265</v>
      </c>
      <c r="AM234" s="72">
        <v>-0.49315068493150682</v>
      </c>
      <c r="AN234" s="72">
        <v>0.88288288288288297</v>
      </c>
      <c r="AO234" s="72">
        <v>-0.21531100478468901</v>
      </c>
      <c r="AP234" s="24"/>
      <c r="AQ234" s="72">
        <v>-6.0975609756097615E-2</v>
      </c>
      <c r="AR234" s="72">
        <v>0.12337662337662336</v>
      </c>
      <c r="AS234" s="72">
        <v>6.9364161849710948E-2</v>
      </c>
      <c r="AT234" s="72">
        <v>2.7027027027026973E-2</v>
      </c>
      <c r="AU234" s="24"/>
      <c r="AV234" s="72">
        <v>5.2631578947368363E-2</v>
      </c>
      <c r="AW234" s="72">
        <v>1.4999999999999902E-2</v>
      </c>
      <c r="AX234" s="72">
        <v>-0.38916256157635465</v>
      </c>
      <c r="AY234" s="72">
        <v>0.64516129032258074</v>
      </c>
      <c r="AZ234" s="24"/>
    </row>
    <row r="235" spans="1:52" ht="11.1" customHeight="1">
      <c r="A235" s="71" t="s">
        <v>8</v>
      </c>
      <c r="B235" s="24"/>
      <c r="C235" s="73"/>
      <c r="D235" s="73"/>
      <c r="E235" s="73"/>
      <c r="F235" s="73"/>
      <c r="G235" s="24">
        <f t="shared" ref="G235:N235" si="247">G233/B233-1</f>
        <v>0.40476190476190466</v>
      </c>
      <c r="H235" s="73">
        <f t="shared" si="247"/>
        <v>0.9285714285714286</v>
      </c>
      <c r="I235" s="73">
        <f t="shared" si="247"/>
        <v>0.7009345794392523</v>
      </c>
      <c r="J235" s="73">
        <f t="shared" si="247"/>
        <v>0.28472222222222232</v>
      </c>
      <c r="K235" s="73">
        <f t="shared" si="247"/>
        <v>0.71544715447154461</v>
      </c>
      <c r="L235" s="24">
        <f t="shared" si="247"/>
        <v>0.625</v>
      </c>
      <c r="M235" s="73">
        <f t="shared" si="247"/>
        <v>0.17989417989418</v>
      </c>
      <c r="N235" s="73">
        <f t="shared" si="247"/>
        <v>0.21428571428571419</v>
      </c>
      <c r="O235" s="73">
        <f t="shared" ref="O235:Y235" si="248">O233/J233-1</f>
        <v>6.4864864864864868E-2</v>
      </c>
      <c r="P235" s="73">
        <f t="shared" si="248"/>
        <v>0.22748815165876768</v>
      </c>
      <c r="Q235" s="24">
        <f t="shared" si="248"/>
        <v>0.17340286831812257</v>
      </c>
      <c r="R235" s="73">
        <f t="shared" si="248"/>
        <v>0.10762331838565031</v>
      </c>
      <c r="S235" s="73">
        <f t="shared" si="248"/>
        <v>0.2262443438914028</v>
      </c>
      <c r="T235" s="73">
        <f t="shared" si="248"/>
        <v>1.5228426395939021E-2</v>
      </c>
      <c r="U235" s="73">
        <f t="shared" si="248"/>
        <v>-0.15444015444015446</v>
      </c>
      <c r="V235" s="24">
        <f t="shared" si="248"/>
        <v>4.1111111111111098E-2</v>
      </c>
      <c r="W235" s="73">
        <f t="shared" si="248"/>
        <v>-9.7165991902834037E-2</v>
      </c>
      <c r="X235" s="73">
        <f t="shared" si="248"/>
        <v>-0.20295202952029523</v>
      </c>
      <c r="Y235" s="73">
        <f t="shared" si="248"/>
        <v>-0.23499999999999999</v>
      </c>
      <c r="Z235" s="73">
        <f t="shared" ref="Z235:AI235" si="249">Z233/U233-1</f>
        <v>-0.69863013698630139</v>
      </c>
      <c r="AA235" s="24">
        <f t="shared" si="249"/>
        <v>-0.29775880469583782</v>
      </c>
      <c r="AB235" s="73">
        <f t="shared" si="249"/>
        <v>-0.36771300448430488</v>
      </c>
      <c r="AC235" s="73">
        <f t="shared" si="249"/>
        <v>-0.71296296296296302</v>
      </c>
      <c r="AD235" s="73">
        <f t="shared" si="249"/>
        <v>-1.9607843137254943E-2</v>
      </c>
      <c r="AE235" s="73">
        <f t="shared" si="249"/>
        <v>1</v>
      </c>
      <c r="AF235" s="24">
        <f t="shared" si="249"/>
        <v>-0.26291793313069911</v>
      </c>
      <c r="AG235" s="73">
        <f t="shared" si="249"/>
        <v>0.29078014184397172</v>
      </c>
      <c r="AH235" s="73">
        <f t="shared" si="249"/>
        <v>1.661290322580645</v>
      </c>
      <c r="AI235" s="73">
        <f t="shared" si="249"/>
        <v>-6.0000000000000053E-2</v>
      </c>
      <c r="AJ235" s="73">
        <f t="shared" ref="AJ235:AS235" si="250">AJ233/AE233-1</f>
        <v>-0.14393939393939392</v>
      </c>
      <c r="AK235" s="24">
        <v>0.2391752577319588</v>
      </c>
      <c r="AL235" s="73">
        <v>0.20329670329670324</v>
      </c>
      <c r="AM235" s="73">
        <v>-0.32727272727272727</v>
      </c>
      <c r="AN235" s="73">
        <v>0.48226950354609932</v>
      </c>
      <c r="AO235" s="73">
        <v>0.45132743362831862</v>
      </c>
      <c r="AP235" s="24">
        <v>0.16971713810316147</v>
      </c>
      <c r="AQ235" s="73">
        <v>-0.29680365296803657</v>
      </c>
      <c r="AR235" s="73">
        <v>0.55855855855855863</v>
      </c>
      <c r="AS235" s="73">
        <v>-0.11483253588516751</v>
      </c>
      <c r="AT235" s="73">
        <v>0.15853658536585358</v>
      </c>
      <c r="AU235" s="24">
        <v>-1.4224751066855834E-3</v>
      </c>
      <c r="AV235" s="73">
        <v>0.29870129870129869</v>
      </c>
      <c r="AW235" s="73">
        <v>0.17341040462427748</v>
      </c>
      <c r="AX235" s="73">
        <v>-0.32972972972972969</v>
      </c>
      <c r="AY235" s="73">
        <v>7.3684210526315796E-2</v>
      </c>
      <c r="AZ235" s="24">
        <v>4.1310541310541238E-2</v>
      </c>
    </row>
    <row r="236" spans="1:52" ht="11.55" customHeight="1">
      <c r="A236" s="69" t="s">
        <v>13</v>
      </c>
      <c r="B236" s="65">
        <f>B224-B233</f>
        <v>1043</v>
      </c>
      <c r="C236" s="80" t="s">
        <v>53</v>
      </c>
      <c r="D236" s="80" t="s">
        <v>53</v>
      </c>
      <c r="E236" s="80" t="s">
        <v>53</v>
      </c>
      <c r="F236" s="80" t="s">
        <v>53</v>
      </c>
      <c r="G236" s="65">
        <f>G224-G233</f>
        <v>1219</v>
      </c>
      <c r="H236" s="70">
        <f>H224-H233</f>
        <v>446</v>
      </c>
      <c r="I236" s="70">
        <f>I224-I233</f>
        <v>226</v>
      </c>
      <c r="J236" s="70">
        <f>J224-J233</f>
        <v>341</v>
      </c>
      <c r="K236" s="70">
        <f>L236-J236-I236-H236</f>
        <v>440</v>
      </c>
      <c r="L236" s="65">
        <f>L224-L233</f>
        <v>1453</v>
      </c>
      <c r="M236" s="70">
        <f>M224-M233</f>
        <v>170</v>
      </c>
      <c r="N236" s="70">
        <f>N224-N233</f>
        <v>302</v>
      </c>
      <c r="O236" s="70">
        <f>O224-O233</f>
        <v>487</v>
      </c>
      <c r="P236" s="70">
        <f>Q236-O236-N236-M236</f>
        <v>281</v>
      </c>
      <c r="Q236" s="65">
        <f>Q224-Q233</f>
        <v>1240</v>
      </c>
      <c r="R236" s="70">
        <f>R224-R233+115</f>
        <v>287</v>
      </c>
      <c r="S236" s="70">
        <f>S224-S233</f>
        <v>225</v>
      </c>
      <c r="T236" s="70">
        <f>T224-T233</f>
        <v>441</v>
      </c>
      <c r="U236" s="70">
        <f>V236-T236-S236-R236</f>
        <v>215.93499999999995</v>
      </c>
      <c r="V236" s="65">
        <f>V224-V233</f>
        <v>1168.9349999999999</v>
      </c>
      <c r="W236" s="70">
        <f>W224-W233</f>
        <v>428</v>
      </c>
      <c r="X236" s="70">
        <f>X224-X233</f>
        <v>160</v>
      </c>
      <c r="Y236" s="70">
        <f>Y224-Y233</f>
        <v>317</v>
      </c>
      <c r="Z236" s="70">
        <f>AA236-Y236-X236-W236</f>
        <v>446</v>
      </c>
      <c r="AA236" s="65">
        <f>AA224-AA233</f>
        <v>1351</v>
      </c>
      <c r="AB236" s="70">
        <f>AB224-AB233</f>
        <v>420</v>
      </c>
      <c r="AC236" s="70">
        <f>AC224-AC233</f>
        <v>494</v>
      </c>
      <c r="AD236" s="70">
        <f>AD224-AD233</f>
        <v>481</v>
      </c>
      <c r="AE236" s="70">
        <f>AF236-AD236-AC236-AB236</f>
        <v>394</v>
      </c>
      <c r="AF236" s="65">
        <f>AF224-AF233</f>
        <v>1789</v>
      </c>
      <c r="AG236" s="70">
        <f>AG224-AG233</f>
        <v>434</v>
      </c>
      <c r="AH236" s="70">
        <f>AH224-AH233</f>
        <v>380</v>
      </c>
      <c r="AI236" s="70">
        <f>AI224-AI233</f>
        <v>458</v>
      </c>
      <c r="AJ236" s="70">
        <f>AK236-AI236-AH236-AG236</f>
        <v>386</v>
      </c>
      <c r="AK236" s="65">
        <v>1658</v>
      </c>
      <c r="AL236" s="70">
        <v>329</v>
      </c>
      <c r="AM236" s="70">
        <v>345</v>
      </c>
      <c r="AN236" s="70">
        <v>477</v>
      </c>
      <c r="AO236" s="70">
        <v>504</v>
      </c>
      <c r="AP236" s="65">
        <v>1655</v>
      </c>
      <c r="AQ236" s="70">
        <v>385</v>
      </c>
      <c r="AR236" s="70">
        <v>344</v>
      </c>
      <c r="AS236" s="70">
        <v>341</v>
      </c>
      <c r="AT236" s="70">
        <v>292</v>
      </c>
      <c r="AU236" s="65">
        <v>1362</v>
      </c>
      <c r="AV236" s="70">
        <v>400</v>
      </c>
      <c r="AW236" s="70">
        <v>262</v>
      </c>
      <c r="AX236" s="70">
        <v>449</v>
      </c>
      <c r="AY236" s="70">
        <v>383</v>
      </c>
      <c r="AZ236" s="65">
        <v>1494</v>
      </c>
    </row>
    <row r="237" spans="1:52" ht="10.050000000000001" customHeight="1">
      <c r="A237" s="71" t="s">
        <v>7</v>
      </c>
      <c r="B237" s="24"/>
      <c r="C237" s="72"/>
      <c r="D237" s="72"/>
      <c r="E237" s="72"/>
      <c r="F237" s="72"/>
      <c r="G237" s="24"/>
      <c r="H237" s="72"/>
      <c r="I237" s="72">
        <f>I236/H236-1</f>
        <v>-0.49327354260089684</v>
      </c>
      <c r="J237" s="72">
        <f>J236/I236-1</f>
        <v>0.50884955752212391</v>
      </c>
      <c r="K237" s="72">
        <f>K236/J236-1</f>
        <v>0.29032258064516125</v>
      </c>
      <c r="L237" s="24"/>
      <c r="M237" s="72">
        <f>M236/K236-1</f>
        <v>-0.61363636363636365</v>
      </c>
      <c r="N237" s="72">
        <f>N236/M236-1</f>
        <v>0.77647058823529402</v>
      </c>
      <c r="O237" s="72">
        <f>O236/N236-1</f>
        <v>0.61258278145695355</v>
      </c>
      <c r="P237" s="72">
        <f>P236/O236-1</f>
        <v>-0.4229979466119097</v>
      </c>
      <c r="Q237" s="24"/>
      <c r="R237" s="72">
        <f>R236/P236-1</f>
        <v>2.1352313167259718E-2</v>
      </c>
      <c r="S237" s="72">
        <f>S236/R236-1</f>
        <v>-0.21602787456445993</v>
      </c>
      <c r="T237" s="72">
        <f>T236/S236-1</f>
        <v>0.96</v>
      </c>
      <c r="U237" s="72">
        <f>U236/T236-1</f>
        <v>-0.5103514739229027</v>
      </c>
      <c r="V237" s="24"/>
      <c r="W237" s="72">
        <f>W236/U236-1</f>
        <v>0.98207794012087013</v>
      </c>
      <c r="X237" s="72">
        <f>X236/W236-1</f>
        <v>-0.62616822429906538</v>
      </c>
      <c r="Y237" s="72">
        <f>Y236/X236-1</f>
        <v>0.98124999999999996</v>
      </c>
      <c r="Z237" s="72">
        <f>Z236/Y236-1</f>
        <v>0.40694006309148256</v>
      </c>
      <c r="AA237" s="24"/>
      <c r="AB237" s="72">
        <f>AB236/Z236-1</f>
        <v>-5.8295964125560484E-2</v>
      </c>
      <c r="AC237" s="72">
        <f>AC236/AB236-1</f>
        <v>0.17619047619047623</v>
      </c>
      <c r="AD237" s="72">
        <f>AD236/AC236-1</f>
        <v>-2.6315789473684181E-2</v>
      </c>
      <c r="AE237" s="72">
        <f>AE236/AD236-1</f>
        <v>-0.18087318087318083</v>
      </c>
      <c r="AF237" s="24"/>
      <c r="AG237" s="72">
        <f>AG236/AE236-1</f>
        <v>0.10152284263959399</v>
      </c>
      <c r="AH237" s="72">
        <f>AH236/AG236-1</f>
        <v>-0.12442396313364057</v>
      </c>
      <c r="AI237" s="72">
        <f>AI236/AH236-1</f>
        <v>0.20526315789473681</v>
      </c>
      <c r="AJ237" s="72">
        <f>AJ236/AI236-1</f>
        <v>-0.15720524017467252</v>
      </c>
      <c r="AK237" s="24"/>
      <c r="AL237" s="72">
        <v>-0.14766839378238339</v>
      </c>
      <c r="AM237" s="72">
        <v>4.8632218844984809E-2</v>
      </c>
      <c r="AN237" s="72">
        <v>0.38260869565217392</v>
      </c>
      <c r="AO237" s="72">
        <v>5.6603773584905648E-2</v>
      </c>
      <c r="AP237" s="24"/>
      <c r="AQ237" s="72">
        <v>-0.23611111111111116</v>
      </c>
      <c r="AR237" s="72">
        <v>-0.10649350649350653</v>
      </c>
      <c r="AS237" s="72">
        <v>-8.720930232558155E-3</v>
      </c>
      <c r="AT237" s="72">
        <v>-0.14369501466275658</v>
      </c>
      <c r="AU237" s="24"/>
      <c r="AV237" s="72">
        <v>0.36986301369863006</v>
      </c>
      <c r="AW237" s="72">
        <v>-0.34499999999999997</v>
      </c>
      <c r="AX237" s="72">
        <v>0.71374045801526709</v>
      </c>
      <c r="AY237" s="72">
        <v>-0.14699331848552344</v>
      </c>
      <c r="AZ237" s="24"/>
    </row>
    <row r="238" spans="1:52" ht="11.1" customHeight="1">
      <c r="A238" s="71" t="s">
        <v>8</v>
      </c>
      <c r="B238" s="24"/>
      <c r="C238" s="73"/>
      <c r="D238" s="73"/>
      <c r="E238" s="73"/>
      <c r="F238" s="73"/>
      <c r="G238" s="24">
        <f>G236/B236-1</f>
        <v>0.16874400767018227</v>
      </c>
      <c r="H238" s="73"/>
      <c r="I238" s="73"/>
      <c r="J238" s="73"/>
      <c r="K238" s="73"/>
      <c r="L238" s="24">
        <f t="shared" ref="L238:R238" si="251">L236/G236-1</f>
        <v>0.19196062346185405</v>
      </c>
      <c r="M238" s="73">
        <f t="shared" si="251"/>
        <v>-0.6188340807174888</v>
      </c>
      <c r="N238" s="73">
        <f t="shared" si="251"/>
        <v>0.33628318584070804</v>
      </c>
      <c r="O238" s="73">
        <f t="shared" si="251"/>
        <v>0.42815249266862176</v>
      </c>
      <c r="P238" s="73">
        <f t="shared" si="251"/>
        <v>-0.36136363636363633</v>
      </c>
      <c r="Q238" s="24">
        <f t="shared" si="251"/>
        <v>-0.14659325533379219</v>
      </c>
      <c r="R238" s="73">
        <f t="shared" si="251"/>
        <v>0.68823529411764706</v>
      </c>
      <c r="S238" s="73">
        <f t="shared" ref="S238:Y238" si="252">S236/N236-1</f>
        <v>-0.25496688741721851</v>
      </c>
      <c r="T238" s="73">
        <f t="shared" si="252"/>
        <v>-9.4455852156057452E-2</v>
      </c>
      <c r="U238" s="73">
        <f t="shared" si="252"/>
        <v>-0.23154804270462648</v>
      </c>
      <c r="V238" s="24">
        <f t="shared" si="252"/>
        <v>-5.7310483870967821E-2</v>
      </c>
      <c r="W238" s="73">
        <f t="shared" si="252"/>
        <v>0.49128919860627174</v>
      </c>
      <c r="X238" s="73">
        <f t="shared" si="252"/>
        <v>-0.28888888888888886</v>
      </c>
      <c r="Y238" s="73">
        <f t="shared" si="252"/>
        <v>-0.28117913832199548</v>
      </c>
      <c r="Z238" s="73">
        <f t="shared" ref="Z238:AI238" si="253">Z236/U236-1</f>
        <v>1.0654363581633368</v>
      </c>
      <c r="AA238" s="24">
        <f t="shared" si="253"/>
        <v>0.15575288617416705</v>
      </c>
      <c r="AB238" s="73">
        <f t="shared" si="253"/>
        <v>-1.8691588785046731E-2</v>
      </c>
      <c r="AC238" s="73">
        <f t="shared" si="253"/>
        <v>2.0874999999999999</v>
      </c>
      <c r="AD238" s="73">
        <f t="shared" si="253"/>
        <v>0.51735015772870652</v>
      </c>
      <c r="AE238" s="73">
        <f t="shared" si="253"/>
        <v>-0.11659192825112108</v>
      </c>
      <c r="AF238" s="24">
        <f t="shared" si="253"/>
        <v>0.32420429311621013</v>
      </c>
      <c r="AG238" s="73">
        <f t="shared" si="253"/>
        <v>3.3333333333333437E-2</v>
      </c>
      <c r="AH238" s="73">
        <f t="shared" si="253"/>
        <v>-0.23076923076923073</v>
      </c>
      <c r="AI238" s="73">
        <f t="shared" si="253"/>
        <v>-4.7817047817047764E-2</v>
      </c>
      <c r="AJ238" s="73">
        <f t="shared" ref="AJ238:AS238" si="254">AJ236/AE236-1</f>
        <v>-2.0304568527918732E-2</v>
      </c>
      <c r="AK238" s="24">
        <v>-7.3225265511458915E-2</v>
      </c>
      <c r="AL238" s="73">
        <v>-0.24193548387096775</v>
      </c>
      <c r="AM238" s="73">
        <v>-9.210526315789469E-2</v>
      </c>
      <c r="AN238" s="73">
        <v>4.148471615720517E-2</v>
      </c>
      <c r="AO238" s="73">
        <v>0.30569948186528495</v>
      </c>
      <c r="AP238" s="24">
        <v>-1.8094089264173441E-3</v>
      </c>
      <c r="AQ238" s="73">
        <v>0.17021276595744683</v>
      </c>
      <c r="AR238" s="73">
        <v>-2.8985507246376274E-3</v>
      </c>
      <c r="AS238" s="73">
        <v>-0.28511530398322849</v>
      </c>
      <c r="AT238" s="73">
        <v>-0.42063492063492058</v>
      </c>
      <c r="AU238" s="24">
        <v>-0.17703927492447125</v>
      </c>
      <c r="AV238" s="73">
        <v>3.8961038961038863E-2</v>
      </c>
      <c r="AW238" s="73">
        <v>-0.23837209302325579</v>
      </c>
      <c r="AX238" s="73">
        <v>0.31671554252199408</v>
      </c>
      <c r="AY238" s="73">
        <v>0.31164383561643838</v>
      </c>
      <c r="AZ238" s="24">
        <v>9.6916299559471453E-2</v>
      </c>
    </row>
    <row r="239" spans="1:52">
      <c r="B239" s="24"/>
      <c r="G239" s="24"/>
      <c r="L239" s="24"/>
      <c r="Q239" s="24"/>
      <c r="V239" s="24"/>
      <c r="AA239" s="24"/>
      <c r="AF239" s="24"/>
      <c r="AK239" s="24"/>
      <c r="AP239" s="24"/>
      <c r="AU239" s="24"/>
      <c r="AZ239" s="24"/>
    </row>
    <row r="240" spans="1:52" ht="3.75" customHeight="1">
      <c r="A240" s="44"/>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row>
    <row r="241" spans="1:52" ht="11.55" customHeight="1">
      <c r="A241" s="97" t="s">
        <v>102</v>
      </c>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row>
    <row r="242" spans="1:52" ht="17.25" customHeight="1">
      <c r="A242" s="35" t="s">
        <v>92</v>
      </c>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row>
    <row r="243" spans="1:52" ht="17.25" customHeight="1">
      <c r="A243" s="33"/>
      <c r="B243" s="22"/>
      <c r="C243" s="21"/>
      <c r="D243" s="21"/>
      <c r="E243" s="21"/>
      <c r="F243" s="21"/>
      <c r="G243" s="22"/>
      <c r="H243" s="21"/>
      <c r="I243" s="21"/>
      <c r="J243" s="21"/>
      <c r="K243" s="21"/>
      <c r="L243" s="22"/>
      <c r="M243" s="21"/>
      <c r="N243" s="21"/>
      <c r="O243" s="21"/>
      <c r="P243" s="21"/>
      <c r="Q243" s="22"/>
      <c r="R243" s="21"/>
      <c r="S243" s="21"/>
      <c r="T243" s="21"/>
      <c r="U243" s="21"/>
      <c r="V243" s="22"/>
      <c r="W243" s="21"/>
      <c r="X243" s="21"/>
      <c r="Y243" s="21"/>
      <c r="Z243" s="21"/>
      <c r="AA243" s="22"/>
      <c r="AB243" s="21"/>
      <c r="AC243" s="21"/>
      <c r="AD243" s="21"/>
      <c r="AE243" s="21"/>
      <c r="AF243" s="22"/>
      <c r="AG243" s="21"/>
      <c r="AH243" s="21"/>
      <c r="AI243" s="21"/>
      <c r="AJ243" s="21"/>
      <c r="AK243" s="22"/>
      <c r="AL243" s="21"/>
      <c r="AM243" s="21"/>
      <c r="AN243" s="21"/>
      <c r="AO243" s="21"/>
      <c r="AP243" s="22"/>
      <c r="AQ243" s="21"/>
      <c r="AR243" s="21"/>
      <c r="AS243" s="21"/>
      <c r="AT243" s="21"/>
      <c r="AU243" s="22"/>
      <c r="AV243" s="21"/>
      <c r="AW243" s="21"/>
      <c r="AX243" s="21"/>
      <c r="AY243" s="21"/>
      <c r="AZ243" s="22"/>
    </row>
    <row r="244" spans="1:52" ht="17.25" customHeight="1">
      <c r="A244" s="40" t="s">
        <v>91</v>
      </c>
      <c r="B244" s="41"/>
      <c r="C244" s="42"/>
      <c r="D244" s="42"/>
      <c r="E244" s="42"/>
      <c r="F244" s="42"/>
      <c r="G244" s="41"/>
      <c r="H244" s="42"/>
      <c r="I244" s="42"/>
      <c r="J244" s="42"/>
      <c r="K244" s="42"/>
      <c r="L244" s="41"/>
      <c r="M244" s="42"/>
      <c r="N244" s="42"/>
      <c r="O244" s="42"/>
      <c r="P244" s="42"/>
      <c r="Q244" s="41"/>
      <c r="R244" s="42"/>
      <c r="S244" s="42"/>
      <c r="T244" s="42"/>
      <c r="U244" s="42"/>
      <c r="V244" s="41"/>
      <c r="W244" s="42"/>
      <c r="X244" s="42"/>
      <c r="Y244" s="42"/>
      <c r="Z244" s="42"/>
      <c r="AA244" s="41"/>
      <c r="AB244" s="42"/>
      <c r="AC244" s="42"/>
      <c r="AD244" s="42"/>
      <c r="AE244" s="42"/>
      <c r="AF244" s="41"/>
      <c r="AG244" s="42"/>
      <c r="AH244" s="42"/>
      <c r="AI244" s="42"/>
      <c r="AJ244" s="42"/>
      <c r="AK244" s="41"/>
      <c r="AL244" s="42"/>
      <c r="AM244" s="42"/>
      <c r="AN244" s="42"/>
      <c r="AO244" s="42"/>
      <c r="AP244" s="41"/>
      <c r="AQ244" s="42"/>
      <c r="AR244" s="42"/>
      <c r="AS244" s="42"/>
      <c r="AT244" s="42"/>
      <c r="AU244" s="41"/>
      <c r="AV244" s="42"/>
      <c r="AW244" s="42"/>
      <c r="AX244" s="42"/>
      <c r="AY244" s="42"/>
      <c r="AZ244" s="41"/>
    </row>
    <row r="245" spans="1:52" ht="12.75" customHeight="1">
      <c r="A245" s="69" t="s">
        <v>100</v>
      </c>
      <c r="B245" s="37">
        <v>2121</v>
      </c>
      <c r="C245" s="80" t="s">
        <v>53</v>
      </c>
      <c r="D245" s="80" t="s">
        <v>53</v>
      </c>
      <c r="E245" s="80" t="s">
        <v>53</v>
      </c>
      <c r="F245" s="80" t="s">
        <v>53</v>
      </c>
      <c r="G245" s="37">
        <v>1873</v>
      </c>
      <c r="H245" s="80" t="s">
        <v>53</v>
      </c>
      <c r="I245" s="80" t="s">
        <v>53</v>
      </c>
      <c r="J245" s="80" t="s">
        <v>53</v>
      </c>
      <c r="K245" s="80" t="s">
        <v>53</v>
      </c>
      <c r="L245" s="37">
        <v>1690</v>
      </c>
      <c r="M245" s="80" t="s">
        <v>53</v>
      </c>
      <c r="N245" s="80" t="s">
        <v>53</v>
      </c>
      <c r="O245" s="80" t="s">
        <v>53</v>
      </c>
      <c r="P245" s="80" t="s">
        <v>53</v>
      </c>
      <c r="Q245" s="37">
        <v>1609</v>
      </c>
      <c r="R245" s="70">
        <v>271</v>
      </c>
      <c r="S245" s="70">
        <v>253</v>
      </c>
      <c r="T245" s="70">
        <v>282</v>
      </c>
      <c r="U245" s="70">
        <f>V245-R245-S245-T245</f>
        <v>268</v>
      </c>
      <c r="V245" s="37">
        <v>1074</v>
      </c>
      <c r="W245" s="70">
        <v>237</v>
      </c>
      <c r="X245" s="70">
        <v>263</v>
      </c>
      <c r="Y245" s="70">
        <v>278</v>
      </c>
      <c r="Z245" s="70">
        <f>AA245-W245-X245-Y245</f>
        <v>255</v>
      </c>
      <c r="AA245" s="37">
        <v>1033</v>
      </c>
      <c r="AB245" s="70">
        <f>AB251+AB254+AB257+AB248+AB260+AB263+AB266</f>
        <v>230</v>
      </c>
      <c r="AC245" s="70">
        <f>AC251+AC254+AC257+AC248+AC260+AC263+AC266</f>
        <v>218</v>
      </c>
      <c r="AD245" s="70">
        <f>AD251+AD254+AD257+AD248+AD260+AD263+AD266</f>
        <v>224</v>
      </c>
      <c r="AE245" s="70">
        <f>AF245-AB245-AC245-AD245</f>
        <v>223</v>
      </c>
      <c r="AF245" s="37">
        <f>AF251+AF254+AF257+AF248+AF260+AF263+AF266</f>
        <v>895</v>
      </c>
      <c r="AG245" s="70">
        <f>AG251+AG254+AG257+AG248+AG260+AG263+AG266</f>
        <v>190</v>
      </c>
      <c r="AH245" s="70">
        <f>AH251+AH254+AH257+AH248+AH260+AH263+AH266</f>
        <v>188</v>
      </c>
      <c r="AI245" s="70">
        <f>AI251+AI254+AI257+AI248+AI260+AI263+AI266</f>
        <v>203</v>
      </c>
      <c r="AJ245" s="70">
        <f>AK245-AG245-AH245-AI245</f>
        <v>196</v>
      </c>
      <c r="AK245" s="37">
        <v>777</v>
      </c>
      <c r="AL245" s="70">
        <v>180</v>
      </c>
      <c r="AM245" s="70">
        <v>176</v>
      </c>
      <c r="AN245" s="70">
        <v>186</v>
      </c>
      <c r="AO245" s="70">
        <v>179</v>
      </c>
      <c r="AP245" s="37">
        <v>721</v>
      </c>
      <c r="AQ245" s="70">
        <v>172</v>
      </c>
      <c r="AR245" s="70">
        <v>170</v>
      </c>
      <c r="AS245" s="70">
        <v>183</v>
      </c>
      <c r="AT245" s="70">
        <v>180</v>
      </c>
      <c r="AU245" s="37">
        <v>705</v>
      </c>
      <c r="AV245" s="70">
        <v>165</v>
      </c>
      <c r="AW245" s="70">
        <v>166</v>
      </c>
      <c r="AX245" s="70">
        <v>183</v>
      </c>
      <c r="AY245" s="70">
        <v>163</v>
      </c>
      <c r="AZ245" s="37">
        <v>677</v>
      </c>
    </row>
    <row r="246" spans="1:52" ht="12.75" customHeight="1">
      <c r="A246" s="71" t="s">
        <v>7</v>
      </c>
      <c r="B246" s="24"/>
      <c r="C246" s="73"/>
      <c r="D246" s="73"/>
      <c r="E246" s="73"/>
      <c r="F246" s="73"/>
      <c r="G246" s="24"/>
      <c r="H246" s="73"/>
      <c r="I246" s="73"/>
      <c r="J246" s="73"/>
      <c r="K246" s="73"/>
      <c r="L246" s="24"/>
      <c r="M246" s="72"/>
      <c r="N246" s="72"/>
      <c r="O246" s="72"/>
      <c r="P246" s="72"/>
      <c r="Q246" s="24"/>
      <c r="R246" s="72"/>
      <c r="S246" s="72">
        <f>S245/R245-1</f>
        <v>-6.6420664206642055E-2</v>
      </c>
      <c r="T246" s="72">
        <f>T245/S245-1</f>
        <v>0.11462450592885376</v>
      </c>
      <c r="U246" s="72">
        <f>U245/T245-1</f>
        <v>-4.9645390070921946E-2</v>
      </c>
      <c r="V246" s="24"/>
      <c r="W246" s="72">
        <f>W245/U245-1</f>
        <v>-0.11567164179104472</v>
      </c>
      <c r="X246" s="72">
        <f>X245/W245-1</f>
        <v>0.10970464135021096</v>
      </c>
      <c r="Y246" s="72">
        <f>Y245/X245-1</f>
        <v>5.7034220532319324E-2</v>
      </c>
      <c r="Z246" s="72">
        <f>Z245/Y245-1</f>
        <v>-8.2733812949640329E-2</v>
      </c>
      <c r="AA246" s="24"/>
      <c r="AB246" s="72">
        <f>AB245/Z245-1</f>
        <v>-9.8039215686274495E-2</v>
      </c>
      <c r="AC246" s="72">
        <f>AC245/AB245-1</f>
        <v>-5.2173913043478293E-2</v>
      </c>
      <c r="AD246" s="72">
        <f>AD245/AC245-1</f>
        <v>2.7522935779816571E-2</v>
      </c>
      <c r="AE246" s="72">
        <f>AE245/AD245-1</f>
        <v>-4.4642857142856984E-3</v>
      </c>
      <c r="AF246" s="24"/>
      <c r="AG246" s="72">
        <f>AG245/AE245-1</f>
        <v>-0.14798206278026904</v>
      </c>
      <c r="AH246" s="72">
        <f>AH245/AG245-1</f>
        <v>-1.0526315789473717E-2</v>
      </c>
      <c r="AI246" s="72">
        <f>AI245/AH245-1</f>
        <v>7.9787234042553168E-2</v>
      </c>
      <c r="AJ246" s="72">
        <f>AJ245/AI245-1</f>
        <v>-3.4482758620689613E-2</v>
      </c>
      <c r="AK246" s="24"/>
      <c r="AL246" s="72">
        <v>-8.1632653061224469E-2</v>
      </c>
      <c r="AM246" s="72">
        <v>-2.2222222222222254E-2</v>
      </c>
      <c r="AN246" s="72">
        <v>5.6818181818181879E-2</v>
      </c>
      <c r="AO246" s="72">
        <v>-3.7634408602150504E-2</v>
      </c>
      <c r="AP246" s="24"/>
      <c r="AQ246" s="72">
        <v>-3.9106145251396662E-2</v>
      </c>
      <c r="AR246" s="72">
        <v>-1.1627906976744207E-2</v>
      </c>
      <c r="AS246" s="72">
        <v>7.6470588235294068E-2</v>
      </c>
      <c r="AT246" s="72">
        <v>-1.6393442622950838E-2</v>
      </c>
      <c r="AU246" s="24"/>
      <c r="AV246" s="72">
        <v>-8.333333333333337E-2</v>
      </c>
      <c r="AW246" s="72">
        <v>6.0606060606060996E-3</v>
      </c>
      <c r="AX246" s="72">
        <v>0.10240963855421681</v>
      </c>
      <c r="AY246" s="72">
        <v>-0.10928961748633881</v>
      </c>
      <c r="AZ246" s="24"/>
    </row>
    <row r="247" spans="1:52" ht="12.75" customHeight="1">
      <c r="A247" s="71" t="s">
        <v>8</v>
      </c>
      <c r="B247" s="24"/>
      <c r="C247" s="73"/>
      <c r="D247" s="73"/>
      <c r="E247" s="73"/>
      <c r="F247" s="73"/>
      <c r="G247" s="24">
        <f>G245/B245-1</f>
        <v>-0.11692597831211693</v>
      </c>
      <c r="H247" s="73"/>
      <c r="I247" s="73"/>
      <c r="J247" s="73"/>
      <c r="K247" s="73"/>
      <c r="L247" s="24">
        <f>L245/G245-1</f>
        <v>-9.7704217832354501E-2</v>
      </c>
      <c r="M247" s="73"/>
      <c r="N247" s="73"/>
      <c r="O247" s="73"/>
      <c r="P247" s="73"/>
      <c r="Q247" s="24">
        <f>Q245/L245-1</f>
        <v>-4.7928994082840237E-2</v>
      </c>
      <c r="R247" s="73"/>
      <c r="S247" s="73"/>
      <c r="T247" s="73"/>
      <c r="U247" s="73"/>
      <c r="V247" s="24">
        <f t="shared" ref="V247:AD247" si="255">V245/Q245-1</f>
        <v>-0.33250466128029832</v>
      </c>
      <c r="W247" s="73">
        <f t="shared" si="255"/>
        <v>-0.12546125461254609</v>
      </c>
      <c r="X247" s="73">
        <f t="shared" si="255"/>
        <v>3.9525691699604737E-2</v>
      </c>
      <c r="Y247" s="73">
        <f t="shared" si="255"/>
        <v>-1.4184397163120588E-2</v>
      </c>
      <c r="Z247" s="73">
        <f t="shared" si="255"/>
        <v>-4.8507462686567138E-2</v>
      </c>
      <c r="AA247" s="24">
        <f t="shared" si="255"/>
        <v>-3.8175046554934866E-2</v>
      </c>
      <c r="AB247" s="73">
        <f t="shared" si="255"/>
        <v>-2.9535864978902926E-2</v>
      </c>
      <c r="AC247" s="73">
        <f t="shared" si="255"/>
        <v>-0.17110266159695819</v>
      </c>
      <c r="AD247" s="73">
        <f t="shared" si="255"/>
        <v>-0.19424460431654678</v>
      </c>
      <c r="AE247" s="73">
        <f t="shared" ref="AE247:AN247" si="256">AE245/Z245-1</f>
        <v>-0.12549019607843137</v>
      </c>
      <c r="AF247" s="24">
        <f t="shared" si="256"/>
        <v>-0.13359148112294283</v>
      </c>
      <c r="AG247" s="73">
        <f t="shared" si="256"/>
        <v>-0.17391304347826086</v>
      </c>
      <c r="AH247" s="73">
        <f t="shared" si="256"/>
        <v>-0.13761467889908252</v>
      </c>
      <c r="AI247" s="73">
        <f t="shared" si="256"/>
        <v>-9.375E-2</v>
      </c>
      <c r="AJ247" s="73">
        <f t="shared" si="256"/>
        <v>-0.12107623318385652</v>
      </c>
      <c r="AK247" s="24">
        <v>-0.13184357541899439</v>
      </c>
      <c r="AL247" s="73">
        <v>-5.2631578947368474E-2</v>
      </c>
      <c r="AM247" s="73">
        <v>-6.3829787234042534E-2</v>
      </c>
      <c r="AN247" s="73">
        <v>-8.3743842364532028E-2</v>
      </c>
      <c r="AO247" s="73">
        <v>-8.6734693877551061E-2</v>
      </c>
      <c r="AP247" s="24">
        <v>-7.2072072072072113E-2</v>
      </c>
      <c r="AQ247" s="73">
        <v>-4.4444444444444398E-2</v>
      </c>
      <c r="AR247" s="73">
        <v>-3.4090909090909061E-2</v>
      </c>
      <c r="AS247" s="73">
        <v>-1.6129032258064502E-2</v>
      </c>
      <c r="AT247" s="73">
        <v>5.5865921787709993E-3</v>
      </c>
      <c r="AU247" s="24">
        <v>-2.2191400832177521E-2</v>
      </c>
      <c r="AV247" s="73">
        <v>-4.0697674418604612E-2</v>
      </c>
      <c r="AW247" s="73">
        <v>-2.352941176470591E-2</v>
      </c>
      <c r="AX247" s="73">
        <v>0</v>
      </c>
      <c r="AY247" s="73">
        <v>-9.4444444444444442E-2</v>
      </c>
      <c r="AZ247" s="24">
        <v>-3.9716312056737535E-2</v>
      </c>
    </row>
    <row r="248" spans="1:52" ht="12.75" customHeight="1">
      <c r="A248" s="69" t="s">
        <v>95</v>
      </c>
      <c r="B248" s="123" t="s">
        <v>45</v>
      </c>
      <c r="C248" s="80" t="s">
        <v>53</v>
      </c>
      <c r="D248" s="80" t="s">
        <v>53</v>
      </c>
      <c r="E248" s="80" t="s">
        <v>53</v>
      </c>
      <c r="F248" s="80" t="s">
        <v>53</v>
      </c>
      <c r="G248" s="123" t="s">
        <v>45</v>
      </c>
      <c r="H248" s="80" t="s">
        <v>53</v>
      </c>
      <c r="I248" s="80" t="s">
        <v>53</v>
      </c>
      <c r="J248" s="80" t="s">
        <v>53</v>
      </c>
      <c r="K248" s="80" t="s">
        <v>53</v>
      </c>
      <c r="L248" s="37">
        <v>278</v>
      </c>
      <c r="M248" s="80" t="s">
        <v>53</v>
      </c>
      <c r="N248" s="80" t="s">
        <v>53</v>
      </c>
      <c r="O248" s="80" t="s">
        <v>53</v>
      </c>
      <c r="P248" s="80" t="s">
        <v>53</v>
      </c>
      <c r="Q248" s="37">
        <v>240</v>
      </c>
      <c r="R248" s="70">
        <v>62</v>
      </c>
      <c r="S248" s="70">
        <v>60</v>
      </c>
      <c r="T248" s="70">
        <v>63</v>
      </c>
      <c r="U248" s="70">
        <f>V248-R248-S248-T248</f>
        <v>62</v>
      </c>
      <c r="V248" s="37">
        <v>247</v>
      </c>
      <c r="W248" s="70">
        <v>63</v>
      </c>
      <c r="X248" s="70">
        <v>59</v>
      </c>
      <c r="Y248" s="70">
        <v>70</v>
      </c>
      <c r="Z248" s="70">
        <f>AA248-W248-X248-Y248</f>
        <v>53</v>
      </c>
      <c r="AA248" s="37">
        <v>245</v>
      </c>
      <c r="AB248" s="70">
        <v>59</v>
      </c>
      <c r="AC248" s="70">
        <v>55</v>
      </c>
      <c r="AD248" s="70">
        <v>61</v>
      </c>
      <c r="AE248" s="147">
        <f>AF248-AB248-AC248-AD248</f>
        <v>58</v>
      </c>
      <c r="AF248" s="37">
        <v>233</v>
      </c>
      <c r="AG248" s="70">
        <v>55</v>
      </c>
      <c r="AH248" s="70">
        <v>53</v>
      </c>
      <c r="AI248" s="70">
        <v>57</v>
      </c>
      <c r="AJ248" s="147">
        <f>AK248-AG248-AH248-AI248</f>
        <v>52</v>
      </c>
      <c r="AK248" s="37">
        <v>217</v>
      </c>
      <c r="AL248" s="70">
        <v>51</v>
      </c>
      <c r="AM248" s="70">
        <v>47</v>
      </c>
      <c r="AN248" s="70">
        <v>54</v>
      </c>
      <c r="AO248" s="147">
        <v>50</v>
      </c>
      <c r="AP248" s="37">
        <v>202</v>
      </c>
      <c r="AQ248" s="70">
        <v>49</v>
      </c>
      <c r="AR248" s="70">
        <v>46</v>
      </c>
      <c r="AS248" s="70">
        <v>49</v>
      </c>
      <c r="AT248" s="147">
        <v>45</v>
      </c>
      <c r="AU248" s="37">
        <v>189</v>
      </c>
      <c r="AV248" s="70">
        <v>47</v>
      </c>
      <c r="AW248" s="70">
        <v>45</v>
      </c>
      <c r="AX248" s="70">
        <v>49</v>
      </c>
      <c r="AY248" s="147">
        <v>44</v>
      </c>
      <c r="AZ248" s="37">
        <v>185</v>
      </c>
    </row>
    <row r="249" spans="1:52" ht="12.75" customHeight="1">
      <c r="A249" s="71" t="s">
        <v>7</v>
      </c>
      <c r="B249" s="24"/>
      <c r="C249" s="72"/>
      <c r="D249" s="72"/>
      <c r="E249" s="72"/>
      <c r="F249" s="72"/>
      <c r="G249" s="24"/>
      <c r="H249" s="72"/>
      <c r="I249" s="72"/>
      <c r="J249" s="72"/>
      <c r="K249" s="72"/>
      <c r="L249" s="24"/>
      <c r="M249" s="72"/>
      <c r="N249" s="72"/>
      <c r="O249" s="72"/>
      <c r="P249" s="72"/>
      <c r="Q249" s="24"/>
      <c r="R249" s="72"/>
      <c r="S249" s="72">
        <f>S248/R248-1</f>
        <v>-3.2258064516129004E-2</v>
      </c>
      <c r="T249" s="72">
        <f>T248/S248-1</f>
        <v>5.0000000000000044E-2</v>
      </c>
      <c r="U249" s="72">
        <f>U248/T248-1</f>
        <v>-1.5873015873015928E-2</v>
      </c>
      <c r="V249" s="24"/>
      <c r="W249" s="72">
        <f>W248/U248-1</f>
        <v>1.6129032258064502E-2</v>
      </c>
      <c r="X249" s="72">
        <f>X248/W248-1</f>
        <v>-6.3492063492063489E-2</v>
      </c>
      <c r="Y249" s="72">
        <f>Y248/X248-1</f>
        <v>0.18644067796610164</v>
      </c>
      <c r="Z249" s="72">
        <f>Z248/Y248-1</f>
        <v>-0.24285714285714288</v>
      </c>
      <c r="AA249" s="24"/>
      <c r="AB249" s="72">
        <f>AB248/Z248-1</f>
        <v>0.1132075471698113</v>
      </c>
      <c r="AC249" s="72">
        <f>AC248/AB248-1</f>
        <v>-6.7796610169491567E-2</v>
      </c>
      <c r="AD249" s="72">
        <f>AD248/AC248-1</f>
        <v>0.10909090909090913</v>
      </c>
      <c r="AE249" s="72">
        <f>AE248/AD248-1</f>
        <v>-4.9180327868852514E-2</v>
      </c>
      <c r="AF249" s="24"/>
      <c r="AG249" s="72">
        <f>AG248/AE248-1</f>
        <v>-5.1724137931034475E-2</v>
      </c>
      <c r="AH249" s="72">
        <f>AH248/AG248-1</f>
        <v>-3.6363636363636376E-2</v>
      </c>
      <c r="AI249" s="72">
        <f>AI248/AH248-1</f>
        <v>7.547169811320753E-2</v>
      </c>
      <c r="AJ249" s="72">
        <f>AJ248/AI248-1</f>
        <v>-8.7719298245614086E-2</v>
      </c>
      <c r="AK249" s="24"/>
      <c r="AL249" s="72">
        <v>-1.9230769230769273E-2</v>
      </c>
      <c r="AM249" s="72">
        <v>-7.8431372549019662E-2</v>
      </c>
      <c r="AN249" s="72">
        <v>0.14893617021276606</v>
      </c>
      <c r="AO249" s="72">
        <v>-7.407407407407407E-2</v>
      </c>
      <c r="AP249" s="24"/>
      <c r="AQ249" s="72">
        <v>-2.0000000000000018E-2</v>
      </c>
      <c r="AR249" s="72">
        <v>-6.1224489795918324E-2</v>
      </c>
      <c r="AS249" s="72">
        <v>6.5217391304347894E-2</v>
      </c>
      <c r="AT249" s="72">
        <v>-8.1632653061224469E-2</v>
      </c>
      <c r="AU249" s="24"/>
      <c r="AV249" s="72">
        <v>4.4444444444444509E-2</v>
      </c>
      <c r="AW249" s="72">
        <v>-4.2553191489361653E-2</v>
      </c>
      <c r="AX249" s="72">
        <v>8.8888888888888795E-2</v>
      </c>
      <c r="AY249" s="72">
        <v>-0.10204081632653061</v>
      </c>
      <c r="AZ249" s="24"/>
    </row>
    <row r="250" spans="1:52" ht="12.75" customHeight="1">
      <c r="A250" s="71" t="s">
        <v>8</v>
      </c>
      <c r="B250" s="24"/>
      <c r="C250" s="73"/>
      <c r="D250" s="73"/>
      <c r="E250" s="73"/>
      <c r="F250" s="73"/>
      <c r="G250" s="24"/>
      <c r="H250" s="73"/>
      <c r="I250" s="73"/>
      <c r="J250" s="73"/>
      <c r="K250" s="73"/>
      <c r="L250" s="24"/>
      <c r="M250" s="73"/>
      <c r="N250" s="73"/>
      <c r="O250" s="73"/>
      <c r="P250" s="73"/>
      <c r="Q250" s="24">
        <f>Q248/L248-1</f>
        <v>-0.13669064748201443</v>
      </c>
      <c r="R250" s="73"/>
      <c r="S250" s="73"/>
      <c r="T250" s="73"/>
      <c r="U250" s="73"/>
      <c r="V250" s="24">
        <f t="shared" ref="V250:AD250" si="257">V248/Q248-1</f>
        <v>2.9166666666666563E-2</v>
      </c>
      <c r="W250" s="73">
        <f t="shared" si="257"/>
        <v>1.6129032258064502E-2</v>
      </c>
      <c r="X250" s="73">
        <f t="shared" si="257"/>
        <v>-1.6666666666666718E-2</v>
      </c>
      <c r="Y250" s="73">
        <f t="shared" si="257"/>
        <v>0.11111111111111116</v>
      </c>
      <c r="Z250" s="73">
        <f t="shared" si="257"/>
        <v>-0.14516129032258063</v>
      </c>
      <c r="AA250" s="24">
        <f t="shared" si="257"/>
        <v>-8.0971659919027994E-3</v>
      </c>
      <c r="AB250" s="73">
        <f t="shared" si="257"/>
        <v>-6.3492063492063489E-2</v>
      </c>
      <c r="AC250" s="73">
        <f t="shared" si="257"/>
        <v>-6.7796610169491567E-2</v>
      </c>
      <c r="AD250" s="73">
        <f t="shared" si="257"/>
        <v>-0.12857142857142856</v>
      </c>
      <c r="AE250" s="73">
        <f t="shared" ref="AE250:AN250" si="258">AE248/Z248-1</f>
        <v>9.4339622641509413E-2</v>
      </c>
      <c r="AF250" s="24">
        <f t="shared" si="258"/>
        <v>-4.8979591836734726E-2</v>
      </c>
      <c r="AG250" s="73">
        <f t="shared" si="258"/>
        <v>-6.7796610169491567E-2</v>
      </c>
      <c r="AH250" s="73">
        <f t="shared" si="258"/>
        <v>-3.6363636363636376E-2</v>
      </c>
      <c r="AI250" s="73">
        <f t="shared" si="258"/>
        <v>-6.557377049180324E-2</v>
      </c>
      <c r="AJ250" s="73">
        <f t="shared" si="258"/>
        <v>-0.10344827586206895</v>
      </c>
      <c r="AK250" s="24">
        <v>-6.8669527896995763E-2</v>
      </c>
      <c r="AL250" s="73">
        <v>-7.2727272727272751E-2</v>
      </c>
      <c r="AM250" s="73">
        <v>-0.1132075471698113</v>
      </c>
      <c r="AN250" s="73">
        <v>-5.2631578947368474E-2</v>
      </c>
      <c r="AO250" s="73">
        <v>-3.8461538461538436E-2</v>
      </c>
      <c r="AP250" s="24">
        <v>-6.9124423963133674E-2</v>
      </c>
      <c r="AQ250" s="73">
        <v>-3.9215686274509776E-2</v>
      </c>
      <c r="AR250" s="73">
        <v>-2.1276595744680882E-2</v>
      </c>
      <c r="AS250" s="73">
        <v>-9.259259259259256E-2</v>
      </c>
      <c r="AT250" s="73">
        <v>-9.9999999999999978E-2</v>
      </c>
      <c r="AU250" s="24">
        <v>-6.4356435643564303E-2</v>
      </c>
      <c r="AV250" s="73">
        <v>-4.081632653061229E-2</v>
      </c>
      <c r="AW250" s="73">
        <v>-2.1739130434782594E-2</v>
      </c>
      <c r="AX250" s="73">
        <v>0</v>
      </c>
      <c r="AY250" s="73">
        <v>-2.2222222222222254E-2</v>
      </c>
      <c r="AZ250" s="24">
        <v>-2.1164021164021163E-2</v>
      </c>
    </row>
    <row r="251" spans="1:52" ht="12.75" customHeight="1">
      <c r="A251" s="69" t="s">
        <v>93</v>
      </c>
      <c r="B251" s="123" t="s">
        <v>45</v>
      </c>
      <c r="C251" s="80" t="s">
        <v>53</v>
      </c>
      <c r="D251" s="80" t="s">
        <v>53</v>
      </c>
      <c r="E251" s="80" t="s">
        <v>53</v>
      </c>
      <c r="F251" s="80" t="s">
        <v>53</v>
      </c>
      <c r="G251" s="123" t="s">
        <v>45</v>
      </c>
      <c r="H251" s="80" t="s">
        <v>53</v>
      </c>
      <c r="I251" s="80" t="s">
        <v>53</v>
      </c>
      <c r="J251" s="80" t="s">
        <v>53</v>
      </c>
      <c r="K251" s="80" t="s">
        <v>53</v>
      </c>
      <c r="L251" s="37">
        <v>871</v>
      </c>
      <c r="M251" s="80" t="s">
        <v>53</v>
      </c>
      <c r="N251" s="80" t="s">
        <v>53</v>
      </c>
      <c r="O251" s="80" t="s">
        <v>53</v>
      </c>
      <c r="P251" s="80" t="s">
        <v>53</v>
      </c>
      <c r="Q251" s="37">
        <v>855</v>
      </c>
      <c r="R251" s="70">
        <v>79</v>
      </c>
      <c r="S251" s="70">
        <v>78</v>
      </c>
      <c r="T251" s="70">
        <v>79</v>
      </c>
      <c r="U251" s="70">
        <f>V251-R251-S251-T251</f>
        <v>78</v>
      </c>
      <c r="V251" s="37">
        <v>314</v>
      </c>
      <c r="W251" s="70">
        <v>75</v>
      </c>
      <c r="X251" s="70">
        <v>72</v>
      </c>
      <c r="Y251" s="70">
        <v>70</v>
      </c>
      <c r="Z251" s="70">
        <f>AA251-W251-X251-Y251</f>
        <v>64</v>
      </c>
      <c r="AA251" s="37">
        <v>281</v>
      </c>
      <c r="AB251" s="70">
        <v>57</v>
      </c>
      <c r="AC251" s="70">
        <v>58</v>
      </c>
      <c r="AD251" s="70">
        <v>55</v>
      </c>
      <c r="AE251" s="70">
        <f>AF251-AB251-AC251-AD251</f>
        <v>50</v>
      </c>
      <c r="AF251" s="37">
        <v>220</v>
      </c>
      <c r="AG251" s="70">
        <v>42</v>
      </c>
      <c r="AH251" s="70">
        <v>39</v>
      </c>
      <c r="AI251" s="70">
        <v>42</v>
      </c>
      <c r="AJ251" s="70">
        <f>AK251-AG251-AH251-AI251</f>
        <v>38</v>
      </c>
      <c r="AK251" s="37">
        <v>161</v>
      </c>
      <c r="AL251" s="70">
        <v>38</v>
      </c>
      <c r="AM251" s="70">
        <v>37</v>
      </c>
      <c r="AN251" s="70">
        <v>35</v>
      </c>
      <c r="AO251" s="70">
        <v>35</v>
      </c>
      <c r="AP251" s="37">
        <v>145</v>
      </c>
      <c r="AQ251" s="70">
        <v>34</v>
      </c>
      <c r="AR251" s="70">
        <v>33</v>
      </c>
      <c r="AS251" s="70">
        <v>34</v>
      </c>
      <c r="AT251" s="70">
        <v>29</v>
      </c>
      <c r="AU251" s="37">
        <v>130</v>
      </c>
      <c r="AV251" s="70">
        <v>31</v>
      </c>
      <c r="AW251" s="70">
        <v>29</v>
      </c>
      <c r="AX251" s="70">
        <v>31</v>
      </c>
      <c r="AY251" s="70">
        <v>27</v>
      </c>
      <c r="AZ251" s="37">
        <v>118</v>
      </c>
    </row>
    <row r="252" spans="1:52" ht="12.75" customHeight="1">
      <c r="A252" s="71" t="s">
        <v>7</v>
      </c>
      <c r="B252" s="24"/>
      <c r="C252" s="72"/>
      <c r="D252" s="72"/>
      <c r="E252" s="72"/>
      <c r="F252" s="72"/>
      <c r="G252" s="24"/>
      <c r="H252" s="72"/>
      <c r="I252" s="72"/>
      <c r="J252" s="72"/>
      <c r="K252" s="72"/>
      <c r="L252" s="24"/>
      <c r="M252" s="72"/>
      <c r="N252" s="72"/>
      <c r="O252" s="72"/>
      <c r="P252" s="72"/>
      <c r="Q252" s="24"/>
      <c r="R252" s="72"/>
      <c r="S252" s="72">
        <f>S251/R251-1</f>
        <v>-1.2658227848101222E-2</v>
      </c>
      <c r="T252" s="72">
        <f>T251/S251-1</f>
        <v>1.2820512820512775E-2</v>
      </c>
      <c r="U252" s="72">
        <f>U251/T251-1</f>
        <v>-1.2658227848101222E-2</v>
      </c>
      <c r="V252" s="24"/>
      <c r="W252" s="72">
        <f>W251/U251-1</f>
        <v>-3.8461538461538436E-2</v>
      </c>
      <c r="X252" s="72">
        <f>X251/W251-1</f>
        <v>-4.0000000000000036E-2</v>
      </c>
      <c r="Y252" s="72">
        <f>Y251/X251-1</f>
        <v>-2.777777777777779E-2</v>
      </c>
      <c r="Z252" s="72">
        <f>Z251/Y251-1</f>
        <v>-8.5714285714285743E-2</v>
      </c>
      <c r="AA252" s="24"/>
      <c r="AB252" s="72">
        <f>AB251/Z251-1</f>
        <v>-0.109375</v>
      </c>
      <c r="AC252" s="72">
        <f>AC251/AB251-1</f>
        <v>1.7543859649122862E-2</v>
      </c>
      <c r="AD252" s="72">
        <f>AD251/AC251-1</f>
        <v>-5.1724137931034475E-2</v>
      </c>
      <c r="AE252" s="72">
        <f>AE251/AD251-1</f>
        <v>-9.0909090909090939E-2</v>
      </c>
      <c r="AF252" s="24"/>
      <c r="AG252" s="72">
        <f>AG251/AE251-1</f>
        <v>-0.16000000000000003</v>
      </c>
      <c r="AH252" s="72">
        <f>AH251/AG251-1</f>
        <v>-7.1428571428571397E-2</v>
      </c>
      <c r="AI252" s="72">
        <f>AI251/AH251-1</f>
        <v>7.6923076923076872E-2</v>
      </c>
      <c r="AJ252" s="72">
        <f>AJ251/AI251-1</f>
        <v>-9.5238095238095233E-2</v>
      </c>
      <c r="AK252" s="24"/>
      <c r="AL252" s="72">
        <v>0</v>
      </c>
      <c r="AM252" s="72">
        <v>-2.6315789473684181E-2</v>
      </c>
      <c r="AN252" s="72">
        <v>-5.4054054054054057E-2</v>
      </c>
      <c r="AO252" s="72">
        <v>0</v>
      </c>
      <c r="AP252" s="24"/>
      <c r="AQ252" s="72">
        <v>-2.8571428571428581E-2</v>
      </c>
      <c r="AR252" s="72">
        <v>-2.9411764705882359E-2</v>
      </c>
      <c r="AS252" s="72">
        <v>3.0303030303030276E-2</v>
      </c>
      <c r="AT252" s="72">
        <v>-0.1470588235294118</v>
      </c>
      <c r="AU252" s="24"/>
      <c r="AV252" s="72">
        <v>6.8965517241379226E-2</v>
      </c>
      <c r="AW252" s="72">
        <v>-6.4516129032258118E-2</v>
      </c>
      <c r="AX252" s="72">
        <v>6.8965517241379226E-2</v>
      </c>
      <c r="AY252" s="72">
        <v>-0.12903225806451613</v>
      </c>
      <c r="AZ252" s="24"/>
    </row>
    <row r="253" spans="1:52" ht="12.75" customHeight="1">
      <c r="A253" s="71" t="s">
        <v>8</v>
      </c>
      <c r="B253" s="24"/>
      <c r="C253" s="73"/>
      <c r="D253" s="73"/>
      <c r="E253" s="73"/>
      <c r="F253" s="73"/>
      <c r="G253" s="24"/>
      <c r="H253" s="73"/>
      <c r="I253" s="73"/>
      <c r="J253" s="73"/>
      <c r="K253" s="73"/>
      <c r="L253" s="24"/>
      <c r="M253" s="73"/>
      <c r="N253" s="73"/>
      <c r="O253" s="73"/>
      <c r="P253" s="73"/>
      <c r="Q253" s="24">
        <f>Q251/L251-1</f>
        <v>-1.8369690011481032E-2</v>
      </c>
      <c r="R253" s="73"/>
      <c r="S253" s="73"/>
      <c r="T253" s="73"/>
      <c r="U253" s="73"/>
      <c r="V253" s="24">
        <f t="shared" ref="V253:AD253" si="259">V251/Q251-1</f>
        <v>-0.63274853801169595</v>
      </c>
      <c r="W253" s="73">
        <f t="shared" si="259"/>
        <v>-5.0632911392405111E-2</v>
      </c>
      <c r="X253" s="73">
        <f t="shared" si="259"/>
        <v>-7.6923076923076872E-2</v>
      </c>
      <c r="Y253" s="73">
        <f t="shared" si="259"/>
        <v>-0.11392405063291144</v>
      </c>
      <c r="Z253" s="73">
        <f t="shared" si="259"/>
        <v>-0.17948717948717952</v>
      </c>
      <c r="AA253" s="24">
        <f t="shared" si="259"/>
        <v>-0.10509554140127386</v>
      </c>
      <c r="AB253" s="73">
        <f t="shared" si="259"/>
        <v>-0.24</v>
      </c>
      <c r="AC253" s="73">
        <f t="shared" si="259"/>
        <v>-0.19444444444444442</v>
      </c>
      <c r="AD253" s="73">
        <f t="shared" si="259"/>
        <v>-0.2142857142857143</v>
      </c>
      <c r="AE253" s="73">
        <f t="shared" ref="AE253:AN253" si="260">AE251/Z251-1</f>
        <v>-0.21875</v>
      </c>
      <c r="AF253" s="24">
        <f t="shared" si="260"/>
        <v>-0.2170818505338078</v>
      </c>
      <c r="AG253" s="73">
        <f t="shared" si="260"/>
        <v>-0.26315789473684215</v>
      </c>
      <c r="AH253" s="73">
        <f t="shared" si="260"/>
        <v>-0.32758620689655171</v>
      </c>
      <c r="AI253" s="73">
        <f t="shared" si="260"/>
        <v>-0.23636363636363633</v>
      </c>
      <c r="AJ253" s="73">
        <f t="shared" si="260"/>
        <v>-0.24</v>
      </c>
      <c r="AK253" s="24">
        <v>-0.26818181818181819</v>
      </c>
      <c r="AL253" s="73">
        <v>-9.5238095238095233E-2</v>
      </c>
      <c r="AM253" s="73">
        <v>-5.1282051282051322E-2</v>
      </c>
      <c r="AN253" s="73">
        <v>-0.16666666666666663</v>
      </c>
      <c r="AO253" s="73">
        <v>-7.8947368421052655E-2</v>
      </c>
      <c r="AP253" s="24">
        <v>-9.9378881987577605E-2</v>
      </c>
      <c r="AQ253" s="73">
        <v>-0.10526315789473684</v>
      </c>
      <c r="AR253" s="73">
        <v>-0.10810810810810811</v>
      </c>
      <c r="AS253" s="73">
        <v>-2.8571428571428581E-2</v>
      </c>
      <c r="AT253" s="73">
        <v>-0.17142857142857137</v>
      </c>
      <c r="AU253" s="24">
        <v>-0.10344827586206895</v>
      </c>
      <c r="AV253" s="73">
        <v>-8.8235294117647078E-2</v>
      </c>
      <c r="AW253" s="73">
        <v>-0.12121212121212122</v>
      </c>
      <c r="AX253" s="73">
        <v>-8.8235294117647078E-2</v>
      </c>
      <c r="AY253" s="73">
        <v>-6.8965517241379337E-2</v>
      </c>
      <c r="AZ253" s="24">
        <v>-9.2307692307692313E-2</v>
      </c>
    </row>
    <row r="254" spans="1:52" ht="12.75" customHeight="1">
      <c r="A254" s="69" t="s">
        <v>107</v>
      </c>
      <c r="B254" s="123" t="s">
        <v>45</v>
      </c>
      <c r="C254" s="80" t="s">
        <v>53</v>
      </c>
      <c r="D254" s="80" t="s">
        <v>53</v>
      </c>
      <c r="E254" s="80" t="s">
        <v>53</v>
      </c>
      <c r="F254" s="80" t="s">
        <v>53</v>
      </c>
      <c r="G254" s="123" t="s">
        <v>45</v>
      </c>
      <c r="H254" s="80" t="s">
        <v>53</v>
      </c>
      <c r="I254" s="80" t="s">
        <v>53</v>
      </c>
      <c r="J254" s="80" t="s">
        <v>53</v>
      </c>
      <c r="K254" s="80" t="s">
        <v>53</v>
      </c>
      <c r="L254" s="37">
        <v>218</v>
      </c>
      <c r="M254" s="80" t="s">
        <v>53</v>
      </c>
      <c r="N254" s="80" t="s">
        <v>53</v>
      </c>
      <c r="O254" s="80" t="s">
        <v>53</v>
      </c>
      <c r="P254" s="80" t="s">
        <v>53</v>
      </c>
      <c r="Q254" s="37">
        <v>196</v>
      </c>
      <c r="R254" s="70">
        <v>47</v>
      </c>
      <c r="S254" s="70">
        <v>42</v>
      </c>
      <c r="T254" s="70">
        <v>58</v>
      </c>
      <c r="U254" s="70">
        <f>V254-R254-S254-T254</f>
        <v>47</v>
      </c>
      <c r="V254" s="37">
        <v>194</v>
      </c>
      <c r="W254" s="70">
        <v>8</v>
      </c>
      <c r="X254" s="70">
        <v>42</v>
      </c>
      <c r="Y254" s="70">
        <v>54</v>
      </c>
      <c r="Z254" s="70">
        <f>AA254-W254-X254-Y254</f>
        <v>55</v>
      </c>
      <c r="AA254" s="37">
        <v>159</v>
      </c>
      <c r="AB254" s="70">
        <v>44</v>
      </c>
      <c r="AC254" s="70">
        <v>41</v>
      </c>
      <c r="AD254" s="70">
        <v>47</v>
      </c>
      <c r="AE254" s="70">
        <f>AF254-AB254-AC254-AD254</f>
        <v>54</v>
      </c>
      <c r="AF254" s="37">
        <v>186</v>
      </c>
      <c r="AG254" s="70">
        <v>48</v>
      </c>
      <c r="AH254" s="147">
        <v>52</v>
      </c>
      <c r="AI254" s="70">
        <v>59</v>
      </c>
      <c r="AJ254" s="70">
        <f>AK254-AG254-AH254-AI254</f>
        <v>54</v>
      </c>
      <c r="AK254" s="37">
        <v>213</v>
      </c>
      <c r="AL254" s="70">
        <v>47</v>
      </c>
      <c r="AM254" s="70">
        <v>48</v>
      </c>
      <c r="AN254" s="70">
        <v>49</v>
      </c>
      <c r="AO254" s="70">
        <v>44</v>
      </c>
      <c r="AP254" s="37">
        <v>188</v>
      </c>
      <c r="AQ254" s="70">
        <v>43</v>
      </c>
      <c r="AR254" s="70">
        <v>44</v>
      </c>
      <c r="AS254" s="70">
        <v>55</v>
      </c>
      <c r="AT254" s="70">
        <v>53</v>
      </c>
      <c r="AU254" s="37">
        <v>195</v>
      </c>
      <c r="AV254" s="70">
        <v>42</v>
      </c>
      <c r="AW254" s="70">
        <v>44</v>
      </c>
      <c r="AX254" s="70">
        <v>54</v>
      </c>
      <c r="AY254" s="70">
        <v>48</v>
      </c>
      <c r="AZ254" s="37">
        <v>188</v>
      </c>
    </row>
    <row r="255" spans="1:52" ht="12.75" customHeight="1">
      <c r="A255" s="71" t="s">
        <v>7</v>
      </c>
      <c r="B255" s="24"/>
      <c r="C255" s="72"/>
      <c r="D255" s="72"/>
      <c r="E255" s="72"/>
      <c r="F255" s="72"/>
      <c r="G255" s="24"/>
      <c r="H255" s="72"/>
      <c r="I255" s="72"/>
      <c r="J255" s="72"/>
      <c r="K255" s="72"/>
      <c r="L255" s="24"/>
      <c r="M255" s="72"/>
      <c r="N255" s="72"/>
      <c r="O255" s="72"/>
      <c r="P255" s="72"/>
      <c r="Q255" s="24"/>
      <c r="R255" s="72"/>
      <c r="S255" s="72">
        <f>S254/R254-1</f>
        <v>-0.1063829787234043</v>
      </c>
      <c r="T255" s="72">
        <f>T254/S254-1</f>
        <v>0.38095238095238093</v>
      </c>
      <c r="U255" s="72">
        <f>U254/T254-1</f>
        <v>-0.18965517241379315</v>
      </c>
      <c r="V255" s="24"/>
      <c r="W255" s="72">
        <f>W254/U254-1</f>
        <v>-0.82978723404255317</v>
      </c>
      <c r="X255" s="72">
        <f>X254/W254-1</f>
        <v>4.25</v>
      </c>
      <c r="Y255" s="72">
        <f>Y254/X254-1</f>
        <v>0.28571428571428581</v>
      </c>
      <c r="Z255" s="72">
        <f>Z254/Y254-1</f>
        <v>1.8518518518518601E-2</v>
      </c>
      <c r="AA255" s="24"/>
      <c r="AB255" s="72">
        <f>AB254/Z254-1</f>
        <v>-0.19999999999999996</v>
      </c>
      <c r="AC255" s="72">
        <f>AC254/AB254-1</f>
        <v>-6.8181818181818232E-2</v>
      </c>
      <c r="AD255" s="72">
        <f>AD254/AC254-1</f>
        <v>0.14634146341463405</v>
      </c>
      <c r="AE255" s="72">
        <f>AE254/AD254-1</f>
        <v>0.14893617021276606</v>
      </c>
      <c r="AF255" s="24"/>
      <c r="AG255" s="72">
        <f>AG254/AE254-1</f>
        <v>-0.11111111111111116</v>
      </c>
      <c r="AH255" s="72">
        <f>AH254/AG254-1</f>
        <v>8.3333333333333259E-2</v>
      </c>
      <c r="AI255" s="72">
        <f>AI254/AH254-1</f>
        <v>0.13461538461538458</v>
      </c>
      <c r="AJ255" s="72">
        <f>AJ254/AI254-1</f>
        <v>-8.4745762711864403E-2</v>
      </c>
      <c r="AK255" s="24"/>
      <c r="AL255" s="72">
        <v>-0.12962962962962965</v>
      </c>
      <c r="AM255" s="72">
        <v>2.1276595744680771E-2</v>
      </c>
      <c r="AN255" s="72">
        <v>2.0833333333333259E-2</v>
      </c>
      <c r="AO255" s="72">
        <v>-0.10204081632653061</v>
      </c>
      <c r="AP255" s="24"/>
      <c r="AQ255" s="72">
        <v>-2.2727272727272707E-2</v>
      </c>
      <c r="AR255" s="72">
        <v>2.3255813953488413E-2</v>
      </c>
      <c r="AS255" s="72">
        <v>0.25</v>
      </c>
      <c r="AT255" s="72">
        <v>-3.6363636363636376E-2</v>
      </c>
      <c r="AU255" s="24"/>
      <c r="AV255" s="72">
        <v>-0.20754716981132071</v>
      </c>
      <c r="AW255" s="72">
        <v>4.7619047619047672E-2</v>
      </c>
      <c r="AX255" s="72">
        <v>0.22727272727272729</v>
      </c>
      <c r="AY255" s="72">
        <v>-0.11111111111111116</v>
      </c>
      <c r="AZ255" s="24"/>
    </row>
    <row r="256" spans="1:52" ht="12.75" customHeight="1">
      <c r="A256" s="71" t="s">
        <v>8</v>
      </c>
      <c r="B256" s="24"/>
      <c r="C256" s="73"/>
      <c r="D256" s="73"/>
      <c r="E256" s="73"/>
      <c r="F256" s="73"/>
      <c r="G256" s="24"/>
      <c r="H256" s="73"/>
      <c r="I256" s="73"/>
      <c r="J256" s="73"/>
      <c r="K256" s="73"/>
      <c r="L256" s="24"/>
      <c r="M256" s="73"/>
      <c r="N256" s="73"/>
      <c r="O256" s="73"/>
      <c r="P256" s="73"/>
      <c r="Q256" s="24">
        <f>Q254/L254-1</f>
        <v>-0.1009174311926605</v>
      </c>
      <c r="R256" s="73"/>
      <c r="S256" s="73"/>
      <c r="T256" s="73"/>
      <c r="U256" s="73"/>
      <c r="V256" s="24">
        <f t="shared" ref="V256:AD256" si="261">V254/Q254-1</f>
        <v>-1.0204081632653073E-2</v>
      </c>
      <c r="W256" s="73">
        <f t="shared" si="261"/>
        <v>-0.82978723404255317</v>
      </c>
      <c r="X256" s="73">
        <f t="shared" si="261"/>
        <v>0</v>
      </c>
      <c r="Y256" s="73">
        <f t="shared" si="261"/>
        <v>-6.8965517241379337E-2</v>
      </c>
      <c r="Z256" s="73">
        <f t="shared" si="261"/>
        <v>0.17021276595744683</v>
      </c>
      <c r="AA256" s="24">
        <f t="shared" si="261"/>
        <v>-0.18041237113402064</v>
      </c>
      <c r="AB256" s="73">
        <f t="shared" si="261"/>
        <v>4.5</v>
      </c>
      <c r="AC256" s="73">
        <f t="shared" si="261"/>
        <v>-2.3809523809523836E-2</v>
      </c>
      <c r="AD256" s="73">
        <f t="shared" si="261"/>
        <v>-0.12962962962962965</v>
      </c>
      <c r="AE256" s="73">
        <f t="shared" ref="AE256:AN256" si="262">AE254/Z254-1</f>
        <v>-1.8181818181818188E-2</v>
      </c>
      <c r="AF256" s="24">
        <f t="shared" si="262"/>
        <v>0.16981132075471694</v>
      </c>
      <c r="AG256" s="73">
        <f t="shared" si="262"/>
        <v>9.0909090909090828E-2</v>
      </c>
      <c r="AH256" s="73">
        <f t="shared" si="262"/>
        <v>0.26829268292682928</v>
      </c>
      <c r="AI256" s="73">
        <f t="shared" si="262"/>
        <v>0.25531914893617014</v>
      </c>
      <c r="AJ256" s="73">
        <f t="shared" si="262"/>
        <v>0</v>
      </c>
      <c r="AK256" s="24">
        <v>0.14516129032258074</v>
      </c>
      <c r="AL256" s="73">
        <v>-2.083333333333337E-2</v>
      </c>
      <c r="AM256" s="73">
        <v>-7.6923076923076872E-2</v>
      </c>
      <c r="AN256" s="73">
        <v>-0.16949152542372881</v>
      </c>
      <c r="AO256" s="73">
        <v>-0.18518518518518523</v>
      </c>
      <c r="AP256" s="24">
        <v>-0.11737089201877937</v>
      </c>
      <c r="AQ256" s="73">
        <v>-8.5106382978723416E-2</v>
      </c>
      <c r="AR256" s="73">
        <v>-8.333333333333337E-2</v>
      </c>
      <c r="AS256" s="73">
        <v>0.12244897959183665</v>
      </c>
      <c r="AT256" s="73">
        <v>0.20454545454545459</v>
      </c>
      <c r="AU256" s="24">
        <v>3.7234042553191404E-2</v>
      </c>
      <c r="AV256" s="73">
        <v>-2.3255813953488413E-2</v>
      </c>
      <c r="AW256" s="73">
        <v>0</v>
      </c>
      <c r="AX256" s="73">
        <v>-1.8181818181818188E-2</v>
      </c>
      <c r="AY256" s="73">
        <v>-9.4339622641509413E-2</v>
      </c>
      <c r="AZ256" s="24">
        <v>-3.5897435897435881E-2</v>
      </c>
    </row>
    <row r="257" spans="1:52" ht="12.75" customHeight="1">
      <c r="A257" s="69" t="s">
        <v>94</v>
      </c>
      <c r="B257" s="123" t="s">
        <v>45</v>
      </c>
      <c r="C257" s="80" t="s">
        <v>53</v>
      </c>
      <c r="D257" s="80" t="s">
        <v>53</v>
      </c>
      <c r="E257" s="80" t="s">
        <v>53</v>
      </c>
      <c r="F257" s="80" t="s">
        <v>53</v>
      </c>
      <c r="G257" s="123" t="s">
        <v>45</v>
      </c>
      <c r="H257" s="80" t="s">
        <v>53</v>
      </c>
      <c r="I257" s="80" t="s">
        <v>53</v>
      </c>
      <c r="J257" s="80" t="s">
        <v>53</v>
      </c>
      <c r="K257" s="80" t="s">
        <v>53</v>
      </c>
      <c r="L257" s="37">
        <v>80</v>
      </c>
      <c r="M257" s="80" t="s">
        <v>53</v>
      </c>
      <c r="N257" s="80" t="s">
        <v>53</v>
      </c>
      <c r="O257" s="80" t="s">
        <v>53</v>
      </c>
      <c r="P257" s="80" t="s">
        <v>53</v>
      </c>
      <c r="Q257" s="37">
        <v>88</v>
      </c>
      <c r="R257" s="70">
        <v>22</v>
      </c>
      <c r="S257" s="70">
        <v>17</v>
      </c>
      <c r="T257" s="70">
        <v>23</v>
      </c>
      <c r="U257" s="70">
        <f>V257-R257-S257-T257</f>
        <v>27</v>
      </c>
      <c r="V257" s="37">
        <v>89</v>
      </c>
      <c r="W257" s="70">
        <v>24</v>
      </c>
      <c r="X257" s="70">
        <v>27</v>
      </c>
      <c r="Y257" s="70">
        <v>28</v>
      </c>
      <c r="Z257" s="70">
        <f>AA257-W257-X257-Y257</f>
        <v>32</v>
      </c>
      <c r="AA257" s="37">
        <v>111</v>
      </c>
      <c r="AB257" s="70">
        <v>27</v>
      </c>
      <c r="AC257" s="70">
        <v>23</v>
      </c>
      <c r="AD257" s="70">
        <v>22</v>
      </c>
      <c r="AE257" s="70">
        <f>AF257-AB257-AC257-AD257</f>
        <v>18</v>
      </c>
      <c r="AF257" s="37">
        <v>90</v>
      </c>
      <c r="AG257" s="70">
        <v>12</v>
      </c>
      <c r="AH257" s="70">
        <v>10</v>
      </c>
      <c r="AI257" s="70">
        <v>11</v>
      </c>
      <c r="AJ257" s="70">
        <f>AK257-AG257-AH257-AI257</f>
        <v>16</v>
      </c>
      <c r="AK257" s="37">
        <v>49</v>
      </c>
      <c r="AL257" s="70">
        <v>11</v>
      </c>
      <c r="AM257" s="70">
        <v>11</v>
      </c>
      <c r="AN257" s="70">
        <v>10</v>
      </c>
      <c r="AO257" s="70">
        <v>16</v>
      </c>
      <c r="AP257" s="37">
        <v>48</v>
      </c>
      <c r="AQ257" s="70">
        <v>12</v>
      </c>
      <c r="AR257" s="70">
        <v>12</v>
      </c>
      <c r="AS257" s="70">
        <v>11</v>
      </c>
      <c r="AT257" s="70">
        <v>12</v>
      </c>
      <c r="AU257" s="37">
        <v>47</v>
      </c>
      <c r="AV257" s="70">
        <v>10</v>
      </c>
      <c r="AW257" s="70">
        <v>12</v>
      </c>
      <c r="AX257" s="70">
        <v>12</v>
      </c>
      <c r="AY257" s="70">
        <v>10</v>
      </c>
      <c r="AZ257" s="37">
        <v>44</v>
      </c>
    </row>
    <row r="258" spans="1:52" ht="12.75" customHeight="1">
      <c r="A258" s="71" t="s">
        <v>7</v>
      </c>
      <c r="B258" s="24"/>
      <c r="C258" s="72"/>
      <c r="D258" s="72"/>
      <c r="E258" s="72"/>
      <c r="F258" s="72"/>
      <c r="G258" s="24"/>
      <c r="H258" s="72"/>
      <c r="I258" s="72"/>
      <c r="J258" s="72"/>
      <c r="K258" s="72"/>
      <c r="L258" s="24"/>
      <c r="M258" s="72"/>
      <c r="N258" s="72"/>
      <c r="O258" s="72"/>
      <c r="P258" s="72"/>
      <c r="Q258" s="24"/>
      <c r="R258" s="72"/>
      <c r="S258" s="72">
        <f>S257/R257-1</f>
        <v>-0.22727272727272729</v>
      </c>
      <c r="T258" s="72">
        <f>T257/S257-1</f>
        <v>0.35294117647058831</v>
      </c>
      <c r="U258" s="72">
        <f>U257/T257-1</f>
        <v>0.17391304347826098</v>
      </c>
      <c r="V258" s="24"/>
      <c r="W258" s="72">
        <f>W257/U257-1</f>
        <v>-0.11111111111111116</v>
      </c>
      <c r="X258" s="72">
        <f>X257/W257-1</f>
        <v>0.125</v>
      </c>
      <c r="Y258" s="72">
        <f>Y257/X257-1</f>
        <v>3.7037037037036979E-2</v>
      </c>
      <c r="Z258" s="72">
        <f>Z257/Y257-1</f>
        <v>0.14285714285714279</v>
      </c>
      <c r="AA258" s="24"/>
      <c r="AB258" s="72">
        <f>AB257/Z257-1</f>
        <v>-0.15625</v>
      </c>
      <c r="AC258" s="72">
        <f>AC257/AB257-1</f>
        <v>-0.14814814814814814</v>
      </c>
      <c r="AD258" s="72">
        <f>AD257/AC257-1</f>
        <v>-4.3478260869565188E-2</v>
      </c>
      <c r="AE258" s="72">
        <f>AE257/AD257-1</f>
        <v>-0.18181818181818177</v>
      </c>
      <c r="AF258" s="24"/>
      <c r="AG258" s="72">
        <f>AG257/AE257-1</f>
        <v>-0.33333333333333337</v>
      </c>
      <c r="AH258" s="72">
        <f>AH257/AG257-1</f>
        <v>-0.16666666666666663</v>
      </c>
      <c r="AI258" s="72">
        <f>AI257/AH257-1</f>
        <v>0.10000000000000009</v>
      </c>
      <c r="AJ258" s="72">
        <f>AJ257/AI257-1</f>
        <v>0.45454545454545459</v>
      </c>
      <c r="AK258" s="24"/>
      <c r="AL258" s="72">
        <v>-0.3125</v>
      </c>
      <c r="AM258" s="72">
        <v>0</v>
      </c>
      <c r="AN258" s="72">
        <v>-9.0909090909090939E-2</v>
      </c>
      <c r="AO258" s="72">
        <v>0.60000000000000009</v>
      </c>
      <c r="AP258" s="24"/>
      <c r="AQ258" s="72">
        <v>-0.25</v>
      </c>
      <c r="AR258" s="72">
        <v>0</v>
      </c>
      <c r="AS258" s="72">
        <v>-8.333333333333337E-2</v>
      </c>
      <c r="AT258" s="72">
        <v>9.0909090909090828E-2</v>
      </c>
      <c r="AU258" s="24"/>
      <c r="AV258" s="72">
        <v>-0.16666666666666663</v>
      </c>
      <c r="AW258" s="72">
        <v>0.19999999999999996</v>
      </c>
      <c r="AX258" s="72">
        <v>0</v>
      </c>
      <c r="AY258" s="72">
        <v>-0.16666666666666663</v>
      </c>
      <c r="AZ258" s="24"/>
    </row>
    <row r="259" spans="1:52" ht="12.75" customHeight="1">
      <c r="A259" s="71" t="s">
        <v>8</v>
      </c>
      <c r="B259" s="24"/>
      <c r="C259" s="73"/>
      <c r="D259" s="73"/>
      <c r="E259" s="73"/>
      <c r="F259" s="73"/>
      <c r="G259" s="24"/>
      <c r="H259" s="73"/>
      <c r="I259" s="73"/>
      <c r="J259" s="73"/>
      <c r="K259" s="73"/>
      <c r="L259" s="24"/>
      <c r="M259" s="73"/>
      <c r="N259" s="73"/>
      <c r="O259" s="73"/>
      <c r="P259" s="73"/>
      <c r="Q259" s="24">
        <f>Q257/L257-1</f>
        <v>0.10000000000000009</v>
      </c>
      <c r="R259" s="73"/>
      <c r="S259" s="73"/>
      <c r="T259" s="73"/>
      <c r="U259" s="73"/>
      <c r="V259" s="24">
        <f t="shared" ref="V259:AD259" si="263">V257/Q257-1</f>
        <v>1.1363636363636465E-2</v>
      </c>
      <c r="W259" s="73">
        <f t="shared" si="263"/>
        <v>9.0909090909090828E-2</v>
      </c>
      <c r="X259" s="73">
        <f t="shared" si="263"/>
        <v>0.58823529411764697</v>
      </c>
      <c r="Y259" s="73">
        <f t="shared" si="263"/>
        <v>0.21739130434782616</v>
      </c>
      <c r="Z259" s="73">
        <f t="shared" si="263"/>
        <v>0.18518518518518512</v>
      </c>
      <c r="AA259" s="24">
        <f t="shared" si="263"/>
        <v>0.24719101123595499</v>
      </c>
      <c r="AB259" s="73">
        <f t="shared" si="263"/>
        <v>0.125</v>
      </c>
      <c r="AC259" s="73">
        <f t="shared" si="263"/>
        <v>-0.14814814814814814</v>
      </c>
      <c r="AD259" s="73">
        <f t="shared" si="263"/>
        <v>-0.2142857142857143</v>
      </c>
      <c r="AE259" s="73">
        <f t="shared" ref="AE259:AN259" si="264">AE257/Z257-1</f>
        <v>-0.4375</v>
      </c>
      <c r="AF259" s="24">
        <f t="shared" si="264"/>
        <v>-0.18918918918918914</v>
      </c>
      <c r="AG259" s="73">
        <f t="shared" si="264"/>
        <v>-0.55555555555555558</v>
      </c>
      <c r="AH259" s="73">
        <f t="shared" si="264"/>
        <v>-0.56521739130434789</v>
      </c>
      <c r="AI259" s="73">
        <f t="shared" si="264"/>
        <v>-0.5</v>
      </c>
      <c r="AJ259" s="73">
        <f t="shared" si="264"/>
        <v>-0.11111111111111116</v>
      </c>
      <c r="AK259" s="24">
        <v>-0.4555555555555556</v>
      </c>
      <c r="AL259" s="73">
        <v>-8.333333333333337E-2</v>
      </c>
      <c r="AM259" s="73">
        <v>0.10000000000000009</v>
      </c>
      <c r="AN259" s="73">
        <v>-9.0909090909090939E-2</v>
      </c>
      <c r="AO259" s="73">
        <v>0</v>
      </c>
      <c r="AP259" s="24">
        <v>-2.0408163265306145E-2</v>
      </c>
      <c r="AQ259" s="73">
        <v>9.0909090909090828E-2</v>
      </c>
      <c r="AR259" s="73">
        <v>9.0909090909090828E-2</v>
      </c>
      <c r="AS259" s="73">
        <v>0.10000000000000009</v>
      </c>
      <c r="AT259" s="73">
        <v>-0.25</v>
      </c>
      <c r="AU259" s="24">
        <v>-2.083333333333337E-2</v>
      </c>
      <c r="AV259" s="73">
        <v>-0.16666666666666663</v>
      </c>
      <c r="AW259" s="73">
        <v>0</v>
      </c>
      <c r="AX259" s="73">
        <v>9.0909090909090828E-2</v>
      </c>
      <c r="AY259" s="73">
        <v>-0.16666666666666663</v>
      </c>
      <c r="AZ259" s="24">
        <v>-6.3829787234042534E-2</v>
      </c>
    </row>
    <row r="260" spans="1:52" ht="12.75" customHeight="1">
      <c r="A260" s="69" t="s">
        <v>96</v>
      </c>
      <c r="B260" s="123" t="s">
        <v>45</v>
      </c>
      <c r="C260" s="80" t="s">
        <v>53</v>
      </c>
      <c r="D260" s="80" t="s">
        <v>53</v>
      </c>
      <c r="E260" s="80" t="s">
        <v>53</v>
      </c>
      <c r="F260" s="80" t="s">
        <v>53</v>
      </c>
      <c r="G260" s="123" t="s">
        <v>45</v>
      </c>
      <c r="H260" s="80" t="s">
        <v>53</v>
      </c>
      <c r="I260" s="80" t="s">
        <v>53</v>
      </c>
      <c r="J260" s="80" t="s">
        <v>53</v>
      </c>
      <c r="K260" s="80" t="s">
        <v>53</v>
      </c>
      <c r="L260" s="37">
        <v>96</v>
      </c>
      <c r="M260" s="80" t="s">
        <v>53</v>
      </c>
      <c r="N260" s="80" t="s">
        <v>53</v>
      </c>
      <c r="O260" s="80" t="s">
        <v>53</v>
      </c>
      <c r="P260" s="80" t="s">
        <v>53</v>
      </c>
      <c r="Q260" s="37">
        <v>76</v>
      </c>
      <c r="R260" s="70">
        <v>20</v>
      </c>
      <c r="S260" s="70">
        <v>18</v>
      </c>
      <c r="T260" s="70">
        <v>17</v>
      </c>
      <c r="U260" s="70">
        <f>V260-R260-S260-T260</f>
        <v>21</v>
      </c>
      <c r="V260" s="37">
        <v>76</v>
      </c>
      <c r="W260" s="70">
        <v>20</v>
      </c>
      <c r="X260" s="70">
        <v>19</v>
      </c>
      <c r="Y260" s="70">
        <v>15</v>
      </c>
      <c r="Z260" s="70">
        <f>AA260-W260-X260-Y260</f>
        <v>19</v>
      </c>
      <c r="AA260" s="37">
        <v>73</v>
      </c>
      <c r="AB260" s="70">
        <v>16</v>
      </c>
      <c r="AC260" s="70">
        <v>16</v>
      </c>
      <c r="AD260" s="70">
        <v>15</v>
      </c>
      <c r="AE260" s="147">
        <f>AF260-AB260-AC260-AD260</f>
        <v>17</v>
      </c>
      <c r="AF260" s="37">
        <v>64</v>
      </c>
      <c r="AG260" s="70">
        <v>16</v>
      </c>
      <c r="AH260" s="70">
        <v>15</v>
      </c>
      <c r="AI260" s="70">
        <v>14</v>
      </c>
      <c r="AJ260" s="147">
        <f>AK260-AG260-AH260-AI260</f>
        <v>16</v>
      </c>
      <c r="AK260" s="37">
        <v>61</v>
      </c>
      <c r="AL260" s="70">
        <v>16</v>
      </c>
      <c r="AM260" s="70">
        <v>14</v>
      </c>
      <c r="AN260" s="70">
        <v>17</v>
      </c>
      <c r="AO260" s="147">
        <v>13</v>
      </c>
      <c r="AP260" s="37">
        <v>60</v>
      </c>
      <c r="AQ260" s="70">
        <v>17</v>
      </c>
      <c r="AR260" s="70">
        <v>17</v>
      </c>
      <c r="AS260" s="70">
        <v>16</v>
      </c>
      <c r="AT260" s="147">
        <v>22</v>
      </c>
      <c r="AU260" s="37">
        <v>72</v>
      </c>
      <c r="AV260" s="70">
        <v>17</v>
      </c>
      <c r="AW260" s="70">
        <v>19</v>
      </c>
      <c r="AX260" s="70">
        <v>19</v>
      </c>
      <c r="AY260" s="147">
        <v>18</v>
      </c>
      <c r="AZ260" s="37">
        <v>73</v>
      </c>
    </row>
    <row r="261" spans="1:52" ht="12.75" customHeight="1">
      <c r="A261" s="71" t="s">
        <v>7</v>
      </c>
      <c r="B261" s="24"/>
      <c r="C261" s="72"/>
      <c r="D261" s="72"/>
      <c r="E261" s="72"/>
      <c r="F261" s="72"/>
      <c r="G261" s="24"/>
      <c r="H261" s="72"/>
      <c r="I261" s="72"/>
      <c r="J261" s="72"/>
      <c r="K261" s="72"/>
      <c r="L261" s="24"/>
      <c r="M261" s="72"/>
      <c r="N261" s="72"/>
      <c r="O261" s="72"/>
      <c r="P261" s="72"/>
      <c r="Q261" s="24"/>
      <c r="R261" s="72"/>
      <c r="S261" s="72">
        <f>S260/R260-1</f>
        <v>-9.9999999999999978E-2</v>
      </c>
      <c r="T261" s="72">
        <f>T260/S260-1</f>
        <v>-5.555555555555558E-2</v>
      </c>
      <c r="U261" s="72">
        <f>U260/T260-1</f>
        <v>0.23529411764705888</v>
      </c>
      <c r="V261" s="24"/>
      <c r="W261" s="72">
        <f>W260/U260-1</f>
        <v>-4.7619047619047672E-2</v>
      </c>
      <c r="X261" s="72">
        <f>X260/W260-1</f>
        <v>-5.0000000000000044E-2</v>
      </c>
      <c r="Y261" s="72">
        <f>Y260/X260-1</f>
        <v>-0.21052631578947367</v>
      </c>
      <c r="Z261" s="72">
        <f>Z260/Y260-1</f>
        <v>0.26666666666666661</v>
      </c>
      <c r="AA261" s="24"/>
      <c r="AB261" s="72">
        <f>AB260/Z260-1</f>
        <v>-0.15789473684210531</v>
      </c>
      <c r="AC261" s="72">
        <f>AC260/AB260-1</f>
        <v>0</v>
      </c>
      <c r="AD261" s="72">
        <f>AD260/AC260-1</f>
        <v>-6.25E-2</v>
      </c>
      <c r="AE261" s="72">
        <f>AE260/AD260-1</f>
        <v>0.1333333333333333</v>
      </c>
      <c r="AF261" s="24"/>
      <c r="AG261" s="72">
        <f>AG260/AE260-1</f>
        <v>-5.8823529411764719E-2</v>
      </c>
      <c r="AH261" s="72">
        <f>AH260/AG260-1</f>
        <v>-6.25E-2</v>
      </c>
      <c r="AI261" s="72">
        <f>AI260/AH260-1</f>
        <v>-6.6666666666666652E-2</v>
      </c>
      <c r="AJ261" s="72">
        <f>AJ260/AI260-1</f>
        <v>0.14285714285714279</v>
      </c>
      <c r="AK261" s="24"/>
      <c r="AL261" s="72">
        <v>0</v>
      </c>
      <c r="AM261" s="72">
        <v>-0.125</v>
      </c>
      <c r="AN261" s="72">
        <v>0.21428571428571419</v>
      </c>
      <c r="AO261" s="72">
        <v>-0.23529411764705888</v>
      </c>
      <c r="AP261" s="24"/>
      <c r="AQ261" s="72">
        <v>0.30769230769230771</v>
      </c>
      <c r="AR261" s="72">
        <v>0</v>
      </c>
      <c r="AS261" s="72">
        <v>-5.8823529411764719E-2</v>
      </c>
      <c r="AT261" s="72">
        <v>0.375</v>
      </c>
      <c r="AU261" s="24"/>
      <c r="AV261" s="72">
        <v>-0.22727272727272729</v>
      </c>
      <c r="AW261" s="72">
        <v>0.11764705882352944</v>
      </c>
      <c r="AX261" s="72">
        <v>0</v>
      </c>
      <c r="AY261" s="72">
        <v>-5.2631578947368474E-2</v>
      </c>
      <c r="AZ261" s="24"/>
    </row>
    <row r="262" spans="1:52" ht="12.75" customHeight="1">
      <c r="A262" s="71" t="s">
        <v>8</v>
      </c>
      <c r="B262" s="24"/>
      <c r="C262" s="73"/>
      <c r="D262" s="73"/>
      <c r="E262" s="73"/>
      <c r="F262" s="73"/>
      <c r="G262" s="24"/>
      <c r="H262" s="73"/>
      <c r="I262" s="73"/>
      <c r="J262" s="73"/>
      <c r="K262" s="73"/>
      <c r="L262" s="24"/>
      <c r="M262" s="73"/>
      <c r="N262" s="73"/>
      <c r="O262" s="73"/>
      <c r="P262" s="73"/>
      <c r="Q262" s="24">
        <f>Q260/L260-1</f>
        <v>-0.20833333333333337</v>
      </c>
      <c r="R262" s="73"/>
      <c r="S262" s="73"/>
      <c r="T262" s="73"/>
      <c r="U262" s="73"/>
      <c r="V262" s="24">
        <f t="shared" ref="V262:AD262" si="265">V260/Q260-1</f>
        <v>0</v>
      </c>
      <c r="W262" s="73">
        <f t="shared" si="265"/>
        <v>0</v>
      </c>
      <c r="X262" s="73">
        <f t="shared" si="265"/>
        <v>5.555555555555558E-2</v>
      </c>
      <c r="Y262" s="73">
        <f t="shared" si="265"/>
        <v>-0.11764705882352944</v>
      </c>
      <c r="Z262" s="73">
        <f t="shared" si="265"/>
        <v>-9.5238095238095233E-2</v>
      </c>
      <c r="AA262" s="24">
        <f t="shared" si="265"/>
        <v>-3.9473684210526327E-2</v>
      </c>
      <c r="AB262" s="73">
        <f t="shared" si="265"/>
        <v>-0.19999999999999996</v>
      </c>
      <c r="AC262" s="73">
        <f t="shared" si="265"/>
        <v>-0.15789473684210531</v>
      </c>
      <c r="AD262" s="73">
        <f t="shared" si="265"/>
        <v>0</v>
      </c>
      <c r="AE262" s="73">
        <f t="shared" ref="AE262:AN262" si="266">AE260/Z260-1</f>
        <v>-0.10526315789473684</v>
      </c>
      <c r="AF262" s="24">
        <f t="shared" si="266"/>
        <v>-0.12328767123287676</v>
      </c>
      <c r="AG262" s="73">
        <f t="shared" si="266"/>
        <v>0</v>
      </c>
      <c r="AH262" s="73">
        <f t="shared" si="266"/>
        <v>-6.25E-2</v>
      </c>
      <c r="AI262" s="73">
        <f t="shared" si="266"/>
        <v>-6.6666666666666652E-2</v>
      </c>
      <c r="AJ262" s="73">
        <f t="shared" si="266"/>
        <v>-5.8823529411764719E-2</v>
      </c>
      <c r="AK262" s="24">
        <v>-4.6875E-2</v>
      </c>
      <c r="AL262" s="73">
        <v>0</v>
      </c>
      <c r="AM262" s="73">
        <v>-6.6666666666666652E-2</v>
      </c>
      <c r="AN262" s="73">
        <v>0.21428571428571419</v>
      </c>
      <c r="AO262" s="73">
        <v>-0.1875</v>
      </c>
      <c r="AP262" s="24">
        <v>-1.6393442622950838E-2</v>
      </c>
      <c r="AQ262" s="73">
        <v>6.25E-2</v>
      </c>
      <c r="AR262" s="73">
        <v>0.21428571428571419</v>
      </c>
      <c r="AS262" s="73">
        <v>-5.8823529411764719E-2</v>
      </c>
      <c r="AT262" s="73">
        <v>0.69230769230769229</v>
      </c>
      <c r="AU262" s="24">
        <v>0.19999999999999996</v>
      </c>
      <c r="AV262" s="73">
        <v>0</v>
      </c>
      <c r="AW262" s="73">
        <v>0.11764705882352944</v>
      </c>
      <c r="AX262" s="73">
        <v>0.1875</v>
      </c>
      <c r="AY262" s="73">
        <v>-0.18181818181818177</v>
      </c>
      <c r="AZ262" s="24">
        <v>1.388888888888884E-2</v>
      </c>
    </row>
    <row r="263" spans="1:52" ht="12.75" customHeight="1">
      <c r="A263" s="69" t="s">
        <v>97</v>
      </c>
      <c r="B263" s="123" t="s">
        <v>45</v>
      </c>
      <c r="C263" s="80" t="s">
        <v>53</v>
      </c>
      <c r="D263" s="80" t="s">
        <v>53</v>
      </c>
      <c r="E263" s="80" t="s">
        <v>53</v>
      </c>
      <c r="F263" s="80" t="s">
        <v>53</v>
      </c>
      <c r="G263" s="123" t="s">
        <v>45</v>
      </c>
      <c r="H263" s="80" t="s">
        <v>53</v>
      </c>
      <c r="I263" s="80" t="s">
        <v>53</v>
      </c>
      <c r="J263" s="80" t="s">
        <v>53</v>
      </c>
      <c r="K263" s="80" t="s">
        <v>53</v>
      </c>
      <c r="L263" s="37">
        <v>96</v>
      </c>
      <c r="M263" s="80" t="s">
        <v>53</v>
      </c>
      <c r="N263" s="80" t="s">
        <v>53</v>
      </c>
      <c r="O263" s="80" t="s">
        <v>53</v>
      </c>
      <c r="P263" s="80" t="s">
        <v>53</v>
      </c>
      <c r="Q263" s="37">
        <v>101</v>
      </c>
      <c r="R263" s="70">
        <v>21</v>
      </c>
      <c r="S263" s="70">
        <v>20</v>
      </c>
      <c r="T263" s="70">
        <v>22</v>
      </c>
      <c r="U263" s="70">
        <f>V263-R263-S263-T263</f>
        <v>15</v>
      </c>
      <c r="V263" s="37">
        <v>78</v>
      </c>
      <c r="W263" s="70">
        <v>19</v>
      </c>
      <c r="X263" s="70">
        <v>18</v>
      </c>
      <c r="Y263" s="70">
        <v>25</v>
      </c>
      <c r="Z263" s="70">
        <f>AA263-W263-X263-Y263</f>
        <v>21</v>
      </c>
      <c r="AA263" s="37">
        <v>83</v>
      </c>
      <c r="AB263" s="70">
        <v>20</v>
      </c>
      <c r="AC263" s="70">
        <v>19</v>
      </c>
      <c r="AD263" s="70">
        <v>18</v>
      </c>
      <c r="AE263" s="70">
        <f>AF263-AB263-AC263-AD263</f>
        <v>19</v>
      </c>
      <c r="AF263" s="37">
        <v>76</v>
      </c>
      <c r="AG263" s="70">
        <v>17</v>
      </c>
      <c r="AH263" s="70">
        <v>19</v>
      </c>
      <c r="AI263" s="70">
        <v>20</v>
      </c>
      <c r="AJ263" s="70">
        <f>AK263-AG263-AH263-AI263</f>
        <v>20</v>
      </c>
      <c r="AK263" s="37">
        <v>76</v>
      </c>
      <c r="AL263" s="70">
        <v>17</v>
      </c>
      <c r="AM263" s="70">
        <v>19</v>
      </c>
      <c r="AN263" s="70">
        <v>21</v>
      </c>
      <c r="AO263" s="70">
        <v>21</v>
      </c>
      <c r="AP263" s="37">
        <v>78</v>
      </c>
      <c r="AQ263" s="70">
        <v>17</v>
      </c>
      <c r="AR263" s="70">
        <v>18</v>
      </c>
      <c r="AS263" s="70">
        <v>18</v>
      </c>
      <c r="AT263" s="70">
        <v>19</v>
      </c>
      <c r="AU263" s="37">
        <v>72</v>
      </c>
      <c r="AV263" s="70">
        <v>18</v>
      </c>
      <c r="AW263" s="70">
        <v>17</v>
      </c>
      <c r="AX263" s="70">
        <v>18</v>
      </c>
      <c r="AY263" s="70">
        <v>16</v>
      </c>
      <c r="AZ263" s="37">
        <v>69</v>
      </c>
    </row>
    <row r="264" spans="1:52" ht="12.75" customHeight="1">
      <c r="A264" s="71" t="s">
        <v>7</v>
      </c>
      <c r="B264" s="24"/>
      <c r="C264" s="72"/>
      <c r="D264" s="72"/>
      <c r="E264" s="72"/>
      <c r="F264" s="72"/>
      <c r="G264" s="24"/>
      <c r="H264" s="72"/>
      <c r="I264" s="72"/>
      <c r="J264" s="72"/>
      <c r="K264" s="72"/>
      <c r="L264" s="24"/>
      <c r="M264" s="72"/>
      <c r="N264" s="72"/>
      <c r="O264" s="72"/>
      <c r="P264" s="72"/>
      <c r="Q264" s="24"/>
      <c r="R264" s="72"/>
      <c r="S264" s="72">
        <f>S263/R263-1</f>
        <v>-4.7619047619047672E-2</v>
      </c>
      <c r="T264" s="72">
        <f>T263/S263-1</f>
        <v>0.10000000000000009</v>
      </c>
      <c r="U264" s="72">
        <f>U263/T263-1</f>
        <v>-0.31818181818181823</v>
      </c>
      <c r="V264" s="24"/>
      <c r="W264" s="72">
        <f>W263/U263-1</f>
        <v>0.26666666666666661</v>
      </c>
      <c r="X264" s="72">
        <f>X263/W263-1</f>
        <v>-5.2631578947368474E-2</v>
      </c>
      <c r="Y264" s="72">
        <f>Y263/X263-1</f>
        <v>0.38888888888888884</v>
      </c>
      <c r="Z264" s="72">
        <f>Z263/Y263-1</f>
        <v>-0.16000000000000003</v>
      </c>
      <c r="AA264" s="24"/>
      <c r="AB264" s="72">
        <f>AB263/Z263-1</f>
        <v>-4.7619047619047672E-2</v>
      </c>
      <c r="AC264" s="72">
        <f>AC263/AB263-1</f>
        <v>-5.0000000000000044E-2</v>
      </c>
      <c r="AD264" s="72">
        <f>AD263/AC263-1</f>
        <v>-5.2631578947368474E-2</v>
      </c>
      <c r="AE264" s="72">
        <f>AE263/AD263-1</f>
        <v>5.555555555555558E-2</v>
      </c>
      <c r="AF264" s="24"/>
      <c r="AG264" s="72">
        <f>AG263/AE263-1</f>
        <v>-0.10526315789473684</v>
      </c>
      <c r="AH264" s="72">
        <f>AH263/AG263-1</f>
        <v>0.11764705882352944</v>
      </c>
      <c r="AI264" s="72">
        <f>AI263/AH263-1</f>
        <v>5.2631578947368363E-2</v>
      </c>
      <c r="AJ264" s="72">
        <f>AJ263/AI263-1</f>
        <v>0</v>
      </c>
      <c r="AK264" s="24"/>
      <c r="AL264" s="72">
        <v>-0.15000000000000002</v>
      </c>
      <c r="AM264" s="72">
        <v>0.11764705882352944</v>
      </c>
      <c r="AN264" s="72">
        <v>0.10526315789473695</v>
      </c>
      <c r="AO264" s="72">
        <v>0</v>
      </c>
      <c r="AP264" s="24"/>
      <c r="AQ264" s="72">
        <v>-0.19047619047619047</v>
      </c>
      <c r="AR264" s="72">
        <v>5.8823529411764719E-2</v>
      </c>
      <c r="AS264" s="72">
        <v>0</v>
      </c>
      <c r="AT264" s="72">
        <v>5.555555555555558E-2</v>
      </c>
      <c r="AU264" s="24"/>
      <c r="AV264" s="72">
        <v>-5.2631578947368474E-2</v>
      </c>
      <c r="AW264" s="72">
        <v>-5.555555555555558E-2</v>
      </c>
      <c r="AX264" s="72">
        <v>5.8823529411764719E-2</v>
      </c>
      <c r="AY264" s="72">
        <v>-0.11111111111111116</v>
      </c>
      <c r="AZ264" s="24"/>
    </row>
    <row r="265" spans="1:52" ht="12.75" customHeight="1">
      <c r="A265" s="71" t="s">
        <v>8</v>
      </c>
      <c r="B265" s="24"/>
      <c r="C265" s="73"/>
      <c r="D265" s="73"/>
      <c r="E265" s="73"/>
      <c r="F265" s="73"/>
      <c r="G265" s="24"/>
      <c r="H265" s="73"/>
      <c r="I265" s="73"/>
      <c r="J265" s="73"/>
      <c r="K265" s="73"/>
      <c r="L265" s="24"/>
      <c r="M265" s="73"/>
      <c r="N265" s="73"/>
      <c r="O265" s="73"/>
      <c r="P265" s="73"/>
      <c r="Q265" s="24">
        <f>Q263/L263-1</f>
        <v>5.2083333333333259E-2</v>
      </c>
      <c r="R265" s="73"/>
      <c r="S265" s="73"/>
      <c r="T265" s="73"/>
      <c r="U265" s="73"/>
      <c r="V265" s="24">
        <f t="shared" ref="V265:AZ265" si="267">V263/Q263-1</f>
        <v>-0.2277227722772277</v>
      </c>
      <c r="W265" s="73">
        <f t="shared" si="267"/>
        <v>-9.5238095238095233E-2</v>
      </c>
      <c r="X265" s="73">
        <f t="shared" si="267"/>
        <v>-9.9999999999999978E-2</v>
      </c>
      <c r="Y265" s="73">
        <f t="shared" si="267"/>
        <v>0.13636363636363646</v>
      </c>
      <c r="Z265" s="73">
        <f t="shared" si="267"/>
        <v>0.39999999999999991</v>
      </c>
      <c r="AA265" s="24">
        <f t="shared" si="267"/>
        <v>6.4102564102564097E-2</v>
      </c>
      <c r="AB265" s="73">
        <f t="shared" si="267"/>
        <v>5.2631578947368363E-2</v>
      </c>
      <c r="AC265" s="73">
        <f t="shared" si="267"/>
        <v>5.555555555555558E-2</v>
      </c>
      <c r="AD265" s="73">
        <f t="shared" si="267"/>
        <v>-0.28000000000000003</v>
      </c>
      <c r="AE265" s="73">
        <f t="shared" si="267"/>
        <v>-9.5238095238095233E-2</v>
      </c>
      <c r="AF265" s="24">
        <f t="shared" si="267"/>
        <v>-8.4337349397590411E-2</v>
      </c>
      <c r="AG265" s="73">
        <f t="shared" si="267"/>
        <v>-0.15000000000000002</v>
      </c>
      <c r="AH265" s="73">
        <f t="shared" si="267"/>
        <v>0</v>
      </c>
      <c r="AI265" s="73">
        <f t="shared" si="267"/>
        <v>0.11111111111111116</v>
      </c>
      <c r="AJ265" s="73">
        <f t="shared" si="267"/>
        <v>5.2631578947368363E-2</v>
      </c>
      <c r="AK265" s="24">
        <v>0</v>
      </c>
      <c r="AL265" s="73">
        <v>0</v>
      </c>
      <c r="AM265" s="73">
        <v>0</v>
      </c>
      <c r="AN265" s="73">
        <v>5.0000000000000044E-2</v>
      </c>
      <c r="AO265" s="73">
        <v>5.0000000000000044E-2</v>
      </c>
      <c r="AP265" s="24">
        <v>2.6315789473684292E-2</v>
      </c>
      <c r="AQ265" s="73">
        <v>0</v>
      </c>
      <c r="AR265" s="73">
        <v>-5.2631578947368474E-2</v>
      </c>
      <c r="AS265" s="73">
        <v>-0.1428571428571429</v>
      </c>
      <c r="AT265" s="73">
        <v>-9.5238095238095233E-2</v>
      </c>
      <c r="AU265" s="24">
        <v>-7.6923076923076872E-2</v>
      </c>
      <c r="AV265" s="73">
        <v>5.8823529411764719E-2</v>
      </c>
      <c r="AW265" s="73">
        <v>-5.555555555555558E-2</v>
      </c>
      <c r="AX265" s="73">
        <v>0</v>
      </c>
      <c r="AY265" s="73">
        <v>-0.15789473684210531</v>
      </c>
      <c r="AZ265" s="24">
        <v>-4.166666666666663E-2</v>
      </c>
    </row>
    <row r="266" spans="1:52" ht="12.75" hidden="1" customHeight="1">
      <c r="A266" s="69" t="s">
        <v>151</v>
      </c>
      <c r="B266" s="123" t="s">
        <v>45</v>
      </c>
      <c r="C266" s="80" t="s">
        <v>53</v>
      </c>
      <c r="D266" s="80" t="s">
        <v>53</v>
      </c>
      <c r="E266" s="80" t="s">
        <v>53</v>
      </c>
      <c r="F266" s="80" t="s">
        <v>53</v>
      </c>
      <c r="G266" s="123" t="s">
        <v>45</v>
      </c>
      <c r="H266" s="80" t="s">
        <v>53</v>
      </c>
      <c r="I266" s="80" t="s">
        <v>53</v>
      </c>
      <c r="J266" s="80" t="s">
        <v>53</v>
      </c>
      <c r="K266" s="80" t="s">
        <v>53</v>
      </c>
      <c r="L266" s="37">
        <v>51</v>
      </c>
      <c r="M266" s="80" t="s">
        <v>53</v>
      </c>
      <c r="N266" s="80" t="s">
        <v>53</v>
      </c>
      <c r="O266" s="80" t="s">
        <v>53</v>
      </c>
      <c r="P266" s="80" t="s">
        <v>53</v>
      </c>
      <c r="Q266" s="37">
        <v>53</v>
      </c>
      <c r="R266" s="70">
        <v>20</v>
      </c>
      <c r="S266" s="70">
        <v>18</v>
      </c>
      <c r="T266" s="70">
        <v>20</v>
      </c>
      <c r="U266" s="70">
        <f>V266-R266-S266-T266</f>
        <v>18</v>
      </c>
      <c r="V266" s="37">
        <v>76</v>
      </c>
      <c r="W266" s="70">
        <v>28</v>
      </c>
      <c r="X266" s="70">
        <v>26</v>
      </c>
      <c r="Y266" s="70">
        <v>16</v>
      </c>
      <c r="Z266" s="70">
        <f>AA266-W266-X266-Y266</f>
        <v>11</v>
      </c>
      <c r="AA266" s="37">
        <v>81</v>
      </c>
      <c r="AB266" s="70">
        <v>7</v>
      </c>
      <c r="AC266" s="70">
        <v>6</v>
      </c>
      <c r="AD266" s="70">
        <v>6</v>
      </c>
      <c r="AE266" s="70">
        <f>AF266-AB266-AC266-AD266</f>
        <v>7</v>
      </c>
      <c r="AF266" s="37">
        <v>26</v>
      </c>
      <c r="AG266" s="70">
        <v>0</v>
      </c>
      <c r="AH266" s="76">
        <v>0</v>
      </c>
      <c r="AI266" s="76">
        <v>0</v>
      </c>
      <c r="AJ266" s="76">
        <v>0</v>
      </c>
      <c r="AK266" s="63">
        <v>0</v>
      </c>
      <c r="AL266" s="76">
        <v>0</v>
      </c>
      <c r="AM266" s="76">
        <v>0</v>
      </c>
      <c r="AN266" s="76">
        <v>0</v>
      </c>
      <c r="AO266" s="76">
        <v>0</v>
      </c>
      <c r="AP266" s="63">
        <v>0</v>
      </c>
      <c r="AQ266" s="76">
        <v>0</v>
      </c>
      <c r="AR266" s="76">
        <v>0</v>
      </c>
      <c r="AS266" s="76">
        <v>0</v>
      </c>
      <c r="AT266" s="76">
        <v>0</v>
      </c>
      <c r="AU266" s="63">
        <v>0</v>
      </c>
      <c r="AV266" s="76">
        <v>0</v>
      </c>
      <c r="AW266" s="76">
        <v>0</v>
      </c>
      <c r="AX266" s="76">
        <v>0</v>
      </c>
      <c r="AY266" s="76">
        <v>0</v>
      </c>
      <c r="AZ266" s="63">
        <v>0</v>
      </c>
    </row>
    <row r="267" spans="1:52" ht="12.75" hidden="1" customHeight="1">
      <c r="A267" s="71" t="s">
        <v>7</v>
      </c>
      <c r="B267" s="24"/>
      <c r="C267" s="72"/>
      <c r="D267" s="72"/>
      <c r="E267" s="72"/>
      <c r="F267" s="72"/>
      <c r="G267" s="24"/>
      <c r="H267" s="72"/>
      <c r="I267" s="72"/>
      <c r="J267" s="72"/>
      <c r="K267" s="72"/>
      <c r="L267" s="24"/>
      <c r="M267" s="72"/>
      <c r="N267" s="72"/>
      <c r="O267" s="72"/>
      <c r="P267" s="72"/>
      <c r="Q267" s="24"/>
      <c r="R267" s="72"/>
      <c r="S267" s="72">
        <f>S266/R266-1</f>
        <v>-9.9999999999999978E-2</v>
      </c>
      <c r="T267" s="72">
        <f>T266/S266-1</f>
        <v>0.11111111111111116</v>
      </c>
      <c r="U267" s="72">
        <f>U266/T266-1</f>
        <v>-9.9999999999999978E-2</v>
      </c>
      <c r="V267" s="24"/>
      <c r="W267" s="72">
        <f>W266/U266-1</f>
        <v>0.55555555555555558</v>
      </c>
      <c r="X267" s="72">
        <f>X266/W266-1</f>
        <v>-7.1428571428571397E-2</v>
      </c>
      <c r="Y267" s="72">
        <f>Y266/X266-1</f>
        <v>-0.38461538461538458</v>
      </c>
      <c r="Z267" s="72">
        <f>Z266/Y266-1</f>
        <v>-0.3125</v>
      </c>
      <c r="AA267" s="24"/>
      <c r="AB267" s="72">
        <f>AB266/Z266-1</f>
        <v>-0.36363636363636365</v>
      </c>
      <c r="AC267" s="72">
        <f>AC266/AB266-1</f>
        <v>-0.1428571428571429</v>
      </c>
      <c r="AD267" s="72">
        <f>AD266/AC266-1</f>
        <v>0</v>
      </c>
      <c r="AE267" s="72">
        <f>AE266/AD266-1</f>
        <v>0.16666666666666674</v>
      </c>
      <c r="AF267" s="24"/>
      <c r="AG267" s="85" t="s">
        <v>44</v>
      </c>
      <c r="AH267" s="85" t="s">
        <v>44</v>
      </c>
      <c r="AI267" s="85" t="s">
        <v>44</v>
      </c>
      <c r="AJ267" s="85" t="s">
        <v>44</v>
      </c>
      <c r="AK267" s="24"/>
      <c r="AL267" s="85" t="s">
        <v>44</v>
      </c>
      <c r="AM267" s="85" t="s">
        <v>44</v>
      </c>
      <c r="AN267" s="85" t="s">
        <v>44</v>
      </c>
      <c r="AO267" s="85" t="s">
        <v>44</v>
      </c>
      <c r="AP267" s="24"/>
      <c r="AQ267" s="85" t="s">
        <v>44</v>
      </c>
      <c r="AR267" s="85" t="s">
        <v>44</v>
      </c>
      <c r="AS267" s="85" t="s">
        <v>44</v>
      </c>
      <c r="AT267" s="85" t="s">
        <v>44</v>
      </c>
      <c r="AU267" s="24"/>
      <c r="AV267" s="85" t="s">
        <v>44</v>
      </c>
      <c r="AW267" s="85" t="s">
        <v>44</v>
      </c>
      <c r="AX267" s="85" t="s">
        <v>44</v>
      </c>
      <c r="AY267" s="85" t="s">
        <v>44</v>
      </c>
      <c r="AZ267" s="24"/>
    </row>
    <row r="268" spans="1:52" ht="11.55" hidden="1" customHeight="1">
      <c r="A268" s="71" t="s">
        <v>8</v>
      </c>
      <c r="B268" s="24"/>
      <c r="C268" s="73"/>
      <c r="D268" s="73"/>
      <c r="E268" s="73"/>
      <c r="F268" s="73"/>
      <c r="G268" s="24"/>
      <c r="H268" s="73"/>
      <c r="I268" s="73"/>
      <c r="J268" s="73"/>
      <c r="K268" s="73"/>
      <c r="L268" s="24"/>
      <c r="M268" s="73"/>
      <c r="N268" s="73"/>
      <c r="O268" s="73"/>
      <c r="P268" s="73"/>
      <c r="Q268" s="24">
        <f>Q266/L266-1</f>
        <v>3.9215686274509887E-2</v>
      </c>
      <c r="R268" s="73"/>
      <c r="S268" s="73"/>
      <c r="T268" s="73"/>
      <c r="U268" s="73"/>
      <c r="V268" s="24">
        <f t="shared" ref="V268:AD268" si="268">V266/Q266-1</f>
        <v>0.4339622641509433</v>
      </c>
      <c r="W268" s="73">
        <f t="shared" si="268"/>
        <v>0.39999999999999991</v>
      </c>
      <c r="X268" s="73">
        <f t="shared" si="268"/>
        <v>0.44444444444444442</v>
      </c>
      <c r="Y268" s="73">
        <f t="shared" si="268"/>
        <v>-0.19999999999999996</v>
      </c>
      <c r="Z268" s="73">
        <f t="shared" si="268"/>
        <v>-0.38888888888888884</v>
      </c>
      <c r="AA268" s="24">
        <f t="shared" si="268"/>
        <v>6.578947368421062E-2</v>
      </c>
      <c r="AB268" s="73">
        <f t="shared" si="268"/>
        <v>-0.75</v>
      </c>
      <c r="AC268" s="73">
        <f t="shared" si="268"/>
        <v>-0.76923076923076916</v>
      </c>
      <c r="AD268" s="73">
        <f t="shared" si="268"/>
        <v>-0.625</v>
      </c>
      <c r="AE268" s="73">
        <f>AE266/Z266-1</f>
        <v>-0.36363636363636365</v>
      </c>
      <c r="AF268" s="24">
        <f>AF266/AA266-1</f>
        <v>-0.67901234567901236</v>
      </c>
      <c r="AG268" s="85" t="s">
        <v>44</v>
      </c>
      <c r="AH268" s="85" t="s">
        <v>44</v>
      </c>
      <c r="AI268" s="85" t="s">
        <v>44</v>
      </c>
      <c r="AJ268" s="85" t="s">
        <v>44</v>
      </c>
      <c r="AK268" s="92" t="s">
        <v>44</v>
      </c>
      <c r="AL268" s="85" t="s">
        <v>44</v>
      </c>
      <c r="AM268" s="85" t="s">
        <v>44</v>
      </c>
      <c r="AN268" s="85" t="s">
        <v>44</v>
      </c>
      <c r="AO268" s="85" t="s">
        <v>44</v>
      </c>
      <c r="AP268" s="92" t="s">
        <v>44</v>
      </c>
      <c r="AQ268" s="85" t="s">
        <v>44</v>
      </c>
      <c r="AR268" s="85" t="s">
        <v>44</v>
      </c>
      <c r="AS268" s="85" t="s">
        <v>44</v>
      </c>
      <c r="AT268" s="85" t="s">
        <v>44</v>
      </c>
      <c r="AU268" s="92" t="s">
        <v>44</v>
      </c>
      <c r="AV268" s="85" t="s">
        <v>44</v>
      </c>
      <c r="AW268" s="85" t="s">
        <v>44</v>
      </c>
      <c r="AX268" s="85" t="s">
        <v>44</v>
      </c>
      <c r="AY268" s="85" t="s">
        <v>44</v>
      </c>
      <c r="AZ268" s="92" t="s">
        <v>44</v>
      </c>
    </row>
    <row r="269" spans="1:52" ht="10.5" customHeight="1">
      <c r="A269" s="50" t="s">
        <v>20</v>
      </c>
      <c r="B269" s="40"/>
      <c r="C269" s="52"/>
      <c r="D269" s="52"/>
      <c r="E269" s="52"/>
      <c r="F269" s="52"/>
      <c r="G269" s="40"/>
      <c r="H269" s="52"/>
      <c r="I269" s="52"/>
      <c r="J269" s="52"/>
      <c r="K269" s="52"/>
      <c r="L269" s="40"/>
      <c r="M269" s="52"/>
      <c r="N269" s="52"/>
      <c r="O269" s="52"/>
      <c r="P269" s="52"/>
      <c r="Q269" s="40"/>
      <c r="R269" s="52"/>
      <c r="S269" s="52"/>
      <c r="T269" s="52"/>
      <c r="U269" s="52"/>
      <c r="V269" s="40"/>
      <c r="W269" s="52"/>
      <c r="X269" s="52"/>
      <c r="Y269" s="52"/>
      <c r="Z269" s="52"/>
      <c r="AA269" s="40"/>
      <c r="AB269" s="52"/>
      <c r="AC269" s="52"/>
      <c r="AD269" s="52"/>
      <c r="AE269" s="52"/>
      <c r="AF269" s="40"/>
      <c r="AG269" s="52"/>
      <c r="AH269" s="52"/>
      <c r="AI269" s="52"/>
      <c r="AJ269" s="52"/>
      <c r="AK269" s="40"/>
      <c r="AL269" s="52"/>
      <c r="AM269" s="52"/>
      <c r="AN269" s="52"/>
      <c r="AO269" s="52"/>
      <c r="AP269" s="40"/>
      <c r="AQ269" s="52"/>
      <c r="AR269" s="52"/>
      <c r="AS269" s="52"/>
      <c r="AT269" s="52"/>
      <c r="AU269" s="40"/>
      <c r="AV269" s="52"/>
      <c r="AW269" s="52"/>
      <c r="AX269" s="52"/>
      <c r="AY269" s="52"/>
      <c r="AZ269" s="40"/>
    </row>
    <row r="270" spans="1:52" s="36" customFormat="1" ht="12" customHeight="1">
      <c r="A270" s="69" t="s">
        <v>31</v>
      </c>
      <c r="B270" s="56">
        <f t="shared" ref="B270:AG270" si="269">B205/B172</f>
        <v>0.23087694731314545</v>
      </c>
      <c r="C270" s="78">
        <f t="shared" si="269"/>
        <v>0.26491477272727271</v>
      </c>
      <c r="D270" s="78">
        <f t="shared" si="269"/>
        <v>0.32644017725258495</v>
      </c>
      <c r="E270" s="78">
        <f t="shared" si="269"/>
        <v>0.30835734870317005</v>
      </c>
      <c r="F270" s="78">
        <f t="shared" si="269"/>
        <v>0.17209407463276902</v>
      </c>
      <c r="G270" s="56">
        <f t="shared" si="269"/>
        <v>0.26827450106669737</v>
      </c>
      <c r="H270" s="78">
        <f t="shared" si="269"/>
        <v>0.32956259426847662</v>
      </c>
      <c r="I270" s="78">
        <f t="shared" si="269"/>
        <v>0.3292867981790592</v>
      </c>
      <c r="J270" s="78">
        <f t="shared" si="269"/>
        <v>0.36559940431868948</v>
      </c>
      <c r="K270" s="78">
        <f t="shared" si="269"/>
        <v>0.12234042553191489</v>
      </c>
      <c r="L270" s="56">
        <f t="shared" si="269"/>
        <v>0.28719592683386763</v>
      </c>
      <c r="M270" s="78">
        <f t="shared" si="269"/>
        <v>0.37576687116564417</v>
      </c>
      <c r="N270" s="78">
        <f t="shared" si="269"/>
        <v>0.38485080336648814</v>
      </c>
      <c r="O270" s="78">
        <f t="shared" si="269"/>
        <v>0.42025699168556313</v>
      </c>
      <c r="P270" s="78">
        <f t="shared" si="269"/>
        <v>0.37170805116629047</v>
      </c>
      <c r="Q270" s="56">
        <f t="shared" si="269"/>
        <v>0.38818164544936345</v>
      </c>
      <c r="R270" s="78">
        <f t="shared" si="269"/>
        <v>0.17911714770797962</v>
      </c>
      <c r="S270" s="78">
        <f t="shared" si="269"/>
        <v>0.44188034188034186</v>
      </c>
      <c r="T270" s="78">
        <f t="shared" si="269"/>
        <v>0.46037099494097805</v>
      </c>
      <c r="U270" s="78">
        <f t="shared" si="269"/>
        <v>0.35637342908438063</v>
      </c>
      <c r="V270" s="56">
        <f t="shared" si="269"/>
        <v>0.35950946643717729</v>
      </c>
      <c r="W270" s="78">
        <f t="shared" si="269"/>
        <v>0.44954128440366975</v>
      </c>
      <c r="X270" s="78">
        <f t="shared" si="269"/>
        <v>0.37639965546942289</v>
      </c>
      <c r="Y270" s="78">
        <f t="shared" si="269"/>
        <v>0.3646649260226284</v>
      </c>
      <c r="Z270" s="78">
        <f t="shared" si="269"/>
        <v>0.50312221231043708</v>
      </c>
      <c r="AA270" s="56">
        <f t="shared" si="269"/>
        <v>0.42311015118790496</v>
      </c>
      <c r="AB270" s="78">
        <f t="shared" si="269"/>
        <v>0.47387068201948629</v>
      </c>
      <c r="AC270" s="78">
        <f t="shared" si="269"/>
        <v>0.45495093666369313</v>
      </c>
      <c r="AD270" s="78">
        <f t="shared" si="269"/>
        <v>0.43833185448092282</v>
      </c>
      <c r="AE270" s="78">
        <f t="shared" si="269"/>
        <v>0.41689373297002724</v>
      </c>
      <c r="AF270" s="56">
        <f t="shared" si="269"/>
        <v>0.44618133095131757</v>
      </c>
      <c r="AG270" s="78">
        <f t="shared" si="269"/>
        <v>0.46796657381615597</v>
      </c>
      <c r="AH270" s="78">
        <f t="shared" ref="AH270:AZ270" si="270">AH205/AH172</f>
        <v>0.43895619757688725</v>
      </c>
      <c r="AI270" s="78">
        <f t="shared" si="270"/>
        <v>0.46068455134135061</v>
      </c>
      <c r="AJ270" s="78">
        <f t="shared" si="270"/>
        <v>0.46685082872928174</v>
      </c>
      <c r="AK270" s="56">
        <v>0.45865184155663657</v>
      </c>
      <c r="AL270" s="78">
        <v>0.49146451033243488</v>
      </c>
      <c r="AM270" s="78">
        <v>0.59909502262443437</v>
      </c>
      <c r="AN270" s="78">
        <v>0.46503178928247046</v>
      </c>
      <c r="AO270" s="78">
        <v>0.39246323529411764</v>
      </c>
      <c r="AP270" s="56">
        <v>0.48740639891082371</v>
      </c>
      <c r="AQ270" s="78">
        <v>0.48201438848920863</v>
      </c>
      <c r="AR270" s="78">
        <v>0.49090909090909091</v>
      </c>
      <c r="AS270" s="78">
        <v>0.47658402203856748</v>
      </c>
      <c r="AT270" s="78">
        <v>0.44454713493530501</v>
      </c>
      <c r="AU270" s="56">
        <v>0.47364818617385351</v>
      </c>
      <c r="AV270" s="78">
        <v>0.47588126159554733</v>
      </c>
      <c r="AW270" s="78">
        <v>0.46880907372400754</v>
      </c>
      <c r="AX270" s="78">
        <v>0.46371347785108391</v>
      </c>
      <c r="AY270" s="78">
        <v>0.44890162368672398</v>
      </c>
      <c r="AZ270" s="56">
        <v>0.46442035815268612</v>
      </c>
    </row>
    <row r="271" spans="1:52" s="36" customFormat="1" ht="12" customHeight="1">
      <c r="A271" s="69" t="s">
        <v>39</v>
      </c>
      <c r="B271" s="56">
        <f t="shared" ref="B271:AG271" si="271">B214/B172</f>
        <v>0.12900402590582882</v>
      </c>
      <c r="C271" s="78">
        <f t="shared" si="271"/>
        <v>0.17329545454545456</v>
      </c>
      <c r="D271" s="78">
        <f t="shared" si="271"/>
        <v>0.21418020679468242</v>
      </c>
      <c r="E271" s="78">
        <f t="shared" si="271"/>
        <v>0.1952449567723343</v>
      </c>
      <c r="F271" s="78">
        <f t="shared" si="271"/>
        <v>0.10755879664548063</v>
      </c>
      <c r="G271" s="56">
        <f t="shared" si="271"/>
        <v>0.17278696678872033</v>
      </c>
      <c r="H271" s="78">
        <f t="shared" si="271"/>
        <v>0.25339366515837103</v>
      </c>
      <c r="I271" s="78">
        <f t="shared" si="271"/>
        <v>0.23975720789074356</v>
      </c>
      <c r="J271" s="78">
        <f t="shared" si="271"/>
        <v>0.23752792256142963</v>
      </c>
      <c r="K271" s="78">
        <f t="shared" si="271"/>
        <v>0.10334346504559271</v>
      </c>
      <c r="L271" s="56">
        <f t="shared" si="271"/>
        <v>0.20874976428436734</v>
      </c>
      <c r="M271" s="78">
        <f t="shared" si="271"/>
        <v>0.27607361963190186</v>
      </c>
      <c r="N271" s="78">
        <f t="shared" si="271"/>
        <v>0.26702371843917366</v>
      </c>
      <c r="O271" s="78">
        <f t="shared" si="271"/>
        <v>0.28495842781557068</v>
      </c>
      <c r="P271" s="78">
        <f t="shared" si="271"/>
        <v>0.25583145221971409</v>
      </c>
      <c r="Q271" s="56">
        <f t="shared" si="271"/>
        <v>0.2709481284438533</v>
      </c>
      <c r="R271" s="78">
        <f t="shared" si="271"/>
        <v>0.10441426146010187</v>
      </c>
      <c r="S271" s="78">
        <f t="shared" si="271"/>
        <v>0.28205128205128205</v>
      </c>
      <c r="T271" s="78">
        <f t="shared" si="271"/>
        <v>0.26222596964586847</v>
      </c>
      <c r="U271" s="78">
        <f t="shared" si="271"/>
        <v>0.27737881508078993</v>
      </c>
      <c r="V271" s="56">
        <f t="shared" si="271"/>
        <v>0.23085197934595525</v>
      </c>
      <c r="W271" s="78">
        <f t="shared" si="271"/>
        <v>0.29024186822351961</v>
      </c>
      <c r="X271" s="78">
        <f t="shared" si="271"/>
        <v>0.22652885443583118</v>
      </c>
      <c r="Y271" s="78">
        <f t="shared" si="271"/>
        <v>0.21409921671018275</v>
      </c>
      <c r="Z271" s="78">
        <f t="shared" si="271"/>
        <v>0.33006244424620873</v>
      </c>
      <c r="AA271" s="56">
        <f t="shared" si="271"/>
        <v>0.26501079913606912</v>
      </c>
      <c r="AB271" s="78">
        <f t="shared" si="271"/>
        <v>0.26837909654561559</v>
      </c>
      <c r="AC271" s="78">
        <f t="shared" si="271"/>
        <v>0.26048171275646742</v>
      </c>
      <c r="AD271" s="78">
        <f t="shared" si="271"/>
        <v>0.25554569653948533</v>
      </c>
      <c r="AE271" s="78">
        <f t="shared" si="271"/>
        <v>0.23887375113533152</v>
      </c>
      <c r="AF271" s="56">
        <f t="shared" si="271"/>
        <v>0.2559178204555605</v>
      </c>
      <c r="AG271" s="78">
        <f t="shared" si="271"/>
        <v>0.27390900649953576</v>
      </c>
      <c r="AH271" s="78">
        <f t="shared" ref="AH271:AZ271" si="272">AH214/AH172</f>
        <v>0.23392357875116496</v>
      </c>
      <c r="AI271" s="78">
        <f t="shared" si="272"/>
        <v>0.2432932469935245</v>
      </c>
      <c r="AJ271" s="78">
        <f t="shared" si="272"/>
        <v>0.26979742173112337</v>
      </c>
      <c r="AK271" s="56">
        <v>0.25526986333101692</v>
      </c>
      <c r="AL271" s="78">
        <v>0.31087151841868821</v>
      </c>
      <c r="AM271" s="78">
        <v>0.34570135746606334</v>
      </c>
      <c r="AN271" s="78">
        <v>0.23251589464123523</v>
      </c>
      <c r="AO271" s="78">
        <v>0.3125</v>
      </c>
      <c r="AP271" s="56">
        <v>0.30043113228953938</v>
      </c>
      <c r="AQ271" s="78">
        <v>0.29496402877697842</v>
      </c>
      <c r="AR271" s="78">
        <v>0.29636363636363638</v>
      </c>
      <c r="AS271" s="78">
        <v>0.31496786042240588</v>
      </c>
      <c r="AT271" s="78">
        <v>0.21719038817005545</v>
      </c>
      <c r="AU271" s="56">
        <v>0.28108601414556239</v>
      </c>
      <c r="AV271" s="78">
        <v>0.29591836734693877</v>
      </c>
      <c r="AW271" s="78">
        <v>0.29962192816635158</v>
      </c>
      <c r="AX271" s="78">
        <v>0.26013195098963243</v>
      </c>
      <c r="AY271" s="78">
        <v>0.24832855778414517</v>
      </c>
      <c r="AZ271" s="56">
        <v>0.27615457115928371</v>
      </c>
    </row>
    <row r="272" spans="1:52" s="36" customFormat="1" ht="11.25" customHeight="1">
      <c r="A272" s="69" t="s">
        <v>10</v>
      </c>
      <c r="B272" s="56">
        <f t="shared" ref="B272:AG272" si="273">B220/B172</f>
        <v>0.39558900752669351</v>
      </c>
      <c r="C272" s="78">
        <f t="shared" si="273"/>
        <v>0.41974431818181818</v>
      </c>
      <c r="D272" s="78">
        <f t="shared" si="273"/>
        <v>0.48227474150664695</v>
      </c>
      <c r="E272" s="78">
        <f t="shared" si="273"/>
        <v>0.46253602305475505</v>
      </c>
      <c r="F272" s="78">
        <f t="shared" si="273"/>
        <v>0.32712709876315144</v>
      </c>
      <c r="G272" s="56">
        <f t="shared" si="273"/>
        <v>0.42323712812352865</v>
      </c>
      <c r="H272" s="78">
        <f t="shared" si="273"/>
        <v>0.48868778280542985</v>
      </c>
      <c r="I272" s="78">
        <f t="shared" si="273"/>
        <v>0.48482549317147194</v>
      </c>
      <c r="J272" s="78">
        <f t="shared" si="273"/>
        <v>0.50260610573343256</v>
      </c>
      <c r="K272" s="78">
        <f t="shared" si="273"/>
        <v>0.26975683890577506</v>
      </c>
      <c r="L272" s="56">
        <f t="shared" si="273"/>
        <v>0.43692249669998112</v>
      </c>
      <c r="M272" s="78">
        <f t="shared" si="273"/>
        <v>0.50613496932515334</v>
      </c>
      <c r="N272" s="78">
        <f t="shared" si="273"/>
        <v>0.51568477429227233</v>
      </c>
      <c r="O272" s="78">
        <f t="shared" si="273"/>
        <v>0.54950869236583522</v>
      </c>
      <c r="P272" s="78">
        <f t="shared" si="273"/>
        <v>0.50564334085778784</v>
      </c>
      <c r="Q272" s="56">
        <f t="shared" si="273"/>
        <v>0.51928557856735702</v>
      </c>
      <c r="R272" s="78">
        <f t="shared" si="273"/>
        <v>0.31663837011884549</v>
      </c>
      <c r="S272" s="78">
        <f t="shared" si="273"/>
        <v>0.58803418803418805</v>
      </c>
      <c r="T272" s="78">
        <f t="shared" si="273"/>
        <v>0.61214165261382802</v>
      </c>
      <c r="U272" s="78">
        <f t="shared" si="273"/>
        <v>0.51346499102333931</v>
      </c>
      <c r="V272" s="56">
        <f t="shared" si="273"/>
        <v>0.50753012048192769</v>
      </c>
      <c r="W272" s="78">
        <f t="shared" si="273"/>
        <v>0.59799833194328611</v>
      </c>
      <c r="X272" s="78">
        <f t="shared" si="273"/>
        <v>0.52971576227390182</v>
      </c>
      <c r="Y272" s="78">
        <f t="shared" si="273"/>
        <v>0.52567449956483903</v>
      </c>
      <c r="Z272" s="78">
        <f t="shared" si="273"/>
        <v>0.67172167707404107</v>
      </c>
      <c r="AA272" s="56">
        <f t="shared" si="273"/>
        <v>0.58077753779697627</v>
      </c>
      <c r="AB272" s="78">
        <f t="shared" si="273"/>
        <v>0.62178919397697074</v>
      </c>
      <c r="AC272" s="78">
        <f t="shared" si="273"/>
        <v>0.60481712756467443</v>
      </c>
      <c r="AD272" s="78">
        <f t="shared" si="273"/>
        <v>0.59272404614019525</v>
      </c>
      <c r="AE272" s="78">
        <f t="shared" si="273"/>
        <v>0.57493188010899188</v>
      </c>
      <c r="AF272" s="56">
        <f t="shared" si="273"/>
        <v>0.5987047789191603</v>
      </c>
      <c r="AG272" s="78">
        <f t="shared" si="273"/>
        <v>0.62395543175487467</v>
      </c>
      <c r="AH272" s="78">
        <f t="shared" ref="AH272:AZ272" si="274">AH220/AH172</f>
        <v>0.59925442684063379</v>
      </c>
      <c r="AI272" s="78">
        <f t="shared" si="274"/>
        <v>0.62534690101757628</v>
      </c>
      <c r="AJ272" s="78">
        <f t="shared" si="274"/>
        <v>0.62338858195211788</v>
      </c>
      <c r="AK272" s="56">
        <v>0.61802177438035677</v>
      </c>
      <c r="AL272" s="78">
        <v>0.64959568733153639</v>
      </c>
      <c r="AM272" s="78">
        <v>0.7619909502262443</v>
      </c>
      <c r="AN272" s="78">
        <v>0.63215258855585832</v>
      </c>
      <c r="AO272" s="78">
        <v>0.5625</v>
      </c>
      <c r="AP272" s="56">
        <v>0.65191740412979349</v>
      </c>
      <c r="AQ272" s="78">
        <v>0.64658273381294962</v>
      </c>
      <c r="AR272" s="78">
        <v>0.65909090909090906</v>
      </c>
      <c r="AS272" s="78">
        <v>0.64921946740128555</v>
      </c>
      <c r="AT272" s="78">
        <v>0.59334565619223656</v>
      </c>
      <c r="AU272" s="56">
        <v>0.63723477070499657</v>
      </c>
      <c r="AV272" s="78">
        <v>0.6428571428571429</v>
      </c>
      <c r="AW272" s="78">
        <v>0.63610586011342152</v>
      </c>
      <c r="AX272" s="78">
        <v>0.63901979264844488</v>
      </c>
      <c r="AY272" s="78">
        <v>0.62559694364851959</v>
      </c>
      <c r="AZ272" s="56">
        <v>0.63595664467483504</v>
      </c>
    </row>
    <row r="273" spans="1:52" s="36" customFormat="1" ht="11.25" customHeight="1">
      <c r="A273" s="69" t="s">
        <v>19</v>
      </c>
      <c r="B273" s="56">
        <f t="shared" ref="B273:AG273" si="275">B230/B172</f>
        <v>8.8394888849991249E-2</v>
      </c>
      <c r="C273" s="78">
        <f t="shared" si="275"/>
        <v>0.11221590909090909</v>
      </c>
      <c r="D273" s="78">
        <f t="shared" si="275"/>
        <v>9.7488921713441659E-2</v>
      </c>
      <c r="E273" s="78">
        <f t="shared" si="275"/>
        <v>0.11239193083573487</v>
      </c>
      <c r="F273" s="78">
        <f t="shared" si="275"/>
        <v>0.12610341675677039</v>
      </c>
      <c r="G273" s="56">
        <f t="shared" si="275"/>
        <v>0.11203870688615972</v>
      </c>
      <c r="H273" s="78">
        <f t="shared" si="275"/>
        <v>0.17948717948717949</v>
      </c>
      <c r="I273" s="78">
        <f t="shared" si="275"/>
        <v>0.1449165402124431</v>
      </c>
      <c r="J273" s="78">
        <f t="shared" si="275"/>
        <v>0.15189873417721519</v>
      </c>
      <c r="K273" s="78">
        <f t="shared" si="275"/>
        <v>0.16717325227963525</v>
      </c>
      <c r="L273" s="56">
        <f t="shared" si="275"/>
        <v>0.16085234772770129</v>
      </c>
      <c r="M273" s="78">
        <f t="shared" si="275"/>
        <v>0.18251533742331288</v>
      </c>
      <c r="N273" s="78">
        <f t="shared" si="275"/>
        <v>0.18898240244835501</v>
      </c>
      <c r="O273" s="78">
        <f t="shared" si="275"/>
        <v>0.18518518518518517</v>
      </c>
      <c r="P273" s="78">
        <f t="shared" si="275"/>
        <v>0.2272385252069225</v>
      </c>
      <c r="Q273" s="56">
        <f t="shared" si="275"/>
        <v>0.1960858825764773</v>
      </c>
      <c r="R273" s="78">
        <f t="shared" si="275"/>
        <v>0.27079796264855688</v>
      </c>
      <c r="S273" s="78">
        <f t="shared" si="275"/>
        <v>0.27264957264957262</v>
      </c>
      <c r="T273" s="78">
        <f t="shared" si="275"/>
        <v>0.22596964586846544</v>
      </c>
      <c r="U273" s="78">
        <f t="shared" si="275"/>
        <v>0.2324955116696589</v>
      </c>
      <c r="V273" s="56">
        <f t="shared" si="275"/>
        <v>0.25064543889845092</v>
      </c>
      <c r="W273" s="78">
        <f t="shared" si="275"/>
        <v>0.22435362802335279</v>
      </c>
      <c r="X273" s="78">
        <f t="shared" si="275"/>
        <v>0.20499569336778639</v>
      </c>
      <c r="Y273" s="78">
        <f t="shared" si="275"/>
        <v>0.21671018276762402</v>
      </c>
      <c r="Z273" s="78">
        <f t="shared" si="275"/>
        <v>0.18019625334522749</v>
      </c>
      <c r="AA273" s="56">
        <f t="shared" si="275"/>
        <v>0.20691144708423326</v>
      </c>
      <c r="AB273" s="78">
        <f t="shared" si="275"/>
        <v>0.16209034543844109</v>
      </c>
      <c r="AC273" s="78">
        <f t="shared" si="275"/>
        <v>0.16592328278322926</v>
      </c>
      <c r="AD273" s="78">
        <f t="shared" si="275"/>
        <v>0.17568766637089619</v>
      </c>
      <c r="AE273" s="78">
        <f t="shared" si="275"/>
        <v>0.20163487738419619</v>
      </c>
      <c r="AF273" s="56">
        <f t="shared" si="275"/>
        <v>0.17619472979008485</v>
      </c>
      <c r="AG273" s="78">
        <f t="shared" si="275"/>
        <v>0.19498607242339833</v>
      </c>
      <c r="AH273" s="78">
        <f t="shared" ref="AH273:AZ273" si="276">AH230/AH172</f>
        <v>0.19291705498602049</v>
      </c>
      <c r="AI273" s="78">
        <f t="shared" si="276"/>
        <v>0.19426456984273821</v>
      </c>
      <c r="AJ273" s="78">
        <f t="shared" si="276"/>
        <v>0.17955801104972377</v>
      </c>
      <c r="AK273" s="56">
        <v>0.19041000694927032</v>
      </c>
      <c r="AL273" s="78">
        <v>0.20754716981132076</v>
      </c>
      <c r="AM273" s="78">
        <v>0.17285067873303167</v>
      </c>
      <c r="AN273" s="78">
        <v>0.20890099909173479</v>
      </c>
      <c r="AO273" s="78">
        <v>0.18106617647058823</v>
      </c>
      <c r="AP273" s="56">
        <v>0.19264805990469708</v>
      </c>
      <c r="AQ273" s="78">
        <v>0.17535971223021582</v>
      </c>
      <c r="AR273" s="78">
        <v>0.20636363636363636</v>
      </c>
      <c r="AS273" s="78">
        <v>0.19008264462809918</v>
      </c>
      <c r="AT273" s="78">
        <v>0.18946395563770796</v>
      </c>
      <c r="AU273" s="56">
        <v>0.19028062970568105</v>
      </c>
      <c r="AV273" s="78">
        <v>0.19480519480519481</v>
      </c>
      <c r="AW273" s="78">
        <v>0.20699432892249528</v>
      </c>
      <c r="AX273" s="78">
        <v>0.16022620169651272</v>
      </c>
      <c r="AY273" s="78">
        <v>0.21585482330468003</v>
      </c>
      <c r="AZ273" s="56">
        <v>0.19439208294062205</v>
      </c>
    </row>
    <row r="274" spans="1:52" ht="6"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row>
    <row r="275" spans="1:52" ht="21">
      <c r="A275" s="35" t="s">
        <v>3</v>
      </c>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row>
    <row r="276" spans="1:52">
      <c r="A276" s="40" t="s">
        <v>87</v>
      </c>
      <c r="B276" s="41"/>
      <c r="C276" s="42"/>
      <c r="D276" s="42"/>
      <c r="E276" s="42"/>
      <c r="F276" s="42"/>
      <c r="G276" s="41"/>
      <c r="H276" s="42"/>
      <c r="I276" s="42"/>
      <c r="J276" s="42"/>
      <c r="K276" s="42"/>
      <c r="L276" s="41"/>
      <c r="M276" s="42"/>
      <c r="N276" s="42"/>
      <c r="O276" s="42"/>
      <c r="P276" s="42"/>
      <c r="Q276" s="41"/>
      <c r="R276" s="42"/>
      <c r="S276" s="42"/>
      <c r="T276" s="42"/>
      <c r="U276" s="42"/>
      <c r="V276" s="41"/>
      <c r="W276" s="42"/>
      <c r="X276" s="42"/>
      <c r="Y276" s="42"/>
      <c r="Z276" s="42"/>
      <c r="AA276" s="41"/>
      <c r="AB276" s="42"/>
      <c r="AC276" s="42"/>
      <c r="AD276" s="42"/>
      <c r="AE276" s="42"/>
      <c r="AF276" s="41"/>
      <c r="AG276" s="42"/>
      <c r="AH276" s="42"/>
      <c r="AI276" s="42"/>
      <c r="AJ276" s="42"/>
      <c r="AK276" s="41"/>
      <c r="AL276" s="42"/>
      <c r="AM276" s="42"/>
      <c r="AN276" s="42"/>
      <c r="AO276" s="42"/>
      <c r="AP276" s="41"/>
      <c r="AQ276" s="42"/>
      <c r="AR276" s="42"/>
      <c r="AS276" s="42"/>
      <c r="AT276" s="42"/>
      <c r="AU276" s="41"/>
      <c r="AV276" s="42"/>
      <c r="AW276" s="42"/>
      <c r="AX276" s="42"/>
      <c r="AY276" s="42"/>
      <c r="AZ276" s="41"/>
    </row>
    <row r="277" spans="1:52">
      <c r="A277" s="69" t="s">
        <v>64</v>
      </c>
      <c r="B277" s="37">
        <f>B280+B283</f>
        <v>4684</v>
      </c>
      <c r="C277" s="70">
        <v>1173</v>
      </c>
      <c r="D277" s="70">
        <v>1188</v>
      </c>
      <c r="E277" s="70">
        <v>1214</v>
      </c>
      <c r="F277" s="70">
        <f>G277-E277-D277-C277</f>
        <v>1138</v>
      </c>
      <c r="G277" s="37">
        <f>G280+G283</f>
        <v>4713</v>
      </c>
      <c r="H277" s="70">
        <f>H280+H283</f>
        <v>1265</v>
      </c>
      <c r="I277" s="70">
        <f>I280+I283</f>
        <v>1346</v>
      </c>
      <c r="J277" s="70">
        <f>J280+J283</f>
        <v>1372</v>
      </c>
      <c r="K277" s="70">
        <f>L277-J277-I277-H277</f>
        <v>1393</v>
      </c>
      <c r="L277" s="37">
        <f>L280+L283</f>
        <v>5376</v>
      </c>
      <c r="M277" s="70">
        <f>M280+M283</f>
        <v>1393</v>
      </c>
      <c r="N277" s="70">
        <f>N280+N283</f>
        <v>1429</v>
      </c>
      <c r="O277" s="70">
        <f>O280+O283</f>
        <v>1442</v>
      </c>
      <c r="P277" s="70">
        <f>Q277-O277-N277-M277</f>
        <v>1468</v>
      </c>
      <c r="Q277" s="37">
        <f>Q280+Q283</f>
        <v>5732</v>
      </c>
      <c r="R277" s="70">
        <f>R280+R283</f>
        <v>1450</v>
      </c>
      <c r="S277" s="70">
        <v>1438</v>
      </c>
      <c r="T277" s="70">
        <f>T280+T283</f>
        <v>1421</v>
      </c>
      <c r="U277" s="70">
        <f>V277-T277-S277-R277</f>
        <v>1239</v>
      </c>
      <c r="V277" s="37">
        <v>5548</v>
      </c>
      <c r="W277" s="70">
        <f>W280+W283</f>
        <v>1244</v>
      </c>
      <c r="X277" s="70">
        <v>1148</v>
      </c>
      <c r="Y277" s="70">
        <f>Y280+Y283</f>
        <v>1049</v>
      </c>
      <c r="Z277" s="70">
        <f>AA277-Y277-X277-W277</f>
        <v>1027</v>
      </c>
      <c r="AA277" s="37">
        <f>AA280+AA283</f>
        <v>4468</v>
      </c>
      <c r="AB277" s="70">
        <f>AB280+AB283</f>
        <v>964</v>
      </c>
      <c r="AC277" s="70">
        <f>AC280+AC283</f>
        <v>915</v>
      </c>
      <c r="AD277" s="70">
        <f>AD280+AD283</f>
        <v>947</v>
      </c>
      <c r="AE277" s="70">
        <f>AF277-AD277-AC277-AB277</f>
        <v>983</v>
      </c>
      <c r="AF277" s="37">
        <f>AF280+AF283</f>
        <v>3809</v>
      </c>
      <c r="AG277" s="70">
        <f>AG280+AG283</f>
        <v>917</v>
      </c>
      <c r="AH277" s="70">
        <f>AH280+AH283</f>
        <v>843</v>
      </c>
      <c r="AI277" s="70">
        <f>AI280+AI283</f>
        <v>824</v>
      </c>
      <c r="AJ277" s="70">
        <f>AK277-AI277-AH277-AG277</f>
        <v>835</v>
      </c>
      <c r="AK277" s="37">
        <v>3419</v>
      </c>
      <c r="AL277" s="70">
        <v>727</v>
      </c>
      <c r="AM277" s="70">
        <v>721</v>
      </c>
      <c r="AN277" s="70">
        <v>729</v>
      </c>
      <c r="AO277" s="70">
        <v>713</v>
      </c>
      <c r="AP277" s="37">
        <v>2890</v>
      </c>
      <c r="AQ277" s="70">
        <v>671</v>
      </c>
      <c r="AR277" s="70">
        <v>658</v>
      </c>
      <c r="AS277" s="70">
        <v>649</v>
      </c>
      <c r="AT277" s="70">
        <v>652</v>
      </c>
      <c r="AU277" s="37">
        <v>2630</v>
      </c>
      <c r="AV277" s="70">
        <v>628</v>
      </c>
      <c r="AW277" s="70">
        <v>632</v>
      </c>
      <c r="AX277" s="70">
        <v>635</v>
      </c>
      <c r="AY277" s="70">
        <v>651</v>
      </c>
      <c r="AZ277" s="37">
        <v>2546</v>
      </c>
    </row>
    <row r="278" spans="1:52" ht="11.25" customHeight="1">
      <c r="A278" s="71" t="s">
        <v>7</v>
      </c>
      <c r="B278" s="24"/>
      <c r="C278" s="72"/>
      <c r="D278" s="72">
        <f>D277/C277-1</f>
        <v>1.2787723785166349E-2</v>
      </c>
      <c r="E278" s="72">
        <f>E277/D277-1</f>
        <v>2.1885521885521841E-2</v>
      </c>
      <c r="F278" s="72">
        <f>F277/E277-1</f>
        <v>-6.2602965403624422E-2</v>
      </c>
      <c r="G278" s="24"/>
      <c r="H278" s="72">
        <f>H277/F277-1</f>
        <v>0.11159929701230231</v>
      </c>
      <c r="I278" s="72">
        <f>I277/H277-1</f>
        <v>6.4031620553359758E-2</v>
      </c>
      <c r="J278" s="72">
        <f>J277/I277-1</f>
        <v>1.9316493313521477E-2</v>
      </c>
      <c r="K278" s="72">
        <f>K277/J277-1</f>
        <v>1.5306122448979664E-2</v>
      </c>
      <c r="L278" s="24"/>
      <c r="M278" s="72">
        <f>M277/K277-1</f>
        <v>0</v>
      </c>
      <c r="N278" s="72">
        <f>N277/M277-1</f>
        <v>2.5843503230437825E-2</v>
      </c>
      <c r="O278" s="72">
        <f>O277/N277-1</f>
        <v>9.0972708187544438E-3</v>
      </c>
      <c r="P278" s="72">
        <f>P277/O277-1</f>
        <v>1.8030513176144236E-2</v>
      </c>
      <c r="Q278" s="24"/>
      <c r="R278" s="72">
        <f>R277/P277-1</f>
        <v>-1.2261580381471404E-2</v>
      </c>
      <c r="S278" s="72">
        <f>S277/R277-1</f>
        <v>-8.2758620689654672E-3</v>
      </c>
      <c r="T278" s="72">
        <f>T277/S277-1</f>
        <v>-1.182197496522952E-2</v>
      </c>
      <c r="U278" s="72">
        <f>U277/T277-1</f>
        <v>-0.1280788177339901</v>
      </c>
      <c r="V278" s="24"/>
      <c r="W278" s="72">
        <f>W277/U277-1</f>
        <v>4.0355125100888234E-3</v>
      </c>
      <c r="X278" s="72">
        <f>X277/W277-1</f>
        <v>-7.7170418006430874E-2</v>
      </c>
      <c r="Y278" s="72">
        <f>Y277/X277-1</f>
        <v>-8.6236933797909421E-2</v>
      </c>
      <c r="Z278" s="72">
        <f>Z277/Y277-1</f>
        <v>-2.0972354623450928E-2</v>
      </c>
      <c r="AA278" s="24"/>
      <c r="AB278" s="72">
        <f>AB277/Z277-1</f>
        <v>-6.1343719571567701E-2</v>
      </c>
      <c r="AC278" s="72">
        <f>AC277/AB277-1</f>
        <v>-5.0829875518672241E-2</v>
      </c>
      <c r="AD278" s="72">
        <f>AD277/AC277-1</f>
        <v>3.4972677595628499E-2</v>
      </c>
      <c r="AE278" s="72">
        <f>AE277/AD277-1</f>
        <v>3.8014783526927109E-2</v>
      </c>
      <c r="AF278" s="24"/>
      <c r="AG278" s="72">
        <f>AG277/AE277-1</f>
        <v>-6.7141403865717209E-2</v>
      </c>
      <c r="AH278" s="72">
        <f>AH277/AG277-1</f>
        <v>-8.0697928026172261E-2</v>
      </c>
      <c r="AI278" s="72">
        <f>AI277/AH277-1</f>
        <v>-2.2538552787663146E-2</v>
      </c>
      <c r="AJ278" s="72">
        <f>AJ277/AI277-1</f>
        <v>1.3349514563106846E-2</v>
      </c>
      <c r="AK278" s="24"/>
      <c r="AL278" s="72">
        <v>-0.12934131736526944</v>
      </c>
      <c r="AM278" s="72">
        <v>-8.2530949105914519E-3</v>
      </c>
      <c r="AN278" s="72">
        <v>1.1095700416088761E-2</v>
      </c>
      <c r="AO278" s="72">
        <v>-2.1947873799725626E-2</v>
      </c>
      <c r="AP278" s="24"/>
      <c r="AQ278" s="72">
        <v>-5.8906030855540026E-2</v>
      </c>
      <c r="AR278" s="72">
        <v>-1.9374068554396384E-2</v>
      </c>
      <c r="AS278" s="72">
        <v>-1.3677811550152019E-2</v>
      </c>
      <c r="AT278" s="72">
        <v>4.6224961479199855E-3</v>
      </c>
      <c r="AU278" s="24"/>
      <c r="AV278" s="72">
        <v>-3.6809815950920255E-2</v>
      </c>
      <c r="AW278" s="72">
        <v>6.3694267515923553E-3</v>
      </c>
      <c r="AX278" s="72">
        <v>4.746835443038E-3</v>
      </c>
      <c r="AY278" s="72">
        <v>2.5196850393700787E-2</v>
      </c>
      <c r="AZ278" s="24"/>
    </row>
    <row r="279" spans="1:52" ht="11.25" customHeight="1">
      <c r="A279" s="71" t="s">
        <v>8</v>
      </c>
      <c r="B279" s="24"/>
      <c r="C279" s="73"/>
      <c r="D279" s="73"/>
      <c r="E279" s="73"/>
      <c r="F279" s="73"/>
      <c r="G279" s="24">
        <f t="shared" ref="G279:N279" si="277">G277/B277-1</f>
        <v>6.1912894961571041E-3</v>
      </c>
      <c r="H279" s="73">
        <f t="shared" si="277"/>
        <v>7.8431372549019551E-2</v>
      </c>
      <c r="I279" s="73">
        <f t="shared" si="277"/>
        <v>0.132996632996633</v>
      </c>
      <c r="J279" s="73">
        <f t="shared" si="277"/>
        <v>0.13014827018121911</v>
      </c>
      <c r="K279" s="73">
        <f t="shared" si="277"/>
        <v>0.22407732864674879</v>
      </c>
      <c r="L279" s="24">
        <f t="shared" si="277"/>
        <v>0.14067472947167414</v>
      </c>
      <c r="M279" s="73">
        <f t="shared" si="277"/>
        <v>0.10118577075098822</v>
      </c>
      <c r="N279" s="73">
        <f t="shared" si="277"/>
        <v>6.1664190193164936E-2</v>
      </c>
      <c r="O279" s="73">
        <f t="shared" ref="O279:Y279" si="278">O277/J277-1</f>
        <v>5.1020408163265252E-2</v>
      </c>
      <c r="P279" s="73">
        <f t="shared" si="278"/>
        <v>5.3840631730079025E-2</v>
      </c>
      <c r="Q279" s="24">
        <f t="shared" si="278"/>
        <v>6.6220238095238138E-2</v>
      </c>
      <c r="R279" s="73">
        <f t="shared" si="278"/>
        <v>4.0918880114860112E-2</v>
      </c>
      <c r="S279" s="73">
        <f t="shared" si="278"/>
        <v>6.2981105668300508E-3</v>
      </c>
      <c r="T279" s="73">
        <f t="shared" si="278"/>
        <v>-1.4563106796116498E-2</v>
      </c>
      <c r="U279" s="73">
        <f t="shared" si="278"/>
        <v>-0.15599455040871935</v>
      </c>
      <c r="V279" s="24">
        <f t="shared" si="278"/>
        <v>-3.2100488485694356E-2</v>
      </c>
      <c r="W279" s="73">
        <f t="shared" si="278"/>
        <v>-0.14206896551724135</v>
      </c>
      <c r="X279" s="73">
        <f t="shared" si="278"/>
        <v>-0.20166898470097361</v>
      </c>
      <c r="Y279" s="73">
        <f t="shared" si="278"/>
        <v>-0.26178747361013366</v>
      </c>
      <c r="Z279" s="73">
        <f t="shared" ref="Z279:AI279" si="279">Z277/U277-1</f>
        <v>-0.17110573042776434</v>
      </c>
      <c r="AA279" s="24">
        <f t="shared" si="279"/>
        <v>-0.19466474405191059</v>
      </c>
      <c r="AB279" s="73">
        <f t="shared" si="279"/>
        <v>-0.22508038585209</v>
      </c>
      <c r="AC279" s="73">
        <f t="shared" si="279"/>
        <v>-0.20296167247386765</v>
      </c>
      <c r="AD279" s="73">
        <f t="shared" si="279"/>
        <v>-9.7235462345090617E-2</v>
      </c>
      <c r="AE279" s="73">
        <f t="shared" si="279"/>
        <v>-4.284323271665047E-2</v>
      </c>
      <c r="AF279" s="24">
        <f t="shared" si="279"/>
        <v>-0.14749328558639208</v>
      </c>
      <c r="AG279" s="73">
        <f t="shared" si="279"/>
        <v>-4.875518672199175E-2</v>
      </c>
      <c r="AH279" s="73">
        <f t="shared" si="279"/>
        <v>-7.8688524590163955E-2</v>
      </c>
      <c r="AI279" s="73">
        <f t="shared" si="279"/>
        <v>-0.12988384371700101</v>
      </c>
      <c r="AJ279" s="73">
        <f t="shared" ref="AJ279:AS279" si="280">AJ277/AE277-1</f>
        <v>-0.15055951169888093</v>
      </c>
      <c r="AK279" s="24">
        <v>-0.10238907849829348</v>
      </c>
      <c r="AL279" s="73">
        <v>-0.20719738276990185</v>
      </c>
      <c r="AM279" s="73">
        <v>-0.1447212336892052</v>
      </c>
      <c r="AN279" s="73">
        <v>-0.11529126213592233</v>
      </c>
      <c r="AO279" s="73">
        <v>-0.1461077844311377</v>
      </c>
      <c r="AP279" s="24">
        <v>-0.15472360339280489</v>
      </c>
      <c r="AQ279" s="73">
        <v>-7.7028885832187033E-2</v>
      </c>
      <c r="AR279" s="73">
        <v>-8.737864077669899E-2</v>
      </c>
      <c r="AS279" s="73">
        <v>-0.10973936899862824</v>
      </c>
      <c r="AT279" s="73">
        <v>-8.5553997194950937E-2</v>
      </c>
      <c r="AU279" s="24">
        <v>-8.9965397923875479E-2</v>
      </c>
      <c r="AV279" s="73">
        <v>-6.4083457526080467E-2</v>
      </c>
      <c r="AW279" s="73">
        <v>-3.951367781155013E-2</v>
      </c>
      <c r="AX279" s="73">
        <v>-2.1571648690292711E-2</v>
      </c>
      <c r="AY279" s="73">
        <v>-1.5337423312883347E-3</v>
      </c>
      <c r="AZ279" s="24">
        <v>-3.1939163498098888E-2</v>
      </c>
    </row>
    <row r="280" spans="1:52">
      <c r="A280" s="69" t="s">
        <v>65</v>
      </c>
      <c r="B280" s="37">
        <v>3972</v>
      </c>
      <c r="C280" s="80" t="s">
        <v>53</v>
      </c>
      <c r="D280" s="80" t="s">
        <v>53</v>
      </c>
      <c r="E280" s="80" t="s">
        <v>53</v>
      </c>
      <c r="F280" s="80" t="s">
        <v>53</v>
      </c>
      <c r="G280" s="37">
        <v>4020</v>
      </c>
      <c r="H280" s="70">
        <v>1019</v>
      </c>
      <c r="I280" s="70">
        <v>1050</v>
      </c>
      <c r="J280" s="70">
        <v>1101</v>
      </c>
      <c r="K280" s="70">
        <f>L280-J280-I280-H280</f>
        <v>1086</v>
      </c>
      <c r="L280" s="37">
        <v>4256</v>
      </c>
      <c r="M280" s="70">
        <v>1106</v>
      </c>
      <c r="N280" s="70">
        <v>1140</v>
      </c>
      <c r="O280" s="70">
        <v>1159</v>
      </c>
      <c r="P280" s="70">
        <f>Q280-O280-N280-M280</f>
        <v>1145</v>
      </c>
      <c r="Q280" s="37">
        <v>4550</v>
      </c>
      <c r="R280" s="70">
        <v>949</v>
      </c>
      <c r="S280" s="70">
        <v>925</v>
      </c>
      <c r="T280" s="70">
        <v>914</v>
      </c>
      <c r="U280" s="70">
        <f>V280-T280-S280-R280</f>
        <v>849</v>
      </c>
      <c r="V280" s="37">
        <v>3637</v>
      </c>
      <c r="W280" s="70">
        <v>834</v>
      </c>
      <c r="X280" s="70">
        <v>857</v>
      </c>
      <c r="Y280" s="70">
        <v>816</v>
      </c>
      <c r="Z280" s="70">
        <f>AA280-Y280-X280-W280</f>
        <v>754</v>
      </c>
      <c r="AA280" s="37">
        <v>3261</v>
      </c>
      <c r="AB280" s="70">
        <v>714</v>
      </c>
      <c r="AC280" s="70">
        <v>696</v>
      </c>
      <c r="AD280" s="70">
        <v>710</v>
      </c>
      <c r="AE280" s="70">
        <f>AF280-AD280-AC280-AB280</f>
        <v>688</v>
      </c>
      <c r="AF280" s="37">
        <v>2808</v>
      </c>
      <c r="AG280" s="70">
        <v>637</v>
      </c>
      <c r="AH280" s="70">
        <v>622</v>
      </c>
      <c r="AI280" s="70">
        <v>610</v>
      </c>
      <c r="AJ280" s="70">
        <f>AK280-AI280-AH280-AG280</f>
        <v>584</v>
      </c>
      <c r="AK280" s="37">
        <v>2453</v>
      </c>
      <c r="AL280" s="70">
        <v>499</v>
      </c>
      <c r="AM280" s="70">
        <v>502</v>
      </c>
      <c r="AN280" s="70">
        <v>521</v>
      </c>
      <c r="AO280" s="70">
        <v>477</v>
      </c>
      <c r="AP280" s="37">
        <v>1999</v>
      </c>
      <c r="AQ280" s="70">
        <v>455</v>
      </c>
      <c r="AR280" s="70">
        <v>456</v>
      </c>
      <c r="AS280" s="70">
        <v>468</v>
      </c>
      <c r="AT280" s="70">
        <v>439</v>
      </c>
      <c r="AU280" s="37">
        <v>1818</v>
      </c>
      <c r="AV280" s="70">
        <v>435</v>
      </c>
      <c r="AW280" s="70">
        <v>449</v>
      </c>
      <c r="AX280" s="70">
        <v>461</v>
      </c>
      <c r="AY280" s="70">
        <v>437</v>
      </c>
      <c r="AZ280" s="37">
        <v>1782</v>
      </c>
    </row>
    <row r="281" spans="1:52" ht="10.5" customHeight="1">
      <c r="A281" s="71" t="s">
        <v>7</v>
      </c>
      <c r="B281" s="24"/>
      <c r="C281" s="72"/>
      <c r="D281" s="72"/>
      <c r="E281" s="72"/>
      <c r="F281" s="72"/>
      <c r="G281" s="24"/>
      <c r="H281" s="72"/>
      <c r="I281" s="72">
        <f>I280/H280-1</f>
        <v>3.0421982335623099E-2</v>
      </c>
      <c r="J281" s="72">
        <f>J280/I280-1</f>
        <v>4.8571428571428488E-2</v>
      </c>
      <c r="K281" s="72">
        <f>K280/J280-1</f>
        <v>-1.3623978201634857E-2</v>
      </c>
      <c r="L281" s="24"/>
      <c r="M281" s="72">
        <f>M280/K280-1</f>
        <v>1.8416206261510082E-2</v>
      </c>
      <c r="N281" s="72">
        <f>N280/M280-1</f>
        <v>3.0741410488245968E-2</v>
      </c>
      <c r="O281" s="72">
        <f>O280/N280-1</f>
        <v>1.6666666666666607E-2</v>
      </c>
      <c r="P281" s="72">
        <f>P280/O280-1</f>
        <v>-1.2079378774805916E-2</v>
      </c>
      <c r="Q281" s="24"/>
      <c r="R281" s="72">
        <f>R280/P280-1</f>
        <v>-0.17117903930131007</v>
      </c>
      <c r="S281" s="72">
        <f>S280/R280-1</f>
        <v>-2.5289778714436273E-2</v>
      </c>
      <c r="T281" s="72">
        <f>T280/S280-1</f>
        <v>-1.1891891891891881E-2</v>
      </c>
      <c r="U281" s="72">
        <f>U280/T280-1</f>
        <v>-7.1115973741794347E-2</v>
      </c>
      <c r="V281" s="24"/>
      <c r="W281" s="72">
        <f>W280/U280-1</f>
        <v>-1.7667844522968212E-2</v>
      </c>
      <c r="X281" s="72">
        <f>X280/W280-1</f>
        <v>2.7577937649880147E-2</v>
      </c>
      <c r="Y281" s="72">
        <f>Y280/X280-1</f>
        <v>-4.7841306884480739E-2</v>
      </c>
      <c r="Z281" s="72">
        <f>Z280/Y280-1</f>
        <v>-7.5980392156862697E-2</v>
      </c>
      <c r="AA281" s="24"/>
      <c r="AB281" s="72">
        <f>AB280/Z280-1</f>
        <v>-5.3050397877984046E-2</v>
      </c>
      <c r="AC281" s="72">
        <f>AC280/AB280-1</f>
        <v>-2.5210084033613467E-2</v>
      </c>
      <c r="AD281" s="72">
        <f>AD280/AC280-1</f>
        <v>2.0114942528735691E-2</v>
      </c>
      <c r="AE281" s="72">
        <f>AE280/AD280-1</f>
        <v>-3.0985915492957705E-2</v>
      </c>
      <c r="AF281" s="24"/>
      <c r="AG281" s="72">
        <f>AG280/AE280-1</f>
        <v>-7.4127906976744207E-2</v>
      </c>
      <c r="AH281" s="72">
        <f>AH280/AG280-1</f>
        <v>-2.3547880690737877E-2</v>
      </c>
      <c r="AI281" s="72">
        <f>AI280/AH280-1</f>
        <v>-1.9292604501607746E-2</v>
      </c>
      <c r="AJ281" s="72">
        <f>AJ280/AI280-1</f>
        <v>-4.2622950819672156E-2</v>
      </c>
      <c r="AK281" s="24"/>
      <c r="AL281" s="72">
        <v>-0.14554794520547942</v>
      </c>
      <c r="AM281" s="72">
        <v>6.0120240480960874E-3</v>
      </c>
      <c r="AN281" s="72">
        <v>3.7848605577689209E-2</v>
      </c>
      <c r="AO281" s="72">
        <v>-8.4452975047984657E-2</v>
      </c>
      <c r="AP281" s="24"/>
      <c r="AQ281" s="72">
        <v>-4.6121593291404639E-2</v>
      </c>
      <c r="AR281" s="72">
        <v>2.19780219780219E-3</v>
      </c>
      <c r="AS281" s="72">
        <v>2.6315789473684292E-2</v>
      </c>
      <c r="AT281" s="72">
        <v>-6.1965811965811968E-2</v>
      </c>
      <c r="AU281" s="24"/>
      <c r="AV281" s="72">
        <v>-9.1116173120728838E-3</v>
      </c>
      <c r="AW281" s="72">
        <v>3.2183908045976928E-2</v>
      </c>
      <c r="AX281" s="72">
        <v>2.6726057906458767E-2</v>
      </c>
      <c r="AY281" s="72">
        <v>-5.2060737527114931E-2</v>
      </c>
      <c r="AZ281" s="24"/>
    </row>
    <row r="282" spans="1:52" ht="10.5" customHeight="1">
      <c r="A282" s="71" t="s">
        <v>8</v>
      </c>
      <c r="B282" s="24"/>
      <c r="C282" s="73"/>
      <c r="D282" s="73"/>
      <c r="E282" s="73"/>
      <c r="F282" s="73"/>
      <c r="G282" s="24">
        <f>G280/B280-1</f>
        <v>1.2084592145015005E-2</v>
      </c>
      <c r="H282" s="73"/>
      <c r="I282" s="73"/>
      <c r="J282" s="73"/>
      <c r="K282" s="73"/>
      <c r="L282" s="24">
        <f t="shared" ref="L282:R282" si="281">L280/G280-1</f>
        <v>5.8706467661691519E-2</v>
      </c>
      <c r="M282" s="73">
        <f t="shared" si="281"/>
        <v>8.5377821393523012E-2</v>
      </c>
      <c r="N282" s="73">
        <f t="shared" si="281"/>
        <v>8.5714285714285632E-2</v>
      </c>
      <c r="O282" s="73">
        <f t="shared" si="281"/>
        <v>5.2679382379654749E-2</v>
      </c>
      <c r="P282" s="73">
        <f t="shared" si="281"/>
        <v>5.4327808471454908E-2</v>
      </c>
      <c r="Q282" s="24">
        <f t="shared" si="281"/>
        <v>6.9078947368421018E-2</v>
      </c>
      <c r="R282" s="73">
        <f t="shared" si="281"/>
        <v>-0.14195298372513565</v>
      </c>
      <c r="S282" s="73">
        <f t="shared" ref="S282:Y282" si="282">S280/N280-1</f>
        <v>-0.18859649122807021</v>
      </c>
      <c r="T282" s="73">
        <f t="shared" si="282"/>
        <v>-0.21138912855910263</v>
      </c>
      <c r="U282" s="73">
        <f t="shared" si="282"/>
        <v>-0.25851528384279476</v>
      </c>
      <c r="V282" s="24">
        <f t="shared" si="282"/>
        <v>-0.20065934065934066</v>
      </c>
      <c r="W282" s="73">
        <f t="shared" si="282"/>
        <v>-0.12118018967334032</v>
      </c>
      <c r="X282" s="73">
        <f t="shared" si="282"/>
        <v>-7.351351351351354E-2</v>
      </c>
      <c r="Y282" s="73">
        <f t="shared" si="282"/>
        <v>-0.10722100656455147</v>
      </c>
      <c r="Z282" s="73">
        <f t="shared" ref="Z282:AI282" si="283">Z280/U280-1</f>
        <v>-0.11189634864546527</v>
      </c>
      <c r="AA282" s="24">
        <f t="shared" si="283"/>
        <v>-0.10338190816607096</v>
      </c>
      <c r="AB282" s="73">
        <f t="shared" si="283"/>
        <v>-0.14388489208633093</v>
      </c>
      <c r="AC282" s="73">
        <f t="shared" si="283"/>
        <v>-0.18786464410735126</v>
      </c>
      <c r="AD282" s="73">
        <f t="shared" si="283"/>
        <v>-0.12990196078431371</v>
      </c>
      <c r="AE282" s="73">
        <f t="shared" si="283"/>
        <v>-8.753315649867377E-2</v>
      </c>
      <c r="AF282" s="24">
        <f t="shared" si="283"/>
        <v>-0.13891444342226311</v>
      </c>
      <c r="AG282" s="73">
        <f t="shared" si="283"/>
        <v>-0.10784313725490191</v>
      </c>
      <c r="AH282" s="73">
        <f t="shared" si="283"/>
        <v>-0.10632183908045978</v>
      </c>
      <c r="AI282" s="73">
        <f t="shared" si="283"/>
        <v>-0.14084507042253525</v>
      </c>
      <c r="AJ282" s="73">
        <f t="shared" ref="AJ282:AS282" si="284">AJ280/AE280-1</f>
        <v>-0.15116279069767447</v>
      </c>
      <c r="AK282" s="24">
        <v>-0.12642450142450146</v>
      </c>
      <c r="AL282" s="73">
        <v>-0.21664050235478804</v>
      </c>
      <c r="AM282" s="73">
        <v>-0.19292604501607713</v>
      </c>
      <c r="AN282" s="73">
        <v>-0.14590163934426226</v>
      </c>
      <c r="AO282" s="73">
        <v>-0.18321917808219179</v>
      </c>
      <c r="AP282" s="24">
        <v>-0.18507949449653482</v>
      </c>
      <c r="AQ282" s="73">
        <v>-8.8176352705410799E-2</v>
      </c>
      <c r="AR282" s="73">
        <v>-9.1633466135458197E-2</v>
      </c>
      <c r="AS282" s="73">
        <v>-0.10172744721689064</v>
      </c>
      <c r="AT282" s="73">
        <v>-7.9664570230607912E-2</v>
      </c>
      <c r="AU282" s="24">
        <v>-9.0545272636318175E-2</v>
      </c>
      <c r="AV282" s="73">
        <v>-4.3956043956043911E-2</v>
      </c>
      <c r="AW282" s="73">
        <v>-1.5350877192982448E-2</v>
      </c>
      <c r="AX282" s="73">
        <v>-1.4957264957264904E-2</v>
      </c>
      <c r="AY282" s="73">
        <v>-4.5558086560364419E-3</v>
      </c>
      <c r="AZ282" s="24">
        <v>-1.980198019801982E-2</v>
      </c>
    </row>
    <row r="283" spans="1:52">
      <c r="A283" s="69" t="s">
        <v>66</v>
      </c>
      <c r="B283" s="37">
        <v>712</v>
      </c>
      <c r="C283" s="80" t="s">
        <v>53</v>
      </c>
      <c r="D283" s="80" t="s">
        <v>53</v>
      </c>
      <c r="E283" s="80" t="s">
        <v>53</v>
      </c>
      <c r="F283" s="80" t="s">
        <v>53</v>
      </c>
      <c r="G283" s="37">
        <v>693</v>
      </c>
      <c r="H283" s="70">
        <v>246</v>
      </c>
      <c r="I283" s="70">
        <v>296</v>
      </c>
      <c r="J283" s="70">
        <v>271</v>
      </c>
      <c r="K283" s="70">
        <f>L283-J283-I283-H283</f>
        <v>307</v>
      </c>
      <c r="L283" s="37">
        <v>1120</v>
      </c>
      <c r="M283" s="70">
        <v>287</v>
      </c>
      <c r="N283" s="70">
        <v>289</v>
      </c>
      <c r="O283" s="70">
        <v>283</v>
      </c>
      <c r="P283" s="70">
        <f>Q283-O283-N283-M283</f>
        <v>323</v>
      </c>
      <c r="Q283" s="37">
        <v>1182</v>
      </c>
      <c r="R283" s="70">
        <v>501</v>
      </c>
      <c r="S283" s="70">
        <v>513</v>
      </c>
      <c r="T283" s="70">
        <v>507</v>
      </c>
      <c r="U283" s="70">
        <f>V283-T283-S283-R283</f>
        <v>390</v>
      </c>
      <c r="V283" s="37">
        <v>1911</v>
      </c>
      <c r="W283" s="70">
        <v>410</v>
      </c>
      <c r="X283" s="70">
        <v>291</v>
      </c>
      <c r="Y283" s="70">
        <v>233</v>
      </c>
      <c r="Z283" s="70">
        <f>AA283-Y283-X283-W283</f>
        <v>273</v>
      </c>
      <c r="AA283" s="37">
        <v>1207</v>
      </c>
      <c r="AB283" s="70">
        <v>250</v>
      </c>
      <c r="AC283" s="70">
        <v>219</v>
      </c>
      <c r="AD283" s="70">
        <v>237</v>
      </c>
      <c r="AE283" s="70">
        <f>AF283-AD283-AC283-AB283</f>
        <v>295</v>
      </c>
      <c r="AF283" s="37">
        <v>1001</v>
      </c>
      <c r="AG283" s="70">
        <v>280</v>
      </c>
      <c r="AH283" s="70">
        <v>221</v>
      </c>
      <c r="AI283" s="70">
        <v>214</v>
      </c>
      <c r="AJ283" s="70">
        <f>AK283-AI283-AH283-AG283</f>
        <v>251</v>
      </c>
      <c r="AK283" s="37">
        <v>966</v>
      </c>
      <c r="AL283" s="70">
        <v>228</v>
      </c>
      <c r="AM283" s="70">
        <v>219</v>
      </c>
      <c r="AN283" s="70">
        <v>208</v>
      </c>
      <c r="AO283" s="70">
        <v>236</v>
      </c>
      <c r="AP283" s="37">
        <v>891</v>
      </c>
      <c r="AQ283" s="70">
        <v>216</v>
      </c>
      <c r="AR283" s="70">
        <v>202</v>
      </c>
      <c r="AS283" s="70">
        <v>181</v>
      </c>
      <c r="AT283" s="70">
        <v>213</v>
      </c>
      <c r="AU283" s="37">
        <v>812</v>
      </c>
      <c r="AV283" s="70">
        <v>193</v>
      </c>
      <c r="AW283" s="70">
        <v>183</v>
      </c>
      <c r="AX283" s="70">
        <v>174</v>
      </c>
      <c r="AY283" s="70">
        <v>214</v>
      </c>
      <c r="AZ283" s="37">
        <v>764</v>
      </c>
    </row>
    <row r="284" spans="1:52" ht="9" customHeight="1">
      <c r="A284" s="71" t="s">
        <v>7</v>
      </c>
      <c r="B284" s="24"/>
      <c r="C284" s="72"/>
      <c r="D284" s="72"/>
      <c r="E284" s="72"/>
      <c r="F284" s="72"/>
      <c r="G284" s="24"/>
      <c r="H284" s="72"/>
      <c r="I284" s="72">
        <f>I283/H283-1</f>
        <v>0.20325203252032531</v>
      </c>
      <c r="J284" s="72">
        <f>J283/I283-1</f>
        <v>-8.4459459459459429E-2</v>
      </c>
      <c r="K284" s="72">
        <f>K283/J283-1</f>
        <v>0.13284132841328411</v>
      </c>
      <c r="L284" s="24"/>
      <c r="M284" s="72">
        <f>M283/K283-1</f>
        <v>-6.514657980456029E-2</v>
      </c>
      <c r="N284" s="72">
        <f>N283/M283-1</f>
        <v>6.9686411149825211E-3</v>
      </c>
      <c r="O284" s="72">
        <f>O283/N283-1</f>
        <v>-2.0761245674740469E-2</v>
      </c>
      <c r="P284" s="72">
        <f>P283/O283-1</f>
        <v>0.14134275618374548</v>
      </c>
      <c r="Q284" s="24"/>
      <c r="R284" s="72">
        <f>R283/P283-1</f>
        <v>0.55108359133126927</v>
      </c>
      <c r="S284" s="72">
        <f>S283/R283-1</f>
        <v>2.39520958083832E-2</v>
      </c>
      <c r="T284" s="72">
        <f>T283/S283-1</f>
        <v>-1.1695906432748537E-2</v>
      </c>
      <c r="U284" s="72">
        <f>U283/T283-1</f>
        <v>-0.23076923076923073</v>
      </c>
      <c r="V284" s="24"/>
      <c r="W284" s="72">
        <f>W283/U283-1</f>
        <v>5.1282051282051322E-2</v>
      </c>
      <c r="X284" s="72">
        <f>X283/W283-1</f>
        <v>-0.29024390243902443</v>
      </c>
      <c r="Y284" s="72">
        <f>Y283/X283-1</f>
        <v>-0.19931271477663226</v>
      </c>
      <c r="Z284" s="72">
        <f>Z283/Y283-1</f>
        <v>0.17167381974248919</v>
      </c>
      <c r="AA284" s="24"/>
      <c r="AB284" s="72">
        <f>AB283/Z283-1</f>
        <v>-8.4249084249084283E-2</v>
      </c>
      <c r="AC284" s="72">
        <f>AC283/AB283-1</f>
        <v>-0.124</v>
      </c>
      <c r="AD284" s="72">
        <f>AD283/AC283-1</f>
        <v>8.2191780821917915E-2</v>
      </c>
      <c r="AE284" s="72">
        <f>AE283/AD283-1</f>
        <v>0.24472573839662437</v>
      </c>
      <c r="AF284" s="24"/>
      <c r="AG284" s="72">
        <f>AG283/AE283-1</f>
        <v>-5.084745762711862E-2</v>
      </c>
      <c r="AH284" s="72">
        <f>AH283/AG283-1</f>
        <v>-0.21071428571428574</v>
      </c>
      <c r="AI284" s="72">
        <f>AI283/AH283-1</f>
        <v>-3.1674208144796379E-2</v>
      </c>
      <c r="AJ284" s="72">
        <f>AJ283/AI283-1</f>
        <v>0.17289719626168232</v>
      </c>
      <c r="AK284" s="24"/>
      <c r="AL284" s="72">
        <v>-9.1633466135458197E-2</v>
      </c>
      <c r="AM284" s="72">
        <v>-3.9473684210526327E-2</v>
      </c>
      <c r="AN284" s="72">
        <v>-5.0228310502283158E-2</v>
      </c>
      <c r="AO284" s="72">
        <v>0.13461538461538458</v>
      </c>
      <c r="AP284" s="24"/>
      <c r="AQ284" s="72">
        <v>-8.4745762711864403E-2</v>
      </c>
      <c r="AR284" s="72">
        <v>-6.481481481481477E-2</v>
      </c>
      <c r="AS284" s="72">
        <v>-0.10396039603960394</v>
      </c>
      <c r="AT284" s="72">
        <v>0.17679558011049723</v>
      </c>
      <c r="AU284" s="24"/>
      <c r="AV284" s="72">
        <v>-9.3896713615023497E-2</v>
      </c>
      <c r="AW284" s="72">
        <v>-5.1813471502590636E-2</v>
      </c>
      <c r="AX284" s="72">
        <v>-4.9180327868852514E-2</v>
      </c>
      <c r="AY284" s="72">
        <v>0.22988505747126431</v>
      </c>
      <c r="AZ284" s="24"/>
    </row>
    <row r="285" spans="1:52" ht="11.25" customHeight="1">
      <c r="A285" s="71" t="s">
        <v>8</v>
      </c>
      <c r="B285" s="24"/>
      <c r="C285" s="73"/>
      <c r="D285" s="73"/>
      <c r="E285" s="73"/>
      <c r="F285" s="73"/>
      <c r="G285" s="24">
        <f>G283/B283-1</f>
        <v>-2.6685393258427004E-2</v>
      </c>
      <c r="H285" s="73"/>
      <c r="I285" s="73"/>
      <c r="J285" s="73"/>
      <c r="K285" s="73"/>
      <c r="L285" s="24">
        <f t="shared" ref="L285:R285" si="285">L283/G283-1</f>
        <v>0.61616161616161613</v>
      </c>
      <c r="M285" s="73">
        <f t="shared" si="285"/>
        <v>0.16666666666666674</v>
      </c>
      <c r="N285" s="73">
        <f t="shared" si="285"/>
        <v>-2.3648648648648685E-2</v>
      </c>
      <c r="O285" s="73">
        <f t="shared" si="285"/>
        <v>4.4280442804428111E-2</v>
      </c>
      <c r="P285" s="73">
        <f t="shared" si="285"/>
        <v>5.2117263843648232E-2</v>
      </c>
      <c r="Q285" s="24">
        <f t="shared" si="285"/>
        <v>5.5357142857142883E-2</v>
      </c>
      <c r="R285" s="73">
        <f t="shared" si="285"/>
        <v>0.74564459930313598</v>
      </c>
      <c r="S285" s="73">
        <f t="shared" ref="S285:Y285" si="286">S283/N283-1</f>
        <v>0.77508650519031153</v>
      </c>
      <c r="T285" s="73">
        <f t="shared" si="286"/>
        <v>0.79151943462897534</v>
      </c>
      <c r="U285" s="73">
        <f t="shared" si="286"/>
        <v>0.20743034055727549</v>
      </c>
      <c r="V285" s="24">
        <f t="shared" si="286"/>
        <v>0.61675126903553301</v>
      </c>
      <c r="W285" s="73">
        <f t="shared" si="286"/>
        <v>-0.18163672654690621</v>
      </c>
      <c r="X285" s="73">
        <f t="shared" si="286"/>
        <v>-0.43274853801169588</v>
      </c>
      <c r="Y285" s="73">
        <f t="shared" si="286"/>
        <v>-0.54043392504930965</v>
      </c>
      <c r="Z285" s="73">
        <f t="shared" ref="Z285:AI285" si="287">Z283/U283-1</f>
        <v>-0.30000000000000004</v>
      </c>
      <c r="AA285" s="24">
        <f t="shared" si="287"/>
        <v>-0.36839351125065412</v>
      </c>
      <c r="AB285" s="73">
        <f t="shared" si="287"/>
        <v>-0.3902439024390244</v>
      </c>
      <c r="AC285" s="73">
        <f t="shared" si="287"/>
        <v>-0.24742268041237114</v>
      </c>
      <c r="AD285" s="73">
        <f t="shared" si="287"/>
        <v>1.716738197424883E-2</v>
      </c>
      <c r="AE285" s="73">
        <f t="shared" si="287"/>
        <v>8.0586080586080522E-2</v>
      </c>
      <c r="AF285" s="24">
        <f t="shared" si="287"/>
        <v>-0.17067108533554265</v>
      </c>
      <c r="AG285" s="73">
        <f t="shared" si="287"/>
        <v>0.12000000000000011</v>
      </c>
      <c r="AH285" s="73">
        <f t="shared" si="287"/>
        <v>9.1324200913243114E-3</v>
      </c>
      <c r="AI285" s="73">
        <f t="shared" si="287"/>
        <v>-9.7046413502109741E-2</v>
      </c>
      <c r="AJ285" s="73">
        <f t="shared" ref="AJ285:AS285" si="288">AJ283/AE283-1</f>
        <v>-0.14915254237288134</v>
      </c>
      <c r="AK285" s="24">
        <v>-3.4965034965035002E-2</v>
      </c>
      <c r="AL285" s="73">
        <v>-0.18571428571428572</v>
      </c>
      <c r="AM285" s="73">
        <v>-9.0497737556560764E-3</v>
      </c>
      <c r="AN285" s="73">
        <v>-2.8037383177570097E-2</v>
      </c>
      <c r="AO285" s="73">
        <v>-5.9760956175298752E-2</v>
      </c>
      <c r="AP285" s="24">
        <v>-7.7639751552795011E-2</v>
      </c>
      <c r="AQ285" s="73">
        <v>-5.2631578947368474E-2</v>
      </c>
      <c r="AR285" s="73">
        <v>-7.7625570776255759E-2</v>
      </c>
      <c r="AS285" s="73">
        <v>-0.12980769230769229</v>
      </c>
      <c r="AT285" s="73">
        <v>-9.745762711864403E-2</v>
      </c>
      <c r="AU285" s="24">
        <v>-8.8664421997755372E-2</v>
      </c>
      <c r="AV285" s="73">
        <v>-0.10648148148148151</v>
      </c>
      <c r="AW285" s="73">
        <v>-9.4059405940594032E-2</v>
      </c>
      <c r="AX285" s="73">
        <v>-3.8674033149171283E-2</v>
      </c>
      <c r="AY285" s="73">
        <v>4.6948356807512415E-3</v>
      </c>
      <c r="AZ285" s="24">
        <v>-5.9113300492610876E-2</v>
      </c>
    </row>
    <row r="286" spans="1:52" ht="3" customHeight="1">
      <c r="A286" s="40"/>
      <c r="B286" s="41"/>
      <c r="C286" s="42"/>
      <c r="D286" s="42"/>
      <c r="E286" s="42"/>
      <c r="F286" s="42"/>
      <c r="G286" s="41"/>
      <c r="H286" s="42"/>
      <c r="I286" s="42"/>
      <c r="J286" s="42"/>
      <c r="K286" s="42"/>
      <c r="L286" s="41"/>
      <c r="M286" s="42"/>
      <c r="N286" s="42"/>
      <c r="O286" s="42"/>
      <c r="P286" s="42"/>
      <c r="Q286" s="41"/>
      <c r="R286" s="42"/>
      <c r="S286" s="42"/>
      <c r="T286" s="42"/>
      <c r="U286" s="42"/>
      <c r="V286" s="41"/>
      <c r="W286" s="42"/>
      <c r="X286" s="42"/>
      <c r="Y286" s="42"/>
      <c r="Z286" s="42"/>
      <c r="AA286" s="41"/>
      <c r="AB286" s="42"/>
      <c r="AC286" s="42"/>
      <c r="AD286" s="42"/>
      <c r="AE286" s="42"/>
      <c r="AF286" s="41"/>
      <c r="AG286" s="42"/>
      <c r="AH286" s="42"/>
      <c r="AI286" s="42"/>
      <c r="AJ286" s="42"/>
      <c r="AK286" s="41"/>
      <c r="AL286" s="42"/>
      <c r="AM286" s="42"/>
      <c r="AN286" s="42"/>
      <c r="AO286" s="42"/>
      <c r="AP286" s="41"/>
      <c r="AQ286" s="42"/>
      <c r="AR286" s="42"/>
      <c r="AS286" s="42"/>
      <c r="AT286" s="42"/>
      <c r="AU286" s="41"/>
      <c r="AV286" s="42"/>
      <c r="AW286" s="42"/>
      <c r="AX286" s="42"/>
      <c r="AY286" s="42"/>
      <c r="AZ286" s="41"/>
    </row>
    <row r="287" spans="1:52">
      <c r="A287" s="69" t="s">
        <v>147</v>
      </c>
      <c r="B287" s="123" t="s">
        <v>45</v>
      </c>
      <c r="C287" s="80" t="s">
        <v>53</v>
      </c>
      <c r="D287" s="80" t="s">
        <v>53</v>
      </c>
      <c r="E287" s="80" t="s">
        <v>53</v>
      </c>
      <c r="F287" s="80" t="s">
        <v>53</v>
      </c>
      <c r="G287" s="37">
        <v>2437</v>
      </c>
      <c r="H287" s="80" t="s">
        <v>53</v>
      </c>
      <c r="I287" s="80" t="s">
        <v>53</v>
      </c>
      <c r="J287" s="80" t="s">
        <v>53</v>
      </c>
      <c r="K287" s="80" t="s">
        <v>53</v>
      </c>
      <c r="L287" s="37">
        <v>2751</v>
      </c>
      <c r="M287" s="80" t="s">
        <v>53</v>
      </c>
      <c r="N287" s="80" t="s">
        <v>53</v>
      </c>
      <c r="O287" s="80" t="s">
        <v>53</v>
      </c>
      <c r="P287" s="80" t="s">
        <v>53</v>
      </c>
      <c r="Q287" s="37">
        <v>2899</v>
      </c>
      <c r="R287" s="80" t="s">
        <v>53</v>
      </c>
      <c r="S287" s="80" t="s">
        <v>53</v>
      </c>
      <c r="T287" s="80" t="s">
        <v>53</v>
      </c>
      <c r="U287" s="80" t="s">
        <v>53</v>
      </c>
      <c r="V287" s="37">
        <v>2985</v>
      </c>
      <c r="W287" s="80" t="s">
        <v>53</v>
      </c>
      <c r="X287" s="80" t="s">
        <v>53</v>
      </c>
      <c r="Y287" s="80" t="s">
        <v>53</v>
      </c>
      <c r="Z287" s="80" t="s">
        <v>53</v>
      </c>
      <c r="AA287" s="37">
        <v>2461</v>
      </c>
      <c r="AB287" s="80" t="s">
        <v>53</v>
      </c>
      <c r="AC287" s="80" t="s">
        <v>53</v>
      </c>
      <c r="AD287" s="80" t="s">
        <v>53</v>
      </c>
      <c r="AE287" s="80" t="s">
        <v>53</v>
      </c>
      <c r="AF287" s="37">
        <v>2114</v>
      </c>
      <c r="AG287" s="80" t="s">
        <v>53</v>
      </c>
      <c r="AH287" s="80" t="s">
        <v>53</v>
      </c>
      <c r="AI287" s="80" t="s">
        <v>53</v>
      </c>
      <c r="AJ287" s="80" t="s">
        <v>53</v>
      </c>
      <c r="AK287" s="37">
        <v>1930</v>
      </c>
      <c r="AL287" s="80" t="s">
        <v>53</v>
      </c>
      <c r="AM287" s="80" t="s">
        <v>53</v>
      </c>
      <c r="AN287" s="80" t="s">
        <v>53</v>
      </c>
      <c r="AO287" s="80" t="s">
        <v>53</v>
      </c>
      <c r="AP287" s="37">
        <v>1750</v>
      </c>
      <c r="AQ287" s="80" t="s">
        <v>53</v>
      </c>
      <c r="AR287" s="80" t="s">
        <v>53</v>
      </c>
      <c r="AS287" s="80" t="s">
        <v>53</v>
      </c>
      <c r="AT287" s="80" t="s">
        <v>53</v>
      </c>
      <c r="AU287" s="37">
        <v>1616</v>
      </c>
      <c r="AV287" s="80" t="s">
        <v>53</v>
      </c>
      <c r="AW287" s="80" t="s">
        <v>53</v>
      </c>
      <c r="AX287" s="80" t="s">
        <v>53</v>
      </c>
      <c r="AY287" s="80" t="s">
        <v>53</v>
      </c>
      <c r="AZ287" s="37">
        <v>1541</v>
      </c>
    </row>
    <row r="288" spans="1:52" ht="9.75" customHeight="1">
      <c r="A288" s="71" t="s">
        <v>146</v>
      </c>
      <c r="B288" s="24"/>
      <c r="C288" s="73"/>
      <c r="D288" s="73"/>
      <c r="E288" s="73"/>
      <c r="F288" s="73"/>
      <c r="G288" s="24">
        <f>G287/G277</f>
        <v>0.51708041587099507</v>
      </c>
      <c r="H288" s="73"/>
      <c r="I288" s="73"/>
      <c r="J288" s="73"/>
      <c r="K288" s="73"/>
      <c r="L288" s="24">
        <f>L287/L277</f>
        <v>0.51171875</v>
      </c>
      <c r="M288" s="73"/>
      <c r="N288" s="73"/>
      <c r="O288" s="73"/>
      <c r="P288" s="73"/>
      <c r="Q288" s="24">
        <f>Q287/Q277</f>
        <v>0.50575715282623868</v>
      </c>
      <c r="R288" s="73"/>
      <c r="S288" s="73"/>
      <c r="T288" s="73"/>
      <c r="U288" s="73"/>
      <c r="V288" s="24">
        <f>V287/V277</f>
        <v>0.53803172314347514</v>
      </c>
      <c r="W288" s="73"/>
      <c r="X288" s="73"/>
      <c r="Y288" s="73"/>
      <c r="Z288" s="73"/>
      <c r="AA288" s="24">
        <f>AA287/AA277</f>
        <v>0.55080572963294538</v>
      </c>
      <c r="AB288" s="73"/>
      <c r="AC288" s="73"/>
      <c r="AD288" s="73"/>
      <c r="AE288" s="73"/>
      <c r="AF288" s="24">
        <f>AF287/AF277</f>
        <v>0.55500131268049357</v>
      </c>
      <c r="AG288" s="73"/>
      <c r="AH288" s="73"/>
      <c r="AI288" s="73"/>
      <c r="AJ288" s="73"/>
      <c r="AK288" s="24">
        <v>0.56449254167885343</v>
      </c>
      <c r="AL288" s="73"/>
      <c r="AM288" s="73"/>
      <c r="AN288" s="73"/>
      <c r="AO288" s="73"/>
      <c r="AP288" s="24">
        <v>0.60553633217993075</v>
      </c>
      <c r="AQ288" s="73"/>
      <c r="AR288" s="73"/>
      <c r="AS288" s="73"/>
      <c r="AT288" s="73"/>
      <c r="AU288" s="24">
        <v>0.61444866920152086</v>
      </c>
      <c r="AV288" s="73"/>
      <c r="AW288" s="73"/>
      <c r="AX288" s="73"/>
      <c r="AY288" s="73"/>
      <c r="AZ288" s="24">
        <v>0.60526315789473684</v>
      </c>
    </row>
    <row r="289" spans="1:52" ht="12" customHeight="1">
      <c r="A289" s="69" t="s">
        <v>145</v>
      </c>
      <c r="B289" s="123" t="s">
        <v>45</v>
      </c>
      <c r="C289" s="80" t="s">
        <v>53</v>
      </c>
      <c r="D289" s="80" t="s">
        <v>53</v>
      </c>
      <c r="E289" s="80" t="s">
        <v>53</v>
      </c>
      <c r="F289" s="80" t="s">
        <v>53</v>
      </c>
      <c r="G289" s="37">
        <v>2276</v>
      </c>
      <c r="H289" s="80" t="s">
        <v>53</v>
      </c>
      <c r="I289" s="80" t="s">
        <v>53</v>
      </c>
      <c r="J289" s="80" t="s">
        <v>53</v>
      </c>
      <c r="K289" s="80" t="s">
        <v>53</v>
      </c>
      <c r="L289" s="37">
        <v>2625</v>
      </c>
      <c r="M289" s="80" t="s">
        <v>53</v>
      </c>
      <c r="N289" s="80" t="s">
        <v>53</v>
      </c>
      <c r="O289" s="80" t="s">
        <v>53</v>
      </c>
      <c r="P289" s="80" t="s">
        <v>53</v>
      </c>
      <c r="Q289" s="37">
        <v>2833</v>
      </c>
      <c r="R289" s="80" t="s">
        <v>53</v>
      </c>
      <c r="S289" s="80" t="s">
        <v>53</v>
      </c>
      <c r="T289" s="80" t="s">
        <v>53</v>
      </c>
      <c r="U289" s="80" t="s">
        <v>53</v>
      </c>
      <c r="V289" s="37">
        <v>2563</v>
      </c>
      <c r="W289" s="80" t="s">
        <v>53</v>
      </c>
      <c r="X289" s="80" t="s">
        <v>53</v>
      </c>
      <c r="Y289" s="80" t="s">
        <v>53</v>
      </c>
      <c r="Z289" s="80" t="s">
        <v>53</v>
      </c>
      <c r="AA289" s="37">
        <v>2007</v>
      </c>
      <c r="AB289" s="80" t="s">
        <v>53</v>
      </c>
      <c r="AC289" s="80" t="s">
        <v>53</v>
      </c>
      <c r="AD289" s="80" t="s">
        <v>53</v>
      </c>
      <c r="AE289" s="80" t="s">
        <v>53</v>
      </c>
      <c r="AF289" s="37">
        <v>1695</v>
      </c>
      <c r="AG289" s="80" t="s">
        <v>53</v>
      </c>
      <c r="AH289" s="80" t="s">
        <v>53</v>
      </c>
      <c r="AI289" s="80" t="s">
        <v>53</v>
      </c>
      <c r="AJ289" s="80" t="s">
        <v>53</v>
      </c>
      <c r="AK289" s="37">
        <v>1490</v>
      </c>
      <c r="AL289" s="80" t="s">
        <v>53</v>
      </c>
      <c r="AM289" s="80" t="s">
        <v>53</v>
      </c>
      <c r="AN289" s="80" t="s">
        <v>53</v>
      </c>
      <c r="AO289" s="80" t="s">
        <v>53</v>
      </c>
      <c r="AP289" s="37">
        <v>1140</v>
      </c>
      <c r="AQ289" s="80" t="s">
        <v>53</v>
      </c>
      <c r="AR289" s="80" t="s">
        <v>53</v>
      </c>
      <c r="AS289" s="80" t="s">
        <v>53</v>
      </c>
      <c r="AT289" s="80" t="s">
        <v>53</v>
      </c>
      <c r="AU289" s="37">
        <v>1015</v>
      </c>
      <c r="AV289" s="80" t="s">
        <v>53</v>
      </c>
      <c r="AW289" s="80" t="s">
        <v>53</v>
      </c>
      <c r="AX289" s="80" t="s">
        <v>53</v>
      </c>
      <c r="AY289" s="80" t="s">
        <v>53</v>
      </c>
      <c r="AZ289" s="37">
        <v>1005</v>
      </c>
    </row>
    <row r="290" spans="1:52" ht="9" customHeight="1">
      <c r="A290" s="71" t="s">
        <v>146</v>
      </c>
      <c r="B290" s="24"/>
      <c r="C290" s="73"/>
      <c r="D290" s="73"/>
      <c r="E290" s="73"/>
      <c r="F290" s="73"/>
      <c r="G290" s="24">
        <f>G289/G277</f>
        <v>0.48291958412900488</v>
      </c>
      <c r="H290" s="73"/>
      <c r="I290" s="73"/>
      <c r="J290" s="73"/>
      <c r="K290" s="73"/>
      <c r="L290" s="24">
        <f>L289/L277</f>
        <v>0.48828125</v>
      </c>
      <c r="M290" s="73"/>
      <c r="N290" s="73"/>
      <c r="O290" s="73"/>
      <c r="P290" s="73"/>
      <c r="Q290" s="24">
        <f>Q289/Q277</f>
        <v>0.49424284717376132</v>
      </c>
      <c r="R290" s="73"/>
      <c r="S290" s="73"/>
      <c r="T290" s="73"/>
      <c r="U290" s="73"/>
      <c r="V290" s="24">
        <f>V289/V277</f>
        <v>0.46196827685652486</v>
      </c>
      <c r="W290" s="73"/>
      <c r="X290" s="73"/>
      <c r="Y290" s="73"/>
      <c r="Z290" s="73"/>
      <c r="AA290" s="24">
        <f>AA289/AA277</f>
        <v>0.44919427036705462</v>
      </c>
      <c r="AB290" s="73"/>
      <c r="AC290" s="73"/>
      <c r="AD290" s="73"/>
      <c r="AE290" s="73"/>
      <c r="AF290" s="24">
        <f>AF289/AF277</f>
        <v>0.44499868731950643</v>
      </c>
      <c r="AG290" s="73"/>
      <c r="AH290" s="73"/>
      <c r="AI290" s="73"/>
      <c r="AJ290" s="73"/>
      <c r="AK290" s="24">
        <v>0.43579994150336354</v>
      </c>
      <c r="AL290" s="73"/>
      <c r="AM290" s="73"/>
      <c r="AN290" s="73"/>
      <c r="AO290" s="73"/>
      <c r="AP290" s="24">
        <v>0.3944636678200692</v>
      </c>
      <c r="AQ290" s="73"/>
      <c r="AR290" s="73"/>
      <c r="AS290" s="73"/>
      <c r="AT290" s="73"/>
      <c r="AU290" s="24">
        <v>0.38593155893536124</v>
      </c>
      <c r="AV290" s="73"/>
      <c r="AW290" s="73"/>
      <c r="AX290" s="73"/>
      <c r="AY290" s="73"/>
      <c r="AZ290" s="24">
        <v>0.39473684210526316</v>
      </c>
    </row>
    <row r="291" spans="1:52">
      <c r="A291" s="40" t="s">
        <v>29</v>
      </c>
      <c r="B291" s="41"/>
      <c r="C291" s="42"/>
      <c r="D291" s="42"/>
      <c r="E291" s="42"/>
      <c r="F291" s="42"/>
      <c r="G291" s="41"/>
      <c r="H291" s="42"/>
      <c r="I291" s="42"/>
      <c r="J291" s="42"/>
      <c r="K291" s="42"/>
      <c r="L291" s="41"/>
      <c r="M291" s="42"/>
      <c r="N291" s="42"/>
      <c r="O291" s="42"/>
      <c r="P291" s="42"/>
      <c r="Q291" s="41"/>
      <c r="R291" s="42"/>
      <c r="S291" s="42"/>
      <c r="T291" s="42"/>
      <c r="U291" s="42"/>
      <c r="V291" s="41"/>
      <c r="W291" s="42"/>
      <c r="X291" s="42"/>
      <c r="Y291" s="42"/>
      <c r="Z291" s="42"/>
      <c r="AA291" s="41"/>
      <c r="AB291" s="42"/>
      <c r="AC291" s="42"/>
      <c r="AD291" s="42"/>
      <c r="AE291" s="42"/>
      <c r="AF291" s="41"/>
      <c r="AG291" s="42"/>
      <c r="AH291" s="42"/>
      <c r="AI291" s="42"/>
      <c r="AJ291" s="42"/>
      <c r="AK291" s="41"/>
      <c r="AL291" s="42"/>
      <c r="AM291" s="42"/>
      <c r="AN291" s="42"/>
      <c r="AO291" s="42"/>
      <c r="AP291" s="41"/>
      <c r="AQ291" s="42"/>
      <c r="AR291" s="42"/>
      <c r="AS291" s="42"/>
      <c r="AT291" s="42"/>
      <c r="AU291" s="41"/>
      <c r="AV291" s="42"/>
      <c r="AW291" s="42"/>
      <c r="AX291" s="42"/>
      <c r="AY291" s="42"/>
      <c r="AZ291" s="41"/>
    </row>
    <row r="292" spans="1:52">
      <c r="A292" s="69" t="s">
        <v>88</v>
      </c>
      <c r="B292" s="37">
        <v>3347</v>
      </c>
      <c r="C292" s="80" t="s">
        <v>53</v>
      </c>
      <c r="D292" s="80" t="s">
        <v>53</v>
      </c>
      <c r="E292" s="80" t="s">
        <v>53</v>
      </c>
      <c r="F292" s="80" t="s">
        <v>53</v>
      </c>
      <c r="G292" s="37">
        <v>3235</v>
      </c>
      <c r="H292" s="70">
        <v>818</v>
      </c>
      <c r="I292" s="70">
        <v>899</v>
      </c>
      <c r="J292" s="70">
        <v>910</v>
      </c>
      <c r="K292" s="70">
        <f>L292-J292-I292-H292</f>
        <v>965</v>
      </c>
      <c r="L292" s="37">
        <v>3592</v>
      </c>
      <c r="M292" s="70">
        <v>923</v>
      </c>
      <c r="N292" s="70">
        <v>920</v>
      </c>
      <c r="O292" s="70">
        <v>941</v>
      </c>
      <c r="P292" s="70">
        <f>Q292-O292-N292-M292</f>
        <v>970</v>
      </c>
      <c r="Q292" s="37">
        <v>3754</v>
      </c>
      <c r="R292" s="70">
        <v>902</v>
      </c>
      <c r="S292" s="70">
        <v>927</v>
      </c>
      <c r="T292" s="70">
        <v>926</v>
      </c>
      <c r="U292" s="70">
        <f>V292-T292-S292-R292</f>
        <v>832</v>
      </c>
      <c r="V292" s="37">
        <v>3587</v>
      </c>
      <c r="W292" s="70">
        <v>831</v>
      </c>
      <c r="X292" s="70">
        <v>752</v>
      </c>
      <c r="Y292" s="70">
        <v>716</v>
      </c>
      <c r="Z292" s="70">
        <f>AA292-Y292-X292-W292</f>
        <v>741</v>
      </c>
      <c r="AA292" s="37">
        <v>3040</v>
      </c>
      <c r="AB292" s="70">
        <v>676</v>
      </c>
      <c r="AC292" s="70">
        <v>627</v>
      </c>
      <c r="AD292" s="70">
        <v>675</v>
      </c>
      <c r="AE292" s="70">
        <f>AF292-AD292-AC292-AB292</f>
        <v>733</v>
      </c>
      <c r="AF292" s="37">
        <v>2711</v>
      </c>
      <c r="AG292" s="70">
        <v>681</v>
      </c>
      <c r="AH292" s="70">
        <v>612</v>
      </c>
      <c r="AI292" s="70">
        <v>601</v>
      </c>
      <c r="AJ292" s="70">
        <f>AK292-AI292-AH292-AG292</f>
        <v>643</v>
      </c>
      <c r="AK292" s="37">
        <v>2537</v>
      </c>
      <c r="AL292" s="70">
        <v>607</v>
      </c>
      <c r="AM292" s="70">
        <v>588</v>
      </c>
      <c r="AN292" s="70">
        <v>586</v>
      </c>
      <c r="AO292" s="70">
        <v>602</v>
      </c>
      <c r="AP292" s="37">
        <v>2383</v>
      </c>
      <c r="AQ292" s="70">
        <v>579</v>
      </c>
      <c r="AR292" s="70">
        <v>560</v>
      </c>
      <c r="AS292" s="70">
        <v>536</v>
      </c>
      <c r="AT292" s="70">
        <v>573</v>
      </c>
      <c r="AU292" s="37">
        <v>2248</v>
      </c>
      <c r="AV292" s="70">
        <v>553</v>
      </c>
      <c r="AW292" s="70">
        <v>529</v>
      </c>
      <c r="AX292" s="70">
        <v>534</v>
      </c>
      <c r="AY292" s="70">
        <v>555</v>
      </c>
      <c r="AZ292" s="37">
        <v>2171</v>
      </c>
    </row>
    <row r="293" spans="1:52" ht="9.75" customHeight="1">
      <c r="A293" s="71" t="s">
        <v>7</v>
      </c>
      <c r="B293" s="24"/>
      <c r="C293" s="72"/>
      <c r="D293" s="72"/>
      <c r="E293" s="72"/>
      <c r="F293" s="72"/>
      <c r="G293" s="24"/>
      <c r="H293" s="72"/>
      <c r="I293" s="72">
        <f>I292/H292-1</f>
        <v>9.9022004889975479E-2</v>
      </c>
      <c r="J293" s="72">
        <f>J292/I292-1</f>
        <v>1.2235817575083408E-2</v>
      </c>
      <c r="K293" s="72">
        <f>K292/J292-1</f>
        <v>6.0439560439560447E-2</v>
      </c>
      <c r="L293" s="24"/>
      <c r="M293" s="72">
        <f>M292/K292-1</f>
        <v>-4.3523316062176187E-2</v>
      </c>
      <c r="N293" s="72">
        <f>N292/M292-1</f>
        <v>-3.25027085590468E-3</v>
      </c>
      <c r="O293" s="72">
        <f>O292/N292-1</f>
        <v>2.2826086956521774E-2</v>
      </c>
      <c r="P293" s="72">
        <f>P292/O292-1</f>
        <v>3.0818278427205081E-2</v>
      </c>
      <c r="Q293" s="24"/>
      <c r="R293" s="72">
        <f>R292/P292-1</f>
        <v>-7.0103092783505128E-2</v>
      </c>
      <c r="S293" s="72">
        <f>S292/R292-1</f>
        <v>2.7716186252771724E-2</v>
      </c>
      <c r="T293" s="72">
        <f>T292/S292-1</f>
        <v>-1.0787486515642097E-3</v>
      </c>
      <c r="U293" s="72">
        <f>U292/T292-1</f>
        <v>-0.10151187904967607</v>
      </c>
      <c r="V293" s="24"/>
      <c r="W293" s="72">
        <f>W292/U292-1</f>
        <v>-1.2019230769231282E-3</v>
      </c>
      <c r="X293" s="72">
        <f>X292/W292-1</f>
        <v>-9.5066185318892882E-2</v>
      </c>
      <c r="Y293" s="72">
        <f>Y292/X292-1</f>
        <v>-4.7872340425531901E-2</v>
      </c>
      <c r="Z293" s="72">
        <f>Z292/Y292-1</f>
        <v>3.4916201117318524E-2</v>
      </c>
      <c r="AA293" s="24"/>
      <c r="AB293" s="72">
        <f>AB292/Z292-1</f>
        <v>-8.7719298245614086E-2</v>
      </c>
      <c r="AC293" s="72">
        <f>AC292/AB292-1</f>
        <v>-7.2485207100591698E-2</v>
      </c>
      <c r="AD293" s="72">
        <f>AD292/AC292-1</f>
        <v>7.6555023923444931E-2</v>
      </c>
      <c r="AE293" s="72">
        <f>AE292/AD292-1</f>
        <v>8.5925925925925961E-2</v>
      </c>
      <c r="AF293" s="24"/>
      <c r="AG293" s="72">
        <f>AG292/AE292-1</f>
        <v>-7.0941336971350633E-2</v>
      </c>
      <c r="AH293" s="72">
        <f>AH292/AG292-1</f>
        <v>-0.10132158590308371</v>
      </c>
      <c r="AI293" s="72">
        <f>AI292/AH292-1</f>
        <v>-1.7973856209150374E-2</v>
      </c>
      <c r="AJ293" s="72">
        <f>AJ292/AI292-1</f>
        <v>6.9883527454242866E-2</v>
      </c>
      <c r="AK293" s="24"/>
      <c r="AL293" s="72">
        <v>-5.5987558320373276E-2</v>
      </c>
      <c r="AM293" s="72">
        <v>-3.1301482701812211E-2</v>
      </c>
      <c r="AN293" s="72">
        <v>-3.4013605442176909E-3</v>
      </c>
      <c r="AO293" s="72">
        <v>2.7303754266211566E-2</v>
      </c>
      <c r="AP293" s="24"/>
      <c r="AQ293" s="72">
        <v>-3.8205980066445155E-2</v>
      </c>
      <c r="AR293" s="72">
        <v>-3.2815198618307395E-2</v>
      </c>
      <c r="AS293" s="72">
        <v>-4.2857142857142816E-2</v>
      </c>
      <c r="AT293" s="72">
        <v>6.9029850746268551E-2</v>
      </c>
      <c r="AU293" s="24"/>
      <c r="AV293" s="72">
        <v>-3.4904013961605584E-2</v>
      </c>
      <c r="AW293" s="72">
        <v>-4.339963833634719E-2</v>
      </c>
      <c r="AX293" s="72">
        <v>9.4517958412099201E-3</v>
      </c>
      <c r="AY293" s="72">
        <v>3.9325842696629199E-2</v>
      </c>
      <c r="AZ293" s="24"/>
    </row>
    <row r="294" spans="1:52" ht="9.75" customHeight="1">
      <c r="A294" s="71" t="s">
        <v>8</v>
      </c>
      <c r="B294" s="24"/>
      <c r="C294" s="73"/>
      <c r="D294" s="73"/>
      <c r="E294" s="73"/>
      <c r="F294" s="73"/>
      <c r="G294" s="24">
        <f>G292/B292-1</f>
        <v>-3.3462802509710232E-2</v>
      </c>
      <c r="H294" s="73"/>
      <c r="I294" s="73"/>
      <c r="J294" s="73"/>
      <c r="K294" s="73"/>
      <c r="L294" s="24">
        <f t="shared" ref="L294:AD294" si="289">L292/G292-1</f>
        <v>0.11035548686244212</v>
      </c>
      <c r="M294" s="73">
        <f t="shared" si="289"/>
        <v>0.12836185819070911</v>
      </c>
      <c r="N294" s="73">
        <f t="shared" si="289"/>
        <v>2.3359288097886566E-2</v>
      </c>
      <c r="O294" s="73">
        <f t="shared" si="289"/>
        <v>3.4065934065934167E-2</v>
      </c>
      <c r="P294" s="73">
        <f t="shared" si="289"/>
        <v>5.1813471502590858E-3</v>
      </c>
      <c r="Q294" s="24">
        <f t="shared" si="289"/>
        <v>4.5100222717149308E-2</v>
      </c>
      <c r="R294" s="73">
        <f t="shared" si="289"/>
        <v>-2.2751895991332649E-2</v>
      </c>
      <c r="S294" s="73">
        <f t="shared" si="289"/>
        <v>7.6086956521739246E-3</v>
      </c>
      <c r="T294" s="73">
        <f t="shared" si="289"/>
        <v>-1.5940488841657774E-2</v>
      </c>
      <c r="U294" s="73">
        <f t="shared" si="289"/>
        <v>-0.14226804123711345</v>
      </c>
      <c r="V294" s="24">
        <f t="shared" si="289"/>
        <v>-4.4485881726158749E-2</v>
      </c>
      <c r="W294" s="73">
        <f t="shared" si="289"/>
        <v>-7.8713968957871416E-2</v>
      </c>
      <c r="X294" s="73">
        <f t="shared" si="289"/>
        <v>-0.18878101402373249</v>
      </c>
      <c r="Y294" s="73">
        <f t="shared" si="289"/>
        <v>-0.22678185745140389</v>
      </c>
      <c r="Z294" s="73">
        <f t="shared" si="289"/>
        <v>-0.109375</v>
      </c>
      <c r="AA294" s="24">
        <f t="shared" si="289"/>
        <v>-0.15249512127125731</v>
      </c>
      <c r="AB294" s="73">
        <f t="shared" si="289"/>
        <v>-0.18652226233453673</v>
      </c>
      <c r="AC294" s="73">
        <f t="shared" si="289"/>
        <v>-0.16622340425531912</v>
      </c>
      <c r="AD294" s="73">
        <f t="shared" si="289"/>
        <v>-5.7262569832402188E-2</v>
      </c>
      <c r="AE294" s="73">
        <f t="shared" ref="AE294:AN294" si="290">AE292/Z292-1</f>
        <v>-1.0796221322537103E-2</v>
      </c>
      <c r="AF294" s="24">
        <f t="shared" si="290"/>
        <v>-0.10822368421052631</v>
      </c>
      <c r="AG294" s="73">
        <f t="shared" si="290"/>
        <v>7.3964497041421051E-3</v>
      </c>
      <c r="AH294" s="73">
        <f t="shared" si="290"/>
        <v>-2.3923444976076569E-2</v>
      </c>
      <c r="AI294" s="73">
        <f t="shared" si="290"/>
        <v>-0.10962962962962963</v>
      </c>
      <c r="AJ294" s="73">
        <f t="shared" si="290"/>
        <v>-0.12278308321964526</v>
      </c>
      <c r="AK294" s="24">
        <v>-6.4182958317963834E-2</v>
      </c>
      <c r="AL294" s="73">
        <v>-0.10866372980910421</v>
      </c>
      <c r="AM294" s="73">
        <v>-3.9215686274509776E-2</v>
      </c>
      <c r="AN294" s="73">
        <v>-2.4958402662229595E-2</v>
      </c>
      <c r="AO294" s="73">
        <v>-6.3763608087091805E-2</v>
      </c>
      <c r="AP294" s="24">
        <v>-6.0701616081986653E-2</v>
      </c>
      <c r="AQ294" s="73">
        <v>-4.6128500823723217E-2</v>
      </c>
      <c r="AR294" s="73">
        <v>-4.7619047619047672E-2</v>
      </c>
      <c r="AS294" s="73">
        <v>-8.5324232081911311E-2</v>
      </c>
      <c r="AT294" s="73">
        <v>-4.8172757475083094E-2</v>
      </c>
      <c r="AU294" s="24">
        <v>-5.6651279899286644E-2</v>
      </c>
      <c r="AV294" s="73">
        <v>-4.4905008635578558E-2</v>
      </c>
      <c r="AW294" s="73">
        <v>-5.5357142857142883E-2</v>
      </c>
      <c r="AX294" s="73">
        <v>-3.7313432835820448E-3</v>
      </c>
      <c r="AY294" s="73">
        <v>-3.1413612565445059E-2</v>
      </c>
      <c r="AZ294" s="24">
        <v>-3.4252669039145922E-2</v>
      </c>
    </row>
    <row r="295" spans="1:52">
      <c r="A295" s="69" t="s">
        <v>110</v>
      </c>
      <c r="B295" s="37">
        <v>1337</v>
      </c>
      <c r="C295" s="80" t="s">
        <v>53</v>
      </c>
      <c r="D295" s="80" t="s">
        <v>53</v>
      </c>
      <c r="E295" s="80" t="s">
        <v>53</v>
      </c>
      <c r="F295" s="80" t="s">
        <v>53</v>
      </c>
      <c r="G295" s="37">
        <v>1478</v>
      </c>
      <c r="H295" s="70">
        <v>447</v>
      </c>
      <c r="I295" s="70">
        <v>447</v>
      </c>
      <c r="J295" s="70">
        <v>462</v>
      </c>
      <c r="K295" s="70">
        <f>L295-J295-I295-H295</f>
        <v>428</v>
      </c>
      <c r="L295" s="37">
        <v>1784</v>
      </c>
      <c r="M295" s="70">
        <v>470</v>
      </c>
      <c r="N295" s="70">
        <v>509</v>
      </c>
      <c r="O295" s="70">
        <v>501</v>
      </c>
      <c r="P295" s="70">
        <f>Q295-O295-N295-M295</f>
        <v>498</v>
      </c>
      <c r="Q295" s="37">
        <v>1978</v>
      </c>
      <c r="R295" s="70">
        <v>548</v>
      </c>
      <c r="S295" s="70">
        <v>511</v>
      </c>
      <c r="T295" s="70">
        <v>495</v>
      </c>
      <c r="U295" s="70">
        <f>V295-T295-S295-R295</f>
        <v>407</v>
      </c>
      <c r="V295" s="37">
        <v>1961</v>
      </c>
      <c r="W295" s="70">
        <v>413</v>
      </c>
      <c r="X295" s="70">
        <v>396</v>
      </c>
      <c r="Y295" s="70">
        <v>333</v>
      </c>
      <c r="Z295" s="70">
        <f>AA295-Y295-X295-W295</f>
        <v>286</v>
      </c>
      <c r="AA295" s="37">
        <v>1428</v>
      </c>
      <c r="AB295" s="70">
        <f>AB277-AB292</f>
        <v>288</v>
      </c>
      <c r="AC295" s="70">
        <f>AC277-AC292</f>
        <v>288</v>
      </c>
      <c r="AD295" s="70">
        <f>AD277-AD292</f>
        <v>272</v>
      </c>
      <c r="AE295" s="70">
        <f>AF295-AD295-AC295-AB295</f>
        <v>250</v>
      </c>
      <c r="AF295" s="37">
        <f>AF277-AF292</f>
        <v>1098</v>
      </c>
      <c r="AG295" s="70">
        <v>236</v>
      </c>
      <c r="AH295" s="70">
        <v>231</v>
      </c>
      <c r="AI295" s="70">
        <v>223</v>
      </c>
      <c r="AJ295" s="70">
        <f>AK295-AI295-AH295-AG295</f>
        <v>192</v>
      </c>
      <c r="AK295" s="37">
        <v>882</v>
      </c>
      <c r="AL295" s="70">
        <v>120</v>
      </c>
      <c r="AM295" s="70">
        <v>133</v>
      </c>
      <c r="AN295" s="70">
        <v>143</v>
      </c>
      <c r="AO295" s="70">
        <v>111</v>
      </c>
      <c r="AP295" s="37">
        <v>507</v>
      </c>
      <c r="AQ295" s="70">
        <v>92</v>
      </c>
      <c r="AR295" s="70">
        <v>98</v>
      </c>
      <c r="AS295" s="70">
        <v>113</v>
      </c>
      <c r="AT295" s="70">
        <v>79</v>
      </c>
      <c r="AU295" s="37">
        <v>382</v>
      </c>
      <c r="AV295" s="70">
        <v>75</v>
      </c>
      <c r="AW295" s="70">
        <v>103</v>
      </c>
      <c r="AX295" s="70">
        <v>101</v>
      </c>
      <c r="AY295" s="70">
        <v>96</v>
      </c>
      <c r="AZ295" s="37">
        <v>375</v>
      </c>
    </row>
    <row r="296" spans="1:52" ht="9" customHeight="1">
      <c r="A296" s="71" t="s">
        <v>7</v>
      </c>
      <c r="B296" s="24"/>
      <c r="C296" s="72"/>
      <c r="D296" s="72"/>
      <c r="E296" s="72"/>
      <c r="F296" s="72"/>
      <c r="G296" s="24"/>
      <c r="H296" s="72"/>
      <c r="I296" s="72">
        <f>I295/H295-1</f>
        <v>0</v>
      </c>
      <c r="J296" s="72">
        <f>J295/I295-1</f>
        <v>3.3557046979865834E-2</v>
      </c>
      <c r="K296" s="72">
        <f>K295/J295-1</f>
        <v>-7.3593073593073544E-2</v>
      </c>
      <c r="L296" s="24"/>
      <c r="M296" s="72">
        <f>M295/K295-1</f>
        <v>9.8130841121495394E-2</v>
      </c>
      <c r="N296" s="72">
        <f>N295/M295-1</f>
        <v>8.2978723404255383E-2</v>
      </c>
      <c r="O296" s="72">
        <f>O295/N295-1</f>
        <v>-1.5717092337917515E-2</v>
      </c>
      <c r="P296" s="72">
        <f>P295/O295-1</f>
        <v>-5.9880239520958556E-3</v>
      </c>
      <c r="Q296" s="24"/>
      <c r="R296" s="72">
        <f>R295/P295-1</f>
        <v>0.10040160642570273</v>
      </c>
      <c r="S296" s="72">
        <f>S295/R295-1</f>
        <v>-6.7518248175182483E-2</v>
      </c>
      <c r="T296" s="72">
        <f>T295/S295-1</f>
        <v>-3.131115459882583E-2</v>
      </c>
      <c r="U296" s="72">
        <f>U295/T295-1</f>
        <v>-0.17777777777777781</v>
      </c>
      <c r="V296" s="24"/>
      <c r="W296" s="72">
        <f>W295/U295-1</f>
        <v>1.4742014742014753E-2</v>
      </c>
      <c r="X296" s="72">
        <f>X295/W295-1</f>
        <v>-4.1162227602905554E-2</v>
      </c>
      <c r="Y296" s="72">
        <f>Y295/X295-1</f>
        <v>-0.15909090909090906</v>
      </c>
      <c r="Z296" s="72">
        <f>Z295/Y295-1</f>
        <v>-0.14114114114114118</v>
      </c>
      <c r="AA296" s="24"/>
      <c r="AB296" s="72">
        <f>AB295/Z295-1</f>
        <v>6.9930069930070893E-3</v>
      </c>
      <c r="AC296" s="72">
        <f>AC295/AB295-1</f>
        <v>0</v>
      </c>
      <c r="AD296" s="72">
        <f>AD295/AC295-1</f>
        <v>-5.555555555555558E-2</v>
      </c>
      <c r="AE296" s="72">
        <f>AE295/AD295-1</f>
        <v>-8.0882352941176516E-2</v>
      </c>
      <c r="AF296" s="24"/>
      <c r="AG296" s="72">
        <f>AG295/AE295-1</f>
        <v>-5.600000000000005E-2</v>
      </c>
      <c r="AH296" s="72">
        <f>AH295/AG295-1</f>
        <v>-2.1186440677966156E-2</v>
      </c>
      <c r="AI296" s="72">
        <f>AI295/AH295-1</f>
        <v>-3.4632034632034681E-2</v>
      </c>
      <c r="AJ296" s="72">
        <f>AJ295/AI295-1</f>
        <v>-0.13901345291479816</v>
      </c>
      <c r="AK296" s="24"/>
      <c r="AL296" s="72">
        <v>-0.375</v>
      </c>
      <c r="AM296" s="72">
        <v>0.10833333333333339</v>
      </c>
      <c r="AN296" s="72">
        <v>7.5187969924812137E-2</v>
      </c>
      <c r="AO296" s="72">
        <v>-0.22377622377622375</v>
      </c>
      <c r="AP296" s="24"/>
      <c r="AQ296" s="72">
        <v>-0.1711711711711712</v>
      </c>
      <c r="AR296" s="72">
        <v>6.5217391304347894E-2</v>
      </c>
      <c r="AS296" s="72">
        <v>0.15306122448979598</v>
      </c>
      <c r="AT296" s="72">
        <v>-0.30088495575221241</v>
      </c>
      <c r="AU296" s="24"/>
      <c r="AV296" s="72">
        <v>-5.0632911392405111E-2</v>
      </c>
      <c r="AW296" s="72">
        <v>0.37333333333333329</v>
      </c>
      <c r="AX296" s="72">
        <v>-1.9417475728155331E-2</v>
      </c>
      <c r="AY296" s="72">
        <v>-4.9504950495049549E-2</v>
      </c>
      <c r="AZ296" s="24"/>
    </row>
    <row r="297" spans="1:52" ht="9.75" customHeight="1">
      <c r="A297" s="71" t="s">
        <v>8</v>
      </c>
      <c r="B297" s="24"/>
      <c r="C297" s="73"/>
      <c r="D297" s="73"/>
      <c r="E297" s="73"/>
      <c r="F297" s="73"/>
      <c r="G297" s="24">
        <f>G295/B295-1</f>
        <v>0.10545998504113685</v>
      </c>
      <c r="H297" s="73"/>
      <c r="I297" s="73"/>
      <c r="J297" s="73"/>
      <c r="K297" s="73"/>
      <c r="L297" s="24">
        <f t="shared" ref="L297:AD297" si="291">L295/G295-1</f>
        <v>0.20703653585926918</v>
      </c>
      <c r="M297" s="73">
        <f t="shared" si="291"/>
        <v>5.1454138702460961E-2</v>
      </c>
      <c r="N297" s="73">
        <f t="shared" si="291"/>
        <v>0.13870246085011195</v>
      </c>
      <c r="O297" s="73">
        <f t="shared" si="291"/>
        <v>8.4415584415584499E-2</v>
      </c>
      <c r="P297" s="73">
        <f t="shared" si="291"/>
        <v>0.16355140186915884</v>
      </c>
      <c r="Q297" s="24">
        <f t="shared" si="291"/>
        <v>0.10874439461883401</v>
      </c>
      <c r="R297" s="73">
        <f t="shared" si="291"/>
        <v>0.16595744680851054</v>
      </c>
      <c r="S297" s="73">
        <f t="shared" si="291"/>
        <v>3.9292730844793233E-3</v>
      </c>
      <c r="T297" s="73">
        <f t="shared" si="291"/>
        <v>-1.19760479041916E-2</v>
      </c>
      <c r="U297" s="73">
        <f t="shared" si="291"/>
        <v>-0.18273092369477917</v>
      </c>
      <c r="V297" s="24">
        <f t="shared" si="291"/>
        <v>-8.5945399393326793E-3</v>
      </c>
      <c r="W297" s="73">
        <f t="shared" si="291"/>
        <v>-0.2463503649635036</v>
      </c>
      <c r="X297" s="73">
        <f t="shared" si="291"/>
        <v>-0.22504892367906071</v>
      </c>
      <c r="Y297" s="73">
        <f t="shared" si="291"/>
        <v>-0.32727272727272727</v>
      </c>
      <c r="Z297" s="73">
        <f t="shared" si="291"/>
        <v>-0.29729729729729726</v>
      </c>
      <c r="AA297" s="24">
        <f t="shared" si="291"/>
        <v>-0.27180010198878124</v>
      </c>
      <c r="AB297" s="73">
        <f t="shared" si="291"/>
        <v>-0.30266343825665865</v>
      </c>
      <c r="AC297" s="73">
        <f t="shared" si="291"/>
        <v>-0.27272727272727271</v>
      </c>
      <c r="AD297" s="73">
        <f t="shared" si="291"/>
        <v>-0.18318318318318316</v>
      </c>
      <c r="AE297" s="73">
        <f t="shared" ref="AE297:AN297" si="292">AE295/Z295-1</f>
        <v>-0.12587412587412583</v>
      </c>
      <c r="AF297" s="24">
        <f t="shared" si="292"/>
        <v>-0.23109243697478987</v>
      </c>
      <c r="AG297" s="73">
        <f t="shared" si="292"/>
        <v>-0.18055555555555558</v>
      </c>
      <c r="AH297" s="73">
        <f t="shared" si="292"/>
        <v>-0.19791666666666663</v>
      </c>
      <c r="AI297" s="73">
        <f t="shared" si="292"/>
        <v>-0.18014705882352944</v>
      </c>
      <c r="AJ297" s="73">
        <f t="shared" si="292"/>
        <v>-0.23199999999999998</v>
      </c>
      <c r="AK297" s="24">
        <v>-0.19672131147540983</v>
      </c>
      <c r="AL297" s="73">
        <v>-0.49152542372881358</v>
      </c>
      <c r="AM297" s="73">
        <v>-0.4242424242424242</v>
      </c>
      <c r="AN297" s="73">
        <v>-0.35874439461883412</v>
      </c>
      <c r="AO297" s="73">
        <v>-0.421875</v>
      </c>
      <c r="AP297" s="24">
        <v>-0.42517006802721091</v>
      </c>
      <c r="AQ297" s="73">
        <v>-0.23333333333333328</v>
      </c>
      <c r="AR297" s="73">
        <v>-0.26315789473684215</v>
      </c>
      <c r="AS297" s="73">
        <v>-0.20979020979020979</v>
      </c>
      <c r="AT297" s="73">
        <v>-0.28828828828828834</v>
      </c>
      <c r="AU297" s="24">
        <v>-0.24654832347140043</v>
      </c>
      <c r="AV297" s="73">
        <v>-0.18478260869565222</v>
      </c>
      <c r="AW297" s="73">
        <v>5.1020408163265252E-2</v>
      </c>
      <c r="AX297" s="73">
        <v>-0.10619469026548678</v>
      </c>
      <c r="AY297" s="73">
        <v>0.21518987341772156</v>
      </c>
      <c r="AZ297" s="24">
        <v>-1.8324607329842979E-2</v>
      </c>
    </row>
    <row r="298" spans="1:52">
      <c r="A298" s="69" t="s">
        <v>89</v>
      </c>
      <c r="B298" s="37">
        <v>430</v>
      </c>
      <c r="C298" s="80" t="s">
        <v>53</v>
      </c>
      <c r="D298" s="80" t="s">
        <v>53</v>
      </c>
      <c r="E298" s="80" t="s">
        <v>53</v>
      </c>
      <c r="F298" s="80" t="s">
        <v>53</v>
      </c>
      <c r="G298" s="37">
        <v>405</v>
      </c>
      <c r="H298" s="70">
        <v>113</v>
      </c>
      <c r="I298" s="70">
        <v>96</v>
      </c>
      <c r="J298" s="70">
        <v>116</v>
      </c>
      <c r="K298" s="70">
        <f>L298-J298-I298-H298</f>
        <v>136</v>
      </c>
      <c r="L298" s="37">
        <v>461</v>
      </c>
      <c r="M298" s="70">
        <v>119</v>
      </c>
      <c r="N298" s="70">
        <v>117</v>
      </c>
      <c r="O298" s="70">
        <v>115</v>
      </c>
      <c r="P298" s="70">
        <f>Q298-O298-N298-M298</f>
        <v>117</v>
      </c>
      <c r="Q298" s="37">
        <v>468</v>
      </c>
      <c r="R298" s="70">
        <v>117</v>
      </c>
      <c r="S298" s="70">
        <v>125</v>
      </c>
      <c r="T298" s="70">
        <v>125</v>
      </c>
      <c r="U298" s="70">
        <f>V298-T298-S298-R298</f>
        <v>113</v>
      </c>
      <c r="V298" s="37">
        <v>480</v>
      </c>
      <c r="W298" s="70">
        <v>116</v>
      </c>
      <c r="X298" s="70">
        <v>111</v>
      </c>
      <c r="Y298" s="70">
        <v>105</v>
      </c>
      <c r="Z298" s="70">
        <f>AA298-Y298-X298-W298</f>
        <v>90</v>
      </c>
      <c r="AA298" s="37">
        <v>422</v>
      </c>
      <c r="AB298" s="70">
        <v>86</v>
      </c>
      <c r="AC298" s="70">
        <v>75</v>
      </c>
      <c r="AD298" s="70">
        <v>69</v>
      </c>
      <c r="AE298" s="70">
        <f>AF298-AD298-AC298-AB298</f>
        <v>90</v>
      </c>
      <c r="AF298" s="37">
        <v>320</v>
      </c>
      <c r="AG298" s="70">
        <v>83</v>
      </c>
      <c r="AH298" s="70">
        <v>76</v>
      </c>
      <c r="AI298" s="70">
        <v>76</v>
      </c>
      <c r="AJ298" s="70">
        <f>AK298-AI298-AH298-AG298</f>
        <v>74</v>
      </c>
      <c r="AK298" s="37">
        <v>309</v>
      </c>
      <c r="AL298" s="70">
        <v>63</v>
      </c>
      <c r="AM298" s="70">
        <v>57</v>
      </c>
      <c r="AN298" s="70">
        <v>59</v>
      </c>
      <c r="AO298" s="70">
        <v>68</v>
      </c>
      <c r="AP298" s="37">
        <v>247</v>
      </c>
      <c r="AQ298" s="70">
        <v>66</v>
      </c>
      <c r="AR298" s="70">
        <v>68</v>
      </c>
      <c r="AS298" s="70">
        <v>65</v>
      </c>
      <c r="AT298" s="70">
        <v>61</v>
      </c>
      <c r="AU298" s="37">
        <v>260</v>
      </c>
      <c r="AV298" s="70">
        <v>48</v>
      </c>
      <c r="AW298" s="70">
        <v>51</v>
      </c>
      <c r="AX298" s="70">
        <v>58</v>
      </c>
      <c r="AY298" s="70">
        <v>58</v>
      </c>
      <c r="AZ298" s="37">
        <v>215</v>
      </c>
    </row>
    <row r="299" spans="1:52">
      <c r="A299" s="71" t="s">
        <v>7</v>
      </c>
      <c r="B299" s="24"/>
      <c r="C299" s="72"/>
      <c r="D299" s="72"/>
      <c r="E299" s="72"/>
      <c r="F299" s="72"/>
      <c r="G299" s="24"/>
      <c r="H299" s="72"/>
      <c r="I299" s="72">
        <f>I298/H298-1</f>
        <v>-0.15044247787610621</v>
      </c>
      <c r="J299" s="72">
        <f>J298/I298-1</f>
        <v>0.20833333333333326</v>
      </c>
      <c r="K299" s="72">
        <f>K298/J298-1</f>
        <v>0.17241379310344818</v>
      </c>
      <c r="L299" s="24"/>
      <c r="M299" s="72">
        <f>M298/K298-1</f>
        <v>-0.125</v>
      </c>
      <c r="N299" s="72">
        <f>N298/M298-1</f>
        <v>-1.6806722689075682E-2</v>
      </c>
      <c r="O299" s="72">
        <f>O298/N298-1</f>
        <v>-1.7094017094017144E-2</v>
      </c>
      <c r="P299" s="72">
        <f>P298/O298-1</f>
        <v>1.7391304347825987E-2</v>
      </c>
      <c r="Q299" s="24"/>
      <c r="R299" s="72">
        <f>R298/P298-1</f>
        <v>0</v>
      </c>
      <c r="S299" s="72">
        <f>S298/R298-1</f>
        <v>6.8376068376068355E-2</v>
      </c>
      <c r="T299" s="72">
        <f>T298/S298-1</f>
        <v>0</v>
      </c>
      <c r="U299" s="72">
        <f>U298/T298-1</f>
        <v>-9.5999999999999974E-2</v>
      </c>
      <c r="V299" s="24"/>
      <c r="W299" s="72">
        <f>W298/U298-1</f>
        <v>2.6548672566371723E-2</v>
      </c>
      <c r="X299" s="72">
        <f>X298/W298-1</f>
        <v>-4.31034482758621E-2</v>
      </c>
      <c r="Y299" s="72">
        <f>Y298/X298-1</f>
        <v>-5.4054054054054057E-2</v>
      </c>
      <c r="Z299" s="72">
        <f>Z298/Y298-1</f>
        <v>-0.1428571428571429</v>
      </c>
      <c r="AA299" s="24"/>
      <c r="AB299" s="72">
        <f>AB298/Z298-1</f>
        <v>-4.4444444444444398E-2</v>
      </c>
      <c r="AC299" s="72">
        <f>AC298/AB298-1</f>
        <v>-0.12790697674418605</v>
      </c>
      <c r="AD299" s="72">
        <f>AD298/AC298-1</f>
        <v>-7.999999999999996E-2</v>
      </c>
      <c r="AE299" s="72">
        <f>AE298/AD298-1</f>
        <v>0.30434782608695654</v>
      </c>
      <c r="AF299" s="24"/>
      <c r="AG299" s="72">
        <f>AG298/AE298-1</f>
        <v>-7.7777777777777724E-2</v>
      </c>
      <c r="AH299" s="72">
        <f>AH298/AG298-1</f>
        <v>-8.4337349397590411E-2</v>
      </c>
      <c r="AI299" s="72">
        <f>AI298/AH298-1</f>
        <v>0</v>
      </c>
      <c r="AJ299" s="72">
        <f>AJ298/AI298-1</f>
        <v>-2.6315789473684181E-2</v>
      </c>
      <c r="AK299" s="24"/>
      <c r="AL299" s="72">
        <v>-0.14864864864864868</v>
      </c>
      <c r="AM299" s="72">
        <v>-9.5238095238095233E-2</v>
      </c>
      <c r="AN299" s="72">
        <v>3.5087719298245723E-2</v>
      </c>
      <c r="AO299" s="72">
        <v>0.15254237288135597</v>
      </c>
      <c r="AP299" s="24"/>
      <c r="AQ299" s="72">
        <v>-2.9411764705882359E-2</v>
      </c>
      <c r="AR299" s="72">
        <v>3.0303030303030276E-2</v>
      </c>
      <c r="AS299" s="72">
        <v>-4.4117647058823484E-2</v>
      </c>
      <c r="AT299" s="72">
        <v>-6.1538461538461542E-2</v>
      </c>
      <c r="AU299" s="24"/>
      <c r="AV299" s="72">
        <v>-0.21311475409836067</v>
      </c>
      <c r="AW299" s="72">
        <v>6.25E-2</v>
      </c>
      <c r="AX299" s="72">
        <v>0.13725490196078427</v>
      </c>
      <c r="AY299" s="72">
        <v>0</v>
      </c>
      <c r="AZ299" s="24"/>
    </row>
    <row r="300" spans="1:52">
      <c r="A300" s="71" t="s">
        <v>8</v>
      </c>
      <c r="B300" s="24"/>
      <c r="C300" s="73"/>
      <c r="D300" s="73"/>
      <c r="E300" s="73"/>
      <c r="F300" s="73"/>
      <c r="G300" s="24">
        <f>G298/B298-1</f>
        <v>-5.8139534883720922E-2</v>
      </c>
      <c r="H300" s="73"/>
      <c r="I300" s="73"/>
      <c r="J300" s="73"/>
      <c r="K300" s="73"/>
      <c r="L300" s="24">
        <f t="shared" ref="L300:AD300" si="293">L298/G298-1</f>
        <v>0.13827160493827151</v>
      </c>
      <c r="M300" s="73">
        <f t="shared" si="293"/>
        <v>5.3097345132743445E-2</v>
      </c>
      <c r="N300" s="73">
        <f t="shared" si="293"/>
        <v>0.21875</v>
      </c>
      <c r="O300" s="73">
        <f t="shared" si="293"/>
        <v>-8.6206896551723755E-3</v>
      </c>
      <c r="P300" s="73">
        <f t="shared" si="293"/>
        <v>-0.13970588235294112</v>
      </c>
      <c r="Q300" s="24">
        <f t="shared" si="293"/>
        <v>1.5184381778741818E-2</v>
      </c>
      <c r="R300" s="73">
        <f t="shared" si="293"/>
        <v>-1.6806722689075682E-2</v>
      </c>
      <c r="S300" s="73">
        <f t="shared" si="293"/>
        <v>6.8376068376068355E-2</v>
      </c>
      <c r="T300" s="73">
        <f t="shared" si="293"/>
        <v>8.6956521739130377E-2</v>
      </c>
      <c r="U300" s="73">
        <f t="shared" si="293"/>
        <v>-3.4188034188034178E-2</v>
      </c>
      <c r="V300" s="24">
        <f t="shared" si="293"/>
        <v>2.564102564102555E-2</v>
      </c>
      <c r="W300" s="73">
        <f t="shared" si="293"/>
        <v>-8.5470085470085166E-3</v>
      </c>
      <c r="X300" s="73">
        <f t="shared" si="293"/>
        <v>-0.11199999999999999</v>
      </c>
      <c r="Y300" s="73">
        <f t="shared" si="293"/>
        <v>-0.16000000000000003</v>
      </c>
      <c r="Z300" s="73">
        <f t="shared" si="293"/>
        <v>-0.20353982300884954</v>
      </c>
      <c r="AA300" s="24">
        <f t="shared" si="293"/>
        <v>-0.12083333333333335</v>
      </c>
      <c r="AB300" s="73">
        <f t="shared" si="293"/>
        <v>-0.25862068965517238</v>
      </c>
      <c r="AC300" s="73">
        <f t="shared" si="293"/>
        <v>-0.32432432432432434</v>
      </c>
      <c r="AD300" s="73">
        <f t="shared" si="293"/>
        <v>-0.34285714285714286</v>
      </c>
      <c r="AE300" s="73">
        <f t="shared" ref="AE300:AN300" si="294">AE298/Z298-1</f>
        <v>0</v>
      </c>
      <c r="AF300" s="24">
        <f t="shared" si="294"/>
        <v>-0.24170616113744081</v>
      </c>
      <c r="AG300" s="73">
        <f t="shared" si="294"/>
        <v>-3.4883720930232509E-2</v>
      </c>
      <c r="AH300" s="73">
        <f t="shared" si="294"/>
        <v>1.3333333333333419E-2</v>
      </c>
      <c r="AI300" s="73">
        <f t="shared" si="294"/>
        <v>0.10144927536231885</v>
      </c>
      <c r="AJ300" s="73">
        <f t="shared" si="294"/>
        <v>-0.17777777777777781</v>
      </c>
      <c r="AK300" s="24">
        <v>-3.4375000000000044E-2</v>
      </c>
      <c r="AL300" s="73">
        <v>-0.24096385542168675</v>
      </c>
      <c r="AM300" s="73">
        <v>-0.25</v>
      </c>
      <c r="AN300" s="73">
        <v>-0.22368421052631582</v>
      </c>
      <c r="AO300" s="73">
        <v>-8.108108108108103E-2</v>
      </c>
      <c r="AP300" s="24">
        <v>-0.20064724919093846</v>
      </c>
      <c r="AQ300" s="73">
        <v>4.7619047619047672E-2</v>
      </c>
      <c r="AR300" s="73">
        <v>0.19298245614035081</v>
      </c>
      <c r="AS300" s="73">
        <v>0.10169491525423724</v>
      </c>
      <c r="AT300" s="73">
        <v>-0.1029411764705882</v>
      </c>
      <c r="AU300" s="24">
        <v>5.2631578947368363E-2</v>
      </c>
      <c r="AV300" s="73">
        <v>-0.27272727272727271</v>
      </c>
      <c r="AW300" s="73">
        <v>-0.25</v>
      </c>
      <c r="AX300" s="73">
        <v>-0.10769230769230764</v>
      </c>
      <c r="AY300" s="73">
        <v>-4.9180327868852514E-2</v>
      </c>
      <c r="AZ300" s="24">
        <v>-0.17307692307692313</v>
      </c>
    </row>
    <row r="301" spans="1:52">
      <c r="A301" s="69" t="s">
        <v>90</v>
      </c>
      <c r="B301" s="37">
        <v>102</v>
      </c>
      <c r="C301" s="80" t="s">
        <v>53</v>
      </c>
      <c r="D301" s="80" t="s">
        <v>53</v>
      </c>
      <c r="E301" s="80" t="s">
        <v>53</v>
      </c>
      <c r="F301" s="80" t="s">
        <v>53</v>
      </c>
      <c r="G301" s="37">
        <v>140</v>
      </c>
      <c r="H301" s="70">
        <v>32</v>
      </c>
      <c r="I301" s="70">
        <v>30</v>
      </c>
      <c r="J301" s="70">
        <v>30</v>
      </c>
      <c r="K301" s="70">
        <f>L301-J301-I301-H301</f>
        <v>41</v>
      </c>
      <c r="L301" s="37">
        <v>133</v>
      </c>
      <c r="M301" s="70">
        <v>29</v>
      </c>
      <c r="N301" s="70">
        <v>30</v>
      </c>
      <c r="O301" s="70">
        <v>30</v>
      </c>
      <c r="P301" s="70">
        <f>Q301-O301-N301-M301</f>
        <v>38</v>
      </c>
      <c r="Q301" s="37">
        <v>127</v>
      </c>
      <c r="R301" s="70">
        <v>32</v>
      </c>
      <c r="S301" s="70">
        <v>29</v>
      </c>
      <c r="T301" s="70">
        <v>28</v>
      </c>
      <c r="U301" s="70">
        <f>V301-T301-S301-R301</f>
        <v>32</v>
      </c>
      <c r="V301" s="37">
        <v>121</v>
      </c>
      <c r="W301" s="70">
        <v>30</v>
      </c>
      <c r="X301" s="70">
        <v>26</v>
      </c>
      <c r="Y301" s="70">
        <v>29</v>
      </c>
      <c r="Z301" s="70">
        <f>AA301-Y301-X301-W301</f>
        <v>29</v>
      </c>
      <c r="AA301" s="37">
        <v>114</v>
      </c>
      <c r="AB301" s="70">
        <v>28</v>
      </c>
      <c r="AC301" s="70">
        <v>27</v>
      </c>
      <c r="AD301" s="70">
        <v>31</v>
      </c>
      <c r="AE301" s="70">
        <f>AF301-AD301-AC301-AB301</f>
        <v>23</v>
      </c>
      <c r="AF301" s="37">
        <v>109</v>
      </c>
      <c r="AG301" s="70">
        <v>27</v>
      </c>
      <c r="AH301" s="70">
        <v>28</v>
      </c>
      <c r="AI301" s="70">
        <v>25</v>
      </c>
      <c r="AJ301" s="70">
        <f>AK301-AI301-AH301-AG301</f>
        <v>26</v>
      </c>
      <c r="AK301" s="37">
        <v>106</v>
      </c>
      <c r="AL301" s="70">
        <v>25</v>
      </c>
      <c r="AM301" s="70">
        <v>23</v>
      </c>
      <c r="AN301" s="70">
        <v>23</v>
      </c>
      <c r="AO301" s="70">
        <v>27</v>
      </c>
      <c r="AP301" s="37">
        <v>98</v>
      </c>
      <c r="AQ301" s="70">
        <v>25</v>
      </c>
      <c r="AR301" s="70">
        <v>22</v>
      </c>
      <c r="AS301" s="70">
        <v>21</v>
      </c>
      <c r="AT301" s="70">
        <v>21</v>
      </c>
      <c r="AU301" s="37">
        <v>89</v>
      </c>
      <c r="AV301" s="70">
        <v>22</v>
      </c>
      <c r="AW301" s="70">
        <v>22</v>
      </c>
      <c r="AX301" s="70">
        <v>21</v>
      </c>
      <c r="AY301" s="70">
        <v>23</v>
      </c>
      <c r="AZ301" s="37">
        <v>88</v>
      </c>
    </row>
    <row r="302" spans="1:52">
      <c r="A302" s="71" t="s">
        <v>7</v>
      </c>
      <c r="B302" s="24"/>
      <c r="C302" s="72"/>
      <c r="D302" s="72"/>
      <c r="E302" s="72"/>
      <c r="F302" s="72"/>
      <c r="G302" s="24"/>
      <c r="H302" s="72"/>
      <c r="I302" s="72">
        <f>I301/H301-1</f>
        <v>-6.25E-2</v>
      </c>
      <c r="J302" s="72">
        <f>J301/I301-1</f>
        <v>0</v>
      </c>
      <c r="K302" s="72">
        <f>K301/J301-1</f>
        <v>0.3666666666666667</v>
      </c>
      <c r="L302" s="24"/>
      <c r="M302" s="72">
        <f>M301/K301-1</f>
        <v>-0.29268292682926833</v>
      </c>
      <c r="N302" s="72">
        <f>N301/M301-1</f>
        <v>3.4482758620689724E-2</v>
      </c>
      <c r="O302" s="72">
        <f>O301/N301-1</f>
        <v>0</v>
      </c>
      <c r="P302" s="72">
        <f>P301/O301-1</f>
        <v>0.26666666666666661</v>
      </c>
      <c r="Q302" s="24"/>
      <c r="R302" s="72">
        <f>R301/P301-1</f>
        <v>-0.15789473684210531</v>
      </c>
      <c r="S302" s="72">
        <f>S301/R301-1</f>
        <v>-9.375E-2</v>
      </c>
      <c r="T302" s="72">
        <f>T301/S301-1</f>
        <v>-3.4482758620689613E-2</v>
      </c>
      <c r="U302" s="72">
        <f>U301/T301-1</f>
        <v>0.14285714285714279</v>
      </c>
      <c r="V302" s="24"/>
      <c r="W302" s="72">
        <f>W301/U301-1</f>
        <v>-6.25E-2</v>
      </c>
      <c r="X302" s="72">
        <f>X301/W301-1</f>
        <v>-0.1333333333333333</v>
      </c>
      <c r="Y302" s="72">
        <f>Y301/X301-1</f>
        <v>0.11538461538461542</v>
      </c>
      <c r="Z302" s="72">
        <f>Z301/Y301-1</f>
        <v>0</v>
      </c>
      <c r="AA302" s="24"/>
      <c r="AB302" s="72">
        <f>AB301/Z301-1</f>
        <v>-3.4482758620689613E-2</v>
      </c>
      <c r="AC302" s="72">
        <f>AC301/AB301-1</f>
        <v>-3.5714285714285698E-2</v>
      </c>
      <c r="AD302" s="72">
        <f>AD301/AC301-1</f>
        <v>0.14814814814814814</v>
      </c>
      <c r="AE302" s="72">
        <f>AE301/AD301-1</f>
        <v>-0.25806451612903225</v>
      </c>
      <c r="AF302" s="24"/>
      <c r="AG302" s="72">
        <f>AG301/AE301-1</f>
        <v>0.17391304347826098</v>
      </c>
      <c r="AH302" s="72">
        <f>AH301/AG301-1</f>
        <v>3.7037037037036979E-2</v>
      </c>
      <c r="AI302" s="72">
        <f>AI301/AH301-1</f>
        <v>-0.1071428571428571</v>
      </c>
      <c r="AJ302" s="72">
        <f>AJ301/AI301-1</f>
        <v>4.0000000000000036E-2</v>
      </c>
      <c r="AK302" s="24"/>
      <c r="AL302" s="72">
        <v>-3.8461538461538436E-2</v>
      </c>
      <c r="AM302" s="72">
        <v>-7.999999999999996E-2</v>
      </c>
      <c r="AN302" s="72">
        <v>0</v>
      </c>
      <c r="AO302" s="72">
        <v>0.17391304347826098</v>
      </c>
      <c r="AP302" s="24"/>
      <c r="AQ302" s="72">
        <v>-7.407407407407407E-2</v>
      </c>
      <c r="AR302" s="72">
        <v>-0.12</v>
      </c>
      <c r="AS302" s="72">
        <v>-4.5454545454545414E-2</v>
      </c>
      <c r="AT302" s="72">
        <v>0</v>
      </c>
      <c r="AU302" s="24"/>
      <c r="AV302" s="72">
        <v>4.7619047619047672E-2</v>
      </c>
      <c r="AW302" s="72">
        <v>0</v>
      </c>
      <c r="AX302" s="72">
        <v>-4.5454545454545414E-2</v>
      </c>
      <c r="AY302" s="72">
        <v>9.5238095238095344E-2</v>
      </c>
      <c r="AZ302" s="24"/>
    </row>
    <row r="303" spans="1:52">
      <c r="A303" s="71" t="s">
        <v>8</v>
      </c>
      <c r="B303" s="24"/>
      <c r="C303" s="73"/>
      <c r="D303" s="73"/>
      <c r="E303" s="73"/>
      <c r="F303" s="73"/>
      <c r="G303" s="24">
        <f>G301/B301-1</f>
        <v>0.37254901960784315</v>
      </c>
      <c r="H303" s="73"/>
      <c r="I303" s="73"/>
      <c r="J303" s="73"/>
      <c r="K303" s="73"/>
      <c r="L303" s="24">
        <f t="shared" ref="L303:AD303" si="295">L301/G301-1</f>
        <v>-5.0000000000000044E-2</v>
      </c>
      <c r="M303" s="73">
        <f t="shared" si="295"/>
        <v>-9.375E-2</v>
      </c>
      <c r="N303" s="73">
        <f t="shared" si="295"/>
        <v>0</v>
      </c>
      <c r="O303" s="73">
        <f t="shared" si="295"/>
        <v>0</v>
      </c>
      <c r="P303" s="73">
        <f t="shared" si="295"/>
        <v>-7.3170731707317027E-2</v>
      </c>
      <c r="Q303" s="24">
        <f t="shared" si="295"/>
        <v>-4.5112781954887216E-2</v>
      </c>
      <c r="R303" s="73">
        <f t="shared" si="295"/>
        <v>0.10344827586206895</v>
      </c>
      <c r="S303" s="73">
        <f t="shared" si="295"/>
        <v>-3.3333333333333326E-2</v>
      </c>
      <c r="T303" s="73">
        <f t="shared" si="295"/>
        <v>-6.6666666666666652E-2</v>
      </c>
      <c r="U303" s="73">
        <f t="shared" si="295"/>
        <v>-0.15789473684210531</v>
      </c>
      <c r="V303" s="24">
        <f t="shared" si="295"/>
        <v>-4.7244094488189003E-2</v>
      </c>
      <c r="W303" s="73">
        <f t="shared" si="295"/>
        <v>-6.25E-2</v>
      </c>
      <c r="X303" s="73">
        <f t="shared" si="295"/>
        <v>-0.10344827586206895</v>
      </c>
      <c r="Y303" s="73">
        <f t="shared" si="295"/>
        <v>3.5714285714285809E-2</v>
      </c>
      <c r="Z303" s="73">
        <f t="shared" si="295"/>
        <v>-9.375E-2</v>
      </c>
      <c r="AA303" s="24">
        <f t="shared" si="295"/>
        <v>-5.7851239669421517E-2</v>
      </c>
      <c r="AB303" s="73">
        <f t="shared" si="295"/>
        <v>-6.6666666666666652E-2</v>
      </c>
      <c r="AC303" s="73">
        <f t="shared" si="295"/>
        <v>3.8461538461538547E-2</v>
      </c>
      <c r="AD303" s="73">
        <f t="shared" si="295"/>
        <v>6.8965517241379226E-2</v>
      </c>
      <c r="AE303" s="73">
        <f t="shared" ref="AE303:AN303" si="296">AE301/Z301-1</f>
        <v>-0.2068965517241379</v>
      </c>
      <c r="AF303" s="24">
        <f t="shared" si="296"/>
        <v>-4.3859649122807043E-2</v>
      </c>
      <c r="AG303" s="73">
        <f t="shared" si="296"/>
        <v>-3.5714285714285698E-2</v>
      </c>
      <c r="AH303" s="73">
        <f t="shared" si="296"/>
        <v>3.7037037037036979E-2</v>
      </c>
      <c r="AI303" s="73">
        <f t="shared" si="296"/>
        <v>-0.19354838709677424</v>
      </c>
      <c r="AJ303" s="73">
        <f t="shared" si="296"/>
        <v>0.13043478260869557</v>
      </c>
      <c r="AK303" s="24">
        <v>-2.752293577981646E-2</v>
      </c>
      <c r="AL303" s="73">
        <v>-7.407407407407407E-2</v>
      </c>
      <c r="AM303" s="73">
        <v>-0.1785714285714286</v>
      </c>
      <c r="AN303" s="73">
        <v>-7.999999999999996E-2</v>
      </c>
      <c r="AO303" s="73">
        <v>3.8461538461538547E-2</v>
      </c>
      <c r="AP303" s="24">
        <v>-7.547169811320753E-2</v>
      </c>
      <c r="AQ303" s="73">
        <v>0</v>
      </c>
      <c r="AR303" s="73">
        <v>-4.3478260869565188E-2</v>
      </c>
      <c r="AS303" s="73">
        <v>-8.6956521739130488E-2</v>
      </c>
      <c r="AT303" s="73">
        <v>-0.22222222222222221</v>
      </c>
      <c r="AU303" s="24">
        <v>-9.1836734693877542E-2</v>
      </c>
      <c r="AV303" s="73">
        <v>-0.12</v>
      </c>
      <c r="AW303" s="73">
        <v>0</v>
      </c>
      <c r="AX303" s="73">
        <v>0</v>
      </c>
      <c r="AY303" s="73">
        <v>9.5238095238095344E-2</v>
      </c>
      <c r="AZ303" s="24">
        <v>-1.1235955056179803E-2</v>
      </c>
    </row>
    <row r="304" spans="1:52">
      <c r="A304" s="69" t="s">
        <v>174</v>
      </c>
      <c r="B304" s="63" t="s">
        <v>154</v>
      </c>
      <c r="C304" s="151" t="s">
        <v>154</v>
      </c>
      <c r="D304" s="151" t="s">
        <v>154</v>
      </c>
      <c r="E304" s="151" t="s">
        <v>154</v>
      </c>
      <c r="F304" s="151" t="s">
        <v>154</v>
      </c>
      <c r="G304" s="63" t="s">
        <v>154</v>
      </c>
      <c r="H304" s="151" t="s">
        <v>154</v>
      </c>
      <c r="I304" s="151" t="s">
        <v>154</v>
      </c>
      <c r="J304" s="151" t="s">
        <v>154</v>
      </c>
      <c r="K304" s="151" t="s">
        <v>154</v>
      </c>
      <c r="L304" s="63" t="s">
        <v>154</v>
      </c>
      <c r="M304" s="151" t="s">
        <v>154</v>
      </c>
      <c r="N304" s="151" t="s">
        <v>154</v>
      </c>
      <c r="O304" s="151" t="s">
        <v>154</v>
      </c>
      <c r="P304" s="151" t="s">
        <v>154</v>
      </c>
      <c r="Q304" s="63" t="s">
        <v>154</v>
      </c>
      <c r="R304" s="151" t="s">
        <v>154</v>
      </c>
      <c r="S304" s="151" t="s">
        <v>154</v>
      </c>
      <c r="T304" s="151" t="s">
        <v>154</v>
      </c>
      <c r="U304" s="151" t="s">
        <v>154</v>
      </c>
      <c r="V304" s="63" t="s">
        <v>154</v>
      </c>
      <c r="W304" s="151" t="s">
        <v>154</v>
      </c>
      <c r="X304" s="151" t="s">
        <v>154</v>
      </c>
      <c r="Y304" s="151" t="s">
        <v>154</v>
      </c>
      <c r="Z304" s="151" t="s">
        <v>154</v>
      </c>
      <c r="AA304" s="63" t="s">
        <v>154</v>
      </c>
      <c r="AB304" s="151" t="s">
        <v>154</v>
      </c>
      <c r="AC304" s="151" t="s">
        <v>154</v>
      </c>
      <c r="AD304" s="151" t="s">
        <v>154</v>
      </c>
      <c r="AE304" s="70">
        <v>61</v>
      </c>
      <c r="AF304" s="37">
        <v>61</v>
      </c>
      <c r="AG304" s="151" t="s">
        <v>154</v>
      </c>
      <c r="AH304" s="151" t="s">
        <v>154</v>
      </c>
      <c r="AI304" s="151" t="s">
        <v>154</v>
      </c>
      <c r="AJ304" s="151">
        <v>18</v>
      </c>
      <c r="AK304" s="37">
        <v>18</v>
      </c>
      <c r="AL304" s="151" t="s">
        <v>154</v>
      </c>
      <c r="AM304" s="151" t="s">
        <v>154</v>
      </c>
      <c r="AN304" s="151" t="s">
        <v>154</v>
      </c>
      <c r="AO304" s="151">
        <v>5</v>
      </c>
      <c r="AP304" s="37">
        <v>5</v>
      </c>
      <c r="AQ304" s="151" t="s">
        <v>154</v>
      </c>
      <c r="AR304" s="151" t="s">
        <v>154</v>
      </c>
      <c r="AS304" s="151" t="s">
        <v>154</v>
      </c>
      <c r="AT304" s="151">
        <v>1</v>
      </c>
      <c r="AU304" s="37">
        <v>1</v>
      </c>
      <c r="AV304" s="151" t="s">
        <v>154</v>
      </c>
      <c r="AW304" s="151" t="s">
        <v>154</v>
      </c>
      <c r="AX304" s="151" t="s">
        <v>154</v>
      </c>
      <c r="AY304" s="151" t="s">
        <v>154</v>
      </c>
      <c r="AZ304" s="63" t="s">
        <v>154</v>
      </c>
    </row>
    <row r="305" spans="1:52" ht="9.75" customHeight="1">
      <c r="A305" s="71" t="s">
        <v>8</v>
      </c>
      <c r="B305" s="24"/>
      <c r="C305" s="73"/>
      <c r="D305" s="73"/>
      <c r="E305" s="73"/>
      <c r="F305" s="73"/>
      <c r="G305" s="24"/>
      <c r="H305" s="73"/>
      <c r="I305" s="73"/>
      <c r="J305" s="73"/>
      <c r="K305" s="73"/>
      <c r="L305" s="24"/>
      <c r="M305" s="73"/>
      <c r="N305" s="73"/>
      <c r="O305" s="73"/>
      <c r="P305" s="73"/>
      <c r="Q305" s="24"/>
      <c r="R305" s="73"/>
      <c r="S305" s="73"/>
      <c r="T305" s="73"/>
      <c r="U305" s="73"/>
      <c r="V305" s="24"/>
      <c r="W305" s="73"/>
      <c r="X305" s="73"/>
      <c r="Y305" s="73"/>
      <c r="Z305" s="73"/>
      <c r="AA305" s="24"/>
      <c r="AB305" s="73"/>
      <c r="AC305" s="73"/>
      <c r="AD305" s="73"/>
      <c r="AE305" s="73"/>
      <c r="AF305" s="24"/>
      <c r="AG305" s="73"/>
      <c r="AH305" s="73"/>
      <c r="AI305" s="73"/>
      <c r="AJ305" s="73"/>
      <c r="AK305" s="24">
        <v>-0.70491803278688525</v>
      </c>
      <c r="AL305" s="73"/>
      <c r="AM305" s="73"/>
      <c r="AN305" s="73"/>
      <c r="AO305" s="73"/>
      <c r="AP305" s="24">
        <v>-0.72222222222222221</v>
      </c>
      <c r="AQ305" s="73"/>
      <c r="AR305" s="73"/>
      <c r="AS305" s="73"/>
      <c r="AT305" s="73"/>
      <c r="AU305" s="24">
        <v>-0.8</v>
      </c>
      <c r="AV305" s="73"/>
      <c r="AW305" s="73"/>
      <c r="AX305" s="73"/>
      <c r="AY305" s="73"/>
      <c r="AZ305" s="92" t="s">
        <v>44</v>
      </c>
    </row>
    <row r="306" spans="1:52" ht="11.25" customHeight="1">
      <c r="A306" s="69" t="s">
        <v>214</v>
      </c>
      <c r="B306" s="37">
        <v>598</v>
      </c>
      <c r="C306" s="80" t="s">
        <v>53</v>
      </c>
      <c r="D306" s="80" t="s">
        <v>53</v>
      </c>
      <c r="E306" s="80" t="s">
        <v>53</v>
      </c>
      <c r="F306" s="80" t="s">
        <v>53</v>
      </c>
      <c r="G306" s="37">
        <v>638</v>
      </c>
      <c r="H306" s="80" t="s">
        <v>53</v>
      </c>
      <c r="I306" s="80" t="s">
        <v>53</v>
      </c>
      <c r="J306" s="80" t="s">
        <v>53</v>
      </c>
      <c r="K306" s="80" t="s">
        <v>53</v>
      </c>
      <c r="L306" s="37">
        <v>601</v>
      </c>
      <c r="M306" s="80" t="s">
        <v>53</v>
      </c>
      <c r="N306" s="80" t="s">
        <v>53</v>
      </c>
      <c r="O306" s="80" t="s">
        <v>53</v>
      </c>
      <c r="P306" s="80" t="s">
        <v>53</v>
      </c>
      <c r="Q306" s="37">
        <v>590</v>
      </c>
      <c r="R306" s="80" t="s">
        <v>53</v>
      </c>
      <c r="S306" s="80" t="s">
        <v>53</v>
      </c>
      <c r="T306" s="80" t="s">
        <v>53</v>
      </c>
      <c r="U306" s="80" t="s">
        <v>53</v>
      </c>
      <c r="V306" s="37">
        <v>602</v>
      </c>
      <c r="W306" s="80" t="s">
        <v>53</v>
      </c>
      <c r="X306" s="80" t="s">
        <v>53</v>
      </c>
      <c r="Y306" s="80" t="s">
        <v>53</v>
      </c>
      <c r="Z306" s="80" t="s">
        <v>53</v>
      </c>
      <c r="AA306" s="37">
        <v>491</v>
      </c>
      <c r="AB306" s="70">
        <v>114</v>
      </c>
      <c r="AC306" s="70">
        <v>109</v>
      </c>
      <c r="AD306" s="70">
        <v>111</v>
      </c>
      <c r="AE306" s="70">
        <f>AF306-AD306-AC306-AB306</f>
        <v>105</v>
      </c>
      <c r="AF306" s="37">
        <v>439</v>
      </c>
      <c r="AG306" s="70">
        <v>109</v>
      </c>
      <c r="AH306" s="70">
        <v>103</v>
      </c>
      <c r="AI306" s="70">
        <v>100</v>
      </c>
      <c r="AJ306" s="70">
        <f>AK306-AI306-AH306-AG306</f>
        <v>105</v>
      </c>
      <c r="AK306" s="37">
        <v>417</v>
      </c>
      <c r="AL306" s="70">
        <v>96</v>
      </c>
      <c r="AM306" s="70">
        <v>96</v>
      </c>
      <c r="AN306" s="70">
        <v>90</v>
      </c>
      <c r="AO306" s="70">
        <v>99</v>
      </c>
      <c r="AP306" s="37">
        <v>381</v>
      </c>
      <c r="AQ306" s="70">
        <v>96</v>
      </c>
      <c r="AR306" s="70">
        <v>94</v>
      </c>
      <c r="AS306" s="70">
        <v>94</v>
      </c>
      <c r="AT306" s="70">
        <v>94</v>
      </c>
      <c r="AU306" s="37">
        <v>378</v>
      </c>
      <c r="AV306" s="70">
        <v>98</v>
      </c>
      <c r="AW306" s="70">
        <v>94</v>
      </c>
      <c r="AX306" s="70">
        <v>94</v>
      </c>
      <c r="AY306" s="70">
        <v>98</v>
      </c>
      <c r="AZ306" s="37">
        <v>384</v>
      </c>
    </row>
    <row r="307" spans="1:52" ht="10.5" customHeight="1">
      <c r="A307" s="71" t="s">
        <v>7</v>
      </c>
      <c r="B307" s="24"/>
      <c r="C307" s="73"/>
      <c r="D307" s="73"/>
      <c r="E307" s="73"/>
      <c r="F307" s="73"/>
      <c r="G307" s="24"/>
      <c r="H307" s="73"/>
      <c r="I307" s="73"/>
      <c r="J307" s="73"/>
      <c r="K307" s="73"/>
      <c r="L307" s="24"/>
      <c r="M307" s="73"/>
      <c r="N307" s="73"/>
      <c r="O307" s="73"/>
      <c r="P307" s="73"/>
      <c r="Q307" s="24"/>
      <c r="R307" s="73"/>
      <c r="S307" s="73"/>
      <c r="T307" s="73"/>
      <c r="U307" s="73"/>
      <c r="V307" s="24"/>
      <c r="W307" s="73"/>
      <c r="X307" s="73"/>
      <c r="Y307" s="73"/>
      <c r="Z307" s="73"/>
      <c r="AA307" s="24"/>
      <c r="AB307" s="72"/>
      <c r="AC307" s="72">
        <f>AC306/AB306-1</f>
        <v>-4.3859649122807043E-2</v>
      </c>
      <c r="AD307" s="72">
        <f>AD306/AC306-1</f>
        <v>1.8348623853210899E-2</v>
      </c>
      <c r="AE307" s="72">
        <f>AE306/AD306-1</f>
        <v>-5.4054054054054057E-2</v>
      </c>
      <c r="AF307" s="24"/>
      <c r="AG307" s="72">
        <f>AG306/AE306-1</f>
        <v>3.8095238095238182E-2</v>
      </c>
      <c r="AH307" s="72">
        <f>AH306/AG306-1</f>
        <v>-5.5045871559633031E-2</v>
      </c>
      <c r="AI307" s="72">
        <f>AI306/AH306-1</f>
        <v>-2.9126213592232997E-2</v>
      </c>
      <c r="AJ307" s="72">
        <f>AJ306/AI306-1</f>
        <v>5.0000000000000044E-2</v>
      </c>
      <c r="AK307" s="24"/>
      <c r="AL307" s="72">
        <v>-8.5714285714285743E-2</v>
      </c>
      <c r="AM307" s="72">
        <v>0</v>
      </c>
      <c r="AN307" s="72">
        <v>-6.25E-2</v>
      </c>
      <c r="AO307" s="72">
        <v>0.10000000000000009</v>
      </c>
      <c r="AP307" s="24"/>
      <c r="AQ307" s="72">
        <v>-3.0303030303030276E-2</v>
      </c>
      <c r="AR307" s="72">
        <v>-2.083333333333337E-2</v>
      </c>
      <c r="AS307" s="72">
        <v>0</v>
      </c>
      <c r="AT307" s="72">
        <v>0</v>
      </c>
      <c r="AU307" s="24"/>
      <c r="AV307" s="72">
        <v>4.2553191489361764E-2</v>
      </c>
      <c r="AW307" s="72">
        <v>-4.081632653061229E-2</v>
      </c>
      <c r="AX307" s="72">
        <v>0</v>
      </c>
      <c r="AY307" s="72">
        <v>4.2553191489361764E-2</v>
      </c>
      <c r="AZ307" s="24"/>
    </row>
    <row r="308" spans="1:52" ht="10.5" customHeight="1">
      <c r="A308" s="71" t="s">
        <v>8</v>
      </c>
      <c r="B308" s="24"/>
      <c r="C308" s="73"/>
      <c r="D308" s="73"/>
      <c r="E308" s="73"/>
      <c r="F308" s="73"/>
      <c r="G308" s="24">
        <f>G306/B306-1</f>
        <v>6.6889632107023367E-2</v>
      </c>
      <c r="H308" s="73"/>
      <c r="I308" s="73"/>
      <c r="J308" s="73"/>
      <c r="K308" s="73"/>
      <c r="L308" s="24">
        <f>L306/G306-1</f>
        <v>-5.7993730407523536E-2</v>
      </c>
      <c r="M308" s="73"/>
      <c r="N308" s="73"/>
      <c r="O308" s="73"/>
      <c r="P308" s="73"/>
      <c r="Q308" s="24">
        <f>Q306/L306-1</f>
        <v>-1.830282861896837E-2</v>
      </c>
      <c r="R308" s="73"/>
      <c r="S308" s="73"/>
      <c r="T308" s="73"/>
      <c r="U308" s="73"/>
      <c r="V308" s="24">
        <f>V306/Q306-1</f>
        <v>2.0338983050847359E-2</v>
      </c>
      <c r="W308" s="73"/>
      <c r="X308" s="73"/>
      <c r="Y308" s="73"/>
      <c r="Z308" s="73"/>
      <c r="AA308" s="24">
        <f>AA306/V306-1</f>
        <v>-0.18438538205980071</v>
      </c>
      <c r="AB308" s="73"/>
      <c r="AC308" s="73"/>
      <c r="AD308" s="73"/>
      <c r="AE308" s="73"/>
      <c r="AF308" s="24">
        <f t="shared" ref="AF308" si="297">AF306/AA306-1</f>
        <v>-0.1059063136456212</v>
      </c>
      <c r="AG308" s="73">
        <f t="shared" ref="AG308" si="298">AG306/AB306-1</f>
        <v>-4.3859649122807043E-2</v>
      </c>
      <c r="AH308" s="73">
        <f t="shared" ref="AH308" si="299">AH306/AC306-1</f>
        <v>-5.5045871559633031E-2</v>
      </c>
      <c r="AI308" s="73">
        <f t="shared" ref="AI308" si="300">AI306/AD306-1</f>
        <v>-9.9099099099099086E-2</v>
      </c>
      <c r="AJ308" s="73">
        <f t="shared" ref="AJ308" si="301">AJ306/AE306-1</f>
        <v>0</v>
      </c>
      <c r="AK308" s="24">
        <v>-5.0113895216400861E-2</v>
      </c>
      <c r="AL308" s="73">
        <v>-0.11926605504587151</v>
      </c>
      <c r="AM308" s="73">
        <v>-6.7961165048543659E-2</v>
      </c>
      <c r="AN308" s="73">
        <v>-9.9999999999999978E-2</v>
      </c>
      <c r="AO308" s="73">
        <v>-5.7142857142857162E-2</v>
      </c>
      <c r="AP308" s="24">
        <v>-8.633093525179858E-2</v>
      </c>
      <c r="AQ308" s="73">
        <v>0</v>
      </c>
      <c r="AR308" s="73">
        <v>-2.083333333333337E-2</v>
      </c>
      <c r="AS308" s="73">
        <v>4.4444444444444509E-2</v>
      </c>
      <c r="AT308" s="73">
        <v>-5.0505050505050497E-2</v>
      </c>
      <c r="AU308" s="24">
        <v>-7.8740157480314821E-3</v>
      </c>
      <c r="AV308" s="73">
        <v>2.0833333333333259E-2</v>
      </c>
      <c r="AW308" s="73">
        <v>0</v>
      </c>
      <c r="AX308" s="73">
        <v>0</v>
      </c>
      <c r="AY308" s="73">
        <v>4.2553191489361764E-2</v>
      </c>
      <c r="AZ308" s="24">
        <v>1.5873015873015817E-2</v>
      </c>
    </row>
    <row r="309" spans="1:52" s="36" customFormat="1">
      <c r="A309" s="69" t="s">
        <v>213</v>
      </c>
      <c r="B309" s="37">
        <f>398+81</f>
        <v>479</v>
      </c>
      <c r="C309" s="70">
        <v>129</v>
      </c>
      <c r="D309" s="70">
        <v>130</v>
      </c>
      <c r="E309" s="70">
        <v>129</v>
      </c>
      <c r="F309" s="70">
        <f>G309-E309-D309-C309</f>
        <v>135</v>
      </c>
      <c r="G309" s="37">
        <f>424+99</f>
        <v>523</v>
      </c>
      <c r="H309" s="70">
        <v>139</v>
      </c>
      <c r="I309" s="70">
        <f>114+37</f>
        <v>151</v>
      </c>
      <c r="J309" s="70">
        <v>155</v>
      </c>
      <c r="K309" s="70">
        <f>L309-J309-I309-H309</f>
        <v>158</v>
      </c>
      <c r="L309" s="37">
        <f>456+147</f>
        <v>603</v>
      </c>
      <c r="M309" s="70">
        <f>110+39</f>
        <v>149</v>
      </c>
      <c r="N309" s="70">
        <f>109+40</f>
        <v>149</v>
      </c>
      <c r="O309" s="70">
        <f>110+39</f>
        <v>149</v>
      </c>
      <c r="P309" s="70">
        <f>Q309-O309-N309-M309</f>
        <v>154</v>
      </c>
      <c r="Q309" s="37">
        <f>444+157</f>
        <v>601</v>
      </c>
      <c r="R309" s="70">
        <v>139</v>
      </c>
      <c r="S309" s="70">
        <v>143</v>
      </c>
      <c r="T309" s="70">
        <v>139</v>
      </c>
      <c r="U309" s="70">
        <f>V309-T309-S309-R309</f>
        <v>140</v>
      </c>
      <c r="V309" s="37">
        <f>410+151</f>
        <v>561</v>
      </c>
      <c r="W309" s="70">
        <v>135</v>
      </c>
      <c r="X309" s="70">
        <f>105+32</f>
        <v>137</v>
      </c>
      <c r="Y309" s="70">
        <v>130</v>
      </c>
      <c r="Z309" s="70">
        <f>AA309-Y309-X309-W309</f>
        <v>129</v>
      </c>
      <c r="AA309" s="37">
        <v>531</v>
      </c>
      <c r="AB309" s="70">
        <f>98+23</f>
        <v>121</v>
      </c>
      <c r="AC309" s="70">
        <f>91+22</f>
        <v>113</v>
      </c>
      <c r="AD309" s="70">
        <v>111</v>
      </c>
      <c r="AE309" s="70">
        <f>AF309-AD309-AC309-AB309</f>
        <v>113</v>
      </c>
      <c r="AF309" s="37">
        <v>458</v>
      </c>
      <c r="AG309" s="70">
        <f>87+19</f>
        <v>106</v>
      </c>
      <c r="AH309" s="70">
        <v>105</v>
      </c>
      <c r="AI309" s="70">
        <v>108</v>
      </c>
      <c r="AJ309" s="70">
        <f>AK309-AI309-AH309-AG309</f>
        <v>111</v>
      </c>
      <c r="AK309" s="37">
        <v>430</v>
      </c>
      <c r="AL309" s="70">
        <v>104</v>
      </c>
      <c r="AM309" s="70">
        <v>106</v>
      </c>
      <c r="AN309" s="70">
        <v>109</v>
      </c>
      <c r="AO309" s="70">
        <v>100</v>
      </c>
      <c r="AP309" s="37">
        <v>419</v>
      </c>
      <c r="AQ309" s="70">
        <v>104</v>
      </c>
      <c r="AR309" s="70">
        <v>95</v>
      </c>
      <c r="AS309" s="70">
        <v>92</v>
      </c>
      <c r="AT309" s="70">
        <v>89</v>
      </c>
      <c r="AU309" s="37">
        <v>380</v>
      </c>
      <c r="AV309" s="70">
        <v>94</v>
      </c>
      <c r="AW309" s="70">
        <v>99</v>
      </c>
      <c r="AX309" s="70">
        <v>100</v>
      </c>
      <c r="AY309" s="70">
        <v>90</v>
      </c>
      <c r="AZ309" s="37">
        <v>383</v>
      </c>
    </row>
    <row r="310" spans="1:52">
      <c r="A310" s="82" t="s">
        <v>7</v>
      </c>
      <c r="B310" s="24"/>
      <c r="C310" s="72"/>
      <c r="D310" s="72">
        <f>D309/C309-1</f>
        <v>7.7519379844961378E-3</v>
      </c>
      <c r="E310" s="72">
        <f>E309/D309-1</f>
        <v>-7.692307692307665E-3</v>
      </c>
      <c r="F310" s="72">
        <f>F309/E309-1</f>
        <v>4.6511627906976827E-2</v>
      </c>
      <c r="G310" s="24"/>
      <c r="H310" s="72">
        <f>H309/F309-1</f>
        <v>2.9629629629629672E-2</v>
      </c>
      <c r="I310" s="72">
        <f>I309/H309-1</f>
        <v>8.6330935251798468E-2</v>
      </c>
      <c r="J310" s="72">
        <f>J309/I309-1</f>
        <v>2.6490066225165476E-2</v>
      </c>
      <c r="K310" s="72">
        <f>K309/J309-1</f>
        <v>1.9354838709677358E-2</v>
      </c>
      <c r="L310" s="24"/>
      <c r="M310" s="72">
        <f>M309/K309-1</f>
        <v>-5.6962025316455667E-2</v>
      </c>
      <c r="N310" s="72">
        <f>N309/M309-1</f>
        <v>0</v>
      </c>
      <c r="O310" s="72">
        <f>O309/N309-1</f>
        <v>0</v>
      </c>
      <c r="P310" s="72">
        <f>P309/O309-1</f>
        <v>3.3557046979865834E-2</v>
      </c>
      <c r="Q310" s="24"/>
      <c r="R310" s="72">
        <f>R309/P309-1</f>
        <v>-9.740259740259738E-2</v>
      </c>
      <c r="S310" s="72">
        <f>S309/R309-1</f>
        <v>2.877697841726623E-2</v>
      </c>
      <c r="T310" s="72">
        <f>T309/S309-1</f>
        <v>-2.7972027972028024E-2</v>
      </c>
      <c r="U310" s="72">
        <f>U309/T309-1</f>
        <v>7.194244604316502E-3</v>
      </c>
      <c r="V310" s="24"/>
      <c r="W310" s="72">
        <f>W309/U309-1</f>
        <v>-3.5714285714285698E-2</v>
      </c>
      <c r="X310" s="72">
        <f>X309/W309-1</f>
        <v>1.4814814814814836E-2</v>
      </c>
      <c r="Y310" s="72">
        <f>Y309/X309-1</f>
        <v>-5.1094890510948954E-2</v>
      </c>
      <c r="Z310" s="72">
        <f>Z309/Y309-1</f>
        <v>-7.692307692307665E-3</v>
      </c>
      <c r="AA310" s="24"/>
      <c r="AB310" s="72">
        <f>AB309/Z309-1</f>
        <v>-6.2015503875968991E-2</v>
      </c>
      <c r="AC310" s="72">
        <f>AC309/AB309-1</f>
        <v>-6.6115702479338845E-2</v>
      </c>
      <c r="AD310" s="72">
        <f>AD309/AC309-1</f>
        <v>-1.7699115044247815E-2</v>
      </c>
      <c r="AE310" s="72">
        <f>AE309/AD309-1</f>
        <v>1.8018018018018056E-2</v>
      </c>
      <c r="AF310" s="24"/>
      <c r="AG310" s="72">
        <f>AG309/AE309-1</f>
        <v>-6.1946902654867242E-2</v>
      </c>
      <c r="AH310" s="72">
        <f>AH309/AG309-1</f>
        <v>-9.4339622641509413E-3</v>
      </c>
      <c r="AI310" s="72">
        <f>AI309/AH309-1</f>
        <v>2.857142857142847E-2</v>
      </c>
      <c r="AJ310" s="72">
        <f>AJ309/AI309-1</f>
        <v>2.7777777777777679E-2</v>
      </c>
      <c r="AK310" s="24"/>
      <c r="AL310" s="72">
        <v>-6.3063063063063085E-2</v>
      </c>
      <c r="AM310" s="72">
        <v>1.9230769230769162E-2</v>
      </c>
      <c r="AN310" s="72">
        <v>2.8301886792452935E-2</v>
      </c>
      <c r="AO310" s="72">
        <v>-8.256880733944949E-2</v>
      </c>
      <c r="AP310" s="24"/>
      <c r="AQ310" s="72">
        <v>4.0000000000000036E-2</v>
      </c>
      <c r="AR310" s="72">
        <v>-8.6538461538461564E-2</v>
      </c>
      <c r="AS310" s="72">
        <v>-3.157894736842104E-2</v>
      </c>
      <c r="AT310" s="72">
        <v>-3.2608695652173947E-2</v>
      </c>
      <c r="AU310" s="24"/>
      <c r="AV310" s="72">
        <v>5.6179775280898792E-2</v>
      </c>
      <c r="AW310" s="72">
        <v>5.3191489361702038E-2</v>
      </c>
      <c r="AX310" s="72">
        <v>1.0101010101010166E-2</v>
      </c>
      <c r="AY310" s="72">
        <v>-9.9999999999999978E-2</v>
      </c>
      <c r="AZ310" s="24"/>
    </row>
    <row r="311" spans="1:52">
      <c r="A311" s="82" t="s">
        <v>8</v>
      </c>
      <c r="B311" s="24"/>
      <c r="C311" s="73"/>
      <c r="D311" s="73"/>
      <c r="E311" s="73"/>
      <c r="F311" s="73"/>
      <c r="G311" s="24">
        <f t="shared" ref="G311:N311" si="302">G309/B309-1</f>
        <v>9.1858037578288032E-2</v>
      </c>
      <c r="H311" s="73">
        <f t="shared" si="302"/>
        <v>7.7519379844961156E-2</v>
      </c>
      <c r="I311" s="73">
        <f t="shared" si="302"/>
        <v>0.16153846153846163</v>
      </c>
      <c r="J311" s="73">
        <f t="shared" si="302"/>
        <v>0.20155038759689914</v>
      </c>
      <c r="K311" s="73">
        <f t="shared" si="302"/>
        <v>0.17037037037037028</v>
      </c>
      <c r="L311" s="24">
        <f t="shared" si="302"/>
        <v>0.15296367112810705</v>
      </c>
      <c r="M311" s="73">
        <f t="shared" si="302"/>
        <v>7.1942446043165464E-2</v>
      </c>
      <c r="N311" s="73">
        <f t="shared" si="302"/>
        <v>-1.3245033112582738E-2</v>
      </c>
      <c r="O311" s="73">
        <f t="shared" ref="O311:Y311" si="303">O309/J309-1</f>
        <v>-3.8709677419354827E-2</v>
      </c>
      <c r="P311" s="73">
        <f t="shared" si="303"/>
        <v>-2.5316455696202556E-2</v>
      </c>
      <c r="Q311" s="24">
        <f t="shared" si="303"/>
        <v>-3.3167495854062867E-3</v>
      </c>
      <c r="R311" s="73">
        <f t="shared" si="303"/>
        <v>-6.7114093959731558E-2</v>
      </c>
      <c r="S311" s="73">
        <f t="shared" si="303"/>
        <v>-4.0268456375838979E-2</v>
      </c>
      <c r="T311" s="73">
        <f t="shared" si="303"/>
        <v>-6.7114093959731558E-2</v>
      </c>
      <c r="U311" s="73">
        <f t="shared" si="303"/>
        <v>-9.0909090909090939E-2</v>
      </c>
      <c r="V311" s="24">
        <f t="shared" si="303"/>
        <v>-6.6555740432612365E-2</v>
      </c>
      <c r="W311" s="73">
        <f t="shared" si="303"/>
        <v>-2.877697841726623E-2</v>
      </c>
      <c r="X311" s="73">
        <f t="shared" si="303"/>
        <v>-4.1958041958041981E-2</v>
      </c>
      <c r="Y311" s="73">
        <f t="shared" si="303"/>
        <v>-6.4748201438848962E-2</v>
      </c>
      <c r="Z311" s="73">
        <f t="shared" ref="Z311:AI311" si="304">Z309/U309-1</f>
        <v>-7.8571428571428625E-2</v>
      </c>
      <c r="AA311" s="24">
        <f t="shared" si="304"/>
        <v>-5.3475935828876997E-2</v>
      </c>
      <c r="AB311" s="73">
        <f t="shared" si="304"/>
        <v>-0.10370370370370374</v>
      </c>
      <c r="AC311" s="73">
        <f t="shared" si="304"/>
        <v>-0.17518248175182483</v>
      </c>
      <c r="AD311" s="73">
        <f t="shared" si="304"/>
        <v>-0.14615384615384619</v>
      </c>
      <c r="AE311" s="73">
        <f t="shared" si="304"/>
        <v>-0.12403100775193798</v>
      </c>
      <c r="AF311" s="24">
        <f t="shared" si="304"/>
        <v>-0.13747645951035781</v>
      </c>
      <c r="AG311" s="73">
        <f t="shared" si="304"/>
        <v>-0.12396694214876036</v>
      </c>
      <c r="AH311" s="73">
        <f t="shared" si="304"/>
        <v>-7.0796460176991149E-2</v>
      </c>
      <c r="AI311" s="73">
        <f t="shared" si="304"/>
        <v>-2.7027027027026973E-2</v>
      </c>
      <c r="AJ311" s="73">
        <f t="shared" ref="AJ311:AS311" si="305">AJ309/AE309-1</f>
        <v>-1.7699115044247815E-2</v>
      </c>
      <c r="AK311" s="24">
        <v>-6.1135371179039333E-2</v>
      </c>
      <c r="AL311" s="73">
        <v>-1.8867924528301883E-2</v>
      </c>
      <c r="AM311" s="73">
        <v>9.52380952380949E-3</v>
      </c>
      <c r="AN311" s="73">
        <v>9.2592592592593004E-3</v>
      </c>
      <c r="AO311" s="73">
        <v>-9.9099099099099086E-2</v>
      </c>
      <c r="AP311" s="24">
        <v>-2.5581395348837188E-2</v>
      </c>
      <c r="AQ311" s="73">
        <v>0</v>
      </c>
      <c r="AR311" s="73">
        <v>-0.10377358490566035</v>
      </c>
      <c r="AS311" s="73">
        <v>-0.15596330275229353</v>
      </c>
      <c r="AT311" s="73">
        <v>-0.10999999999999999</v>
      </c>
      <c r="AU311" s="24">
        <v>-9.3078758949880713E-2</v>
      </c>
      <c r="AV311" s="73">
        <v>-9.6153846153846145E-2</v>
      </c>
      <c r="AW311" s="73">
        <v>4.2105263157894646E-2</v>
      </c>
      <c r="AX311" s="73">
        <v>8.6956521739130377E-2</v>
      </c>
      <c r="AY311" s="73">
        <v>1.1235955056179803E-2</v>
      </c>
      <c r="AZ311" s="24">
        <v>7.8947368421051767E-3</v>
      </c>
    </row>
    <row r="312" spans="1:52" s="36" customFormat="1">
      <c r="A312" s="69" t="s">
        <v>43</v>
      </c>
      <c r="B312" s="37">
        <v>805</v>
      </c>
      <c r="C312" s="70">
        <v>215</v>
      </c>
      <c r="D312" s="70">
        <v>266</v>
      </c>
      <c r="E312" s="70">
        <v>293</v>
      </c>
      <c r="F312" s="70">
        <f>G312-E312-D312-C312</f>
        <v>159</v>
      </c>
      <c r="G312" s="37">
        <v>933</v>
      </c>
      <c r="H312" s="70">
        <v>302</v>
      </c>
      <c r="I312" s="70">
        <v>321</v>
      </c>
      <c r="J312" s="70">
        <v>316</v>
      </c>
      <c r="K312" s="70">
        <f>L312-J312-I312-H312</f>
        <v>251</v>
      </c>
      <c r="L312" s="37">
        <v>1190</v>
      </c>
      <c r="M312" s="70">
        <v>322</v>
      </c>
      <c r="N312" s="70">
        <v>362</v>
      </c>
      <c r="O312" s="70">
        <v>356</v>
      </c>
      <c r="P312" s="70">
        <f>Q312-O312-N312-M312</f>
        <v>343</v>
      </c>
      <c r="Q312" s="37">
        <v>1383</v>
      </c>
      <c r="R312" s="70">
        <v>399</v>
      </c>
      <c r="S312" s="70">
        <v>357</v>
      </c>
      <c r="T312" s="70">
        <v>342</v>
      </c>
      <c r="U312" s="70">
        <f>V312-T312-S312-R312</f>
        <v>262</v>
      </c>
      <c r="V312" s="37">
        <v>1360</v>
      </c>
      <c r="W312" s="70">
        <v>267</v>
      </c>
      <c r="X312" s="70">
        <v>259</v>
      </c>
      <c r="Y312" s="70">
        <v>199</v>
      </c>
      <c r="Z312" s="70">
        <f>AA312-Y312-X312-W312</f>
        <v>167</v>
      </c>
      <c r="AA312" s="37">
        <v>892</v>
      </c>
      <c r="AB312" s="70">
        <f>AB295-AB298-AB301</f>
        <v>174</v>
      </c>
      <c r="AC312" s="70">
        <f>AC295-AC298-AC301</f>
        <v>186</v>
      </c>
      <c r="AD312" s="70">
        <f>AD295-AD298-AD301</f>
        <v>172</v>
      </c>
      <c r="AE312" s="70">
        <f>AF312-AD312-AC312-AB312</f>
        <v>76</v>
      </c>
      <c r="AF312" s="37">
        <f>AF295-AF298-AF301-61</f>
        <v>608</v>
      </c>
      <c r="AG312" s="70">
        <v>126</v>
      </c>
      <c r="AH312" s="70">
        <v>127</v>
      </c>
      <c r="AI312" s="70">
        <v>122</v>
      </c>
      <c r="AJ312" s="70">
        <f>AK312-AI312-AH312-AG312</f>
        <v>74</v>
      </c>
      <c r="AK312" s="37">
        <v>449</v>
      </c>
      <c r="AL312" s="70">
        <v>32</v>
      </c>
      <c r="AM312" s="70">
        <v>53</v>
      </c>
      <c r="AN312" s="70">
        <v>61</v>
      </c>
      <c r="AO312" s="70">
        <v>11</v>
      </c>
      <c r="AP312" s="37">
        <v>157</v>
      </c>
      <c r="AQ312" s="70">
        <v>1</v>
      </c>
      <c r="AR312" s="70">
        <v>8</v>
      </c>
      <c r="AS312" s="70">
        <v>27</v>
      </c>
      <c r="AT312" s="221">
        <v>-4</v>
      </c>
      <c r="AU312" s="37">
        <v>32</v>
      </c>
      <c r="AV312" s="70">
        <v>5</v>
      </c>
      <c r="AW312" s="70">
        <v>30</v>
      </c>
      <c r="AX312" s="70">
        <v>22</v>
      </c>
      <c r="AY312" s="70">
        <v>15</v>
      </c>
      <c r="AZ312" s="37">
        <v>72</v>
      </c>
    </row>
    <row r="313" spans="1:52">
      <c r="A313" s="71" t="s">
        <v>7</v>
      </c>
      <c r="B313" s="24"/>
      <c r="C313" s="72"/>
      <c r="D313" s="72">
        <f>D312/C312-1</f>
        <v>0.23720930232558146</v>
      </c>
      <c r="E313" s="72">
        <f>E312/D312-1</f>
        <v>0.10150375939849621</v>
      </c>
      <c r="F313" s="72">
        <f>F312/E312-1</f>
        <v>-0.4573378839590444</v>
      </c>
      <c r="G313" s="24"/>
      <c r="H313" s="72">
        <f>H312/F312-1</f>
        <v>0.89937106918238996</v>
      </c>
      <c r="I313" s="72">
        <f>I312/H312-1</f>
        <v>6.29139072847682E-2</v>
      </c>
      <c r="J313" s="72">
        <f>J312/I312-1</f>
        <v>-1.5576323987538943E-2</v>
      </c>
      <c r="K313" s="72">
        <f>K312/J312-1</f>
        <v>-0.20569620253164556</v>
      </c>
      <c r="L313" s="24"/>
      <c r="M313" s="72">
        <f>M312/K312-1</f>
        <v>0.28286852589641431</v>
      </c>
      <c r="N313" s="72">
        <f>N312/M312-1</f>
        <v>0.12422360248447206</v>
      </c>
      <c r="O313" s="72">
        <f>O312/N312-1</f>
        <v>-1.6574585635359074E-2</v>
      </c>
      <c r="P313" s="72">
        <f>P312/O312-1</f>
        <v>-3.6516853932584303E-2</v>
      </c>
      <c r="Q313" s="24"/>
      <c r="R313" s="72">
        <f>R312/P312-1</f>
        <v>0.16326530612244894</v>
      </c>
      <c r="S313" s="72">
        <f>S312/R312-1</f>
        <v>-0.10526315789473684</v>
      </c>
      <c r="T313" s="72">
        <f>T312/S312-1</f>
        <v>-4.2016806722689037E-2</v>
      </c>
      <c r="U313" s="72">
        <f>U312/T312-1</f>
        <v>-0.23391812865497075</v>
      </c>
      <c r="V313" s="24"/>
      <c r="W313" s="72">
        <f>W312/U312-1</f>
        <v>1.9083969465648831E-2</v>
      </c>
      <c r="X313" s="72">
        <f>X312/W312-1</f>
        <v>-2.9962546816479363E-2</v>
      </c>
      <c r="Y313" s="72">
        <f>Y312/X312-1</f>
        <v>-0.23166023166023164</v>
      </c>
      <c r="Z313" s="72">
        <f>Z312/Y312-1</f>
        <v>-0.16080402010050254</v>
      </c>
      <c r="AA313" s="24"/>
      <c r="AB313" s="72">
        <f>AB312/Z312-1</f>
        <v>4.1916167664670656E-2</v>
      </c>
      <c r="AC313" s="72">
        <f>AC312/AB312-1</f>
        <v>6.8965517241379226E-2</v>
      </c>
      <c r="AD313" s="72">
        <f>AD312/AC312-1</f>
        <v>-7.5268817204301119E-2</v>
      </c>
      <c r="AE313" s="72">
        <f>AE312/AD312-1</f>
        <v>-0.55813953488372092</v>
      </c>
      <c r="AF313" s="24"/>
      <c r="AG313" s="72">
        <f>AG312/AE312-1</f>
        <v>0.65789473684210531</v>
      </c>
      <c r="AH313" s="72">
        <f>AH312/AG312-1</f>
        <v>7.9365079365079083E-3</v>
      </c>
      <c r="AI313" s="72">
        <f>AI312/AH312-1</f>
        <v>-3.9370078740157521E-2</v>
      </c>
      <c r="AJ313" s="72">
        <f>AJ312/AI312-1</f>
        <v>-0.39344262295081966</v>
      </c>
      <c r="AK313" s="24"/>
      <c r="AL313" s="72">
        <v>-0.56756756756756754</v>
      </c>
      <c r="AM313" s="72">
        <v>0.65625</v>
      </c>
      <c r="AN313" s="72">
        <v>0.15094339622641506</v>
      </c>
      <c r="AO313" s="72">
        <v>-0.81967213114754101</v>
      </c>
      <c r="AP313" s="24"/>
      <c r="AQ313" s="72">
        <v>-0.90909090909090906</v>
      </c>
      <c r="AR313" s="72">
        <v>7</v>
      </c>
      <c r="AS313" s="72">
        <v>2.375</v>
      </c>
      <c r="AT313" s="72">
        <v>-1.1481481481481481</v>
      </c>
      <c r="AU313" s="24"/>
      <c r="AV313" s="85" t="s">
        <v>44</v>
      </c>
      <c r="AW313" s="72">
        <v>5</v>
      </c>
      <c r="AX313" s="72">
        <v>-0.26666666666666672</v>
      </c>
      <c r="AY313" s="72">
        <v>-0.31818181818181823</v>
      </c>
      <c r="AZ313" s="24"/>
    </row>
    <row r="314" spans="1:52">
      <c r="A314" s="71" t="s">
        <v>8</v>
      </c>
      <c r="B314" s="24"/>
      <c r="C314" s="73"/>
      <c r="D314" s="73"/>
      <c r="E314" s="73"/>
      <c r="F314" s="73"/>
      <c r="G314" s="24">
        <f t="shared" ref="G314:N314" si="306">G312/B312-1</f>
        <v>0.15900621118012426</v>
      </c>
      <c r="H314" s="73">
        <f t="shared" si="306"/>
        <v>0.40465116279069768</v>
      </c>
      <c r="I314" s="73">
        <f t="shared" si="306"/>
        <v>0.20676691729323315</v>
      </c>
      <c r="J314" s="73">
        <f t="shared" si="306"/>
        <v>7.8498293515358419E-2</v>
      </c>
      <c r="K314" s="73">
        <f t="shared" si="306"/>
        <v>0.57861635220125796</v>
      </c>
      <c r="L314" s="24">
        <f t="shared" si="306"/>
        <v>0.27545551982851024</v>
      </c>
      <c r="M314" s="73">
        <f t="shared" si="306"/>
        <v>6.6225165562913801E-2</v>
      </c>
      <c r="N314" s="73">
        <f t="shared" si="306"/>
        <v>0.12772585669781922</v>
      </c>
      <c r="O314" s="73">
        <f t="shared" ref="O314:Y314" si="307">O312/J312-1</f>
        <v>0.12658227848101267</v>
      </c>
      <c r="P314" s="73">
        <f t="shared" si="307"/>
        <v>0.36653386454183257</v>
      </c>
      <c r="Q314" s="24">
        <f t="shared" si="307"/>
        <v>0.16218487394957992</v>
      </c>
      <c r="R314" s="73">
        <f t="shared" si="307"/>
        <v>0.23913043478260865</v>
      </c>
      <c r="S314" s="73">
        <f t="shared" si="307"/>
        <v>-1.3812154696132617E-2</v>
      </c>
      <c r="T314" s="73">
        <f t="shared" si="307"/>
        <v>-3.9325842696629199E-2</v>
      </c>
      <c r="U314" s="73">
        <f t="shared" si="307"/>
        <v>-0.23615160349854225</v>
      </c>
      <c r="V314" s="24">
        <f t="shared" si="307"/>
        <v>-1.6630513376717282E-2</v>
      </c>
      <c r="W314" s="73">
        <f t="shared" si="307"/>
        <v>-0.33082706766917291</v>
      </c>
      <c r="X314" s="73">
        <f t="shared" si="307"/>
        <v>-0.27450980392156865</v>
      </c>
      <c r="Y314" s="73">
        <f t="shared" si="307"/>
        <v>-0.41812865497076024</v>
      </c>
      <c r="Z314" s="73">
        <f t="shared" ref="Z314:AI314" si="308">Z312/U312-1</f>
        <v>-0.36259541984732824</v>
      </c>
      <c r="AA314" s="24">
        <f t="shared" si="308"/>
        <v>-0.34411764705882353</v>
      </c>
      <c r="AB314" s="73">
        <f t="shared" si="308"/>
        <v>-0.348314606741573</v>
      </c>
      <c r="AC314" s="73">
        <f t="shared" si="308"/>
        <v>-0.28185328185328185</v>
      </c>
      <c r="AD314" s="73">
        <f t="shared" si="308"/>
        <v>-0.13567839195979903</v>
      </c>
      <c r="AE314" s="73">
        <f t="shared" si="308"/>
        <v>-0.54491017964071853</v>
      </c>
      <c r="AF314" s="24">
        <f t="shared" si="308"/>
        <v>-0.31838565022421528</v>
      </c>
      <c r="AG314" s="73">
        <f t="shared" si="308"/>
        <v>-0.27586206896551724</v>
      </c>
      <c r="AH314" s="73">
        <f t="shared" si="308"/>
        <v>-0.31720430107526887</v>
      </c>
      <c r="AI314" s="73">
        <f t="shared" si="308"/>
        <v>-0.29069767441860461</v>
      </c>
      <c r="AJ314" s="73">
        <f t="shared" ref="AJ314:AS314" si="309">AJ312/AE312-1</f>
        <v>-2.6315789473684181E-2</v>
      </c>
      <c r="AK314" s="24">
        <v>-0.26151315789473684</v>
      </c>
      <c r="AL314" s="73">
        <v>-0.74603174603174605</v>
      </c>
      <c r="AM314" s="73">
        <v>-0.58267716535433078</v>
      </c>
      <c r="AN314" s="73">
        <v>-0.5</v>
      </c>
      <c r="AO314" s="73">
        <v>-0.85135135135135132</v>
      </c>
      <c r="AP314" s="24">
        <v>-0.65033407572383073</v>
      </c>
      <c r="AQ314" s="73">
        <v>-0.96875</v>
      </c>
      <c r="AR314" s="73">
        <v>-0.84905660377358494</v>
      </c>
      <c r="AS314" s="73">
        <v>-0.55737704918032782</v>
      </c>
      <c r="AT314" s="73">
        <v>-1.3636363636363638</v>
      </c>
      <c r="AU314" s="24">
        <v>-0.79617834394904463</v>
      </c>
      <c r="AV314" s="73">
        <v>4</v>
      </c>
      <c r="AW314" s="73">
        <v>2.75</v>
      </c>
      <c r="AX314" s="73">
        <v>-0.18518518518518523</v>
      </c>
      <c r="AY314" s="73">
        <v>-4.75</v>
      </c>
      <c r="AZ314" s="24">
        <v>1.25</v>
      </c>
    </row>
    <row r="315" spans="1:52" s="36" customFormat="1">
      <c r="A315" s="69" t="s">
        <v>42</v>
      </c>
      <c r="B315" s="37">
        <v>585</v>
      </c>
      <c r="C315" s="70">
        <v>163</v>
      </c>
      <c r="D315" s="70">
        <v>180</v>
      </c>
      <c r="E315" s="70">
        <v>211</v>
      </c>
      <c r="F315" s="70">
        <f>G315-E315-D315-C315</f>
        <v>128</v>
      </c>
      <c r="G315" s="37">
        <v>682</v>
      </c>
      <c r="H315" s="70">
        <v>230</v>
      </c>
      <c r="I315" s="70">
        <v>233</v>
      </c>
      <c r="J315" s="70">
        <v>231</v>
      </c>
      <c r="K315" s="70">
        <f>L315-J315-I315-H315</f>
        <v>181</v>
      </c>
      <c r="L315" s="37">
        <v>875</v>
      </c>
      <c r="M315" s="70">
        <v>259</v>
      </c>
      <c r="N315" s="70">
        <v>267</v>
      </c>
      <c r="O315" s="70">
        <v>239</v>
      </c>
      <c r="P315" s="70">
        <f>Q315-O315-N315-M315</f>
        <v>268</v>
      </c>
      <c r="Q315" s="37">
        <v>1033</v>
      </c>
      <c r="R315" s="70">
        <v>310</v>
      </c>
      <c r="S315" s="70">
        <v>279</v>
      </c>
      <c r="T315" s="70">
        <v>263</v>
      </c>
      <c r="U315" s="70">
        <f>V315-T315-S315-R315</f>
        <v>204</v>
      </c>
      <c r="V315" s="37">
        <v>1056</v>
      </c>
      <c r="W315" s="70">
        <v>216</v>
      </c>
      <c r="X315" s="70">
        <v>194</v>
      </c>
      <c r="Y315" s="70">
        <v>154</v>
      </c>
      <c r="Z315" s="70">
        <f>AA315-Y315-X315-W315</f>
        <v>134</v>
      </c>
      <c r="AA315" s="37">
        <v>698</v>
      </c>
      <c r="AB315" s="70">
        <v>153</v>
      </c>
      <c r="AC315" s="70">
        <v>161</v>
      </c>
      <c r="AD315" s="70">
        <v>140</v>
      </c>
      <c r="AE315" s="70">
        <f>AF315-AD315-AC315-AB315</f>
        <v>67</v>
      </c>
      <c r="AF315" s="37">
        <v>521</v>
      </c>
      <c r="AG315" s="70">
        <v>108</v>
      </c>
      <c r="AH315" s="70">
        <v>106</v>
      </c>
      <c r="AI315" s="70">
        <v>100</v>
      </c>
      <c r="AJ315" s="70">
        <f>AK315-AI315-AH315-AG315</f>
        <v>59</v>
      </c>
      <c r="AK315" s="37">
        <v>373</v>
      </c>
      <c r="AL315" s="70">
        <v>36</v>
      </c>
      <c r="AM315" s="70">
        <v>49</v>
      </c>
      <c r="AN315" s="70">
        <v>55</v>
      </c>
      <c r="AO315" s="70">
        <v>11</v>
      </c>
      <c r="AP315" s="37">
        <v>151</v>
      </c>
      <c r="AQ315" s="70">
        <v>13</v>
      </c>
      <c r="AR315" s="70">
        <v>13</v>
      </c>
      <c r="AS315" s="70">
        <v>32</v>
      </c>
      <c r="AT315" s="70">
        <v>3</v>
      </c>
      <c r="AU315" s="37">
        <v>61</v>
      </c>
      <c r="AV315" s="70">
        <v>16</v>
      </c>
      <c r="AW315" s="70">
        <v>34</v>
      </c>
      <c r="AX315" s="70">
        <v>24</v>
      </c>
      <c r="AY315" s="70">
        <v>21</v>
      </c>
      <c r="AZ315" s="37">
        <v>95</v>
      </c>
    </row>
    <row r="316" spans="1:52">
      <c r="A316" s="71" t="s">
        <v>7</v>
      </c>
      <c r="B316" s="24"/>
      <c r="C316" s="72"/>
      <c r="D316" s="72">
        <f>D315/C315-1</f>
        <v>0.10429447852760743</v>
      </c>
      <c r="E316" s="72">
        <f>E315/D315-1</f>
        <v>0.17222222222222228</v>
      </c>
      <c r="F316" s="72">
        <f>F315/E315-1</f>
        <v>-0.39336492890995256</v>
      </c>
      <c r="G316" s="24"/>
      <c r="H316" s="72">
        <f>H315/F315-1</f>
        <v>0.796875</v>
      </c>
      <c r="I316" s="72">
        <f>I315/H315-1</f>
        <v>1.304347826086949E-2</v>
      </c>
      <c r="J316" s="72">
        <f>J315/I315-1</f>
        <v>-8.5836909871244149E-3</v>
      </c>
      <c r="K316" s="72">
        <f>K315/J315-1</f>
        <v>-0.21645021645021645</v>
      </c>
      <c r="L316" s="24"/>
      <c r="M316" s="72">
        <f>M315/K315-1</f>
        <v>0.43093922651933703</v>
      </c>
      <c r="N316" s="72">
        <f>N315/M315-1</f>
        <v>3.0888030888030826E-2</v>
      </c>
      <c r="O316" s="72">
        <f>O315/N315-1</f>
        <v>-0.10486891385767794</v>
      </c>
      <c r="P316" s="72">
        <f>P315/O315-1</f>
        <v>0.12133891213389125</v>
      </c>
      <c r="Q316" s="24"/>
      <c r="R316" s="72">
        <f>R315/P315-1</f>
        <v>0.15671641791044766</v>
      </c>
      <c r="S316" s="72">
        <f>S315/R315-1</f>
        <v>-9.9999999999999978E-2</v>
      </c>
      <c r="T316" s="72">
        <f>T315/S315-1</f>
        <v>-5.7347670250896043E-2</v>
      </c>
      <c r="U316" s="72">
        <f>U315/T315-1</f>
        <v>-0.2243346007604563</v>
      </c>
      <c r="V316" s="24"/>
      <c r="W316" s="72">
        <f>W315/U315-1</f>
        <v>5.8823529411764719E-2</v>
      </c>
      <c r="X316" s="72">
        <f>X315/W315-1</f>
        <v>-0.10185185185185186</v>
      </c>
      <c r="Y316" s="72">
        <f>Y315/X315-1</f>
        <v>-0.20618556701030932</v>
      </c>
      <c r="Z316" s="72">
        <f>Z315/Y315-1</f>
        <v>-0.12987012987012991</v>
      </c>
      <c r="AA316" s="24"/>
      <c r="AB316" s="72">
        <f>AB315/Z315-1</f>
        <v>0.14179104477611948</v>
      </c>
      <c r="AC316" s="72">
        <f>AC315/AB315-1</f>
        <v>5.2287581699346442E-2</v>
      </c>
      <c r="AD316" s="72">
        <f>AD315/AC315-1</f>
        <v>-0.13043478260869568</v>
      </c>
      <c r="AE316" s="72">
        <f>AE315/AD315-1</f>
        <v>-0.52142857142857135</v>
      </c>
      <c r="AF316" s="24"/>
      <c r="AG316" s="72">
        <f>AG315/AE315-1</f>
        <v>0.61194029850746268</v>
      </c>
      <c r="AH316" s="72">
        <f>AH315/AG315-1</f>
        <v>-1.851851851851849E-2</v>
      </c>
      <c r="AI316" s="72">
        <f>AI315/AH315-1</f>
        <v>-5.6603773584905648E-2</v>
      </c>
      <c r="AJ316" s="72">
        <f>AJ315/AI315-1</f>
        <v>-0.41000000000000003</v>
      </c>
      <c r="AK316" s="24"/>
      <c r="AL316" s="72">
        <v>-0.38983050847457623</v>
      </c>
      <c r="AM316" s="72">
        <v>0.36111111111111116</v>
      </c>
      <c r="AN316" s="72">
        <v>0.12244897959183665</v>
      </c>
      <c r="AO316" s="72">
        <v>-0.8</v>
      </c>
      <c r="AP316" s="24"/>
      <c r="AQ316" s="72">
        <v>0.18181818181818188</v>
      </c>
      <c r="AR316" s="72">
        <v>0</v>
      </c>
      <c r="AS316" s="72">
        <v>1.4615384615384617</v>
      </c>
      <c r="AT316" s="72">
        <v>-0.90625</v>
      </c>
      <c r="AU316" s="24"/>
      <c r="AV316" s="72">
        <v>4.333333333333333</v>
      </c>
      <c r="AW316" s="72">
        <v>1.125</v>
      </c>
      <c r="AX316" s="72">
        <v>-0.29411764705882348</v>
      </c>
      <c r="AY316" s="72">
        <v>-0.125</v>
      </c>
      <c r="AZ316" s="24"/>
    </row>
    <row r="317" spans="1:52">
      <c r="A317" s="71" t="s">
        <v>8</v>
      </c>
      <c r="B317" s="24"/>
      <c r="C317" s="73"/>
      <c r="D317" s="73"/>
      <c r="E317" s="73"/>
      <c r="F317" s="73"/>
      <c r="G317" s="24">
        <f t="shared" ref="G317:N317" si="310">G315/B315-1</f>
        <v>0.16581196581196589</v>
      </c>
      <c r="H317" s="73">
        <f t="shared" si="310"/>
        <v>0.41104294478527614</v>
      </c>
      <c r="I317" s="73">
        <f t="shared" si="310"/>
        <v>0.29444444444444451</v>
      </c>
      <c r="J317" s="73">
        <f t="shared" si="310"/>
        <v>9.4786729857819996E-2</v>
      </c>
      <c r="K317" s="73">
        <f t="shared" si="310"/>
        <v>0.4140625</v>
      </c>
      <c r="L317" s="24">
        <f t="shared" si="310"/>
        <v>0.28299120234604103</v>
      </c>
      <c r="M317" s="73">
        <f t="shared" si="310"/>
        <v>0.12608695652173907</v>
      </c>
      <c r="N317" s="73">
        <f t="shared" si="310"/>
        <v>0.14592274678111594</v>
      </c>
      <c r="O317" s="73">
        <f t="shared" ref="O317:Y317" si="311">O315/J315-1</f>
        <v>3.463203463203457E-2</v>
      </c>
      <c r="P317" s="73">
        <f t="shared" si="311"/>
        <v>0.48066298342541436</v>
      </c>
      <c r="Q317" s="24">
        <f t="shared" si="311"/>
        <v>0.1805714285714286</v>
      </c>
      <c r="R317" s="73">
        <f t="shared" si="311"/>
        <v>0.19691119691119696</v>
      </c>
      <c r="S317" s="73">
        <f t="shared" si="311"/>
        <v>4.4943820224719211E-2</v>
      </c>
      <c r="T317" s="73">
        <f t="shared" si="311"/>
        <v>0.10041841004184104</v>
      </c>
      <c r="U317" s="73">
        <f t="shared" si="311"/>
        <v>-0.23880597014925375</v>
      </c>
      <c r="V317" s="24">
        <f t="shared" si="311"/>
        <v>2.2265246853823806E-2</v>
      </c>
      <c r="W317" s="73">
        <f t="shared" si="311"/>
        <v>-0.3032258064516129</v>
      </c>
      <c r="X317" s="73">
        <f t="shared" si="311"/>
        <v>-0.30465949820788529</v>
      </c>
      <c r="Y317" s="73">
        <f t="shared" si="311"/>
        <v>-0.4144486692015209</v>
      </c>
      <c r="Z317" s="73">
        <f t="shared" ref="Z317:AI317" si="312">Z315/U315-1</f>
        <v>-0.34313725490196079</v>
      </c>
      <c r="AA317" s="24">
        <f t="shared" si="312"/>
        <v>-0.33901515151515149</v>
      </c>
      <c r="AB317" s="73">
        <f t="shared" si="312"/>
        <v>-0.29166666666666663</v>
      </c>
      <c r="AC317" s="73">
        <f t="shared" si="312"/>
        <v>-0.17010309278350511</v>
      </c>
      <c r="AD317" s="73">
        <f t="shared" si="312"/>
        <v>-9.0909090909090939E-2</v>
      </c>
      <c r="AE317" s="73">
        <f t="shared" si="312"/>
        <v>-0.5</v>
      </c>
      <c r="AF317" s="24">
        <f t="shared" si="312"/>
        <v>-0.25358166189111753</v>
      </c>
      <c r="AG317" s="73">
        <f t="shared" si="312"/>
        <v>-0.29411764705882348</v>
      </c>
      <c r="AH317" s="73">
        <f t="shared" si="312"/>
        <v>-0.34161490683229812</v>
      </c>
      <c r="AI317" s="73">
        <f t="shared" si="312"/>
        <v>-0.2857142857142857</v>
      </c>
      <c r="AJ317" s="73">
        <f t="shared" ref="AJ317:AS317" si="313">AJ315/AE315-1</f>
        <v>-0.11940298507462688</v>
      </c>
      <c r="AK317" s="24">
        <v>-0.28406909788867563</v>
      </c>
      <c r="AL317" s="73">
        <v>-0.66666666666666674</v>
      </c>
      <c r="AM317" s="73">
        <v>-0.53773584905660377</v>
      </c>
      <c r="AN317" s="73">
        <v>-0.44999999999999996</v>
      </c>
      <c r="AO317" s="73">
        <v>-0.81355932203389836</v>
      </c>
      <c r="AP317" s="24">
        <v>-0.5951742627345844</v>
      </c>
      <c r="AQ317" s="73">
        <v>-0.63888888888888884</v>
      </c>
      <c r="AR317" s="73">
        <v>-0.73469387755102034</v>
      </c>
      <c r="AS317" s="73">
        <v>-0.41818181818181821</v>
      </c>
      <c r="AT317" s="73">
        <v>-0.72727272727272729</v>
      </c>
      <c r="AU317" s="24">
        <v>-0.5960264900662251</v>
      </c>
      <c r="AV317" s="73">
        <v>0.23076923076923084</v>
      </c>
      <c r="AW317" s="73">
        <v>1.6153846153846154</v>
      </c>
      <c r="AX317" s="73">
        <v>-0.25</v>
      </c>
      <c r="AY317" s="73">
        <v>6</v>
      </c>
      <c r="AZ317" s="24">
        <v>0.55737704918032782</v>
      </c>
    </row>
    <row r="318" spans="1:52" s="36" customFormat="1">
      <c r="A318" s="69" t="s">
        <v>9</v>
      </c>
      <c r="B318" s="37">
        <f>B309+B312</f>
        <v>1284</v>
      </c>
      <c r="C318" s="77">
        <f>C309+C312</f>
        <v>344</v>
      </c>
      <c r="D318" s="77">
        <f>D309+D312</f>
        <v>396</v>
      </c>
      <c r="E318" s="77">
        <f>E309+E312</f>
        <v>422</v>
      </c>
      <c r="F318" s="70">
        <f>G318-E318-D318-C318</f>
        <v>294</v>
      </c>
      <c r="G318" s="37">
        <f>G309+G312</f>
        <v>1456</v>
      </c>
      <c r="H318" s="77">
        <f>H309+H312</f>
        <v>441</v>
      </c>
      <c r="I318" s="77">
        <f>I309+I312</f>
        <v>472</v>
      </c>
      <c r="J318" s="77">
        <f>J309+J312</f>
        <v>471</v>
      </c>
      <c r="K318" s="70">
        <f>L318-J318-I318-H318</f>
        <v>410</v>
      </c>
      <c r="L318" s="37">
        <v>1794</v>
      </c>
      <c r="M318" s="77">
        <f>M309+M312</f>
        <v>471</v>
      </c>
      <c r="N318" s="77">
        <f>N309+N312</f>
        <v>511</v>
      </c>
      <c r="O318" s="77">
        <f>O309+O312</f>
        <v>505</v>
      </c>
      <c r="P318" s="70">
        <f>Q318-O318-N318-M318</f>
        <v>497</v>
      </c>
      <c r="Q318" s="37">
        <f>Q312+Q309</f>
        <v>1984</v>
      </c>
      <c r="R318" s="77">
        <v>539</v>
      </c>
      <c r="S318" s="77">
        <f>S309+S312</f>
        <v>500</v>
      </c>
      <c r="T318" s="77">
        <f>T309+T312</f>
        <v>481</v>
      </c>
      <c r="U318" s="70">
        <f>V318-T318-S318-R318</f>
        <v>401</v>
      </c>
      <c r="V318" s="37">
        <f>V312+V309</f>
        <v>1921</v>
      </c>
      <c r="W318" s="77">
        <f>W312+W309</f>
        <v>402</v>
      </c>
      <c r="X318" s="77">
        <f>X312+X309</f>
        <v>396</v>
      </c>
      <c r="Y318" s="77">
        <f>Y312+Y309</f>
        <v>329</v>
      </c>
      <c r="Z318" s="70">
        <f>AA318-Y318-X318-W318</f>
        <v>296</v>
      </c>
      <c r="AA318" s="37">
        <f>AA312+AA309</f>
        <v>1423</v>
      </c>
      <c r="AB318" s="77">
        <f>AB312+AB309</f>
        <v>295</v>
      </c>
      <c r="AC318" s="77">
        <f>AC312+AC309</f>
        <v>299</v>
      </c>
      <c r="AD318" s="77">
        <f>AD312+AD309</f>
        <v>283</v>
      </c>
      <c r="AE318" s="70">
        <f>AF318-AD318-AC318-AB318</f>
        <v>188</v>
      </c>
      <c r="AF318" s="37">
        <v>1065</v>
      </c>
      <c r="AG318" s="77">
        <f>AG312+AG309</f>
        <v>232</v>
      </c>
      <c r="AH318" s="77">
        <f>AH312+AH309</f>
        <v>232</v>
      </c>
      <c r="AI318" s="77">
        <v>231</v>
      </c>
      <c r="AJ318" s="70">
        <f>AK318-AI318-AH318-AG318</f>
        <v>184</v>
      </c>
      <c r="AK318" s="37">
        <v>879</v>
      </c>
      <c r="AL318" s="77">
        <v>136</v>
      </c>
      <c r="AM318" s="77">
        <v>159</v>
      </c>
      <c r="AN318" s="77">
        <v>170</v>
      </c>
      <c r="AO318" s="70">
        <v>111</v>
      </c>
      <c r="AP318" s="37">
        <v>576</v>
      </c>
      <c r="AQ318" s="77">
        <v>105</v>
      </c>
      <c r="AR318" s="77">
        <v>103</v>
      </c>
      <c r="AS318" s="77">
        <v>119</v>
      </c>
      <c r="AT318" s="70">
        <v>85</v>
      </c>
      <c r="AU318" s="37">
        <v>412</v>
      </c>
      <c r="AV318" s="77">
        <v>99</v>
      </c>
      <c r="AW318" s="77">
        <v>129</v>
      </c>
      <c r="AX318" s="77">
        <v>122</v>
      </c>
      <c r="AY318" s="70">
        <v>105</v>
      </c>
      <c r="AZ318" s="37">
        <v>455</v>
      </c>
    </row>
    <row r="319" spans="1:52">
      <c r="A319" s="71" t="s">
        <v>7</v>
      </c>
      <c r="B319" s="24"/>
      <c r="C319" s="72"/>
      <c r="D319" s="72">
        <f>D318/C318-1</f>
        <v>0.15116279069767447</v>
      </c>
      <c r="E319" s="72">
        <f>E318/D318-1</f>
        <v>6.5656565656565746E-2</v>
      </c>
      <c r="F319" s="72">
        <f>F318/E318-1</f>
        <v>-0.30331753554502372</v>
      </c>
      <c r="G319" s="24"/>
      <c r="H319" s="72">
        <f>H318/F318-1</f>
        <v>0.5</v>
      </c>
      <c r="I319" s="72">
        <f>I318/H318-1</f>
        <v>7.029478458049887E-2</v>
      </c>
      <c r="J319" s="72">
        <f>J318/I318-1</f>
        <v>-2.1186440677966045E-3</v>
      </c>
      <c r="K319" s="72">
        <f>K318/J318-1</f>
        <v>-0.12951167728237789</v>
      </c>
      <c r="L319" s="24"/>
      <c r="M319" s="72">
        <f>M318/K318-1</f>
        <v>0.14878048780487796</v>
      </c>
      <c r="N319" s="72">
        <f>N318/M318-1</f>
        <v>8.4925690021231404E-2</v>
      </c>
      <c r="O319" s="72">
        <f>O318/N318-1</f>
        <v>-1.1741682974559686E-2</v>
      </c>
      <c r="P319" s="72">
        <f>P318/O318-1</f>
        <v>-1.5841584158415856E-2</v>
      </c>
      <c r="Q319" s="24"/>
      <c r="R319" s="72">
        <f>R318/P318-1</f>
        <v>8.4507042253521236E-2</v>
      </c>
      <c r="S319" s="72">
        <f>S318/R318-1</f>
        <v>-7.235621521335811E-2</v>
      </c>
      <c r="T319" s="72">
        <f>T318/S318-1</f>
        <v>-3.8000000000000034E-2</v>
      </c>
      <c r="U319" s="72">
        <f>U318/T318-1</f>
        <v>-0.16632016632016633</v>
      </c>
      <c r="V319" s="24"/>
      <c r="W319" s="72">
        <f>W318/U318-1</f>
        <v>2.4937655860348684E-3</v>
      </c>
      <c r="X319" s="72">
        <f>X318/W318-1</f>
        <v>-1.4925373134328401E-2</v>
      </c>
      <c r="Y319" s="72">
        <f>Y318/X318-1</f>
        <v>-0.16919191919191923</v>
      </c>
      <c r="Z319" s="72">
        <f>Z318/Y318-1</f>
        <v>-0.10030395136778114</v>
      </c>
      <c r="AA319" s="24"/>
      <c r="AB319" s="72">
        <f>AB318/Z318-1</f>
        <v>-3.3783783783783994E-3</v>
      </c>
      <c r="AC319" s="72">
        <f>AC318/AB318-1</f>
        <v>1.3559322033898313E-2</v>
      </c>
      <c r="AD319" s="72">
        <f>AD318/AC318-1</f>
        <v>-5.3511705685618693E-2</v>
      </c>
      <c r="AE319" s="72">
        <f>AE318/AD318-1</f>
        <v>-0.33568904593639581</v>
      </c>
      <c r="AF319" s="24"/>
      <c r="AG319" s="72">
        <f>AG318/AE318-1</f>
        <v>0.23404255319148937</v>
      </c>
      <c r="AH319" s="72">
        <f>AH318/AG318-1</f>
        <v>0</v>
      </c>
      <c r="AI319" s="72">
        <f>AI318/AH318-1</f>
        <v>-4.3103448275861878E-3</v>
      </c>
      <c r="AJ319" s="72">
        <f>AJ318/AI318-1</f>
        <v>-0.20346320346320346</v>
      </c>
      <c r="AK319" s="24"/>
      <c r="AL319" s="72">
        <v>-0.26086956521739135</v>
      </c>
      <c r="AM319" s="72">
        <v>0.16911764705882359</v>
      </c>
      <c r="AN319" s="72">
        <v>6.9182389937106903E-2</v>
      </c>
      <c r="AO319" s="72">
        <v>-0.34705882352941175</v>
      </c>
      <c r="AP319" s="24"/>
      <c r="AQ319" s="72">
        <v>-5.4054054054054057E-2</v>
      </c>
      <c r="AR319" s="72">
        <v>-1.9047619047619091E-2</v>
      </c>
      <c r="AS319" s="72">
        <v>0.15533980582524265</v>
      </c>
      <c r="AT319" s="72">
        <v>-0.2857142857142857</v>
      </c>
      <c r="AU319" s="24"/>
      <c r="AV319" s="72">
        <v>0.16470588235294126</v>
      </c>
      <c r="AW319" s="72">
        <v>0.30303030303030298</v>
      </c>
      <c r="AX319" s="72">
        <v>-5.4263565891472854E-2</v>
      </c>
      <c r="AY319" s="72">
        <v>-0.13934426229508201</v>
      </c>
      <c r="AZ319" s="24"/>
    </row>
    <row r="320" spans="1:52">
      <c r="A320" s="71" t="s">
        <v>8</v>
      </c>
      <c r="B320" s="24"/>
      <c r="C320" s="73"/>
      <c r="D320" s="73"/>
      <c r="E320" s="73"/>
      <c r="F320" s="73"/>
      <c r="G320" s="24">
        <f t="shared" ref="G320:N320" si="314">G318/B318-1</f>
        <v>0.13395638629283479</v>
      </c>
      <c r="H320" s="73">
        <f t="shared" si="314"/>
        <v>0.28197674418604657</v>
      </c>
      <c r="I320" s="73">
        <f t="shared" si="314"/>
        <v>0.19191919191919182</v>
      </c>
      <c r="J320" s="73">
        <f t="shared" si="314"/>
        <v>0.11611374407582931</v>
      </c>
      <c r="K320" s="73">
        <f t="shared" si="314"/>
        <v>0.39455782312925169</v>
      </c>
      <c r="L320" s="24">
        <f t="shared" si="314"/>
        <v>0.23214285714285721</v>
      </c>
      <c r="M320" s="73">
        <f t="shared" si="314"/>
        <v>6.8027210884353817E-2</v>
      </c>
      <c r="N320" s="73">
        <f t="shared" si="314"/>
        <v>8.2627118644067687E-2</v>
      </c>
      <c r="O320" s="73">
        <f t="shared" ref="O320:Y320" si="315">O318/J318-1</f>
        <v>7.2186836518046693E-2</v>
      </c>
      <c r="P320" s="73">
        <f t="shared" si="315"/>
        <v>0.21219512195121948</v>
      </c>
      <c r="Q320" s="24">
        <f t="shared" si="315"/>
        <v>0.10590858416945381</v>
      </c>
      <c r="R320" s="73">
        <f t="shared" si="315"/>
        <v>0.14437367303609339</v>
      </c>
      <c r="S320" s="73">
        <f t="shared" si="315"/>
        <v>-2.1526418786692814E-2</v>
      </c>
      <c r="T320" s="73">
        <f t="shared" si="315"/>
        <v>-4.7524752475247567E-2</v>
      </c>
      <c r="U320" s="73">
        <f t="shared" si="315"/>
        <v>-0.19315895372233405</v>
      </c>
      <c r="V320" s="24">
        <f t="shared" si="315"/>
        <v>-3.1754032258064502E-2</v>
      </c>
      <c r="W320" s="73">
        <f t="shared" si="315"/>
        <v>-0.25417439703153988</v>
      </c>
      <c r="X320" s="73">
        <f t="shared" si="315"/>
        <v>-0.20799999999999996</v>
      </c>
      <c r="Y320" s="73">
        <f t="shared" si="315"/>
        <v>-0.31600831600831603</v>
      </c>
      <c r="Z320" s="73">
        <f t="shared" ref="Z320:AI320" si="316">Z318/U318-1</f>
        <v>-0.26184538653366585</v>
      </c>
      <c r="AA320" s="24">
        <f t="shared" si="316"/>
        <v>-0.25923997917751174</v>
      </c>
      <c r="AB320" s="73">
        <f t="shared" si="316"/>
        <v>-0.26616915422885568</v>
      </c>
      <c r="AC320" s="73">
        <f t="shared" si="316"/>
        <v>-0.24494949494949492</v>
      </c>
      <c r="AD320" s="73">
        <f t="shared" si="316"/>
        <v>-0.13981762917933127</v>
      </c>
      <c r="AE320" s="73">
        <f t="shared" si="316"/>
        <v>-0.36486486486486491</v>
      </c>
      <c r="AF320" s="24">
        <f t="shared" si="316"/>
        <v>-0.25158116654954321</v>
      </c>
      <c r="AG320" s="73">
        <f t="shared" si="316"/>
        <v>-0.21355932203389827</v>
      </c>
      <c r="AH320" s="73">
        <f t="shared" si="316"/>
        <v>-0.22408026755852839</v>
      </c>
      <c r="AI320" s="73">
        <f t="shared" si="316"/>
        <v>-0.18374558303886923</v>
      </c>
      <c r="AJ320" s="73">
        <f t="shared" ref="AJ320:AS320" si="317">AJ318/AE318-1</f>
        <v>-2.1276595744680882E-2</v>
      </c>
      <c r="AK320" s="24">
        <v>-0.17464788732394365</v>
      </c>
      <c r="AL320" s="73">
        <v>-0.41379310344827591</v>
      </c>
      <c r="AM320" s="73">
        <v>-0.31465517241379315</v>
      </c>
      <c r="AN320" s="73">
        <v>-0.26406926406926412</v>
      </c>
      <c r="AO320" s="73">
        <v>-0.39673913043478259</v>
      </c>
      <c r="AP320" s="24">
        <v>-0.34470989761092152</v>
      </c>
      <c r="AQ320" s="73">
        <v>-0.2279411764705882</v>
      </c>
      <c r="AR320" s="73">
        <v>-0.35220125786163525</v>
      </c>
      <c r="AS320" s="73">
        <v>-0.30000000000000004</v>
      </c>
      <c r="AT320" s="73">
        <v>-0.23423423423423428</v>
      </c>
      <c r="AU320" s="24">
        <v>-0.28472222222222221</v>
      </c>
      <c r="AV320" s="73">
        <v>-5.7142857142857162E-2</v>
      </c>
      <c r="AW320" s="73">
        <v>0.25242718446601953</v>
      </c>
      <c r="AX320" s="73">
        <v>2.5210084033613356E-2</v>
      </c>
      <c r="AY320" s="73">
        <v>0.23529411764705888</v>
      </c>
      <c r="AZ320" s="24">
        <v>0.10436893203883502</v>
      </c>
    </row>
    <row r="321" spans="1:52">
      <c r="A321" s="40" t="s">
        <v>26</v>
      </c>
      <c r="B321" s="41"/>
      <c r="C321" s="53"/>
      <c r="D321" s="53"/>
      <c r="E321" s="53"/>
      <c r="F321" s="53"/>
      <c r="G321" s="41"/>
      <c r="H321" s="53"/>
      <c r="I321" s="53"/>
      <c r="J321" s="53"/>
      <c r="K321" s="53"/>
      <c r="L321" s="41"/>
      <c r="M321" s="53"/>
      <c r="N321" s="53"/>
      <c r="O321" s="53"/>
      <c r="P321" s="53"/>
      <c r="Q321" s="41"/>
      <c r="R321" s="53"/>
      <c r="S321" s="53"/>
      <c r="T321" s="53"/>
      <c r="U321" s="53"/>
      <c r="V321" s="41"/>
      <c r="W321" s="53"/>
      <c r="X321" s="53"/>
      <c r="Y321" s="53"/>
      <c r="Z321" s="53"/>
      <c r="AA321" s="41"/>
      <c r="AB321" s="53"/>
      <c r="AC321" s="53"/>
      <c r="AD321" s="53"/>
      <c r="AE321" s="53"/>
      <c r="AF321" s="41"/>
      <c r="AG321" s="53"/>
      <c r="AH321" s="53"/>
      <c r="AI321" s="53"/>
      <c r="AJ321" s="53"/>
      <c r="AK321" s="41"/>
      <c r="AL321" s="53"/>
      <c r="AM321" s="53"/>
      <c r="AN321" s="53"/>
      <c r="AO321" s="53"/>
      <c r="AP321" s="41"/>
      <c r="AQ321" s="53"/>
      <c r="AR321" s="53"/>
      <c r="AS321" s="53"/>
      <c r="AT321" s="53"/>
      <c r="AU321" s="41"/>
      <c r="AV321" s="53"/>
      <c r="AW321" s="53"/>
      <c r="AX321" s="53"/>
      <c r="AY321" s="53"/>
      <c r="AZ321" s="41"/>
    </row>
    <row r="322" spans="1:52" s="36" customFormat="1">
      <c r="A322" s="69" t="s">
        <v>12</v>
      </c>
      <c r="B322" s="65">
        <v>1228</v>
      </c>
      <c r="C322" s="70">
        <v>256</v>
      </c>
      <c r="D322" s="70">
        <v>344</v>
      </c>
      <c r="E322" s="70">
        <v>379</v>
      </c>
      <c r="F322" s="70">
        <f>G322-E322-D322-C322</f>
        <v>298</v>
      </c>
      <c r="G322" s="65">
        <v>1277</v>
      </c>
      <c r="H322" s="70">
        <v>375</v>
      </c>
      <c r="I322" s="70">
        <v>290</v>
      </c>
      <c r="J322" s="70">
        <v>395</v>
      </c>
      <c r="K322" s="70">
        <f>L322-J322-I322-H322</f>
        <v>55</v>
      </c>
      <c r="L322" s="65">
        <v>1115</v>
      </c>
      <c r="M322" s="70">
        <v>350</v>
      </c>
      <c r="N322" s="70">
        <v>378</v>
      </c>
      <c r="O322" s="70">
        <v>400</v>
      </c>
      <c r="P322" s="70">
        <f>Q322-O322-N322-M322</f>
        <v>91</v>
      </c>
      <c r="Q322" s="65">
        <v>1219</v>
      </c>
      <c r="R322" s="70">
        <v>308</v>
      </c>
      <c r="S322" s="70">
        <v>101</v>
      </c>
      <c r="T322" s="70">
        <v>168</v>
      </c>
      <c r="U322" s="70">
        <f>V322-T322-S322-R322</f>
        <v>223</v>
      </c>
      <c r="V322" s="65">
        <v>800</v>
      </c>
      <c r="W322" s="70">
        <v>294</v>
      </c>
      <c r="X322" s="70">
        <v>556</v>
      </c>
      <c r="Y322" s="70">
        <v>490</v>
      </c>
      <c r="Z322" s="70">
        <f>AA322-Y322-X322-W322</f>
        <v>388</v>
      </c>
      <c r="AA322" s="65">
        <v>1728</v>
      </c>
      <c r="AB322" s="70">
        <v>354</v>
      </c>
      <c r="AC322" s="70">
        <v>468</v>
      </c>
      <c r="AD322" s="70">
        <v>442</v>
      </c>
      <c r="AE322" s="70">
        <f>AF322-AD322-AC322-AB322</f>
        <v>327</v>
      </c>
      <c r="AF322" s="65">
        <v>1591</v>
      </c>
      <c r="AG322" s="70">
        <v>349</v>
      </c>
      <c r="AH322" s="70">
        <v>420</v>
      </c>
      <c r="AI322" s="70">
        <v>286</v>
      </c>
      <c r="AJ322" s="70">
        <f>AK322-AI322-AH322-AG322</f>
        <v>158</v>
      </c>
      <c r="AK322" s="65">
        <v>1213</v>
      </c>
      <c r="AL322" s="70">
        <v>351</v>
      </c>
      <c r="AM322" s="70">
        <v>202</v>
      </c>
      <c r="AN322" s="70">
        <v>163</v>
      </c>
      <c r="AO322" s="70">
        <v>14</v>
      </c>
      <c r="AP322" s="65">
        <v>730</v>
      </c>
      <c r="AQ322" s="70">
        <v>185</v>
      </c>
      <c r="AR322" s="70">
        <v>180</v>
      </c>
      <c r="AS322" s="70">
        <v>152</v>
      </c>
      <c r="AT322" s="70">
        <v>65</v>
      </c>
      <c r="AU322" s="65">
        <v>582</v>
      </c>
      <c r="AV322" s="70">
        <v>117</v>
      </c>
      <c r="AW322" s="70">
        <v>193</v>
      </c>
      <c r="AX322" s="70">
        <v>209</v>
      </c>
      <c r="AY322" s="70">
        <v>86</v>
      </c>
      <c r="AZ322" s="65">
        <v>605</v>
      </c>
    </row>
    <row r="323" spans="1:52">
      <c r="A323" s="82" t="s">
        <v>7</v>
      </c>
      <c r="B323" s="24"/>
      <c r="C323" s="72"/>
      <c r="D323" s="72">
        <f>D322/C322-1</f>
        <v>0.34375</v>
      </c>
      <c r="E323" s="72">
        <f>E322/D322-1</f>
        <v>0.10174418604651159</v>
      </c>
      <c r="F323" s="72">
        <f>F322/E322-1</f>
        <v>-0.21372031662269131</v>
      </c>
      <c r="G323" s="24"/>
      <c r="H323" s="72">
        <f>H322/F322-1</f>
        <v>0.25838926174496635</v>
      </c>
      <c r="I323" s="72">
        <f>I322/H322-1</f>
        <v>-0.22666666666666668</v>
      </c>
      <c r="J323" s="72">
        <f>J322/I322-1</f>
        <v>0.36206896551724133</v>
      </c>
      <c r="K323" s="72">
        <f>K322/J322-1</f>
        <v>-0.86075949367088611</v>
      </c>
      <c r="L323" s="24"/>
      <c r="M323" s="72">
        <f>M322/K322-1</f>
        <v>5.3636363636363633</v>
      </c>
      <c r="N323" s="72">
        <f>N322/M322-1</f>
        <v>8.0000000000000071E-2</v>
      </c>
      <c r="O323" s="72">
        <f>O322/N322-1</f>
        <v>5.8201058201058142E-2</v>
      </c>
      <c r="P323" s="72">
        <f>P322/O322-1</f>
        <v>-0.77249999999999996</v>
      </c>
      <c r="Q323" s="24"/>
      <c r="R323" s="72">
        <f>R322/P322-1</f>
        <v>2.3846153846153846</v>
      </c>
      <c r="S323" s="72">
        <f>S322/R322-1</f>
        <v>-0.67207792207792205</v>
      </c>
      <c r="T323" s="72">
        <f>T322/S322-1</f>
        <v>0.66336633663366329</v>
      </c>
      <c r="U323" s="72">
        <f>U322/T322-1</f>
        <v>0.32738095238095233</v>
      </c>
      <c r="V323" s="24"/>
      <c r="W323" s="72">
        <f>W322/U322-1</f>
        <v>0.31838565022421528</v>
      </c>
      <c r="X323" s="72">
        <f>X322/W322-1</f>
        <v>0.89115646258503411</v>
      </c>
      <c r="Y323" s="72">
        <f>Y322/X322-1</f>
        <v>-0.11870503597122306</v>
      </c>
      <c r="Z323" s="72">
        <f>Z322/Y322-1</f>
        <v>-0.2081632653061225</v>
      </c>
      <c r="AA323" s="24"/>
      <c r="AB323" s="72">
        <f>AB322/Z322-1</f>
        <v>-8.7628865979381465E-2</v>
      </c>
      <c r="AC323" s="72">
        <f>AC322/AB322-1</f>
        <v>0.32203389830508478</v>
      </c>
      <c r="AD323" s="72">
        <f>AD322/AC322-1</f>
        <v>-5.555555555555558E-2</v>
      </c>
      <c r="AE323" s="72">
        <f>AE322/AD322-1</f>
        <v>-0.26018099547511309</v>
      </c>
      <c r="AF323" s="24"/>
      <c r="AG323" s="72">
        <f>AG322/AE322-1</f>
        <v>6.7278287461773667E-2</v>
      </c>
      <c r="AH323" s="72">
        <f>AH322/AG322-1</f>
        <v>0.20343839541547282</v>
      </c>
      <c r="AI323" s="72">
        <f>AI322/AH322-1</f>
        <v>-0.31904761904761902</v>
      </c>
      <c r="AJ323" s="72">
        <f>AJ322/AI322-1</f>
        <v>-0.44755244755244761</v>
      </c>
      <c r="AK323" s="24"/>
      <c r="AL323" s="72">
        <v>1.221518987341772</v>
      </c>
      <c r="AM323" s="72">
        <v>-0.42450142450142447</v>
      </c>
      <c r="AN323" s="72">
        <v>-0.19306930693069302</v>
      </c>
      <c r="AO323" s="72">
        <v>-0.91411042944785281</v>
      </c>
      <c r="AP323" s="24"/>
      <c r="AQ323" s="72">
        <v>12.214285714285714</v>
      </c>
      <c r="AR323" s="72">
        <v>-2.7027027027026973E-2</v>
      </c>
      <c r="AS323" s="72">
        <v>-0.15555555555555556</v>
      </c>
      <c r="AT323" s="72">
        <v>-0.57236842105263164</v>
      </c>
      <c r="AU323" s="24"/>
      <c r="AV323" s="72">
        <v>0.8</v>
      </c>
      <c r="AW323" s="72">
        <v>0.64957264957264949</v>
      </c>
      <c r="AX323" s="72">
        <v>8.290155440414515E-2</v>
      </c>
      <c r="AY323" s="72">
        <v>-0.58851674641148333</v>
      </c>
      <c r="AZ323" s="24"/>
    </row>
    <row r="324" spans="1:52">
      <c r="A324" s="82" t="s">
        <v>8</v>
      </c>
      <c r="B324" s="24"/>
      <c r="C324" s="73"/>
      <c r="D324" s="73"/>
      <c r="E324" s="73"/>
      <c r="F324" s="73"/>
      <c r="G324" s="24">
        <f t="shared" ref="G324:N324" si="318">G322/B322-1</f>
        <v>3.9902280130293066E-2</v>
      </c>
      <c r="H324" s="73">
        <f t="shared" si="318"/>
        <v>0.46484375</v>
      </c>
      <c r="I324" s="73">
        <f t="shared" si="318"/>
        <v>-0.15697674418604646</v>
      </c>
      <c r="J324" s="73">
        <f t="shared" si="318"/>
        <v>4.2216358839050061E-2</v>
      </c>
      <c r="K324" s="73">
        <f t="shared" si="318"/>
        <v>-0.81543624161073824</v>
      </c>
      <c r="L324" s="24">
        <f t="shared" si="318"/>
        <v>-0.12685982772122162</v>
      </c>
      <c r="M324" s="73">
        <f t="shared" si="318"/>
        <v>-6.6666666666666652E-2</v>
      </c>
      <c r="N324" s="73">
        <f t="shared" si="318"/>
        <v>0.30344827586206891</v>
      </c>
      <c r="O324" s="73">
        <f t="shared" ref="O324:Y324" si="319">O322/J322-1</f>
        <v>1.2658227848101333E-2</v>
      </c>
      <c r="P324" s="73">
        <f t="shared" si="319"/>
        <v>0.65454545454545454</v>
      </c>
      <c r="Q324" s="24">
        <f t="shared" si="319"/>
        <v>9.3273542600896819E-2</v>
      </c>
      <c r="R324" s="73">
        <f t="shared" si="319"/>
        <v>-0.12</v>
      </c>
      <c r="S324" s="73">
        <f t="shared" si="319"/>
        <v>-0.73280423280423279</v>
      </c>
      <c r="T324" s="73">
        <f t="shared" si="319"/>
        <v>-0.58000000000000007</v>
      </c>
      <c r="U324" s="73">
        <f t="shared" si="319"/>
        <v>1.4505494505494507</v>
      </c>
      <c r="V324" s="24">
        <f t="shared" si="319"/>
        <v>-0.34372436423297781</v>
      </c>
      <c r="W324" s="73">
        <f t="shared" si="319"/>
        <v>-4.5454545454545414E-2</v>
      </c>
      <c r="X324" s="73">
        <f t="shared" si="319"/>
        <v>4.5049504950495045</v>
      </c>
      <c r="Y324" s="73">
        <f t="shared" si="319"/>
        <v>1.9166666666666665</v>
      </c>
      <c r="Z324" s="73">
        <f t="shared" ref="Z324:AI324" si="320">Z322/U322-1</f>
        <v>0.73991031390134521</v>
      </c>
      <c r="AA324" s="24">
        <f t="shared" si="320"/>
        <v>1.1600000000000001</v>
      </c>
      <c r="AB324" s="73">
        <f t="shared" si="320"/>
        <v>0.20408163265306123</v>
      </c>
      <c r="AC324" s="73">
        <f t="shared" si="320"/>
        <v>-0.15827338129496404</v>
      </c>
      <c r="AD324" s="73">
        <f t="shared" si="320"/>
        <v>-9.7959183673469341E-2</v>
      </c>
      <c r="AE324" s="73">
        <f t="shared" si="320"/>
        <v>-0.15721649484536082</v>
      </c>
      <c r="AF324" s="24">
        <f t="shared" si="320"/>
        <v>-7.928240740740744E-2</v>
      </c>
      <c r="AG324" s="73">
        <f t="shared" si="320"/>
        <v>-1.4124293785310771E-2</v>
      </c>
      <c r="AH324" s="73">
        <f t="shared" si="320"/>
        <v>-0.10256410256410253</v>
      </c>
      <c r="AI324" s="73">
        <f t="shared" si="320"/>
        <v>-0.3529411764705882</v>
      </c>
      <c r="AJ324" s="73">
        <f t="shared" ref="AJ324:AS324" si="321">AJ322/AE322-1</f>
        <v>-0.51681957186544336</v>
      </c>
      <c r="AK324" s="24">
        <v>-0.23758642363293525</v>
      </c>
      <c r="AL324" s="73">
        <v>5.7306590257879542E-3</v>
      </c>
      <c r="AM324" s="73">
        <v>-0.51904761904761898</v>
      </c>
      <c r="AN324" s="73">
        <v>-0.43006993006993011</v>
      </c>
      <c r="AO324" s="73">
        <v>-0.91139240506329111</v>
      </c>
      <c r="AP324" s="24">
        <v>-0.39818631492168177</v>
      </c>
      <c r="AQ324" s="73">
        <v>-0.47293447293447288</v>
      </c>
      <c r="AR324" s="73">
        <v>-0.1089108910891089</v>
      </c>
      <c r="AS324" s="73">
        <v>-6.7484662576687171E-2</v>
      </c>
      <c r="AT324" s="73">
        <v>3.6428571428571432</v>
      </c>
      <c r="AU324" s="24">
        <v>-0.20273972602739732</v>
      </c>
      <c r="AV324" s="73">
        <v>-0.36756756756756759</v>
      </c>
      <c r="AW324" s="73">
        <v>7.2222222222222188E-2</v>
      </c>
      <c r="AX324" s="73">
        <v>0.375</v>
      </c>
      <c r="AY324" s="73">
        <v>0.32307692307692304</v>
      </c>
      <c r="AZ324" s="24">
        <v>3.9518900343642693E-2</v>
      </c>
    </row>
    <row r="325" spans="1:52" hidden="1">
      <c r="A325" s="69" t="s">
        <v>50</v>
      </c>
      <c r="B325" s="37">
        <f>433+7</f>
        <v>440</v>
      </c>
      <c r="C325" s="70">
        <v>108</v>
      </c>
      <c r="D325" s="70">
        <v>374</v>
      </c>
      <c r="E325" s="70">
        <v>172</v>
      </c>
      <c r="F325" s="70">
        <f>G325-E325-D325-C325</f>
        <v>257</v>
      </c>
      <c r="G325" s="37">
        <f>302+609</f>
        <v>911</v>
      </c>
      <c r="H325" s="70">
        <v>165</v>
      </c>
      <c r="I325" s="70">
        <v>127</v>
      </c>
      <c r="J325" s="70">
        <v>107</v>
      </c>
      <c r="K325" s="70">
        <f>L325-J325-I325-H325</f>
        <v>109</v>
      </c>
      <c r="L325" s="37">
        <v>508</v>
      </c>
      <c r="M325" s="70">
        <v>110</v>
      </c>
      <c r="N325" s="70">
        <v>112</v>
      </c>
      <c r="O325" s="70">
        <v>99</v>
      </c>
      <c r="P325" s="70">
        <v>110</v>
      </c>
      <c r="Q325" s="37">
        <f>P325+O325+N325+M325</f>
        <v>431</v>
      </c>
      <c r="R325" s="70">
        <v>122</v>
      </c>
      <c r="S325" s="70">
        <v>109</v>
      </c>
      <c r="T325" s="70">
        <v>98</v>
      </c>
      <c r="U325" s="70">
        <f>V325-T325-S325-R325</f>
        <v>113</v>
      </c>
      <c r="V325" s="37">
        <v>442</v>
      </c>
      <c r="W325" s="70">
        <v>121</v>
      </c>
      <c r="X325" s="70">
        <v>113</v>
      </c>
      <c r="Y325" s="70">
        <v>77</v>
      </c>
      <c r="Z325" s="70">
        <f>AA325-Y325-X325-W325</f>
        <v>86</v>
      </c>
      <c r="AA325" s="37">
        <f>342+55</f>
        <v>397</v>
      </c>
      <c r="AB325" s="70">
        <v>56</v>
      </c>
      <c r="AC325" s="70">
        <v>91</v>
      </c>
      <c r="AD325" s="70">
        <v>94</v>
      </c>
      <c r="AE325" s="70">
        <v>94</v>
      </c>
      <c r="AF325" s="37">
        <f>AE325+AD325+AC325+AB325</f>
        <v>335</v>
      </c>
      <c r="AG325" s="70">
        <v>67</v>
      </c>
      <c r="AH325" s="70">
        <v>96</v>
      </c>
      <c r="AI325" s="70">
        <v>87</v>
      </c>
      <c r="AJ325" s="70">
        <f>AK325-AI325-AH325-AG325</f>
        <v>89</v>
      </c>
      <c r="AK325" s="37">
        <v>339</v>
      </c>
      <c r="AL325" s="70">
        <v>97</v>
      </c>
      <c r="AM325" s="70">
        <v>196</v>
      </c>
      <c r="AN325" s="70">
        <v>70</v>
      </c>
      <c r="AO325" s="70">
        <v>56</v>
      </c>
      <c r="AP325" s="37">
        <v>419</v>
      </c>
      <c r="AQ325" s="70">
        <v>57</v>
      </c>
      <c r="AR325" s="70">
        <v>77</v>
      </c>
      <c r="AS325" s="70">
        <v>66</v>
      </c>
      <c r="AT325" s="70"/>
      <c r="AU325" s="37"/>
      <c r="AV325" s="70">
        <v>57</v>
      </c>
      <c r="AW325" s="70">
        <v>57</v>
      </c>
      <c r="AX325" s="70">
        <v>57</v>
      </c>
      <c r="AY325" s="70"/>
      <c r="AZ325" s="37"/>
    </row>
    <row r="326" spans="1:52" hidden="1">
      <c r="A326" s="71" t="s">
        <v>7</v>
      </c>
      <c r="B326" s="24"/>
      <c r="C326" s="72"/>
      <c r="D326" s="72">
        <f>D325/C325-1</f>
        <v>2.4629629629629628</v>
      </c>
      <c r="E326" s="72">
        <f>E325/D325-1</f>
        <v>-0.54010695187165769</v>
      </c>
      <c r="F326" s="72">
        <f>F325/E325-1</f>
        <v>0.4941860465116279</v>
      </c>
      <c r="G326" s="24"/>
      <c r="H326" s="72">
        <f>H325/F325-1</f>
        <v>-0.357976653696498</v>
      </c>
      <c r="I326" s="72">
        <f>I325/H325-1</f>
        <v>-0.23030303030303034</v>
      </c>
      <c r="J326" s="72">
        <f>J325/I325-1</f>
        <v>-0.15748031496062997</v>
      </c>
      <c r="K326" s="72">
        <f>K325/J325-1</f>
        <v>1.8691588785046731E-2</v>
      </c>
      <c r="L326" s="24"/>
      <c r="M326" s="72">
        <f>M325/K325-1</f>
        <v>9.1743119266054496E-3</v>
      </c>
      <c r="N326" s="72">
        <f>N325/M325-1</f>
        <v>1.8181818181818077E-2</v>
      </c>
      <c r="O326" s="72">
        <f>O325/N325-1</f>
        <v>-0.1160714285714286</v>
      </c>
      <c r="P326" s="72">
        <f>P325/O325-1</f>
        <v>0.11111111111111116</v>
      </c>
      <c r="Q326" s="24"/>
      <c r="R326" s="72">
        <f>R325/P325-1</f>
        <v>0.10909090909090913</v>
      </c>
      <c r="S326" s="72">
        <f>S325/R325-1</f>
        <v>-0.10655737704918034</v>
      </c>
      <c r="T326" s="72">
        <f>T325/S325-1</f>
        <v>-0.1009174311926605</v>
      </c>
      <c r="U326" s="72">
        <f>U325/T325-1</f>
        <v>0.15306122448979598</v>
      </c>
      <c r="V326" s="24"/>
      <c r="W326" s="72">
        <f>W325/U325-1</f>
        <v>7.079646017699126E-2</v>
      </c>
      <c r="X326" s="72">
        <f>X325/W325-1</f>
        <v>-6.6115702479338845E-2</v>
      </c>
      <c r="Y326" s="72">
        <f>Y325/X325-1</f>
        <v>-0.31858407079646023</v>
      </c>
      <c r="Z326" s="72">
        <f>Z325/Y325-1</f>
        <v>0.11688311688311681</v>
      </c>
      <c r="AA326" s="24"/>
      <c r="AB326" s="72">
        <f>AB325/Z325-1</f>
        <v>-0.34883720930232553</v>
      </c>
      <c r="AC326" s="72">
        <f>AC325/AB325-1</f>
        <v>0.625</v>
      </c>
      <c r="AD326" s="72">
        <f>AD325/AC325-1</f>
        <v>3.2967032967033072E-2</v>
      </c>
      <c r="AE326" s="72">
        <f>AE325/AD325-1</f>
        <v>0</v>
      </c>
      <c r="AF326" s="24"/>
      <c r="AG326" s="72">
        <f>AG325/AE325-1</f>
        <v>-0.28723404255319152</v>
      </c>
      <c r="AH326" s="72">
        <f>AH325/AG325-1</f>
        <v>0.43283582089552231</v>
      </c>
      <c r="AI326" s="72">
        <f>AI325/AH325-1</f>
        <v>-9.375E-2</v>
      </c>
      <c r="AJ326" s="72">
        <f>AJ325/AI325-1</f>
        <v>2.2988505747126409E-2</v>
      </c>
      <c r="AK326" s="24"/>
      <c r="AL326" s="72">
        <v>8.98876404494382E-2</v>
      </c>
      <c r="AM326" s="72">
        <v>1.0206185567010309</v>
      </c>
      <c r="AN326" s="72">
        <v>-0.64285714285714279</v>
      </c>
      <c r="AO326" s="72">
        <v>-0.19999999999999996</v>
      </c>
      <c r="AP326" s="24"/>
      <c r="AQ326" s="72">
        <v>1.7857142857142794E-2</v>
      </c>
      <c r="AR326" s="72">
        <v>0.35087719298245612</v>
      </c>
      <c r="AS326" s="72">
        <v>-0.1428571428571429</v>
      </c>
      <c r="AT326" s="72"/>
      <c r="AU326" s="24"/>
      <c r="AV326" s="72" t="e">
        <v>#DIV/0!</v>
      </c>
      <c r="AW326" s="72" t="e">
        <v>#DIV/0!</v>
      </c>
      <c r="AX326" s="72">
        <v>0</v>
      </c>
      <c r="AY326" s="72"/>
      <c r="AZ326" s="24"/>
    </row>
    <row r="327" spans="1:52" hidden="1">
      <c r="A327" s="71" t="s">
        <v>8</v>
      </c>
      <c r="B327" s="24"/>
      <c r="C327" s="73"/>
      <c r="D327" s="73"/>
      <c r="E327" s="73"/>
      <c r="F327" s="73"/>
      <c r="G327" s="24">
        <f t="shared" ref="G327:N327" si="322">G325/B325-1</f>
        <v>1.0704545454545453</v>
      </c>
      <c r="H327" s="73">
        <f t="shared" si="322"/>
        <v>0.52777777777777768</v>
      </c>
      <c r="I327" s="73">
        <f t="shared" si="322"/>
        <v>-0.66042780748663099</v>
      </c>
      <c r="J327" s="73">
        <f t="shared" si="322"/>
        <v>-0.37790697674418605</v>
      </c>
      <c r="K327" s="73">
        <f t="shared" si="322"/>
        <v>-0.57587548638132291</v>
      </c>
      <c r="L327" s="24">
        <f t="shared" si="322"/>
        <v>-0.44237102085620195</v>
      </c>
      <c r="M327" s="73">
        <f t="shared" si="322"/>
        <v>-0.33333333333333337</v>
      </c>
      <c r="N327" s="73">
        <f t="shared" si="322"/>
        <v>-0.11811023622047245</v>
      </c>
      <c r="O327" s="73">
        <f t="shared" ref="O327:Y327" si="323">O325/J325-1</f>
        <v>-7.4766355140186924E-2</v>
      </c>
      <c r="P327" s="73">
        <f t="shared" si="323"/>
        <v>9.1743119266054496E-3</v>
      </c>
      <c r="Q327" s="24">
        <f t="shared" si="323"/>
        <v>-0.15157480314960625</v>
      </c>
      <c r="R327" s="73">
        <f t="shared" si="323"/>
        <v>0.10909090909090913</v>
      </c>
      <c r="S327" s="73">
        <f t="shared" si="323"/>
        <v>-2.6785714285714302E-2</v>
      </c>
      <c r="T327" s="73">
        <f t="shared" si="323"/>
        <v>-1.0101010101010055E-2</v>
      </c>
      <c r="U327" s="73">
        <f t="shared" si="323"/>
        <v>2.7272727272727337E-2</v>
      </c>
      <c r="V327" s="24">
        <f t="shared" si="323"/>
        <v>2.5522041763341052E-2</v>
      </c>
      <c r="W327" s="73">
        <f t="shared" si="323"/>
        <v>-8.1967213114754189E-3</v>
      </c>
      <c r="X327" s="73">
        <f t="shared" si="323"/>
        <v>3.669724770642202E-2</v>
      </c>
      <c r="Y327" s="73">
        <f t="shared" si="323"/>
        <v>-0.2142857142857143</v>
      </c>
      <c r="Z327" s="73">
        <f t="shared" ref="Z327:AI327" si="324">Z325/U325-1</f>
        <v>-0.23893805309734517</v>
      </c>
      <c r="AA327" s="24">
        <f t="shared" si="324"/>
        <v>-0.10180995475113119</v>
      </c>
      <c r="AB327" s="73">
        <f t="shared" si="324"/>
        <v>-0.53719008264462809</v>
      </c>
      <c r="AC327" s="73">
        <f t="shared" si="324"/>
        <v>-0.19469026548672563</v>
      </c>
      <c r="AD327" s="73">
        <f t="shared" si="324"/>
        <v>0.22077922077922074</v>
      </c>
      <c r="AE327" s="73">
        <f t="shared" si="324"/>
        <v>9.3023255813953432E-2</v>
      </c>
      <c r="AF327" s="24">
        <f t="shared" si="324"/>
        <v>-0.15617128463476071</v>
      </c>
      <c r="AG327" s="73">
        <f t="shared" si="324"/>
        <v>0.1964285714285714</v>
      </c>
      <c r="AH327" s="73">
        <f t="shared" si="324"/>
        <v>5.4945054945054972E-2</v>
      </c>
      <c r="AI327" s="73">
        <f t="shared" si="324"/>
        <v>-7.4468085106383031E-2</v>
      </c>
      <c r="AJ327" s="73">
        <f t="shared" ref="AJ327:AS327" si="325">AJ325/AE325-1</f>
        <v>-5.3191489361702149E-2</v>
      </c>
      <c r="AK327" s="24">
        <v>1.1940298507462588E-2</v>
      </c>
      <c r="AL327" s="73">
        <v>0.44776119402985071</v>
      </c>
      <c r="AM327" s="73">
        <v>1.0416666666666665</v>
      </c>
      <c r="AN327" s="73">
        <v>-0.1954022988505747</v>
      </c>
      <c r="AO327" s="73">
        <v>-0.3707865168539326</v>
      </c>
      <c r="AP327" s="24">
        <v>0.2359882005899705</v>
      </c>
      <c r="AQ327" s="73">
        <v>-0.41237113402061853</v>
      </c>
      <c r="AR327" s="73">
        <v>-0.60714285714285721</v>
      </c>
      <c r="AS327" s="73">
        <v>-5.7142857142857162E-2</v>
      </c>
      <c r="AT327" s="73"/>
      <c r="AU327" s="24"/>
      <c r="AV327" s="73">
        <v>0</v>
      </c>
      <c r="AW327" s="73">
        <v>-0.25974025974025972</v>
      </c>
      <c r="AX327" s="73">
        <v>-0.13636363636363635</v>
      </c>
      <c r="AY327" s="73"/>
      <c r="AZ327" s="24"/>
    </row>
    <row r="328" spans="1:52">
      <c r="A328" s="69" t="s">
        <v>51</v>
      </c>
      <c r="B328" s="29">
        <f>296+85</f>
        <v>381</v>
      </c>
      <c r="C328" s="70">
        <v>103</v>
      </c>
      <c r="D328" s="70">
        <f>164+18</f>
        <v>182</v>
      </c>
      <c r="E328" s="70">
        <v>350</v>
      </c>
      <c r="F328" s="70">
        <f>G328-E328-D328-C328</f>
        <v>163</v>
      </c>
      <c r="G328" s="29">
        <f>538+260</f>
        <v>798</v>
      </c>
      <c r="H328" s="70">
        <v>149</v>
      </c>
      <c r="I328" s="70">
        <f>139+24</f>
        <v>163</v>
      </c>
      <c r="J328" s="70">
        <v>146</v>
      </c>
      <c r="K328" s="70">
        <f>L328-J328-I328-H328</f>
        <v>101</v>
      </c>
      <c r="L328" s="29">
        <f>457+102</f>
        <v>559</v>
      </c>
      <c r="M328" s="70">
        <f>68+24</f>
        <v>92</v>
      </c>
      <c r="N328" s="70">
        <f>86+28</f>
        <v>114</v>
      </c>
      <c r="O328" s="70">
        <f>73+26</f>
        <v>99</v>
      </c>
      <c r="P328" s="70">
        <f>Q328-O328-N328-M328</f>
        <v>92</v>
      </c>
      <c r="Q328" s="29">
        <f>292+105</f>
        <v>397</v>
      </c>
      <c r="R328" s="70">
        <v>133</v>
      </c>
      <c r="S328" s="70">
        <v>86</v>
      </c>
      <c r="T328" s="70">
        <f>83+24</f>
        <v>107</v>
      </c>
      <c r="U328" s="70">
        <f>V328-T328-S328-R328</f>
        <v>93</v>
      </c>
      <c r="V328" s="29">
        <f>321+98</f>
        <v>419</v>
      </c>
      <c r="W328" s="70">
        <v>115</v>
      </c>
      <c r="X328" s="70">
        <f>94+15</f>
        <v>109</v>
      </c>
      <c r="Y328" s="70">
        <v>84</v>
      </c>
      <c r="Z328" s="70">
        <f>AA328-Y328-X328-W328</f>
        <v>76</v>
      </c>
      <c r="AA328" s="98">
        <v>384</v>
      </c>
      <c r="AB328" s="70">
        <v>66</v>
      </c>
      <c r="AC328" s="70">
        <f>71+13</f>
        <v>84</v>
      </c>
      <c r="AD328" s="70">
        <v>92</v>
      </c>
      <c r="AE328" s="70">
        <f>AF328-AD328-AC328-AB328</f>
        <v>78</v>
      </c>
      <c r="AF328" s="98">
        <v>320</v>
      </c>
      <c r="AG328" s="70">
        <f>62+11</f>
        <v>73</v>
      </c>
      <c r="AH328" s="70">
        <v>90</v>
      </c>
      <c r="AI328" s="70">
        <f>71+13</f>
        <v>84</v>
      </c>
      <c r="AJ328" s="70">
        <f>AK328-AI328-AH328-AG328</f>
        <v>82</v>
      </c>
      <c r="AK328" s="98">
        <v>329</v>
      </c>
      <c r="AL328" s="70">
        <v>73</v>
      </c>
      <c r="AM328" s="70">
        <v>199</v>
      </c>
      <c r="AN328" s="70">
        <v>91</v>
      </c>
      <c r="AO328" s="70">
        <v>65</v>
      </c>
      <c r="AP328" s="98">
        <v>428</v>
      </c>
      <c r="AQ328" s="70">
        <v>52</v>
      </c>
      <c r="AR328" s="70">
        <v>63</v>
      </c>
      <c r="AS328" s="70">
        <v>64</v>
      </c>
      <c r="AT328" s="70">
        <v>64</v>
      </c>
      <c r="AU328" s="98">
        <v>243</v>
      </c>
      <c r="AV328" s="70">
        <v>73</v>
      </c>
      <c r="AW328" s="70">
        <v>82</v>
      </c>
      <c r="AX328" s="70">
        <v>78</v>
      </c>
      <c r="AY328" s="70">
        <v>77</v>
      </c>
      <c r="AZ328" s="98">
        <v>310</v>
      </c>
    </row>
    <row r="329" spans="1:52">
      <c r="A329" s="71" t="s">
        <v>7</v>
      </c>
      <c r="B329" s="24"/>
      <c r="C329" s="72"/>
      <c r="D329" s="72">
        <f>D328/C328-1</f>
        <v>0.76699029126213603</v>
      </c>
      <c r="E329" s="72">
        <f>E328/D328-1</f>
        <v>0.92307692307692313</v>
      </c>
      <c r="F329" s="72">
        <f>F328/E328-1</f>
        <v>-0.53428571428571425</v>
      </c>
      <c r="G329" s="24"/>
      <c r="H329" s="72">
        <f>H328/F328-1</f>
        <v>-8.5889570552147187E-2</v>
      </c>
      <c r="I329" s="72">
        <f>I328/H328-1</f>
        <v>9.3959731543624248E-2</v>
      </c>
      <c r="J329" s="72">
        <f>J328/I328-1</f>
        <v>-0.10429447852760731</v>
      </c>
      <c r="K329" s="72">
        <f>K328/J328-1</f>
        <v>-0.30821917808219179</v>
      </c>
      <c r="L329" s="24"/>
      <c r="M329" s="72">
        <f>M328/K328-1</f>
        <v>-8.9108910891089077E-2</v>
      </c>
      <c r="N329" s="72">
        <f>N328/M328-1</f>
        <v>0.23913043478260865</v>
      </c>
      <c r="O329" s="72">
        <f>O328/N328-1</f>
        <v>-0.13157894736842102</v>
      </c>
      <c r="P329" s="72">
        <f>P328/O328-1</f>
        <v>-7.0707070707070718E-2</v>
      </c>
      <c r="Q329" s="24"/>
      <c r="R329" s="72">
        <f>R328/P328-1</f>
        <v>0.44565217391304346</v>
      </c>
      <c r="S329" s="72">
        <f>S328/R328-1</f>
        <v>-0.35338345864661658</v>
      </c>
      <c r="T329" s="72">
        <f>T328/S328-1</f>
        <v>0.2441860465116279</v>
      </c>
      <c r="U329" s="72">
        <f>U328/T328-1</f>
        <v>-0.13084112149532712</v>
      </c>
      <c r="V329" s="24"/>
      <c r="W329" s="72">
        <f>W328/U328-1</f>
        <v>0.23655913978494625</v>
      </c>
      <c r="X329" s="72">
        <f>X328/W328-1</f>
        <v>-5.2173913043478293E-2</v>
      </c>
      <c r="Y329" s="72">
        <f>Y328/X328-1</f>
        <v>-0.22935779816513757</v>
      </c>
      <c r="Z329" s="72">
        <f>Z328/Y328-1</f>
        <v>-9.5238095238095233E-2</v>
      </c>
      <c r="AA329" s="24"/>
      <c r="AB329" s="72">
        <f>AB328/Z328-1</f>
        <v>-0.13157894736842102</v>
      </c>
      <c r="AC329" s="72">
        <f>AC328/AB328-1</f>
        <v>0.27272727272727271</v>
      </c>
      <c r="AD329" s="72">
        <f>AD328/AC328-1</f>
        <v>9.5238095238095344E-2</v>
      </c>
      <c r="AE329" s="72">
        <f>AE328/AD328-1</f>
        <v>-0.15217391304347827</v>
      </c>
      <c r="AF329" s="24"/>
      <c r="AG329" s="72">
        <f>AG328/AE328-1</f>
        <v>-6.4102564102564097E-2</v>
      </c>
      <c r="AH329" s="72">
        <f>AH328/AG328-1</f>
        <v>0.23287671232876717</v>
      </c>
      <c r="AI329" s="72">
        <f>AI328/AH328-1</f>
        <v>-6.6666666666666652E-2</v>
      </c>
      <c r="AJ329" s="72">
        <f>AJ328/AI328-1</f>
        <v>-2.3809523809523836E-2</v>
      </c>
      <c r="AK329" s="24"/>
      <c r="AL329" s="72">
        <v>-0.1097560975609756</v>
      </c>
      <c r="AM329" s="72">
        <v>1.7260273972602738</v>
      </c>
      <c r="AN329" s="72">
        <v>-0.542713567839196</v>
      </c>
      <c r="AO329" s="72">
        <v>-0.2857142857142857</v>
      </c>
      <c r="AP329" s="24"/>
      <c r="AQ329" s="72">
        <v>-0.19999999999999996</v>
      </c>
      <c r="AR329" s="72">
        <v>0.21153846153846145</v>
      </c>
      <c r="AS329" s="72">
        <v>1.5873015873015817E-2</v>
      </c>
      <c r="AT329" s="72">
        <v>0</v>
      </c>
      <c r="AU329" s="24"/>
      <c r="AV329" s="72">
        <v>0.140625</v>
      </c>
      <c r="AW329" s="72">
        <v>0.12328767123287676</v>
      </c>
      <c r="AX329" s="72">
        <v>-4.8780487804878092E-2</v>
      </c>
      <c r="AY329" s="72">
        <v>-1.2820512820512775E-2</v>
      </c>
      <c r="AZ329" s="24"/>
    </row>
    <row r="330" spans="1:52">
      <c r="A330" s="71" t="s">
        <v>8</v>
      </c>
      <c r="B330" s="24"/>
      <c r="C330" s="73"/>
      <c r="D330" s="73"/>
      <c r="E330" s="73"/>
      <c r="F330" s="73"/>
      <c r="G330" s="24">
        <f t="shared" ref="G330:N330" si="326">G328/B328-1</f>
        <v>1.0944881889763778</v>
      </c>
      <c r="H330" s="73">
        <f t="shared" si="326"/>
        <v>0.44660194174757284</v>
      </c>
      <c r="I330" s="73">
        <f t="shared" si="326"/>
        <v>-0.10439560439560436</v>
      </c>
      <c r="J330" s="73">
        <f t="shared" si="326"/>
        <v>-0.58285714285714285</v>
      </c>
      <c r="K330" s="73">
        <f t="shared" si="326"/>
        <v>-0.38036809815950923</v>
      </c>
      <c r="L330" s="24">
        <f t="shared" si="326"/>
        <v>-0.29949874686716793</v>
      </c>
      <c r="M330" s="73">
        <f t="shared" si="326"/>
        <v>-0.3825503355704698</v>
      </c>
      <c r="N330" s="73">
        <f t="shared" si="326"/>
        <v>-0.30061349693251538</v>
      </c>
      <c r="O330" s="73">
        <f t="shared" ref="O330:Y330" si="327">O328/J328-1</f>
        <v>-0.32191780821917804</v>
      </c>
      <c r="P330" s="73">
        <f t="shared" si="327"/>
        <v>-8.9108910891089077E-2</v>
      </c>
      <c r="Q330" s="24">
        <f t="shared" si="327"/>
        <v>-0.28980322003577819</v>
      </c>
      <c r="R330" s="73">
        <f t="shared" si="327"/>
        <v>0.44565217391304346</v>
      </c>
      <c r="S330" s="73">
        <f t="shared" si="327"/>
        <v>-0.24561403508771928</v>
      </c>
      <c r="T330" s="73">
        <f t="shared" si="327"/>
        <v>8.0808080808080884E-2</v>
      </c>
      <c r="U330" s="73">
        <f t="shared" si="327"/>
        <v>1.0869565217391353E-2</v>
      </c>
      <c r="V330" s="24">
        <f t="shared" si="327"/>
        <v>5.5415617128463435E-2</v>
      </c>
      <c r="W330" s="73">
        <f t="shared" si="327"/>
        <v>-0.13533834586466165</v>
      </c>
      <c r="X330" s="73">
        <f t="shared" si="327"/>
        <v>0.26744186046511631</v>
      </c>
      <c r="Y330" s="73">
        <f t="shared" si="327"/>
        <v>-0.21495327102803741</v>
      </c>
      <c r="Z330" s="73">
        <f t="shared" ref="Z330:AI330" si="328">Z328/U328-1</f>
        <v>-0.18279569892473113</v>
      </c>
      <c r="AA330" s="24">
        <f t="shared" si="328"/>
        <v>-8.3532219570405686E-2</v>
      </c>
      <c r="AB330" s="73">
        <f t="shared" si="328"/>
        <v>-0.42608695652173911</v>
      </c>
      <c r="AC330" s="73">
        <f t="shared" si="328"/>
        <v>-0.22935779816513757</v>
      </c>
      <c r="AD330" s="73">
        <f t="shared" si="328"/>
        <v>9.5238095238095344E-2</v>
      </c>
      <c r="AE330" s="73">
        <f t="shared" si="328"/>
        <v>2.6315789473684292E-2</v>
      </c>
      <c r="AF330" s="24">
        <f t="shared" si="328"/>
        <v>-0.16666666666666663</v>
      </c>
      <c r="AG330" s="73">
        <f t="shared" si="328"/>
        <v>0.10606060606060597</v>
      </c>
      <c r="AH330" s="73">
        <f t="shared" si="328"/>
        <v>7.1428571428571397E-2</v>
      </c>
      <c r="AI330" s="73">
        <f t="shared" si="328"/>
        <v>-8.6956521739130488E-2</v>
      </c>
      <c r="AJ330" s="73">
        <f t="shared" ref="AJ330:AS330" si="329">AJ328/AE328-1</f>
        <v>5.1282051282051322E-2</v>
      </c>
      <c r="AK330" s="24">
        <v>2.8124999999999956E-2</v>
      </c>
      <c r="AL330" s="73">
        <v>0</v>
      </c>
      <c r="AM330" s="73">
        <v>1.2111111111111112</v>
      </c>
      <c r="AN330" s="73">
        <v>8.3333333333333259E-2</v>
      </c>
      <c r="AO330" s="73">
        <v>-0.20731707317073167</v>
      </c>
      <c r="AP330" s="24">
        <v>0.30091185410334353</v>
      </c>
      <c r="AQ330" s="73">
        <v>-0.28767123287671237</v>
      </c>
      <c r="AR330" s="73">
        <v>-0.68341708542713575</v>
      </c>
      <c r="AS330" s="73">
        <v>-0.29670329670329665</v>
      </c>
      <c r="AT330" s="73">
        <v>-1.538461538461533E-2</v>
      </c>
      <c r="AU330" s="24">
        <v>-0.43224299065420557</v>
      </c>
      <c r="AV330" s="73">
        <v>0.40384615384615374</v>
      </c>
      <c r="AW330" s="73">
        <v>0.30158730158730163</v>
      </c>
      <c r="AX330" s="73">
        <v>0.21875</v>
      </c>
      <c r="AY330" s="73">
        <v>0.203125</v>
      </c>
      <c r="AZ330" s="24">
        <v>0.27572016460905346</v>
      </c>
    </row>
    <row r="331" spans="1:52" s="36" customFormat="1">
      <c r="A331" s="69" t="s">
        <v>52</v>
      </c>
      <c r="B331" s="29">
        <f>B328-5</f>
        <v>376</v>
      </c>
      <c r="C331" s="70">
        <f>C328-1</f>
        <v>102</v>
      </c>
      <c r="D331" s="70">
        <f>D328-1</f>
        <v>181</v>
      </c>
      <c r="E331" s="70">
        <v>350</v>
      </c>
      <c r="F331" s="70">
        <f>G331-E331-D331-C331</f>
        <v>162</v>
      </c>
      <c r="G331" s="29">
        <f>G328-3</f>
        <v>795</v>
      </c>
      <c r="H331" s="70">
        <v>149</v>
      </c>
      <c r="I331" s="70">
        <f>I328-4</f>
        <v>159</v>
      </c>
      <c r="J331" s="70">
        <v>146</v>
      </c>
      <c r="K331" s="70">
        <f>L331-J331-I331-H331</f>
        <v>101</v>
      </c>
      <c r="L331" s="29">
        <f>L328-4</f>
        <v>555</v>
      </c>
      <c r="M331" s="70">
        <f>M328</f>
        <v>92</v>
      </c>
      <c r="N331" s="70">
        <f>N328</f>
        <v>114</v>
      </c>
      <c r="O331" s="70">
        <f>O328</f>
        <v>99</v>
      </c>
      <c r="P331" s="70">
        <f>Q331-O331-N331-M331</f>
        <v>92</v>
      </c>
      <c r="Q331" s="29">
        <f>Q328</f>
        <v>397</v>
      </c>
      <c r="R331" s="70">
        <f>R328</f>
        <v>133</v>
      </c>
      <c r="S331" s="70">
        <v>86</v>
      </c>
      <c r="T331" s="70">
        <f>T328-36</f>
        <v>71</v>
      </c>
      <c r="U331" s="70">
        <f>V331-T331-S331-R331</f>
        <v>92</v>
      </c>
      <c r="V331" s="29">
        <f>V328-1-36</f>
        <v>382</v>
      </c>
      <c r="W331" s="70">
        <f>W328</f>
        <v>115</v>
      </c>
      <c r="X331" s="70">
        <f>X328</f>
        <v>109</v>
      </c>
      <c r="Y331" s="70">
        <f>Y328</f>
        <v>84</v>
      </c>
      <c r="Z331" s="70">
        <f>AA331-Y331-X331-W331</f>
        <v>73</v>
      </c>
      <c r="AA331" s="98">
        <f>AA328-3</f>
        <v>381</v>
      </c>
      <c r="AB331" s="70">
        <f>AB328</f>
        <v>66</v>
      </c>
      <c r="AC331" s="70">
        <f>AC328</f>
        <v>84</v>
      </c>
      <c r="AD331" s="70">
        <v>88</v>
      </c>
      <c r="AE331" s="70">
        <v>77</v>
      </c>
      <c r="AF331" s="98">
        <v>315</v>
      </c>
      <c r="AG331" s="70">
        <f>AG328</f>
        <v>73</v>
      </c>
      <c r="AH331" s="70">
        <f>AH328-5</f>
        <v>85</v>
      </c>
      <c r="AI331" s="70">
        <f>AI328-1</f>
        <v>83</v>
      </c>
      <c r="AJ331" s="70">
        <f>AK331-AI331-AH331-AG331</f>
        <v>80</v>
      </c>
      <c r="AK331" s="98">
        <v>321</v>
      </c>
      <c r="AL331" s="70">
        <v>72</v>
      </c>
      <c r="AM331" s="70">
        <v>199</v>
      </c>
      <c r="AN331" s="70">
        <v>90</v>
      </c>
      <c r="AO331" s="70">
        <v>65</v>
      </c>
      <c r="AP331" s="98">
        <v>426</v>
      </c>
      <c r="AQ331" s="70">
        <v>51</v>
      </c>
      <c r="AR331" s="70">
        <v>63</v>
      </c>
      <c r="AS331" s="70">
        <v>64</v>
      </c>
      <c r="AT331" s="70">
        <v>63</v>
      </c>
      <c r="AU331" s="98">
        <v>241</v>
      </c>
      <c r="AV331" s="70">
        <v>73</v>
      </c>
      <c r="AW331" s="70">
        <v>82</v>
      </c>
      <c r="AX331" s="70">
        <v>78</v>
      </c>
      <c r="AY331" s="70">
        <v>76</v>
      </c>
      <c r="AZ331" s="98">
        <v>309</v>
      </c>
    </row>
    <row r="332" spans="1:52">
      <c r="A332" s="71" t="s">
        <v>7</v>
      </c>
      <c r="B332" s="24"/>
      <c r="C332" s="72"/>
      <c r="D332" s="72">
        <f>D331/C331-1</f>
        <v>0.77450980392156854</v>
      </c>
      <c r="E332" s="72">
        <f>E331/D331-1</f>
        <v>0.93370165745856348</v>
      </c>
      <c r="F332" s="72">
        <f>F331/E331-1</f>
        <v>-0.53714285714285714</v>
      </c>
      <c r="G332" s="24"/>
      <c r="H332" s="72">
        <f>H331/F331-1</f>
        <v>-8.0246913580246937E-2</v>
      </c>
      <c r="I332" s="72">
        <f>I331/H331-1</f>
        <v>6.7114093959731447E-2</v>
      </c>
      <c r="J332" s="72">
        <f>J331/I331-1</f>
        <v>-8.1761006289308158E-2</v>
      </c>
      <c r="K332" s="72">
        <f>K331/J331-1</f>
        <v>-0.30821917808219179</v>
      </c>
      <c r="L332" s="24"/>
      <c r="M332" s="72">
        <f>M331/K331-1</f>
        <v>-8.9108910891089077E-2</v>
      </c>
      <c r="N332" s="72">
        <f>N331/M331-1</f>
        <v>0.23913043478260865</v>
      </c>
      <c r="O332" s="72">
        <f>O331/N331-1</f>
        <v>-0.13157894736842102</v>
      </c>
      <c r="P332" s="72">
        <f>P331/O331-1</f>
        <v>-7.0707070707070718E-2</v>
      </c>
      <c r="Q332" s="24"/>
      <c r="R332" s="72">
        <f>R331/P331-1</f>
        <v>0.44565217391304346</v>
      </c>
      <c r="S332" s="72">
        <f>S331/R331-1</f>
        <v>-0.35338345864661658</v>
      </c>
      <c r="T332" s="72">
        <f>T331/S331-1</f>
        <v>-0.17441860465116277</v>
      </c>
      <c r="U332" s="72">
        <f>U331/T331-1</f>
        <v>0.29577464788732399</v>
      </c>
      <c r="V332" s="24"/>
      <c r="W332" s="72">
        <f>W331/U331-1</f>
        <v>0.25</v>
      </c>
      <c r="X332" s="72">
        <f>X331/W331-1</f>
        <v>-5.2173913043478293E-2</v>
      </c>
      <c r="Y332" s="72">
        <f>Y331/X331-1</f>
        <v>-0.22935779816513757</v>
      </c>
      <c r="Z332" s="72">
        <f>Z331/Y331-1</f>
        <v>-0.13095238095238093</v>
      </c>
      <c r="AA332" s="24"/>
      <c r="AB332" s="72">
        <f>AB331/Z331-1</f>
        <v>-9.589041095890416E-2</v>
      </c>
      <c r="AC332" s="72">
        <f>AC331/AB331-1</f>
        <v>0.27272727272727271</v>
      </c>
      <c r="AD332" s="72">
        <f>AD331/AC331-1</f>
        <v>4.7619047619047672E-2</v>
      </c>
      <c r="AE332" s="72">
        <f>AE331/AD331-1</f>
        <v>-0.125</v>
      </c>
      <c r="AF332" s="24"/>
      <c r="AG332" s="72">
        <f>AG331/AE331-1</f>
        <v>-5.1948051948051965E-2</v>
      </c>
      <c r="AH332" s="72">
        <f>AH331/AG331-1</f>
        <v>0.16438356164383561</v>
      </c>
      <c r="AI332" s="72">
        <f>AI331/AH331-1</f>
        <v>-2.352941176470591E-2</v>
      </c>
      <c r="AJ332" s="72">
        <f>AJ331/AI331-1</f>
        <v>-3.6144578313253017E-2</v>
      </c>
      <c r="AK332" s="24"/>
      <c r="AL332" s="72">
        <v>-9.9999999999999978E-2</v>
      </c>
      <c r="AM332" s="72">
        <v>1.7638888888888888</v>
      </c>
      <c r="AN332" s="72">
        <v>-0.54773869346733672</v>
      </c>
      <c r="AO332" s="72">
        <v>-0.27777777777777779</v>
      </c>
      <c r="AP332" s="24"/>
      <c r="AQ332" s="72">
        <v>-0.2153846153846154</v>
      </c>
      <c r="AR332" s="72">
        <v>0.23529411764705888</v>
      </c>
      <c r="AS332" s="72">
        <v>1.5873015873015817E-2</v>
      </c>
      <c r="AT332" s="72">
        <v>-1.5625E-2</v>
      </c>
      <c r="AU332" s="24"/>
      <c r="AV332" s="72">
        <v>0.15873015873015883</v>
      </c>
      <c r="AW332" s="72">
        <v>0.12328767123287676</v>
      </c>
      <c r="AX332" s="72">
        <v>-4.8780487804878092E-2</v>
      </c>
      <c r="AY332" s="72">
        <v>-2.5641025641025661E-2</v>
      </c>
      <c r="AZ332" s="24"/>
    </row>
    <row r="333" spans="1:52">
      <c r="A333" s="71" t="s">
        <v>8</v>
      </c>
      <c r="B333" s="24"/>
      <c r="C333" s="73"/>
      <c r="D333" s="73"/>
      <c r="E333" s="73"/>
      <c r="F333" s="73"/>
      <c r="G333" s="24">
        <f t="shared" ref="G333:N333" si="330">G331/B331-1</f>
        <v>1.1143617021276597</v>
      </c>
      <c r="H333" s="73">
        <f t="shared" si="330"/>
        <v>0.46078431372549011</v>
      </c>
      <c r="I333" s="73">
        <f t="shared" si="330"/>
        <v>-0.12154696132596687</v>
      </c>
      <c r="J333" s="73">
        <f t="shared" si="330"/>
        <v>-0.58285714285714285</v>
      </c>
      <c r="K333" s="73">
        <f t="shared" si="330"/>
        <v>-0.37654320987654322</v>
      </c>
      <c r="L333" s="24">
        <f t="shared" si="330"/>
        <v>-0.30188679245283023</v>
      </c>
      <c r="M333" s="73">
        <f t="shared" si="330"/>
        <v>-0.3825503355704698</v>
      </c>
      <c r="N333" s="73">
        <f t="shared" si="330"/>
        <v>-0.28301886792452835</v>
      </c>
      <c r="O333" s="73">
        <f t="shared" ref="O333:Y333" si="331">O331/J331-1</f>
        <v>-0.32191780821917804</v>
      </c>
      <c r="P333" s="73">
        <f t="shared" si="331"/>
        <v>-8.9108910891089077E-2</v>
      </c>
      <c r="Q333" s="24">
        <f t="shared" si="331"/>
        <v>-0.28468468468468466</v>
      </c>
      <c r="R333" s="73">
        <f t="shared" si="331"/>
        <v>0.44565217391304346</v>
      </c>
      <c r="S333" s="73">
        <f t="shared" si="331"/>
        <v>-0.24561403508771928</v>
      </c>
      <c r="T333" s="73">
        <f t="shared" si="331"/>
        <v>-0.28282828282828287</v>
      </c>
      <c r="U333" s="73">
        <f t="shared" si="331"/>
        <v>0</v>
      </c>
      <c r="V333" s="24">
        <f t="shared" si="331"/>
        <v>-3.7783375314861423E-2</v>
      </c>
      <c r="W333" s="73">
        <f t="shared" si="331"/>
        <v>-0.13533834586466165</v>
      </c>
      <c r="X333" s="73">
        <f t="shared" si="331"/>
        <v>0.26744186046511631</v>
      </c>
      <c r="Y333" s="73">
        <f t="shared" si="331"/>
        <v>0.18309859154929575</v>
      </c>
      <c r="Z333" s="73">
        <f t="shared" ref="Z333:AI333" si="332">Z331/U331-1</f>
        <v>-0.20652173913043481</v>
      </c>
      <c r="AA333" s="24">
        <f t="shared" si="332"/>
        <v>-2.6178010471203939E-3</v>
      </c>
      <c r="AB333" s="73">
        <f t="shared" si="332"/>
        <v>-0.42608695652173911</v>
      </c>
      <c r="AC333" s="73">
        <f t="shared" si="332"/>
        <v>-0.22935779816513757</v>
      </c>
      <c r="AD333" s="73">
        <f t="shared" si="332"/>
        <v>4.7619047619047672E-2</v>
      </c>
      <c r="AE333" s="73">
        <f t="shared" si="332"/>
        <v>5.4794520547945202E-2</v>
      </c>
      <c r="AF333" s="24">
        <f t="shared" si="332"/>
        <v>-0.17322834645669294</v>
      </c>
      <c r="AG333" s="73">
        <f t="shared" si="332"/>
        <v>0.10606060606060597</v>
      </c>
      <c r="AH333" s="73">
        <f t="shared" si="332"/>
        <v>1.1904761904761862E-2</v>
      </c>
      <c r="AI333" s="73">
        <f t="shared" si="332"/>
        <v>-5.6818181818181768E-2</v>
      </c>
      <c r="AJ333" s="73">
        <f t="shared" ref="AJ333:AS333" si="333">AJ331/AE331-1</f>
        <v>3.8961038961038863E-2</v>
      </c>
      <c r="AK333" s="24">
        <v>1.904761904761898E-2</v>
      </c>
      <c r="AL333" s="73">
        <v>-1.3698630136986356E-2</v>
      </c>
      <c r="AM333" s="73">
        <v>1.3411764705882354</v>
      </c>
      <c r="AN333" s="73">
        <v>8.43373493975903E-2</v>
      </c>
      <c r="AO333" s="73">
        <v>-0.1875</v>
      </c>
      <c r="AP333" s="24">
        <v>0.32710280373831768</v>
      </c>
      <c r="AQ333" s="73">
        <v>-0.29166666666666663</v>
      </c>
      <c r="AR333" s="73">
        <v>-0.68341708542713575</v>
      </c>
      <c r="AS333" s="73">
        <v>-0.28888888888888886</v>
      </c>
      <c r="AT333" s="73">
        <v>-3.0769230769230771E-2</v>
      </c>
      <c r="AU333" s="24">
        <v>-0.43427230046948362</v>
      </c>
      <c r="AV333" s="73">
        <v>0.43137254901960786</v>
      </c>
      <c r="AW333" s="73">
        <v>0.30158730158730163</v>
      </c>
      <c r="AX333" s="73">
        <v>0.21875</v>
      </c>
      <c r="AY333" s="73">
        <v>0.20634920634920628</v>
      </c>
      <c r="AZ333" s="24">
        <v>0.28215767634854783</v>
      </c>
    </row>
    <row r="334" spans="1:52" s="36" customFormat="1">
      <c r="A334" s="69" t="s">
        <v>13</v>
      </c>
      <c r="B334" s="29">
        <f>B322-B331</f>
        <v>852</v>
      </c>
      <c r="C334" s="77">
        <f>C322-C331</f>
        <v>154</v>
      </c>
      <c r="D334" s="77">
        <f>D322-D331</f>
        <v>163</v>
      </c>
      <c r="E334" s="77">
        <f>E322-E331</f>
        <v>29</v>
      </c>
      <c r="F334" s="70">
        <f>G334-E334-D334-C334</f>
        <v>136</v>
      </c>
      <c r="G334" s="29">
        <f>G322-G331</f>
        <v>482</v>
      </c>
      <c r="H334" s="77">
        <f>H322-H331</f>
        <v>226</v>
      </c>
      <c r="I334" s="77">
        <f>I322-I331</f>
        <v>131</v>
      </c>
      <c r="J334" s="77">
        <f>J322-J331</f>
        <v>249</v>
      </c>
      <c r="K334" s="70">
        <v>-45</v>
      </c>
      <c r="L334" s="29">
        <f>L322-L331</f>
        <v>560</v>
      </c>
      <c r="M334" s="77">
        <f>M322-M331</f>
        <v>258</v>
      </c>
      <c r="N334" s="77">
        <f>N322-N331</f>
        <v>264</v>
      </c>
      <c r="O334" s="77">
        <f>O322-O331</f>
        <v>301</v>
      </c>
      <c r="P334" s="70">
        <f>Q334-O334-N334-M334</f>
        <v>-1</v>
      </c>
      <c r="Q334" s="98">
        <f>Q322-Q331</f>
        <v>822</v>
      </c>
      <c r="R334" s="77">
        <f>R322-R331</f>
        <v>175</v>
      </c>
      <c r="S334" s="77">
        <f>S322-S331</f>
        <v>15</v>
      </c>
      <c r="T334" s="77">
        <f>T322-T331</f>
        <v>97</v>
      </c>
      <c r="U334" s="70">
        <f>V334-T334-S334-R334</f>
        <v>131</v>
      </c>
      <c r="V334" s="98">
        <f>V322-V331</f>
        <v>418</v>
      </c>
      <c r="W334" s="77">
        <f>W322-W331</f>
        <v>179</v>
      </c>
      <c r="X334" s="77">
        <f>X322-X331</f>
        <v>447</v>
      </c>
      <c r="Y334" s="77">
        <f>Y322-Y331</f>
        <v>406</v>
      </c>
      <c r="Z334" s="70">
        <f>AA334-Y334-X334-W334</f>
        <v>315</v>
      </c>
      <c r="AA334" s="98">
        <f>AA322-AA331</f>
        <v>1347</v>
      </c>
      <c r="AB334" s="77">
        <f>AB322-AB331</f>
        <v>288</v>
      </c>
      <c r="AC334" s="77">
        <f>AC322-AC331</f>
        <v>384</v>
      </c>
      <c r="AD334" s="77">
        <f>AD322-AD331</f>
        <v>354</v>
      </c>
      <c r="AE334" s="70">
        <f>AF334-AD334-AC334-AB334</f>
        <v>250</v>
      </c>
      <c r="AF334" s="98">
        <f>AF322-AF331</f>
        <v>1276</v>
      </c>
      <c r="AG334" s="77">
        <f>AG322-AG331</f>
        <v>276</v>
      </c>
      <c r="AH334" s="77">
        <f>AH322-AH331</f>
        <v>335</v>
      </c>
      <c r="AI334" s="77">
        <f>AI322-AI331</f>
        <v>203</v>
      </c>
      <c r="AJ334" s="70">
        <f>AK334-AI334-AH334-AG334</f>
        <v>78</v>
      </c>
      <c r="AK334" s="98">
        <v>892</v>
      </c>
      <c r="AL334" s="77">
        <v>279</v>
      </c>
      <c r="AM334" s="77">
        <v>3</v>
      </c>
      <c r="AN334" s="77">
        <v>73</v>
      </c>
      <c r="AO334" s="70">
        <v>-51</v>
      </c>
      <c r="AP334" s="98">
        <v>304</v>
      </c>
      <c r="AQ334" s="77">
        <v>134</v>
      </c>
      <c r="AR334" s="77">
        <v>117</v>
      </c>
      <c r="AS334" s="77">
        <v>88</v>
      </c>
      <c r="AT334" s="70">
        <v>2</v>
      </c>
      <c r="AU334" s="98">
        <v>341</v>
      </c>
      <c r="AV334" s="77">
        <v>44</v>
      </c>
      <c r="AW334" s="77">
        <v>111</v>
      </c>
      <c r="AX334" s="77">
        <v>131</v>
      </c>
      <c r="AY334" s="70">
        <v>10</v>
      </c>
      <c r="AZ334" s="98">
        <v>296</v>
      </c>
    </row>
    <row r="335" spans="1:52">
      <c r="A335" s="71" t="s">
        <v>7</v>
      </c>
      <c r="B335" s="24"/>
      <c r="C335" s="72"/>
      <c r="D335" s="72">
        <f>D334/C334-1</f>
        <v>5.8441558441558517E-2</v>
      </c>
      <c r="E335" s="72">
        <f>E334/D334-1</f>
        <v>-0.82208588957055218</v>
      </c>
      <c r="F335" s="72">
        <f>F334/E334-1</f>
        <v>3.6896551724137927</v>
      </c>
      <c r="G335" s="24"/>
      <c r="H335" s="72">
        <f>H334/F334-1</f>
        <v>0.66176470588235303</v>
      </c>
      <c r="I335" s="72">
        <f>I334/H334-1</f>
        <v>-0.42035398230088494</v>
      </c>
      <c r="J335" s="72">
        <f>J334/I334-1</f>
        <v>0.9007633587786259</v>
      </c>
      <c r="K335" s="72">
        <f>K334/J334-1</f>
        <v>-1.1807228915662651</v>
      </c>
      <c r="L335" s="24"/>
      <c r="M335" s="72">
        <f>M334/K334-1</f>
        <v>-6.7333333333333334</v>
      </c>
      <c r="N335" s="72">
        <f>N334/M334-1</f>
        <v>2.3255813953488413E-2</v>
      </c>
      <c r="O335" s="72">
        <f>O334/N334-1</f>
        <v>0.14015151515151514</v>
      </c>
      <c r="P335" s="72">
        <f>P334/O334-1</f>
        <v>-1.0033222591362125</v>
      </c>
      <c r="Q335" s="24"/>
      <c r="R335" s="119" t="s">
        <v>44</v>
      </c>
      <c r="S335" s="72">
        <f>S334/R334-1</f>
        <v>-0.91428571428571426</v>
      </c>
      <c r="T335" s="72">
        <f>T334/S334-1</f>
        <v>5.4666666666666668</v>
      </c>
      <c r="U335" s="72">
        <f>U334/T334-1</f>
        <v>0.35051546391752586</v>
      </c>
      <c r="V335" s="24"/>
      <c r="W335" s="72">
        <f>W334/U334-1</f>
        <v>0.36641221374045796</v>
      </c>
      <c r="X335" s="72">
        <f>X334/W334-1</f>
        <v>1.4972067039106145</v>
      </c>
      <c r="Y335" s="72">
        <f>Y334/X334-1</f>
        <v>-9.1722595078299829E-2</v>
      </c>
      <c r="Z335" s="72">
        <f>Z334/Y334-1</f>
        <v>-0.22413793103448276</v>
      </c>
      <c r="AA335" s="24"/>
      <c r="AB335" s="72">
        <f>AB334/Z334-1</f>
        <v>-8.5714285714285743E-2</v>
      </c>
      <c r="AC335" s="72">
        <f>AC334/AB334-1</f>
        <v>0.33333333333333326</v>
      </c>
      <c r="AD335" s="72">
        <f>AD334/AC334-1</f>
        <v>-7.8125E-2</v>
      </c>
      <c r="AE335" s="72">
        <f>AE334/AD334-1</f>
        <v>-0.29378531073446323</v>
      </c>
      <c r="AF335" s="24"/>
      <c r="AG335" s="72">
        <f>AG334/AE334-1</f>
        <v>0.10400000000000009</v>
      </c>
      <c r="AH335" s="72">
        <f>AH334/AG334-1</f>
        <v>0.21376811594202905</v>
      </c>
      <c r="AI335" s="72">
        <f>AI334/AH334-1</f>
        <v>-0.39402985074626862</v>
      </c>
      <c r="AJ335" s="72">
        <f>AJ334/AI334-1</f>
        <v>-0.61576354679802958</v>
      </c>
      <c r="AK335" s="24"/>
      <c r="AL335" s="72">
        <v>2.5769230769230771</v>
      </c>
      <c r="AM335" s="72">
        <v>-0.989247311827957</v>
      </c>
      <c r="AN335" s="72">
        <v>23.333333333333332</v>
      </c>
      <c r="AO335" s="85" t="s">
        <v>44</v>
      </c>
      <c r="AP335" s="24"/>
      <c r="AQ335" s="85" t="s">
        <v>44</v>
      </c>
      <c r="AR335" s="72">
        <v>-0.12686567164179108</v>
      </c>
      <c r="AS335" s="72">
        <v>-0.24786324786324787</v>
      </c>
      <c r="AT335" s="72">
        <v>-0.97727272727272729</v>
      </c>
      <c r="AU335" s="24"/>
      <c r="AV335" s="72">
        <v>21</v>
      </c>
      <c r="AW335" s="72">
        <v>1.5227272727272729</v>
      </c>
      <c r="AX335" s="72">
        <v>0.18018018018018012</v>
      </c>
      <c r="AY335" s="72">
        <v>-0.92366412213740456</v>
      </c>
      <c r="AZ335" s="24"/>
    </row>
    <row r="336" spans="1:52">
      <c r="A336" s="71" t="s">
        <v>8</v>
      </c>
      <c r="B336" s="24"/>
      <c r="C336" s="73"/>
      <c r="D336" s="73"/>
      <c r="E336" s="73"/>
      <c r="F336" s="73"/>
      <c r="G336" s="24">
        <f t="shared" ref="G336:N336" si="334">G334/B334-1</f>
        <v>-0.43427230046948362</v>
      </c>
      <c r="H336" s="73">
        <f t="shared" si="334"/>
        <v>0.46753246753246747</v>
      </c>
      <c r="I336" s="73">
        <f t="shared" si="334"/>
        <v>-0.19631901840490795</v>
      </c>
      <c r="J336" s="73">
        <f t="shared" si="334"/>
        <v>7.5862068965517242</v>
      </c>
      <c r="K336" s="73">
        <f t="shared" si="334"/>
        <v>-1.3308823529411764</v>
      </c>
      <c r="L336" s="24">
        <f t="shared" si="334"/>
        <v>0.16182572614107893</v>
      </c>
      <c r="M336" s="73">
        <f t="shared" si="334"/>
        <v>0.1415929203539823</v>
      </c>
      <c r="N336" s="73">
        <f t="shared" si="334"/>
        <v>1.0152671755725189</v>
      </c>
      <c r="O336" s="73">
        <f t="shared" ref="O336:Y336" si="335">O334/J334-1</f>
        <v>0.20883534136546178</v>
      </c>
      <c r="P336" s="73">
        <f t="shared" si="335"/>
        <v>-0.97777777777777775</v>
      </c>
      <c r="Q336" s="24">
        <f t="shared" si="335"/>
        <v>0.46785714285714275</v>
      </c>
      <c r="R336" s="73">
        <f t="shared" si="335"/>
        <v>-0.32170542635658916</v>
      </c>
      <c r="S336" s="73">
        <f t="shared" si="335"/>
        <v>-0.94318181818181823</v>
      </c>
      <c r="T336" s="73">
        <f t="shared" si="335"/>
        <v>-0.67774086378737541</v>
      </c>
      <c r="U336" s="83" t="s">
        <v>44</v>
      </c>
      <c r="V336" s="24">
        <f t="shared" si="335"/>
        <v>-0.4914841849148418</v>
      </c>
      <c r="W336" s="73">
        <f t="shared" si="335"/>
        <v>2.2857142857142909E-2</v>
      </c>
      <c r="X336" s="73">
        <f t="shared" si="335"/>
        <v>28.8</v>
      </c>
      <c r="Y336" s="73">
        <f t="shared" si="335"/>
        <v>3.1855670103092786</v>
      </c>
      <c r="Z336" s="73">
        <f t="shared" ref="Z336:AI336" si="336">Z334/U334-1</f>
        <v>1.4045801526717558</v>
      </c>
      <c r="AA336" s="24">
        <f t="shared" si="336"/>
        <v>2.2224880382775121</v>
      </c>
      <c r="AB336" s="73">
        <f t="shared" si="336"/>
        <v>0.6089385474860336</v>
      </c>
      <c r="AC336" s="73">
        <f t="shared" si="336"/>
        <v>-0.14093959731543626</v>
      </c>
      <c r="AD336" s="73">
        <f t="shared" si="336"/>
        <v>-0.1280788177339901</v>
      </c>
      <c r="AE336" s="73">
        <f t="shared" si="336"/>
        <v>-0.20634920634920639</v>
      </c>
      <c r="AF336" s="24">
        <f t="shared" si="336"/>
        <v>-5.2709725315515987E-2</v>
      </c>
      <c r="AG336" s="73">
        <f t="shared" si="336"/>
        <v>-4.166666666666663E-2</v>
      </c>
      <c r="AH336" s="73">
        <f t="shared" si="336"/>
        <v>-0.12760416666666663</v>
      </c>
      <c r="AI336" s="73">
        <f t="shared" si="336"/>
        <v>-0.42655367231638419</v>
      </c>
      <c r="AJ336" s="73">
        <f t="shared" ref="AJ336:AT336" si="337">AJ334/AE334-1</f>
        <v>-0.68799999999999994</v>
      </c>
      <c r="AK336" s="24">
        <v>-0.30094043887147337</v>
      </c>
      <c r="AL336" s="73">
        <v>1.0869565217391353E-2</v>
      </c>
      <c r="AM336" s="73">
        <v>-0.991044776119403</v>
      </c>
      <c r="AN336" s="73">
        <v>-0.64039408866995073</v>
      </c>
      <c r="AO336" s="85" t="s">
        <v>44</v>
      </c>
      <c r="AP336" s="24">
        <v>-0.65919282511210764</v>
      </c>
      <c r="AQ336" s="73">
        <v>-0.51971326164874554</v>
      </c>
      <c r="AR336" s="73">
        <v>38</v>
      </c>
      <c r="AS336" s="73">
        <v>0.20547945205479445</v>
      </c>
      <c r="AT336" s="73">
        <v>-1.0392156862745099</v>
      </c>
      <c r="AU336" s="24">
        <v>0.12171052631578938</v>
      </c>
      <c r="AV336" s="73">
        <v>-0.67164179104477606</v>
      </c>
      <c r="AW336" s="73">
        <v>-5.1282051282051322E-2</v>
      </c>
      <c r="AX336" s="73">
        <v>0.48863636363636354</v>
      </c>
      <c r="AY336" s="73">
        <v>4</v>
      </c>
      <c r="AZ336" s="24">
        <v>-0.13196480938416422</v>
      </c>
    </row>
    <row r="337" spans="1:52">
      <c r="A337" s="50" t="s">
        <v>20</v>
      </c>
      <c r="B337" s="40"/>
      <c r="C337" s="52"/>
      <c r="D337" s="52"/>
      <c r="E337" s="52"/>
      <c r="F337" s="52"/>
      <c r="G337" s="40"/>
      <c r="H337" s="52"/>
      <c r="I337" s="52"/>
      <c r="J337" s="52"/>
      <c r="K337" s="52"/>
      <c r="L337" s="40"/>
      <c r="M337" s="52"/>
      <c r="N337" s="52"/>
      <c r="O337" s="52"/>
      <c r="P337" s="52"/>
      <c r="Q337" s="40"/>
      <c r="R337" s="52"/>
      <c r="S337" s="52"/>
      <c r="T337" s="52"/>
      <c r="U337" s="52"/>
      <c r="V337" s="40"/>
      <c r="W337" s="52"/>
      <c r="X337" s="52"/>
      <c r="Y337" s="52"/>
      <c r="Z337" s="52"/>
      <c r="AA337" s="40"/>
      <c r="AB337" s="52"/>
      <c r="AC337" s="52"/>
      <c r="AD337" s="52"/>
      <c r="AE337" s="52"/>
      <c r="AF337" s="40"/>
      <c r="AG337" s="52"/>
      <c r="AH337" s="52"/>
      <c r="AI337" s="52"/>
      <c r="AJ337" s="52"/>
      <c r="AK337" s="40"/>
      <c r="AL337" s="52"/>
      <c r="AM337" s="52"/>
      <c r="AN337" s="52"/>
      <c r="AO337" s="52"/>
      <c r="AP337" s="40"/>
      <c r="AQ337" s="52"/>
      <c r="AR337" s="52"/>
      <c r="AS337" s="52"/>
      <c r="AT337" s="52"/>
      <c r="AU337" s="40"/>
      <c r="AV337" s="52"/>
      <c r="AW337" s="52"/>
      <c r="AX337" s="52"/>
      <c r="AY337" s="52"/>
      <c r="AZ337" s="40"/>
    </row>
    <row r="338" spans="1:52" s="36" customFormat="1">
      <c r="A338" s="36" t="s">
        <v>111</v>
      </c>
      <c r="B338" s="56">
        <f>B295/B277</f>
        <v>0.28543979504696843</v>
      </c>
      <c r="C338" s="80" t="s">
        <v>53</v>
      </c>
      <c r="D338" s="80" t="s">
        <v>53</v>
      </c>
      <c r="E338" s="80" t="s">
        <v>53</v>
      </c>
      <c r="F338" s="80" t="s">
        <v>53</v>
      </c>
      <c r="G338" s="56">
        <f t="shared" ref="G338:AS338" si="338">G295/G277</f>
        <v>0.31360067897305327</v>
      </c>
      <c r="H338" s="78">
        <f t="shared" si="338"/>
        <v>0.35335968379446642</v>
      </c>
      <c r="I338" s="78">
        <f t="shared" si="338"/>
        <v>0.33209509658246655</v>
      </c>
      <c r="J338" s="78">
        <f t="shared" si="338"/>
        <v>0.33673469387755101</v>
      </c>
      <c r="K338" s="78">
        <f t="shared" si="338"/>
        <v>0.30725053840631728</v>
      </c>
      <c r="L338" s="56">
        <f t="shared" si="338"/>
        <v>0.33184523809523808</v>
      </c>
      <c r="M338" s="78">
        <f t="shared" si="338"/>
        <v>0.33740129217516152</v>
      </c>
      <c r="N338" s="78">
        <f t="shared" si="338"/>
        <v>0.35619314205738278</v>
      </c>
      <c r="O338" s="78">
        <f t="shared" si="338"/>
        <v>0.34743411927877949</v>
      </c>
      <c r="P338" s="78">
        <f t="shared" si="338"/>
        <v>0.33923705722070846</v>
      </c>
      <c r="Q338" s="56">
        <f t="shared" si="338"/>
        <v>0.34508025122121422</v>
      </c>
      <c r="R338" s="78">
        <f t="shared" si="338"/>
        <v>0.37793103448275861</v>
      </c>
      <c r="S338" s="78">
        <f t="shared" si="338"/>
        <v>0.35535465924895687</v>
      </c>
      <c r="T338" s="78">
        <f t="shared" si="338"/>
        <v>0.34834623504574241</v>
      </c>
      <c r="U338" s="78">
        <f t="shared" si="338"/>
        <v>0.32849071832122678</v>
      </c>
      <c r="V338" s="56">
        <f t="shared" si="338"/>
        <v>0.35346070656092288</v>
      </c>
      <c r="W338" s="78">
        <f t="shared" si="338"/>
        <v>0.33199356913183281</v>
      </c>
      <c r="X338" s="78">
        <f t="shared" si="338"/>
        <v>0.34494773519163763</v>
      </c>
      <c r="Y338" s="78">
        <f t="shared" si="338"/>
        <v>0.31744518589132509</v>
      </c>
      <c r="Z338" s="78">
        <f t="shared" si="338"/>
        <v>0.27848101265822783</v>
      </c>
      <c r="AA338" s="56">
        <f t="shared" si="338"/>
        <v>0.31960608773500448</v>
      </c>
      <c r="AB338" s="78">
        <f t="shared" si="338"/>
        <v>0.29875518672199169</v>
      </c>
      <c r="AC338" s="78">
        <f t="shared" si="338"/>
        <v>0.31475409836065577</v>
      </c>
      <c r="AD338" s="78">
        <f t="shared" si="338"/>
        <v>0.28722280887011614</v>
      </c>
      <c r="AE338" s="78">
        <f t="shared" si="338"/>
        <v>0.25432349949135302</v>
      </c>
      <c r="AF338" s="56">
        <f t="shared" si="338"/>
        <v>0.28826463638750327</v>
      </c>
      <c r="AG338" s="78">
        <f t="shared" si="338"/>
        <v>0.257360959651036</v>
      </c>
      <c r="AH338" s="78">
        <f t="shared" si="338"/>
        <v>0.27402135231316727</v>
      </c>
      <c r="AI338" s="78">
        <f t="shared" si="338"/>
        <v>0.27063106796116504</v>
      </c>
      <c r="AJ338" s="78">
        <f t="shared" si="338"/>
        <v>0.22994011976047904</v>
      </c>
      <c r="AK338" s="56">
        <v>0.25797016671541384</v>
      </c>
      <c r="AL338" s="78">
        <v>0.16506189821182943</v>
      </c>
      <c r="AM338" s="78">
        <v>0.18446601941747573</v>
      </c>
      <c r="AN338" s="78">
        <v>0.19615912208504802</v>
      </c>
      <c r="AO338" s="78">
        <v>0.15568022440392706</v>
      </c>
      <c r="AP338" s="56">
        <v>0.17543252595155709</v>
      </c>
      <c r="AQ338" s="78">
        <v>0.13710879284649777</v>
      </c>
      <c r="AR338" s="78">
        <v>0.14893617021276595</v>
      </c>
      <c r="AS338" s="78">
        <v>0.17411402157164868</v>
      </c>
      <c r="AT338" s="78">
        <v>0.12116564417177914</v>
      </c>
      <c r="AU338" s="56">
        <v>0.14524714828897339</v>
      </c>
      <c r="AV338" s="78">
        <v>0.11942675159235669</v>
      </c>
      <c r="AW338" s="78">
        <v>0.16297468354430381</v>
      </c>
      <c r="AX338" s="78">
        <v>0.15905511811023623</v>
      </c>
      <c r="AY338" s="78">
        <v>0.14746543778801843</v>
      </c>
      <c r="AZ338" s="56">
        <v>0.14728986645718775</v>
      </c>
    </row>
    <row r="339" spans="1:52" s="36" customFormat="1">
      <c r="A339" s="69" t="s">
        <v>31</v>
      </c>
      <c r="B339" s="56">
        <f t="shared" ref="B339:AS339" si="339">B312/B277</f>
        <v>0.17186165670367207</v>
      </c>
      <c r="C339" s="78">
        <f t="shared" si="339"/>
        <v>0.18329070758738278</v>
      </c>
      <c r="D339" s="78">
        <f t="shared" si="339"/>
        <v>0.22390572390572391</v>
      </c>
      <c r="E339" s="78">
        <f t="shared" si="339"/>
        <v>0.2413509060955519</v>
      </c>
      <c r="F339" s="78">
        <f t="shared" si="339"/>
        <v>0.13971880492091387</v>
      </c>
      <c r="G339" s="56">
        <f t="shared" si="339"/>
        <v>0.19796308084022915</v>
      </c>
      <c r="H339" s="78">
        <f t="shared" si="339"/>
        <v>0.23873517786561266</v>
      </c>
      <c r="I339" s="78">
        <f t="shared" si="339"/>
        <v>0.23848439821693909</v>
      </c>
      <c r="J339" s="78">
        <f t="shared" si="339"/>
        <v>0.23032069970845481</v>
      </c>
      <c r="K339" s="78">
        <f t="shared" si="339"/>
        <v>0.18018664752333094</v>
      </c>
      <c r="L339" s="56">
        <f t="shared" si="339"/>
        <v>0.22135416666666666</v>
      </c>
      <c r="M339" s="78">
        <f t="shared" si="339"/>
        <v>0.23115577889447236</v>
      </c>
      <c r="N339" s="78">
        <f t="shared" si="339"/>
        <v>0.25332400279916023</v>
      </c>
      <c r="O339" s="78">
        <f t="shared" si="339"/>
        <v>0.24687933425797504</v>
      </c>
      <c r="P339" s="78">
        <f t="shared" si="339"/>
        <v>0.23365122615803816</v>
      </c>
      <c r="Q339" s="56">
        <f t="shared" si="339"/>
        <v>0.24127704117236567</v>
      </c>
      <c r="R339" s="78">
        <f t="shared" si="339"/>
        <v>0.27517241379310342</v>
      </c>
      <c r="S339" s="78">
        <f t="shared" si="339"/>
        <v>0.2482614742698192</v>
      </c>
      <c r="T339" s="78">
        <f t="shared" si="339"/>
        <v>0.2406755805770584</v>
      </c>
      <c r="U339" s="78">
        <f t="shared" si="339"/>
        <v>0.21146085552865213</v>
      </c>
      <c r="V339" s="56">
        <f t="shared" si="339"/>
        <v>0.24513338139870222</v>
      </c>
      <c r="W339" s="78">
        <f t="shared" si="339"/>
        <v>0.21463022508038584</v>
      </c>
      <c r="X339" s="78">
        <f t="shared" si="339"/>
        <v>0.22560975609756098</v>
      </c>
      <c r="Y339" s="78">
        <f t="shared" si="339"/>
        <v>0.18970448045757865</v>
      </c>
      <c r="Z339" s="78">
        <f t="shared" si="339"/>
        <v>0.16260954235637781</v>
      </c>
      <c r="AA339" s="56">
        <f t="shared" si="339"/>
        <v>0.19964189794091317</v>
      </c>
      <c r="AB339" s="78">
        <f t="shared" si="339"/>
        <v>0.18049792531120332</v>
      </c>
      <c r="AC339" s="78">
        <f t="shared" si="339"/>
        <v>0.20327868852459016</v>
      </c>
      <c r="AD339" s="78">
        <f t="shared" si="339"/>
        <v>0.18162618796198521</v>
      </c>
      <c r="AE339" s="78">
        <f t="shared" si="339"/>
        <v>7.7314343845371308E-2</v>
      </c>
      <c r="AF339" s="56">
        <f t="shared" si="339"/>
        <v>0.15962194801785246</v>
      </c>
      <c r="AG339" s="78">
        <f t="shared" si="339"/>
        <v>0.13740458015267176</v>
      </c>
      <c r="AH339" s="78">
        <f t="shared" si="339"/>
        <v>0.15065243179122181</v>
      </c>
      <c r="AI339" s="78">
        <f t="shared" si="339"/>
        <v>0.14805825242718446</v>
      </c>
      <c r="AJ339" s="78">
        <f t="shared" si="339"/>
        <v>8.862275449101796E-2</v>
      </c>
      <c r="AK339" s="56">
        <v>0.1313249488154431</v>
      </c>
      <c r="AL339" s="78">
        <v>4.4016506189821183E-2</v>
      </c>
      <c r="AM339" s="78">
        <v>7.3509015256588067E-2</v>
      </c>
      <c r="AN339" s="78">
        <v>8.3676268861454045E-2</v>
      </c>
      <c r="AO339" s="78">
        <v>1.5427769985974754E-2</v>
      </c>
      <c r="AP339" s="56">
        <v>5.4325259515570934E-2</v>
      </c>
      <c r="AQ339" s="78">
        <v>1.4903129657228018E-3</v>
      </c>
      <c r="AR339" s="78">
        <v>1.2158054711246201E-2</v>
      </c>
      <c r="AS339" s="78">
        <v>4.1602465331278891E-2</v>
      </c>
      <c r="AT339" s="78">
        <v>-6.1349693251533744E-3</v>
      </c>
      <c r="AU339" s="56">
        <v>1.2167300380228136E-2</v>
      </c>
      <c r="AV339" s="78">
        <v>7.9617834394904458E-3</v>
      </c>
      <c r="AW339" s="78">
        <v>4.746835443037975E-2</v>
      </c>
      <c r="AX339" s="78">
        <v>3.4645669291338582E-2</v>
      </c>
      <c r="AY339" s="78">
        <v>2.3041474654377881E-2</v>
      </c>
      <c r="AZ339" s="56">
        <v>2.8279654359780047E-2</v>
      </c>
    </row>
    <row r="340" spans="1:52" s="36" customFormat="1">
      <c r="A340" s="69" t="s">
        <v>39</v>
      </c>
      <c r="B340" s="56">
        <f t="shared" ref="B340:AS340" si="340">B315/B277</f>
        <v>0.1248932536293766</v>
      </c>
      <c r="C340" s="78">
        <f t="shared" si="340"/>
        <v>0.13895993179880647</v>
      </c>
      <c r="D340" s="78">
        <f t="shared" si="340"/>
        <v>0.15151515151515152</v>
      </c>
      <c r="E340" s="78">
        <f t="shared" si="340"/>
        <v>0.17380560131795716</v>
      </c>
      <c r="F340" s="78">
        <f t="shared" si="340"/>
        <v>0.11247803163444639</v>
      </c>
      <c r="G340" s="56">
        <f t="shared" si="340"/>
        <v>0.14470613197538723</v>
      </c>
      <c r="H340" s="78">
        <f t="shared" si="340"/>
        <v>0.18181818181818182</v>
      </c>
      <c r="I340" s="78">
        <f t="shared" si="340"/>
        <v>0.17310549777117384</v>
      </c>
      <c r="J340" s="78">
        <f t="shared" si="340"/>
        <v>0.1683673469387755</v>
      </c>
      <c r="K340" s="78">
        <f t="shared" si="340"/>
        <v>0.12993539124192391</v>
      </c>
      <c r="L340" s="56">
        <f t="shared" si="340"/>
        <v>0.16276041666666666</v>
      </c>
      <c r="M340" s="78">
        <f t="shared" si="340"/>
        <v>0.18592964824120603</v>
      </c>
      <c r="N340" s="78">
        <f t="shared" si="340"/>
        <v>0.1868439468159552</v>
      </c>
      <c r="O340" s="78">
        <f t="shared" si="340"/>
        <v>0.16574202496532595</v>
      </c>
      <c r="P340" s="78">
        <f t="shared" si="340"/>
        <v>0.18256130790190736</v>
      </c>
      <c r="Q340" s="56">
        <f t="shared" si="340"/>
        <v>0.18021632937892534</v>
      </c>
      <c r="R340" s="78">
        <f t="shared" si="340"/>
        <v>0.21379310344827587</v>
      </c>
      <c r="S340" s="78">
        <f t="shared" si="340"/>
        <v>0.19401947148817802</v>
      </c>
      <c r="T340" s="78">
        <f t="shared" si="340"/>
        <v>0.18508092892329345</v>
      </c>
      <c r="U340" s="78">
        <f t="shared" si="340"/>
        <v>0.16464891041162227</v>
      </c>
      <c r="V340" s="56">
        <f t="shared" si="340"/>
        <v>0.19033886085075702</v>
      </c>
      <c r="W340" s="78">
        <f t="shared" si="340"/>
        <v>0.17363344051446947</v>
      </c>
      <c r="X340" s="78">
        <f t="shared" si="340"/>
        <v>0.16898954703832753</v>
      </c>
      <c r="Y340" s="78">
        <f t="shared" si="340"/>
        <v>0.14680648236415633</v>
      </c>
      <c r="Z340" s="78">
        <f t="shared" si="340"/>
        <v>0.13047711781888996</v>
      </c>
      <c r="AA340" s="56">
        <f t="shared" si="340"/>
        <v>0.15622202327663384</v>
      </c>
      <c r="AB340" s="78">
        <f t="shared" si="340"/>
        <v>0.15871369294605808</v>
      </c>
      <c r="AC340" s="78">
        <f t="shared" si="340"/>
        <v>0.17595628415300546</v>
      </c>
      <c r="AD340" s="78">
        <f t="shared" si="340"/>
        <v>0.14783526927138332</v>
      </c>
      <c r="AE340" s="78">
        <f t="shared" si="340"/>
        <v>6.8158697863682602E-2</v>
      </c>
      <c r="AF340" s="56">
        <f t="shared" si="340"/>
        <v>0.1367813074297716</v>
      </c>
      <c r="AG340" s="78">
        <f t="shared" si="340"/>
        <v>0.11777535441657579</v>
      </c>
      <c r="AH340" s="78">
        <f t="shared" si="340"/>
        <v>0.12574139976275209</v>
      </c>
      <c r="AI340" s="78">
        <f t="shared" si="340"/>
        <v>0.12135922330097088</v>
      </c>
      <c r="AJ340" s="78">
        <f t="shared" si="340"/>
        <v>7.0658682634730532E-2</v>
      </c>
      <c r="AK340" s="56">
        <v>0.1090962269669494</v>
      </c>
      <c r="AL340" s="78">
        <v>4.951856946354883E-2</v>
      </c>
      <c r="AM340" s="78">
        <v>6.7961165048543687E-2</v>
      </c>
      <c r="AN340" s="78">
        <v>7.5445816186556922E-2</v>
      </c>
      <c r="AO340" s="78">
        <v>1.5427769985974754E-2</v>
      </c>
      <c r="AP340" s="56">
        <v>5.2249134948096888E-2</v>
      </c>
      <c r="AQ340" s="78">
        <v>1.9374068554396422E-2</v>
      </c>
      <c r="AR340" s="78">
        <v>1.9756838905775075E-2</v>
      </c>
      <c r="AS340" s="78">
        <v>4.930662557781202E-2</v>
      </c>
      <c r="AT340" s="78">
        <v>4.601226993865031E-3</v>
      </c>
      <c r="AU340" s="56">
        <v>2.3193916349809884E-2</v>
      </c>
      <c r="AV340" s="78">
        <v>2.5477707006369428E-2</v>
      </c>
      <c r="AW340" s="78">
        <v>5.3797468354430382E-2</v>
      </c>
      <c r="AX340" s="78">
        <v>3.7795275590551181E-2</v>
      </c>
      <c r="AY340" s="78">
        <v>3.2258064516129031E-2</v>
      </c>
      <c r="AZ340" s="56">
        <v>3.7313432835820892E-2</v>
      </c>
    </row>
    <row r="341" spans="1:52" s="36" customFormat="1">
      <c r="A341" s="69" t="s">
        <v>10</v>
      </c>
      <c r="B341" s="56">
        <f t="shared" ref="B341:M341" si="341">B318/B277</f>
        <v>0.27412467976088811</v>
      </c>
      <c r="C341" s="78">
        <f t="shared" si="341"/>
        <v>0.29326513213981242</v>
      </c>
      <c r="D341" s="78">
        <f t="shared" si="341"/>
        <v>0.33333333333333331</v>
      </c>
      <c r="E341" s="78">
        <f t="shared" si="341"/>
        <v>0.34761120263591433</v>
      </c>
      <c r="F341" s="78">
        <f t="shared" si="341"/>
        <v>0.25834797891036909</v>
      </c>
      <c r="G341" s="56">
        <f t="shared" si="341"/>
        <v>0.30893273923191172</v>
      </c>
      <c r="H341" s="78">
        <f t="shared" si="341"/>
        <v>0.34861660079051382</v>
      </c>
      <c r="I341" s="78">
        <f t="shared" si="341"/>
        <v>0.35066864784546803</v>
      </c>
      <c r="J341" s="78">
        <f t="shared" si="341"/>
        <v>0.3432944606413994</v>
      </c>
      <c r="K341" s="78">
        <f t="shared" si="341"/>
        <v>0.29432878679109836</v>
      </c>
      <c r="L341" s="56">
        <f t="shared" si="341"/>
        <v>0.33370535714285715</v>
      </c>
      <c r="M341" s="78">
        <f t="shared" si="341"/>
        <v>0.33811916726489588</v>
      </c>
      <c r="N341" s="78">
        <v>0.35799999999999998</v>
      </c>
      <c r="O341" s="78">
        <f t="shared" ref="O341:Z341" si="342">O318/O277</f>
        <v>0.35020804438280168</v>
      </c>
      <c r="P341" s="78">
        <f t="shared" si="342"/>
        <v>0.33855585831062668</v>
      </c>
      <c r="Q341" s="56">
        <f t="shared" si="342"/>
        <v>0.34612700628053034</v>
      </c>
      <c r="R341" s="78">
        <f t="shared" si="342"/>
        <v>0.37172413793103448</v>
      </c>
      <c r="S341" s="78">
        <f t="shared" si="342"/>
        <v>0.34770514603616132</v>
      </c>
      <c r="T341" s="78">
        <f t="shared" si="342"/>
        <v>0.33849401829697395</v>
      </c>
      <c r="U341" s="78">
        <f t="shared" si="342"/>
        <v>0.32364810330912025</v>
      </c>
      <c r="V341" s="56">
        <f t="shared" si="342"/>
        <v>0.34625090122566693</v>
      </c>
      <c r="W341" s="78">
        <f t="shared" si="342"/>
        <v>0.32315112540192925</v>
      </c>
      <c r="X341" s="78">
        <f t="shared" si="342"/>
        <v>0.34494773519163763</v>
      </c>
      <c r="Y341" s="78">
        <f t="shared" si="342"/>
        <v>0.31363203050524308</v>
      </c>
      <c r="Z341" s="78">
        <f t="shared" si="342"/>
        <v>0.28821811100292111</v>
      </c>
      <c r="AA341" s="56">
        <v>0.31900000000000001</v>
      </c>
      <c r="AB341" s="78">
        <f t="shared" ref="AB341:AS341" si="343">AB318/AB277</f>
        <v>0.30601659751037347</v>
      </c>
      <c r="AC341" s="78">
        <f t="shared" si="343"/>
        <v>0.32677595628415301</v>
      </c>
      <c r="AD341" s="78">
        <f t="shared" si="343"/>
        <v>0.29883843717001057</v>
      </c>
      <c r="AE341" s="78">
        <f t="shared" si="343"/>
        <v>0.19125127161749747</v>
      </c>
      <c r="AF341" s="56">
        <f t="shared" si="343"/>
        <v>0.27960094512995537</v>
      </c>
      <c r="AG341" s="78">
        <f t="shared" si="343"/>
        <v>0.25299890948745912</v>
      </c>
      <c r="AH341" s="78">
        <f t="shared" si="343"/>
        <v>0.27520759193357058</v>
      </c>
      <c r="AI341" s="78">
        <f t="shared" si="343"/>
        <v>0.2803398058252427</v>
      </c>
      <c r="AJ341" s="78">
        <f t="shared" si="343"/>
        <v>0.22035928143712574</v>
      </c>
      <c r="AK341" s="56">
        <v>0.25709271716876281</v>
      </c>
      <c r="AL341" s="78">
        <v>0.18707015130674004</v>
      </c>
      <c r="AM341" s="78">
        <v>0.22052704576976423</v>
      </c>
      <c r="AN341" s="78">
        <v>0.23319615912208505</v>
      </c>
      <c r="AO341" s="78">
        <v>0.15568022440392706</v>
      </c>
      <c r="AP341" s="56">
        <v>0.19930795847750865</v>
      </c>
      <c r="AQ341" s="78">
        <v>0.15648286140089418</v>
      </c>
      <c r="AR341" s="78">
        <v>0.15653495440729484</v>
      </c>
      <c r="AS341" s="78">
        <v>0.18335901386748846</v>
      </c>
      <c r="AT341" s="78">
        <v>0.1303680981595092</v>
      </c>
      <c r="AU341" s="56">
        <v>0.15665399239543726</v>
      </c>
      <c r="AV341" s="78">
        <v>0.15764331210191082</v>
      </c>
      <c r="AW341" s="78">
        <v>0.20411392405063292</v>
      </c>
      <c r="AX341" s="78">
        <v>0.1921259842519685</v>
      </c>
      <c r="AY341" s="78">
        <v>0.16129032258064516</v>
      </c>
      <c r="AZ341" s="56">
        <v>0.17871170463472114</v>
      </c>
    </row>
    <row r="342" spans="1:52" s="36" customFormat="1">
      <c r="A342" s="69" t="s">
        <v>19</v>
      </c>
      <c r="B342" s="56">
        <f t="shared" ref="B342:AU342" si="344">B328/B277</f>
        <v>8.1340734415029883E-2</v>
      </c>
      <c r="C342" s="78">
        <f t="shared" si="344"/>
        <v>8.780903665814152E-2</v>
      </c>
      <c r="D342" s="78">
        <f t="shared" si="344"/>
        <v>0.1531986531986532</v>
      </c>
      <c r="E342" s="78">
        <f t="shared" si="344"/>
        <v>0.28830313014827019</v>
      </c>
      <c r="F342" s="78">
        <f t="shared" si="344"/>
        <v>0.14323374340949033</v>
      </c>
      <c r="G342" s="56">
        <f t="shared" si="344"/>
        <v>0.16931890515595163</v>
      </c>
      <c r="H342" s="78">
        <f t="shared" si="344"/>
        <v>0.11778656126482213</v>
      </c>
      <c r="I342" s="78">
        <f t="shared" si="344"/>
        <v>0.12109955423476969</v>
      </c>
      <c r="J342" s="78">
        <f t="shared" si="344"/>
        <v>0.10641399416909621</v>
      </c>
      <c r="K342" s="78">
        <f t="shared" si="344"/>
        <v>7.2505384063173015E-2</v>
      </c>
      <c r="L342" s="56">
        <f t="shared" si="344"/>
        <v>0.10398065476190477</v>
      </c>
      <c r="M342" s="78">
        <f t="shared" si="344"/>
        <v>6.604450825556353E-2</v>
      </c>
      <c r="N342" s="78">
        <f t="shared" si="344"/>
        <v>7.9776067179846047E-2</v>
      </c>
      <c r="O342" s="78">
        <f t="shared" si="344"/>
        <v>6.8654646324549234E-2</v>
      </c>
      <c r="P342" s="78">
        <f t="shared" si="344"/>
        <v>6.2670299727520432E-2</v>
      </c>
      <c r="Q342" s="56">
        <f t="shared" si="344"/>
        <v>6.9260293091416611E-2</v>
      </c>
      <c r="R342" s="78">
        <f t="shared" si="344"/>
        <v>9.1724137931034483E-2</v>
      </c>
      <c r="S342" s="78">
        <f t="shared" si="344"/>
        <v>5.9805285118219746E-2</v>
      </c>
      <c r="T342" s="78">
        <f t="shared" si="344"/>
        <v>7.5299085151301903E-2</v>
      </c>
      <c r="U342" s="78">
        <f t="shared" si="344"/>
        <v>7.5060532687651338E-2</v>
      </c>
      <c r="V342" s="56">
        <f t="shared" si="344"/>
        <v>7.5522710886806052E-2</v>
      </c>
      <c r="W342" s="78">
        <f t="shared" si="344"/>
        <v>9.2443729903536984E-2</v>
      </c>
      <c r="X342" s="78">
        <f t="shared" si="344"/>
        <v>9.4947735191637628E-2</v>
      </c>
      <c r="Y342" s="78">
        <f t="shared" si="344"/>
        <v>8.0076263107721646E-2</v>
      </c>
      <c r="Z342" s="78">
        <f t="shared" si="344"/>
        <v>7.4001947419668937E-2</v>
      </c>
      <c r="AA342" s="56">
        <f t="shared" si="344"/>
        <v>8.5944494180841546E-2</v>
      </c>
      <c r="AB342" s="78">
        <f t="shared" si="344"/>
        <v>6.8464730290456438E-2</v>
      </c>
      <c r="AC342" s="78">
        <f t="shared" si="344"/>
        <v>9.1803278688524587E-2</v>
      </c>
      <c r="AD342" s="78">
        <f t="shared" si="344"/>
        <v>9.714889123548047E-2</v>
      </c>
      <c r="AE342" s="78">
        <f t="shared" si="344"/>
        <v>7.9348931841302137E-2</v>
      </c>
      <c r="AF342" s="56">
        <f t="shared" si="344"/>
        <v>8.4011551588343392E-2</v>
      </c>
      <c r="AG342" s="78">
        <f t="shared" si="344"/>
        <v>7.9607415485278082E-2</v>
      </c>
      <c r="AH342" s="78">
        <f t="shared" si="344"/>
        <v>0.10676156583629894</v>
      </c>
      <c r="AI342" s="78">
        <f t="shared" si="344"/>
        <v>0.10194174757281553</v>
      </c>
      <c r="AJ342" s="78">
        <f t="shared" si="344"/>
        <v>9.8203592814371257E-2</v>
      </c>
      <c r="AK342" s="56">
        <v>9.6226966949400403E-2</v>
      </c>
      <c r="AL342" s="78">
        <v>0.10041265474552957</v>
      </c>
      <c r="AM342" s="78">
        <v>0.27600554785020803</v>
      </c>
      <c r="AN342" s="78">
        <v>0.12482853223593965</v>
      </c>
      <c r="AO342" s="78">
        <v>9.1164095371669002E-2</v>
      </c>
      <c r="AP342" s="56">
        <v>0.14809688581314878</v>
      </c>
      <c r="AQ342" s="78">
        <v>7.7496274217585689E-2</v>
      </c>
      <c r="AR342" s="78">
        <v>9.5744680851063829E-2</v>
      </c>
      <c r="AS342" s="78">
        <v>9.861325115562404E-2</v>
      </c>
      <c r="AT342" s="78">
        <v>9.815950920245399E-2</v>
      </c>
      <c r="AU342" s="56">
        <v>9.2395437262357411E-2</v>
      </c>
      <c r="AV342" s="78">
        <v>0.11624203821656051</v>
      </c>
      <c r="AW342" s="78">
        <v>0.12974683544303797</v>
      </c>
      <c r="AX342" s="78">
        <v>0.12283464566929134</v>
      </c>
      <c r="AY342" s="78">
        <v>0.11827956989247312</v>
      </c>
      <c r="AZ342" s="56">
        <v>0.12175962293794187</v>
      </c>
    </row>
    <row r="343" spans="1:52" s="36" customFormat="1" ht="4.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row>
    <row r="344" spans="1:52" ht="21">
      <c r="A344" s="35" t="s">
        <v>15</v>
      </c>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row>
    <row r="345" spans="1:52">
      <c r="A345" s="40" t="s">
        <v>81</v>
      </c>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row>
    <row r="346" spans="1:52" s="36" customFormat="1">
      <c r="A346" s="69" t="s">
        <v>64</v>
      </c>
      <c r="B346" s="37">
        <v>1303.623</v>
      </c>
      <c r="C346" s="70">
        <v>313.89999999999998</v>
      </c>
      <c r="D346" s="70">
        <v>325.858</v>
      </c>
      <c r="E346" s="70">
        <v>328.83300000000003</v>
      </c>
      <c r="F346" s="70">
        <f>G346-E346-D346-C346</f>
        <v>337.18799999999999</v>
      </c>
      <c r="G346" s="37">
        <v>1305.779</v>
      </c>
      <c r="H346" s="70">
        <v>324.49</v>
      </c>
      <c r="I346" s="70">
        <v>326.71300000000002</v>
      </c>
      <c r="J346" s="70">
        <v>332.48399999999998</v>
      </c>
      <c r="K346" s="70">
        <f>L346-J346-I346-H346</f>
        <v>333.98099999999999</v>
      </c>
      <c r="L346" s="37">
        <v>1317.6679999999999</v>
      </c>
      <c r="M346" s="70">
        <v>343.12</v>
      </c>
      <c r="N346" s="70">
        <v>340</v>
      </c>
      <c r="O346" s="70">
        <v>347.37700000000001</v>
      </c>
      <c r="P346" s="70">
        <f>Q346-O346-N346-M346</f>
        <v>349.97200000000009</v>
      </c>
      <c r="Q346" s="37">
        <v>1380.4690000000001</v>
      </c>
      <c r="R346" s="70">
        <v>329.40699999999998</v>
      </c>
      <c r="S346" s="70">
        <v>332.44099999999997</v>
      </c>
      <c r="T346" s="70">
        <v>350.678</v>
      </c>
      <c r="U346" s="70">
        <f>V346-T346-S346-R346</f>
        <v>341.07600000000019</v>
      </c>
      <c r="V346" s="37">
        <v>1353.6020000000001</v>
      </c>
      <c r="W346" s="70">
        <v>332.22199999999998</v>
      </c>
      <c r="X346" s="70">
        <v>329.83300000000003</v>
      </c>
      <c r="Y346" s="70">
        <v>338.55399999999997</v>
      </c>
      <c r="Z346" s="70">
        <f>AA346-Y346-X346-W346</f>
        <v>339.50800000000004</v>
      </c>
      <c r="AA346" s="37">
        <v>1340.117</v>
      </c>
      <c r="AB346" s="70">
        <v>345.57600000000002</v>
      </c>
      <c r="AC346" s="70">
        <v>358.74400000000003</v>
      </c>
      <c r="AD346" s="70">
        <v>359.62400000000002</v>
      </c>
      <c r="AE346" s="70">
        <f>AF346-AD346-AC346-AB346</f>
        <v>368.81699999999989</v>
      </c>
      <c r="AF346" s="37">
        <v>1432.761</v>
      </c>
      <c r="AG346" s="70">
        <v>355</v>
      </c>
      <c r="AH346" s="70">
        <v>365</v>
      </c>
      <c r="AI346" s="70">
        <v>385</v>
      </c>
      <c r="AJ346" s="70">
        <f>AK346-AI346-AH346-AG346</f>
        <v>399</v>
      </c>
      <c r="AK346" s="37">
        <v>1504</v>
      </c>
      <c r="AL346" s="70">
        <v>393</v>
      </c>
      <c r="AM346" s="70">
        <v>391</v>
      </c>
      <c r="AN346" s="70">
        <v>389</v>
      </c>
      <c r="AO346" s="70">
        <v>405</v>
      </c>
      <c r="AP346" s="37">
        <v>1578</v>
      </c>
      <c r="AQ346" s="70">
        <v>395</v>
      </c>
      <c r="AR346" s="70">
        <v>377</v>
      </c>
      <c r="AS346" s="70">
        <v>384</v>
      </c>
      <c r="AT346" s="70">
        <v>392</v>
      </c>
      <c r="AU346" s="37">
        <v>1548</v>
      </c>
      <c r="AV346" s="70">
        <v>384</v>
      </c>
      <c r="AW346" s="70">
        <v>407</v>
      </c>
      <c r="AX346" s="70">
        <v>367</v>
      </c>
      <c r="AY346" s="70">
        <v>379</v>
      </c>
      <c r="AZ346" s="37">
        <v>1537</v>
      </c>
    </row>
    <row r="347" spans="1:52" ht="10.5" customHeight="1">
      <c r="A347" s="71" t="s">
        <v>7</v>
      </c>
      <c r="B347" s="24"/>
      <c r="C347" s="72"/>
      <c r="D347" s="72">
        <f>D346/C346-1</f>
        <v>3.8094934692577409E-2</v>
      </c>
      <c r="E347" s="72">
        <f>E346/D346-1</f>
        <v>9.1297436306612134E-3</v>
      </c>
      <c r="F347" s="72">
        <f>F346/E346-1</f>
        <v>2.5408033865214064E-2</v>
      </c>
      <c r="G347" s="24"/>
      <c r="H347" s="72">
        <f>H346/F346-1</f>
        <v>-3.7658516910447526E-2</v>
      </c>
      <c r="I347" s="72">
        <f>I346/H346-1</f>
        <v>6.8507504083330506E-3</v>
      </c>
      <c r="J347" s="72">
        <f>J346/I346-1</f>
        <v>1.7663821151897796E-2</v>
      </c>
      <c r="K347" s="72">
        <f>K346/J346-1</f>
        <v>4.5024722994189137E-3</v>
      </c>
      <c r="L347" s="24"/>
      <c r="M347" s="72">
        <f>M346/K346-1</f>
        <v>2.7363832074279726E-2</v>
      </c>
      <c r="N347" s="72">
        <f>N346/M346-1</f>
        <v>-9.0930286780135372E-3</v>
      </c>
      <c r="O347" s="72">
        <f>O346/N346-1</f>
        <v>2.1697058823529458E-2</v>
      </c>
      <c r="P347" s="72">
        <f>P346/O346-1</f>
        <v>7.4702700524216237E-3</v>
      </c>
      <c r="Q347" s="24"/>
      <c r="R347" s="72">
        <f>R346/P346-1</f>
        <v>-5.8761843804647551E-2</v>
      </c>
      <c r="S347" s="72">
        <f>S346/R346-1</f>
        <v>9.2104903660212845E-3</v>
      </c>
      <c r="T347" s="72">
        <f>T346/S346-1</f>
        <v>5.4857854476433543E-2</v>
      </c>
      <c r="U347" s="72">
        <f>U346/T346-1</f>
        <v>-2.7381244332406962E-2</v>
      </c>
      <c r="V347" s="24"/>
      <c r="W347" s="72">
        <f>W346/U346-1</f>
        <v>-2.5959023795283809E-2</v>
      </c>
      <c r="X347" s="72">
        <f>X346/W346-1</f>
        <v>-7.1909747096818855E-3</v>
      </c>
      <c r="Y347" s="72">
        <f>Y346/X346-1</f>
        <v>2.6440653300306316E-2</v>
      </c>
      <c r="Z347" s="72">
        <v>2.8178665737226272E-3</v>
      </c>
      <c r="AA347" s="24"/>
      <c r="AB347" s="72">
        <f>AB346/Z346-1</f>
        <v>1.7872921993001611E-2</v>
      </c>
      <c r="AC347" s="72">
        <f>AC346/AB346-1</f>
        <v>3.8104497997546227E-2</v>
      </c>
      <c r="AD347" s="72">
        <f>AD346/AC346-1</f>
        <v>2.4530026983029529E-3</v>
      </c>
      <c r="AE347" s="72">
        <f>AE346/AD346-1</f>
        <v>2.5562810046047657E-2</v>
      </c>
      <c r="AF347" s="24"/>
      <c r="AG347" s="72">
        <f>AG346/AE346-1</f>
        <v>-3.7463023667563822E-2</v>
      </c>
      <c r="AH347" s="72">
        <f>AH346/AG346-1</f>
        <v>2.8169014084507005E-2</v>
      </c>
      <c r="AI347" s="72">
        <f>AI346/AH346-1</f>
        <v>5.4794520547945202E-2</v>
      </c>
      <c r="AJ347" s="72">
        <f>AJ346/AI346-1</f>
        <v>3.6363636363636376E-2</v>
      </c>
      <c r="AK347" s="24"/>
      <c r="AL347" s="72">
        <v>-1.5037593984962405E-2</v>
      </c>
      <c r="AM347" s="72">
        <v>-5.0890585241730735E-3</v>
      </c>
      <c r="AN347" s="72">
        <v>-5.1150895140664732E-3</v>
      </c>
      <c r="AO347" s="72">
        <v>4.1131105398457546E-2</v>
      </c>
      <c r="AP347" s="24"/>
      <c r="AQ347" s="72">
        <v>-2.4691358024691357E-2</v>
      </c>
      <c r="AR347" s="72">
        <v>-4.5569620253164578E-2</v>
      </c>
      <c r="AS347" s="72">
        <v>1.8567639257294433E-2</v>
      </c>
      <c r="AT347" s="72">
        <v>2.0833333333333259E-2</v>
      </c>
      <c r="AU347" s="24"/>
      <c r="AV347" s="72">
        <v>-2.0408163265306145E-2</v>
      </c>
      <c r="AW347" s="72">
        <v>5.9895833333333259E-2</v>
      </c>
      <c r="AX347" s="72">
        <v>-9.8280098280098316E-2</v>
      </c>
      <c r="AY347" s="72">
        <v>3.2697547683923744E-2</v>
      </c>
      <c r="AZ347" s="24"/>
    </row>
    <row r="348" spans="1:52" ht="11.25" customHeight="1">
      <c r="A348" s="71" t="s">
        <v>8</v>
      </c>
      <c r="B348" s="24"/>
      <c r="C348" s="73"/>
      <c r="D348" s="73"/>
      <c r="E348" s="73"/>
      <c r="F348" s="73"/>
      <c r="G348" s="24">
        <f t="shared" ref="G348:Y348" si="345">G346/B346-1</f>
        <v>1.6538523791003179E-3</v>
      </c>
      <c r="H348" s="73">
        <f t="shared" si="345"/>
        <v>3.3736858872252418E-2</v>
      </c>
      <c r="I348" s="73">
        <f t="shared" si="345"/>
        <v>2.6238422871311951E-3</v>
      </c>
      <c r="J348" s="73">
        <f t="shared" si="345"/>
        <v>1.1102900256360959E-2</v>
      </c>
      <c r="K348" s="73">
        <f t="shared" si="345"/>
        <v>-9.5110146268549967E-3</v>
      </c>
      <c r="L348" s="24">
        <f t="shared" si="345"/>
        <v>9.1049097894819742E-3</v>
      </c>
      <c r="M348" s="73">
        <f t="shared" si="345"/>
        <v>5.741317143825686E-2</v>
      </c>
      <c r="N348" s="73">
        <f t="shared" si="345"/>
        <v>4.0668721477259862E-2</v>
      </c>
      <c r="O348" s="73">
        <f t="shared" si="345"/>
        <v>4.479313290263609E-2</v>
      </c>
      <c r="P348" s="73">
        <f t="shared" si="345"/>
        <v>4.7879969219806195E-2</v>
      </c>
      <c r="Q348" s="24">
        <f t="shared" si="345"/>
        <v>4.7660715749339166E-2</v>
      </c>
      <c r="R348" s="73">
        <f t="shared" si="345"/>
        <v>-3.9965609699230686E-2</v>
      </c>
      <c r="S348" s="73">
        <f t="shared" si="345"/>
        <v>-2.2232352941176536E-2</v>
      </c>
      <c r="T348" s="73">
        <f t="shared" si="345"/>
        <v>9.5026441013652541E-3</v>
      </c>
      <c r="U348" s="73">
        <f t="shared" si="345"/>
        <v>-2.5419176391253906E-2</v>
      </c>
      <c r="V348" s="24">
        <f t="shared" si="345"/>
        <v>-1.9462226243399883E-2</v>
      </c>
      <c r="W348" s="73">
        <f t="shared" si="345"/>
        <v>8.545659321143706E-3</v>
      </c>
      <c r="X348" s="73">
        <f t="shared" si="345"/>
        <v>-7.8450010678584592E-3</v>
      </c>
      <c r="Y348" s="73">
        <f t="shared" si="345"/>
        <v>-3.4573027107488996E-2</v>
      </c>
      <c r="Z348" s="73">
        <v>-4.5972158697772381E-3</v>
      </c>
      <c r="AA348" s="24">
        <f t="shared" ref="AA348:AI348" si="346">AA346/V346-1</f>
        <v>-9.9623079753133892E-3</v>
      </c>
      <c r="AB348" s="73">
        <f t="shared" si="346"/>
        <v>4.0196013509039341E-2</v>
      </c>
      <c r="AC348" s="73">
        <f t="shared" si="346"/>
        <v>8.765344886654769E-2</v>
      </c>
      <c r="AD348" s="73">
        <f t="shared" si="346"/>
        <v>6.2235271182736085E-2</v>
      </c>
      <c r="AE348" s="73">
        <f t="shared" si="346"/>
        <v>8.6327862671865985E-2</v>
      </c>
      <c r="AF348" s="24">
        <f t="shared" si="346"/>
        <v>6.913127734369473E-2</v>
      </c>
      <c r="AG348" s="73">
        <f t="shared" si="346"/>
        <v>2.7270412297150104E-2</v>
      </c>
      <c r="AH348" s="73">
        <f t="shared" si="346"/>
        <v>1.743861918248113E-2</v>
      </c>
      <c r="AI348" s="73">
        <f t="shared" si="346"/>
        <v>7.0562587591484371E-2</v>
      </c>
      <c r="AJ348" s="73">
        <f t="shared" ref="AJ348:AS348" si="347">AJ346/AE346-1</f>
        <v>8.1837333962371916E-2</v>
      </c>
      <c r="AK348" s="24">
        <v>4.9721481810294899E-2</v>
      </c>
      <c r="AL348" s="73">
        <v>0.10704225352112684</v>
      </c>
      <c r="AM348" s="73">
        <v>7.1232876712328697E-2</v>
      </c>
      <c r="AN348" s="73">
        <v>1.0389610389610393E-2</v>
      </c>
      <c r="AO348" s="73">
        <v>1.5037593984962516E-2</v>
      </c>
      <c r="AP348" s="24">
        <v>4.9202127659574435E-2</v>
      </c>
      <c r="AQ348" s="73">
        <v>5.0890585241729624E-3</v>
      </c>
      <c r="AR348" s="73">
        <v>-3.5805626598465423E-2</v>
      </c>
      <c r="AS348" s="73">
        <v>-1.2853470437018011E-2</v>
      </c>
      <c r="AT348" s="73">
        <v>-3.2098765432098775E-2</v>
      </c>
      <c r="AU348" s="24">
        <v>-1.9011406844106515E-2</v>
      </c>
      <c r="AV348" s="73">
        <v>-2.7848101265822822E-2</v>
      </c>
      <c r="AW348" s="73">
        <v>7.9575596816976235E-2</v>
      </c>
      <c r="AX348" s="73">
        <v>-4.427083333333337E-2</v>
      </c>
      <c r="AY348" s="73">
        <v>-3.3163265306122458E-2</v>
      </c>
      <c r="AZ348" s="24">
        <v>-7.10594315245483E-3</v>
      </c>
    </row>
    <row r="349" spans="1:52" ht="3.75" customHeight="1">
      <c r="A349" s="40"/>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row>
    <row r="350" spans="1:52">
      <c r="A350" s="69" t="s">
        <v>148</v>
      </c>
      <c r="B350" s="123" t="s">
        <v>45</v>
      </c>
      <c r="C350" s="80" t="s">
        <v>53</v>
      </c>
      <c r="D350" s="80" t="s">
        <v>53</v>
      </c>
      <c r="E350" s="80" t="s">
        <v>53</v>
      </c>
      <c r="F350" s="80" t="s">
        <v>53</v>
      </c>
      <c r="G350" s="37">
        <v>502</v>
      </c>
      <c r="H350" s="80" t="s">
        <v>53</v>
      </c>
      <c r="I350" s="80" t="s">
        <v>53</v>
      </c>
      <c r="J350" s="80" t="s">
        <v>53</v>
      </c>
      <c r="K350" s="80" t="s">
        <v>53</v>
      </c>
      <c r="L350" s="37">
        <v>502</v>
      </c>
      <c r="M350" s="80" t="s">
        <v>53</v>
      </c>
      <c r="N350" s="80" t="s">
        <v>53</v>
      </c>
      <c r="O350" s="80" t="s">
        <v>53</v>
      </c>
      <c r="P350" s="80" t="s">
        <v>53</v>
      </c>
      <c r="Q350" s="37">
        <v>501</v>
      </c>
      <c r="R350" s="80" t="s">
        <v>53</v>
      </c>
      <c r="S350" s="80" t="s">
        <v>53</v>
      </c>
      <c r="T350" s="80" t="s">
        <v>53</v>
      </c>
      <c r="U350" s="80" t="s">
        <v>53</v>
      </c>
      <c r="V350" s="37">
        <v>413</v>
      </c>
      <c r="W350" s="80" t="s">
        <v>53</v>
      </c>
      <c r="X350" s="80" t="s">
        <v>53</v>
      </c>
      <c r="Y350" s="80" t="s">
        <v>53</v>
      </c>
      <c r="Z350" s="80" t="s">
        <v>53</v>
      </c>
      <c r="AA350" s="37">
        <v>383</v>
      </c>
      <c r="AB350" s="80" t="s">
        <v>53</v>
      </c>
      <c r="AC350" s="80" t="s">
        <v>53</v>
      </c>
      <c r="AD350" s="80" t="s">
        <v>53</v>
      </c>
      <c r="AE350" s="80" t="s">
        <v>53</v>
      </c>
      <c r="AF350" s="37">
        <v>401</v>
      </c>
      <c r="AG350" s="80" t="s">
        <v>53</v>
      </c>
      <c r="AH350" s="80" t="s">
        <v>53</v>
      </c>
      <c r="AI350" s="80" t="s">
        <v>53</v>
      </c>
      <c r="AJ350" s="80" t="s">
        <v>53</v>
      </c>
      <c r="AK350" s="37">
        <v>395</v>
      </c>
      <c r="AL350" s="80" t="s">
        <v>53</v>
      </c>
      <c r="AM350" s="80" t="s">
        <v>53</v>
      </c>
      <c r="AN350" s="80" t="s">
        <v>53</v>
      </c>
      <c r="AO350" s="80" t="s">
        <v>53</v>
      </c>
      <c r="AP350" s="37">
        <v>379</v>
      </c>
      <c r="AQ350" s="80" t="s">
        <v>53</v>
      </c>
      <c r="AR350" s="80" t="s">
        <v>53</v>
      </c>
      <c r="AS350" s="80" t="s">
        <v>53</v>
      </c>
      <c r="AT350" s="80" t="s">
        <v>53</v>
      </c>
      <c r="AU350" s="37">
        <v>325</v>
      </c>
      <c r="AV350" s="80" t="s">
        <v>53</v>
      </c>
      <c r="AW350" s="80" t="s">
        <v>53</v>
      </c>
      <c r="AX350" s="80" t="s">
        <v>53</v>
      </c>
      <c r="AY350" s="80" t="s">
        <v>53</v>
      </c>
      <c r="AZ350" s="37">
        <v>268</v>
      </c>
    </row>
    <row r="351" spans="1:52" ht="9.75" customHeight="1">
      <c r="A351" s="71" t="s">
        <v>146</v>
      </c>
      <c r="B351" s="24"/>
      <c r="C351" s="73"/>
      <c r="D351" s="73"/>
      <c r="E351" s="73"/>
      <c r="F351" s="73"/>
      <c r="G351" s="24">
        <f>G350/G346</f>
        <v>0.38444484097232379</v>
      </c>
      <c r="H351" s="73"/>
      <c r="I351" s="73"/>
      <c r="J351" s="73"/>
      <c r="K351" s="73"/>
      <c r="L351" s="24">
        <f>L350/L346</f>
        <v>0.3809760880586005</v>
      </c>
      <c r="M351" s="73"/>
      <c r="N351" s="73"/>
      <c r="O351" s="73"/>
      <c r="P351" s="73"/>
      <c r="Q351" s="24">
        <f>Q350/Q346</f>
        <v>0.36292013801106726</v>
      </c>
      <c r="R351" s="73"/>
      <c r="S351" s="73"/>
      <c r="T351" s="73"/>
      <c r="U351" s="73"/>
      <c r="V351" s="24">
        <f>V350/V346</f>
        <v>0.30511184232883815</v>
      </c>
      <c r="W351" s="73"/>
      <c r="X351" s="73"/>
      <c r="Y351" s="73"/>
      <c r="Z351" s="73"/>
      <c r="AA351" s="24">
        <f>AA350/AA346</f>
        <v>0.2857959416976279</v>
      </c>
      <c r="AB351" s="73"/>
      <c r="AC351" s="73"/>
      <c r="AD351" s="73"/>
      <c r="AE351" s="73"/>
      <c r="AF351" s="24">
        <f>AF350/AF346</f>
        <v>0.27987919827521829</v>
      </c>
      <c r="AG351" s="73"/>
      <c r="AH351" s="73"/>
      <c r="AI351" s="73"/>
      <c r="AJ351" s="73"/>
      <c r="AK351" s="24">
        <v>0.26263297872340424</v>
      </c>
      <c r="AL351" s="73"/>
      <c r="AM351" s="73"/>
      <c r="AN351" s="73"/>
      <c r="AO351" s="73"/>
      <c r="AP351" s="24">
        <v>0.24017743979721165</v>
      </c>
      <c r="AQ351" s="73"/>
      <c r="AR351" s="73"/>
      <c r="AS351" s="73"/>
      <c r="AT351" s="73"/>
      <c r="AU351" s="24">
        <v>0.2099483204134367</v>
      </c>
      <c r="AV351" s="73"/>
      <c r="AW351" s="73"/>
      <c r="AX351" s="73"/>
      <c r="AY351" s="73"/>
      <c r="AZ351" s="24">
        <v>0.17436564736499674</v>
      </c>
    </row>
    <row r="352" spans="1:52" ht="11.25" customHeight="1">
      <c r="A352" s="69" t="s">
        <v>149</v>
      </c>
      <c r="B352" s="123" t="s">
        <v>45</v>
      </c>
      <c r="C352" s="80" t="s">
        <v>53</v>
      </c>
      <c r="D352" s="80" t="s">
        <v>53</v>
      </c>
      <c r="E352" s="80" t="s">
        <v>53</v>
      </c>
      <c r="F352" s="80" t="s">
        <v>53</v>
      </c>
      <c r="G352" s="37">
        <v>804</v>
      </c>
      <c r="H352" s="80" t="s">
        <v>53</v>
      </c>
      <c r="I352" s="80" t="s">
        <v>53</v>
      </c>
      <c r="J352" s="80" t="s">
        <v>53</v>
      </c>
      <c r="K352" s="80" t="s">
        <v>53</v>
      </c>
      <c r="L352" s="37">
        <v>816</v>
      </c>
      <c r="M352" s="80" t="s">
        <v>53</v>
      </c>
      <c r="N352" s="80" t="s">
        <v>53</v>
      </c>
      <c r="O352" s="80" t="s">
        <v>53</v>
      </c>
      <c r="P352" s="80" t="s">
        <v>53</v>
      </c>
      <c r="Q352" s="37">
        <v>879</v>
      </c>
      <c r="R352" s="80" t="s">
        <v>53</v>
      </c>
      <c r="S352" s="80" t="s">
        <v>53</v>
      </c>
      <c r="T352" s="80" t="s">
        <v>53</v>
      </c>
      <c r="U352" s="80" t="s">
        <v>53</v>
      </c>
      <c r="V352" s="37">
        <v>941</v>
      </c>
      <c r="W352" s="80" t="s">
        <v>53</v>
      </c>
      <c r="X352" s="80" t="s">
        <v>53</v>
      </c>
      <c r="Y352" s="80" t="s">
        <v>53</v>
      </c>
      <c r="Z352" s="80" t="s">
        <v>53</v>
      </c>
      <c r="AA352" s="37">
        <v>957</v>
      </c>
      <c r="AB352" s="80" t="s">
        <v>53</v>
      </c>
      <c r="AC352" s="80" t="s">
        <v>53</v>
      </c>
      <c r="AD352" s="80" t="s">
        <v>53</v>
      </c>
      <c r="AE352" s="80" t="s">
        <v>53</v>
      </c>
      <c r="AF352" s="37">
        <v>1032</v>
      </c>
      <c r="AG352" s="80" t="s">
        <v>53</v>
      </c>
      <c r="AH352" s="80" t="s">
        <v>53</v>
      </c>
      <c r="AI352" s="80" t="s">
        <v>53</v>
      </c>
      <c r="AJ352" s="80" t="s">
        <v>53</v>
      </c>
      <c r="AK352" s="37">
        <v>1109</v>
      </c>
      <c r="AL352" s="80" t="s">
        <v>53</v>
      </c>
      <c r="AM352" s="80" t="s">
        <v>53</v>
      </c>
      <c r="AN352" s="80" t="s">
        <v>53</v>
      </c>
      <c r="AO352" s="80" t="s">
        <v>53</v>
      </c>
      <c r="AP352" s="37">
        <v>1199</v>
      </c>
      <c r="AQ352" s="80" t="s">
        <v>53</v>
      </c>
      <c r="AR352" s="80" t="s">
        <v>53</v>
      </c>
      <c r="AS352" s="80" t="s">
        <v>53</v>
      </c>
      <c r="AT352" s="80" t="s">
        <v>53</v>
      </c>
      <c r="AU352" s="37">
        <v>1223</v>
      </c>
      <c r="AV352" s="80" t="s">
        <v>53</v>
      </c>
      <c r="AW352" s="80" t="s">
        <v>53</v>
      </c>
      <c r="AX352" s="80" t="s">
        <v>53</v>
      </c>
      <c r="AY352" s="80" t="s">
        <v>53</v>
      </c>
      <c r="AZ352" s="37">
        <v>1269</v>
      </c>
    </row>
    <row r="353" spans="1:52" ht="10.5" customHeight="1">
      <c r="A353" s="71" t="s">
        <v>146</v>
      </c>
      <c r="B353" s="24"/>
      <c r="C353" s="73"/>
      <c r="D353" s="73"/>
      <c r="E353" s="73"/>
      <c r="F353" s="73"/>
      <c r="G353" s="24">
        <f>G352/G346</f>
        <v>0.61572440665686923</v>
      </c>
      <c r="H353" s="73"/>
      <c r="I353" s="73"/>
      <c r="J353" s="73"/>
      <c r="K353" s="73"/>
      <c r="L353" s="24">
        <f>L352/L346</f>
        <v>0.61927587222274505</v>
      </c>
      <c r="M353" s="73"/>
      <c r="N353" s="73"/>
      <c r="O353" s="73"/>
      <c r="P353" s="73"/>
      <c r="Q353" s="24">
        <f>Q352/Q346</f>
        <v>0.63674012237869881</v>
      </c>
      <c r="R353" s="73"/>
      <c r="S353" s="73"/>
      <c r="T353" s="73"/>
      <c r="U353" s="73"/>
      <c r="V353" s="24">
        <f>V352/V346</f>
        <v>0.69518218796958042</v>
      </c>
      <c r="W353" s="73"/>
      <c r="X353" s="73"/>
      <c r="Y353" s="73"/>
      <c r="Z353" s="73"/>
      <c r="AA353" s="24">
        <f>AA352/AA346</f>
        <v>0.71411675249250628</v>
      </c>
      <c r="AB353" s="73"/>
      <c r="AC353" s="73"/>
      <c r="AD353" s="73"/>
      <c r="AE353" s="73"/>
      <c r="AF353" s="24">
        <f>AF352/AF346</f>
        <v>0.72028761251876627</v>
      </c>
      <c r="AG353" s="73"/>
      <c r="AH353" s="73"/>
      <c r="AI353" s="73"/>
      <c r="AJ353" s="73"/>
      <c r="AK353" s="24">
        <v>0.7373670212765957</v>
      </c>
      <c r="AL353" s="73"/>
      <c r="AM353" s="73"/>
      <c r="AN353" s="73"/>
      <c r="AO353" s="73"/>
      <c r="AP353" s="24">
        <v>0.75982256020278838</v>
      </c>
      <c r="AQ353" s="73"/>
      <c r="AR353" s="73"/>
      <c r="AS353" s="73"/>
      <c r="AT353" s="73"/>
      <c r="AU353" s="24">
        <v>0.7900516795865633</v>
      </c>
      <c r="AV353" s="73"/>
      <c r="AW353" s="73"/>
      <c r="AX353" s="73"/>
      <c r="AY353" s="73"/>
      <c r="AZ353" s="24">
        <v>0.82563435263500329</v>
      </c>
    </row>
    <row r="354" spans="1:52" ht="3.75" customHeight="1">
      <c r="A354" s="40"/>
      <c r="B354" s="41"/>
      <c r="C354" s="42"/>
      <c r="D354" s="42"/>
      <c r="E354" s="42"/>
      <c r="F354" s="42"/>
      <c r="G354" s="41"/>
      <c r="H354" s="42"/>
      <c r="I354" s="42"/>
      <c r="J354" s="42"/>
      <c r="K354" s="42"/>
      <c r="L354" s="41"/>
      <c r="M354" s="42"/>
      <c r="N354" s="42"/>
      <c r="O354" s="42"/>
      <c r="P354" s="42"/>
      <c r="Q354" s="41"/>
      <c r="R354" s="42"/>
      <c r="S354" s="42"/>
      <c r="T354" s="42"/>
      <c r="U354" s="42"/>
      <c r="V354" s="41"/>
      <c r="W354" s="42"/>
      <c r="X354" s="42"/>
      <c r="Y354" s="42"/>
      <c r="Z354" s="42"/>
      <c r="AA354" s="41"/>
      <c r="AB354" s="42"/>
      <c r="AC354" s="42"/>
      <c r="AD354" s="42"/>
      <c r="AE354" s="42"/>
      <c r="AF354" s="41"/>
      <c r="AG354" s="42"/>
      <c r="AH354" s="42"/>
      <c r="AI354" s="42"/>
      <c r="AJ354" s="42"/>
      <c r="AK354" s="41"/>
      <c r="AL354" s="42"/>
      <c r="AM354" s="42"/>
      <c r="AN354" s="42"/>
      <c r="AO354" s="42"/>
      <c r="AP354" s="41"/>
      <c r="AQ354" s="42"/>
      <c r="AR354" s="42"/>
      <c r="AS354" s="42"/>
      <c r="AT354" s="42"/>
      <c r="AU354" s="41"/>
      <c r="AV354" s="42"/>
      <c r="AW354" s="42"/>
      <c r="AX354" s="42"/>
      <c r="AY354" s="42"/>
      <c r="AZ354" s="41"/>
    </row>
    <row r="355" spans="1:52">
      <c r="A355" s="69" t="s">
        <v>147</v>
      </c>
      <c r="B355" s="123" t="s">
        <v>45</v>
      </c>
      <c r="C355" s="80" t="s">
        <v>53</v>
      </c>
      <c r="D355" s="80" t="s">
        <v>53</v>
      </c>
      <c r="E355" s="80" t="s">
        <v>53</v>
      </c>
      <c r="F355" s="80" t="s">
        <v>53</v>
      </c>
      <c r="G355" s="37">
        <v>513</v>
      </c>
      <c r="H355" s="80" t="s">
        <v>53</v>
      </c>
      <c r="I355" s="80" t="s">
        <v>53</v>
      </c>
      <c r="J355" s="80" t="s">
        <v>53</v>
      </c>
      <c r="K355" s="80" t="s">
        <v>53</v>
      </c>
      <c r="L355" s="37">
        <v>520</v>
      </c>
      <c r="M355" s="80" t="s">
        <v>53</v>
      </c>
      <c r="N355" s="80" t="s">
        <v>53</v>
      </c>
      <c r="O355" s="80" t="s">
        <v>53</v>
      </c>
      <c r="P355" s="80" t="s">
        <v>53</v>
      </c>
      <c r="Q355" s="37">
        <v>523</v>
      </c>
      <c r="R355" s="80" t="s">
        <v>53</v>
      </c>
      <c r="S355" s="80" t="s">
        <v>53</v>
      </c>
      <c r="T355" s="80" t="s">
        <v>53</v>
      </c>
      <c r="U355" s="80" t="s">
        <v>53</v>
      </c>
      <c r="V355" s="37">
        <v>528</v>
      </c>
      <c r="W355" s="80" t="s">
        <v>53</v>
      </c>
      <c r="X355" s="80" t="s">
        <v>53</v>
      </c>
      <c r="Y355" s="80" t="s">
        <v>53</v>
      </c>
      <c r="Z355" s="80" t="s">
        <v>53</v>
      </c>
      <c r="AA355" s="37">
        <v>538</v>
      </c>
      <c r="AB355" s="80" t="s">
        <v>53</v>
      </c>
      <c r="AC355" s="80" t="s">
        <v>53</v>
      </c>
      <c r="AD355" s="80" t="s">
        <v>53</v>
      </c>
      <c r="AE355" s="80" t="s">
        <v>53</v>
      </c>
      <c r="AF355" s="37">
        <v>535</v>
      </c>
      <c r="AG355" s="80" t="s">
        <v>53</v>
      </c>
      <c r="AH355" s="80" t="s">
        <v>53</v>
      </c>
      <c r="AI355" s="80" t="s">
        <v>53</v>
      </c>
      <c r="AJ355" s="80" t="s">
        <v>53</v>
      </c>
      <c r="AK355" s="37">
        <v>529</v>
      </c>
      <c r="AL355" s="80" t="s">
        <v>53</v>
      </c>
      <c r="AM355" s="80" t="s">
        <v>53</v>
      </c>
      <c r="AN355" s="80" t="s">
        <v>53</v>
      </c>
      <c r="AO355" s="80" t="s">
        <v>53</v>
      </c>
      <c r="AP355" s="37">
        <v>555</v>
      </c>
      <c r="AQ355" s="80" t="s">
        <v>53</v>
      </c>
      <c r="AR355" s="80" t="s">
        <v>53</v>
      </c>
      <c r="AS355" s="80" t="s">
        <v>53</v>
      </c>
      <c r="AT355" s="80" t="s">
        <v>53</v>
      </c>
      <c r="AU355" s="37">
        <v>570</v>
      </c>
      <c r="AV355" s="80" t="s">
        <v>53</v>
      </c>
      <c r="AW355" s="80" t="s">
        <v>53</v>
      </c>
      <c r="AX355" s="80" t="s">
        <v>53</v>
      </c>
      <c r="AY355" s="80" t="s">
        <v>53</v>
      </c>
      <c r="AZ355" s="37">
        <v>563</v>
      </c>
    </row>
    <row r="356" spans="1:52" ht="9.75" customHeight="1">
      <c r="A356" s="71" t="s">
        <v>146</v>
      </c>
      <c r="B356" s="24"/>
      <c r="C356" s="73"/>
      <c r="D356" s="73"/>
      <c r="E356" s="73"/>
      <c r="F356" s="73"/>
      <c r="G356" s="24">
        <f>G355/G346</f>
        <v>0.39286893111315163</v>
      </c>
      <c r="H356" s="73"/>
      <c r="I356" s="73"/>
      <c r="J356" s="73"/>
      <c r="K356" s="73"/>
      <c r="L356" s="24">
        <f>L355/L346</f>
        <v>0.39463658523998463</v>
      </c>
      <c r="M356" s="73"/>
      <c r="N356" s="73"/>
      <c r="O356" s="73"/>
      <c r="P356" s="73"/>
      <c r="Q356" s="24">
        <f>Q355/Q346</f>
        <v>0.37885675085786064</v>
      </c>
      <c r="R356" s="73"/>
      <c r="S356" s="73"/>
      <c r="T356" s="73"/>
      <c r="U356" s="73"/>
      <c r="V356" s="24">
        <f>V355/V346</f>
        <v>0.39007034564074222</v>
      </c>
      <c r="W356" s="73"/>
      <c r="X356" s="73"/>
      <c r="Y356" s="73"/>
      <c r="Z356" s="73"/>
      <c r="AA356" s="24">
        <f>AA355/AA346</f>
        <v>0.40145748468230757</v>
      </c>
      <c r="AB356" s="73"/>
      <c r="AC356" s="73"/>
      <c r="AD356" s="73"/>
      <c r="AE356" s="73"/>
      <c r="AF356" s="24">
        <f>AF355/AF346</f>
        <v>0.37340491540459297</v>
      </c>
      <c r="AG356" s="73"/>
      <c r="AH356" s="73"/>
      <c r="AI356" s="73"/>
      <c r="AJ356" s="73"/>
      <c r="AK356" s="24">
        <v>0.35172872340425532</v>
      </c>
      <c r="AL356" s="73"/>
      <c r="AM356" s="73"/>
      <c r="AN356" s="73"/>
      <c r="AO356" s="73"/>
      <c r="AP356" s="24">
        <v>0.35171102661596959</v>
      </c>
      <c r="AQ356" s="73"/>
      <c r="AR356" s="73"/>
      <c r="AS356" s="73"/>
      <c r="AT356" s="73"/>
      <c r="AU356" s="24">
        <v>0.36821705426356588</v>
      </c>
      <c r="AV356" s="73"/>
      <c r="AW356" s="73"/>
      <c r="AX356" s="73"/>
      <c r="AY356" s="73"/>
      <c r="AZ356" s="24">
        <v>0.36629798308392975</v>
      </c>
    </row>
    <row r="357" spans="1:52" ht="12" customHeight="1">
      <c r="A357" s="69" t="s">
        <v>145</v>
      </c>
      <c r="B357" s="123" t="s">
        <v>45</v>
      </c>
      <c r="C357" s="80" t="s">
        <v>53</v>
      </c>
      <c r="D357" s="80" t="s">
        <v>53</v>
      </c>
      <c r="E357" s="80" t="s">
        <v>53</v>
      </c>
      <c r="F357" s="80" t="s">
        <v>53</v>
      </c>
      <c r="G357" s="37">
        <v>793</v>
      </c>
      <c r="H357" s="80" t="s">
        <v>53</v>
      </c>
      <c r="I357" s="80" t="s">
        <v>53</v>
      </c>
      <c r="J357" s="80" t="s">
        <v>53</v>
      </c>
      <c r="K357" s="80" t="s">
        <v>53</v>
      </c>
      <c r="L357" s="37">
        <v>798</v>
      </c>
      <c r="M357" s="80" t="s">
        <v>53</v>
      </c>
      <c r="N357" s="80" t="s">
        <v>53</v>
      </c>
      <c r="O357" s="80" t="s">
        <v>53</v>
      </c>
      <c r="P357" s="80" t="s">
        <v>53</v>
      </c>
      <c r="Q357" s="37">
        <v>857</v>
      </c>
      <c r="R357" s="80" t="s">
        <v>53</v>
      </c>
      <c r="S357" s="80" t="s">
        <v>53</v>
      </c>
      <c r="T357" s="80" t="s">
        <v>53</v>
      </c>
      <c r="U357" s="80" t="s">
        <v>53</v>
      </c>
      <c r="V357" s="37">
        <v>826</v>
      </c>
      <c r="W357" s="80" t="s">
        <v>53</v>
      </c>
      <c r="X357" s="80" t="s">
        <v>53</v>
      </c>
      <c r="Y357" s="80" t="s">
        <v>53</v>
      </c>
      <c r="Z357" s="80" t="s">
        <v>53</v>
      </c>
      <c r="AA357" s="37">
        <v>802</v>
      </c>
      <c r="AB357" s="80" t="s">
        <v>53</v>
      </c>
      <c r="AC357" s="80" t="s">
        <v>53</v>
      </c>
      <c r="AD357" s="80" t="s">
        <v>53</v>
      </c>
      <c r="AE357" s="80" t="s">
        <v>53</v>
      </c>
      <c r="AF357" s="37">
        <v>898</v>
      </c>
      <c r="AG357" s="80" t="s">
        <v>53</v>
      </c>
      <c r="AH357" s="80" t="s">
        <v>53</v>
      </c>
      <c r="AI357" s="80" t="s">
        <v>53</v>
      </c>
      <c r="AJ357" s="80" t="s">
        <v>53</v>
      </c>
      <c r="AK357" s="37">
        <v>975</v>
      </c>
      <c r="AL357" s="80" t="s">
        <v>53</v>
      </c>
      <c r="AM357" s="80" t="s">
        <v>53</v>
      </c>
      <c r="AN357" s="80" t="s">
        <v>53</v>
      </c>
      <c r="AO357" s="80" t="s">
        <v>53</v>
      </c>
      <c r="AP357" s="37">
        <v>1023</v>
      </c>
      <c r="AQ357" s="80" t="s">
        <v>53</v>
      </c>
      <c r="AR357" s="80" t="s">
        <v>53</v>
      </c>
      <c r="AS357" s="80" t="s">
        <v>53</v>
      </c>
      <c r="AT357" s="80" t="s">
        <v>53</v>
      </c>
      <c r="AU357" s="37">
        <v>978</v>
      </c>
      <c r="AV357" s="80" t="s">
        <v>53</v>
      </c>
      <c r="AW357" s="80" t="s">
        <v>53</v>
      </c>
      <c r="AX357" s="80" t="s">
        <v>53</v>
      </c>
      <c r="AY357" s="80" t="s">
        <v>53</v>
      </c>
      <c r="AZ357" s="37">
        <v>974</v>
      </c>
    </row>
    <row r="358" spans="1:52" ht="9.75" customHeight="1">
      <c r="A358" s="71" t="s">
        <v>146</v>
      </c>
      <c r="B358" s="24"/>
      <c r="C358" s="73"/>
      <c r="D358" s="73"/>
      <c r="E358" s="73"/>
      <c r="F358" s="73"/>
      <c r="G358" s="24">
        <f>G357/G346</f>
        <v>0.60730031651604144</v>
      </c>
      <c r="H358" s="73"/>
      <c r="I358" s="73"/>
      <c r="J358" s="73"/>
      <c r="K358" s="73"/>
      <c r="L358" s="24">
        <f>L357/L346</f>
        <v>0.60561537504136098</v>
      </c>
      <c r="M358" s="73"/>
      <c r="N358" s="73"/>
      <c r="O358" s="73"/>
      <c r="P358" s="73"/>
      <c r="Q358" s="24">
        <f>Q357/Q346</f>
        <v>0.62080350953190544</v>
      </c>
      <c r="R358" s="73"/>
      <c r="S358" s="73"/>
      <c r="T358" s="73"/>
      <c r="U358" s="73"/>
      <c r="V358" s="24">
        <f>V357/V346</f>
        <v>0.61022368465767629</v>
      </c>
      <c r="W358" s="73"/>
      <c r="X358" s="73"/>
      <c r="Y358" s="73"/>
      <c r="Z358" s="73"/>
      <c r="AA358" s="24">
        <f>AA357/AA346</f>
        <v>0.5984552095078266</v>
      </c>
      <c r="AB358" s="73"/>
      <c r="AC358" s="73"/>
      <c r="AD358" s="73"/>
      <c r="AE358" s="73"/>
      <c r="AF358" s="24">
        <f>AF357/AF346</f>
        <v>0.62676189538939153</v>
      </c>
      <c r="AG358" s="73"/>
      <c r="AH358" s="73"/>
      <c r="AI358" s="73"/>
      <c r="AJ358" s="73"/>
      <c r="AK358" s="24">
        <v>0.64827127659574468</v>
      </c>
      <c r="AL358" s="73"/>
      <c r="AM358" s="73"/>
      <c r="AN358" s="73"/>
      <c r="AO358" s="73"/>
      <c r="AP358" s="24">
        <v>0.64828897338403046</v>
      </c>
      <c r="AQ358" s="73"/>
      <c r="AR358" s="73"/>
      <c r="AS358" s="73"/>
      <c r="AT358" s="73"/>
      <c r="AU358" s="24">
        <v>0.63178294573643412</v>
      </c>
      <c r="AV358" s="73"/>
      <c r="AW358" s="73"/>
      <c r="AX358" s="73"/>
      <c r="AY358" s="73"/>
      <c r="AZ358" s="24">
        <v>0.63370201691607031</v>
      </c>
    </row>
    <row r="359" spans="1:52" ht="14.25" customHeight="1">
      <c r="A359" s="40" t="s">
        <v>29</v>
      </c>
      <c r="B359" s="41"/>
      <c r="C359" s="42"/>
      <c r="D359" s="42"/>
      <c r="E359" s="42"/>
      <c r="F359" s="42"/>
      <c r="G359" s="41"/>
      <c r="H359" s="42"/>
      <c r="I359" s="42"/>
      <c r="J359" s="42"/>
      <c r="K359" s="42"/>
      <c r="L359" s="41"/>
      <c r="M359" s="42"/>
      <c r="N359" s="42"/>
      <c r="O359" s="42"/>
      <c r="P359" s="42"/>
      <c r="Q359" s="41"/>
      <c r="R359" s="42"/>
      <c r="S359" s="42"/>
      <c r="T359" s="42"/>
      <c r="U359" s="42"/>
      <c r="V359" s="41"/>
      <c r="W359" s="42"/>
      <c r="X359" s="42"/>
      <c r="Y359" s="42"/>
      <c r="Z359" s="42"/>
      <c r="AA359" s="41"/>
      <c r="AB359" s="42"/>
      <c r="AC359" s="42"/>
      <c r="AD359" s="42"/>
      <c r="AE359" s="42"/>
      <c r="AF359" s="41"/>
      <c r="AG359" s="42"/>
      <c r="AH359" s="42"/>
      <c r="AI359" s="42"/>
      <c r="AJ359" s="42"/>
      <c r="AK359" s="41"/>
      <c r="AL359" s="42"/>
      <c r="AM359" s="42"/>
      <c r="AN359" s="42"/>
      <c r="AO359" s="42"/>
      <c r="AP359" s="41"/>
      <c r="AQ359" s="42"/>
      <c r="AR359" s="42"/>
      <c r="AS359" s="42"/>
      <c r="AT359" s="42"/>
      <c r="AU359" s="41"/>
      <c r="AV359" s="42"/>
      <c r="AW359" s="42"/>
      <c r="AX359" s="42"/>
      <c r="AY359" s="42"/>
      <c r="AZ359" s="41"/>
    </row>
    <row r="360" spans="1:52">
      <c r="A360" s="69" t="s">
        <v>88</v>
      </c>
      <c r="B360" s="37">
        <v>859</v>
      </c>
      <c r="C360" s="80" t="s">
        <v>53</v>
      </c>
      <c r="D360" s="80" t="s">
        <v>53</v>
      </c>
      <c r="E360" s="80" t="s">
        <v>53</v>
      </c>
      <c r="F360" s="80" t="s">
        <v>53</v>
      </c>
      <c r="G360" s="37">
        <v>780</v>
      </c>
      <c r="H360" s="70">
        <v>199</v>
      </c>
      <c r="I360" s="70">
        <v>190</v>
      </c>
      <c r="J360" s="70">
        <v>195</v>
      </c>
      <c r="K360" s="70">
        <f>L360-J360-I360-H360</f>
        <v>193</v>
      </c>
      <c r="L360" s="37">
        <v>777</v>
      </c>
      <c r="M360" s="70">
        <v>210</v>
      </c>
      <c r="N360" s="70">
        <v>201</v>
      </c>
      <c r="O360" s="70">
        <v>208</v>
      </c>
      <c r="P360" s="70">
        <f>Q360-O360-N360-M360</f>
        <v>203</v>
      </c>
      <c r="Q360" s="37">
        <v>822</v>
      </c>
      <c r="R360" s="70">
        <v>193</v>
      </c>
      <c r="S360" s="70">
        <v>194</v>
      </c>
      <c r="T360" s="70">
        <v>209</v>
      </c>
      <c r="U360" s="70">
        <f>V360-T360-S360-R360</f>
        <v>191.93899999999996</v>
      </c>
      <c r="V360" s="37">
        <v>787.93899999999996</v>
      </c>
      <c r="W360" s="70">
        <v>201.40600000000001</v>
      </c>
      <c r="X360" s="70">
        <v>194.303</v>
      </c>
      <c r="Y360" s="70">
        <v>199.44499999999999</v>
      </c>
      <c r="Z360" s="70">
        <f>AA360-Y360-X360-W360</f>
        <v>200.54800000000006</v>
      </c>
      <c r="AA360" s="37">
        <v>795.702</v>
      </c>
      <c r="AB360" s="70">
        <v>207.92500000000001</v>
      </c>
      <c r="AC360" s="70">
        <v>218.495</v>
      </c>
      <c r="AD360" s="70">
        <v>222.10499999999999</v>
      </c>
      <c r="AE360" s="70">
        <f>AF360-AD360-AC360-AB360</f>
        <v>230.26899999999995</v>
      </c>
      <c r="AF360" s="37">
        <f>878.794</f>
        <v>878.79399999999998</v>
      </c>
      <c r="AG360" s="70">
        <v>218</v>
      </c>
      <c r="AH360" s="70">
        <v>228</v>
      </c>
      <c r="AI360" s="70">
        <v>246</v>
      </c>
      <c r="AJ360" s="70">
        <f>AK360-AI360-AH360-AG360</f>
        <v>259</v>
      </c>
      <c r="AK360" s="37">
        <v>951</v>
      </c>
      <c r="AL360" s="70">
        <v>251</v>
      </c>
      <c r="AM360" s="70">
        <v>250</v>
      </c>
      <c r="AN360" s="70">
        <v>251</v>
      </c>
      <c r="AO360" s="70">
        <v>263</v>
      </c>
      <c r="AP360" s="37">
        <v>1015</v>
      </c>
      <c r="AQ360" s="70">
        <v>258</v>
      </c>
      <c r="AR360" s="70">
        <v>246</v>
      </c>
      <c r="AS360" s="70">
        <v>256</v>
      </c>
      <c r="AT360" s="70">
        <v>255</v>
      </c>
      <c r="AU360" s="37">
        <v>1015</v>
      </c>
      <c r="AV360" s="70">
        <v>258</v>
      </c>
      <c r="AW360" s="70">
        <v>288</v>
      </c>
      <c r="AX360" s="70">
        <v>253</v>
      </c>
      <c r="AY360" s="70">
        <v>259</v>
      </c>
      <c r="AZ360" s="37">
        <v>1058</v>
      </c>
    </row>
    <row r="361" spans="1:52">
      <c r="A361" s="71" t="s">
        <v>7</v>
      </c>
      <c r="B361" s="24"/>
      <c r="C361" s="72"/>
      <c r="D361" s="72"/>
      <c r="E361" s="72"/>
      <c r="F361" s="72"/>
      <c r="G361" s="24"/>
      <c r="H361" s="72"/>
      <c r="I361" s="72">
        <f>I360/H360-1</f>
        <v>-4.5226130653266305E-2</v>
      </c>
      <c r="J361" s="72">
        <f>J360/I360-1</f>
        <v>2.6315789473684292E-2</v>
      </c>
      <c r="K361" s="72">
        <f>K360/J360-1</f>
        <v>-1.025641025641022E-2</v>
      </c>
      <c r="L361" s="24"/>
      <c r="M361" s="72">
        <f>M360/K360-1</f>
        <v>8.8082901554404236E-2</v>
      </c>
      <c r="N361" s="72">
        <f>N360/M360-1</f>
        <v>-4.2857142857142816E-2</v>
      </c>
      <c r="O361" s="72">
        <f>O360/N360-1</f>
        <v>3.4825870646766122E-2</v>
      </c>
      <c r="P361" s="72">
        <f>P360/O360-1</f>
        <v>-2.4038461538461564E-2</v>
      </c>
      <c r="Q361" s="24"/>
      <c r="R361" s="72">
        <f>R360/P360-1</f>
        <v>-4.9261083743842415E-2</v>
      </c>
      <c r="S361" s="72">
        <f>S360/R360-1</f>
        <v>5.1813471502590858E-3</v>
      </c>
      <c r="T361" s="72">
        <f>T360/S360-1</f>
        <v>7.7319587628865927E-2</v>
      </c>
      <c r="U361" s="72">
        <f>U360/T360-1</f>
        <v>-8.163157894736861E-2</v>
      </c>
      <c r="V361" s="24"/>
      <c r="W361" s="72">
        <f>W360/U360-1</f>
        <v>4.9322961982713576E-2</v>
      </c>
      <c r="X361" s="72">
        <f>X360/W360-1</f>
        <v>-3.5267072480462347E-2</v>
      </c>
      <c r="Y361" s="72">
        <f>Y360/X360-1</f>
        <v>2.6463821968780721E-2</v>
      </c>
      <c r="Z361" s="72">
        <f>Z360/Y360-1</f>
        <v>5.5303467121263772E-3</v>
      </c>
      <c r="AA361" s="24"/>
      <c r="AB361" s="72">
        <f>AB360/Z360-1</f>
        <v>3.6784211261144284E-2</v>
      </c>
      <c r="AC361" s="72">
        <f>AC360/AB360-1</f>
        <v>5.083563785018641E-2</v>
      </c>
      <c r="AD361" s="72">
        <f>AD360/AC360-1</f>
        <v>1.6522117210920007E-2</v>
      </c>
      <c r="AE361" s="72">
        <f>AE360/AD360-1</f>
        <v>3.6757389522973138E-2</v>
      </c>
      <c r="AF361" s="24"/>
      <c r="AG361" s="72">
        <f>AG360/AE360-1</f>
        <v>-5.3281162466506382E-2</v>
      </c>
      <c r="AH361" s="72">
        <f>AH360/AG360-1</f>
        <v>4.587155963302747E-2</v>
      </c>
      <c r="AI361" s="72">
        <f>AI360/AH360-1</f>
        <v>7.8947368421052655E-2</v>
      </c>
      <c r="AJ361" s="72">
        <f>AJ360/AI360-1</f>
        <v>5.2845528455284452E-2</v>
      </c>
      <c r="AK361" s="24"/>
      <c r="AL361" s="72">
        <v>-3.0888030888030937E-2</v>
      </c>
      <c r="AM361" s="72">
        <v>-3.9840637450199168E-3</v>
      </c>
      <c r="AN361" s="72">
        <v>4.0000000000000036E-3</v>
      </c>
      <c r="AO361" s="72">
        <v>4.7808764940239001E-2</v>
      </c>
      <c r="AP361" s="24"/>
      <c r="AQ361" s="72">
        <v>-1.9011406844106515E-2</v>
      </c>
      <c r="AR361" s="72">
        <v>-4.6511627906976716E-2</v>
      </c>
      <c r="AS361" s="72">
        <v>4.0650406504065151E-2</v>
      </c>
      <c r="AT361" s="72">
        <v>-3.90625E-3</v>
      </c>
      <c r="AU361" s="24"/>
      <c r="AV361" s="72">
        <v>1.1764705882352899E-2</v>
      </c>
      <c r="AW361" s="72">
        <v>0.11627906976744184</v>
      </c>
      <c r="AX361" s="72">
        <v>-0.12152777777777779</v>
      </c>
      <c r="AY361" s="72">
        <v>2.3715415019762931E-2</v>
      </c>
      <c r="AZ361" s="24"/>
    </row>
    <row r="362" spans="1:52">
      <c r="A362" s="71" t="s">
        <v>8</v>
      </c>
      <c r="B362" s="24"/>
      <c r="C362" s="73"/>
      <c r="D362" s="73"/>
      <c r="E362" s="73"/>
      <c r="F362" s="73"/>
      <c r="G362" s="24">
        <f>G360/B360-1</f>
        <v>-9.1967403958090777E-2</v>
      </c>
      <c r="H362" s="73"/>
      <c r="I362" s="73"/>
      <c r="J362" s="73"/>
      <c r="K362" s="73"/>
      <c r="L362" s="24">
        <f t="shared" ref="L362:AD362" si="348">L360/G360-1</f>
        <v>-3.8461538461538325E-3</v>
      </c>
      <c r="M362" s="73">
        <f t="shared" si="348"/>
        <v>5.5276381909547645E-2</v>
      </c>
      <c r="N362" s="73">
        <f t="shared" si="348"/>
        <v>5.7894736842105221E-2</v>
      </c>
      <c r="O362" s="73">
        <f t="shared" si="348"/>
        <v>6.6666666666666652E-2</v>
      </c>
      <c r="P362" s="73">
        <f t="shared" si="348"/>
        <v>5.1813471502590636E-2</v>
      </c>
      <c r="Q362" s="24">
        <f t="shared" si="348"/>
        <v>5.7915057915058021E-2</v>
      </c>
      <c r="R362" s="73">
        <f t="shared" si="348"/>
        <v>-8.0952380952380998E-2</v>
      </c>
      <c r="S362" s="73">
        <f t="shared" si="348"/>
        <v>-3.4825870646766122E-2</v>
      </c>
      <c r="T362" s="73">
        <f t="shared" si="348"/>
        <v>4.8076923076922906E-3</v>
      </c>
      <c r="U362" s="73">
        <f t="shared" si="348"/>
        <v>-5.4487684729064179E-2</v>
      </c>
      <c r="V362" s="24">
        <f t="shared" si="348"/>
        <v>-4.143673965936745E-2</v>
      </c>
      <c r="W362" s="73">
        <f t="shared" si="348"/>
        <v>4.3554404145077719E-2</v>
      </c>
      <c r="X362" s="73">
        <f t="shared" si="348"/>
        <v>1.5618556701031405E-3</v>
      </c>
      <c r="Y362" s="73">
        <f t="shared" si="348"/>
        <v>-4.5717703349282379E-2</v>
      </c>
      <c r="Z362" s="73">
        <f t="shared" si="348"/>
        <v>4.4852791772386436E-2</v>
      </c>
      <c r="AA362" s="24">
        <f t="shared" si="348"/>
        <v>9.8522855195644077E-3</v>
      </c>
      <c r="AB362" s="73">
        <f t="shared" si="348"/>
        <v>3.2367456778844783E-2</v>
      </c>
      <c r="AC362" s="73">
        <f t="shared" si="348"/>
        <v>0.12450656963608386</v>
      </c>
      <c r="AD362" s="73">
        <f t="shared" si="348"/>
        <v>0.11361528240868402</v>
      </c>
      <c r="AE362" s="73">
        <f t="shared" ref="AE362:AN362" si="349">AE360/Z360-1</f>
        <v>0.14819893491832326</v>
      </c>
      <c r="AF362" s="24">
        <f t="shared" si="349"/>
        <v>0.10442602883994256</v>
      </c>
      <c r="AG362" s="73">
        <f t="shared" si="349"/>
        <v>4.8454971744619435E-2</v>
      </c>
      <c r="AH362" s="73">
        <f t="shared" si="349"/>
        <v>4.3502139637062509E-2</v>
      </c>
      <c r="AI362" s="73">
        <f t="shared" si="349"/>
        <v>0.1075842506922402</v>
      </c>
      <c r="AJ362" s="73">
        <f t="shared" si="349"/>
        <v>0.12477146294116914</v>
      </c>
      <c r="AK362" s="24">
        <v>8.2164875955001992E-2</v>
      </c>
      <c r="AL362" s="73">
        <v>0.15137614678899092</v>
      </c>
      <c r="AM362" s="73">
        <v>9.6491228070175517E-2</v>
      </c>
      <c r="AN362" s="73">
        <v>2.0325203252032464E-2</v>
      </c>
      <c r="AO362" s="73">
        <v>1.5444015444015413E-2</v>
      </c>
      <c r="AP362" s="24">
        <v>6.7297581493165115E-2</v>
      </c>
      <c r="AQ362" s="73">
        <v>2.7888446215139417E-2</v>
      </c>
      <c r="AR362" s="73">
        <v>-1.6000000000000014E-2</v>
      </c>
      <c r="AS362" s="73">
        <v>1.9920318725099584E-2</v>
      </c>
      <c r="AT362" s="73">
        <v>-3.041825095057038E-2</v>
      </c>
      <c r="AU362" s="24">
        <v>0</v>
      </c>
      <c r="AV362" s="73">
        <v>0</v>
      </c>
      <c r="AW362" s="73">
        <v>0.1707317073170731</v>
      </c>
      <c r="AX362" s="73">
        <v>-1.171875E-2</v>
      </c>
      <c r="AY362" s="73">
        <v>1.5686274509803866E-2</v>
      </c>
      <c r="AZ362" s="24">
        <v>4.236453201970436E-2</v>
      </c>
    </row>
    <row r="363" spans="1:52">
      <c r="A363" s="69" t="s">
        <v>110</v>
      </c>
      <c r="B363" s="37">
        <v>445</v>
      </c>
      <c r="C363" s="80" t="s">
        <v>53</v>
      </c>
      <c r="D363" s="80" t="s">
        <v>53</v>
      </c>
      <c r="E363" s="80" t="s">
        <v>53</v>
      </c>
      <c r="F363" s="80" t="s">
        <v>53</v>
      </c>
      <c r="G363" s="37">
        <v>526</v>
      </c>
      <c r="H363" s="70">
        <v>125</v>
      </c>
      <c r="I363" s="70">
        <v>137</v>
      </c>
      <c r="J363" s="70">
        <v>137</v>
      </c>
      <c r="K363" s="70">
        <f>L363-J363-I363-H363</f>
        <v>142</v>
      </c>
      <c r="L363" s="37">
        <v>541</v>
      </c>
      <c r="M363" s="70">
        <v>133</v>
      </c>
      <c r="N363" s="70">
        <v>141</v>
      </c>
      <c r="O363" s="70">
        <v>139</v>
      </c>
      <c r="P363" s="70">
        <f>Q363-O363-N363-M363</f>
        <v>145</v>
      </c>
      <c r="Q363" s="37">
        <v>558</v>
      </c>
      <c r="R363" s="70">
        <v>136</v>
      </c>
      <c r="S363" s="70">
        <v>139</v>
      </c>
      <c r="T363" s="70">
        <v>142</v>
      </c>
      <c r="U363" s="70">
        <f>V363-T363-S363-R363</f>
        <v>149</v>
      </c>
      <c r="V363" s="37">
        <v>566</v>
      </c>
      <c r="W363" s="70">
        <v>130.816</v>
      </c>
      <c r="X363" s="70">
        <v>135</v>
      </c>
      <c r="Y363" s="70">
        <v>139.10900000000001</v>
      </c>
      <c r="Z363" s="70">
        <f>AA363-Y363-X363-W363</f>
        <v>139.48999999999992</v>
      </c>
      <c r="AA363" s="37">
        <v>544.41499999999996</v>
      </c>
      <c r="AB363" s="70">
        <v>137.65100000000001</v>
      </c>
      <c r="AC363" s="70">
        <v>140.249</v>
      </c>
      <c r="AD363" s="70">
        <v>137.51900000000001</v>
      </c>
      <c r="AE363" s="70">
        <f>AF363-AD363-AC363-AB363</f>
        <v>138.54799999999994</v>
      </c>
      <c r="AF363" s="37">
        <v>553.96699999999998</v>
      </c>
      <c r="AG363" s="70">
        <v>137</v>
      </c>
      <c r="AH363" s="70">
        <v>137</v>
      </c>
      <c r="AI363" s="70">
        <v>139</v>
      </c>
      <c r="AJ363" s="70">
        <f>AK363-AI363-AH363-AG363</f>
        <v>140</v>
      </c>
      <c r="AK363" s="37">
        <v>553</v>
      </c>
      <c r="AL363" s="70">
        <v>142</v>
      </c>
      <c r="AM363" s="70">
        <v>141</v>
      </c>
      <c r="AN363" s="70">
        <v>138</v>
      </c>
      <c r="AO363" s="70">
        <v>142</v>
      </c>
      <c r="AP363" s="37">
        <v>563</v>
      </c>
      <c r="AQ363" s="70">
        <v>137</v>
      </c>
      <c r="AR363" s="70">
        <v>131</v>
      </c>
      <c r="AS363" s="70">
        <v>128</v>
      </c>
      <c r="AT363" s="70">
        <v>137</v>
      </c>
      <c r="AU363" s="37">
        <v>533</v>
      </c>
      <c r="AV363" s="70">
        <v>126</v>
      </c>
      <c r="AW363" s="70">
        <v>119</v>
      </c>
      <c r="AX363" s="70">
        <v>114</v>
      </c>
      <c r="AY363" s="70">
        <v>120</v>
      </c>
      <c r="AZ363" s="37">
        <v>479</v>
      </c>
    </row>
    <row r="364" spans="1:52" ht="12" customHeight="1">
      <c r="A364" s="71" t="s">
        <v>7</v>
      </c>
      <c r="B364" s="24"/>
      <c r="C364" s="72"/>
      <c r="D364" s="72"/>
      <c r="E364" s="72"/>
      <c r="F364" s="72"/>
      <c r="G364" s="24"/>
      <c r="H364" s="72"/>
      <c r="I364" s="72">
        <f>I363/H363-1</f>
        <v>9.6000000000000085E-2</v>
      </c>
      <c r="J364" s="72">
        <f>J363/I363-1</f>
        <v>0</v>
      </c>
      <c r="K364" s="72">
        <f>K363/J363-1</f>
        <v>3.649635036496357E-2</v>
      </c>
      <c r="L364" s="24"/>
      <c r="M364" s="72">
        <f>M363/K363-1</f>
        <v>-6.3380281690140872E-2</v>
      </c>
      <c r="N364" s="72">
        <f>N363/M363-1</f>
        <v>6.0150375939849621E-2</v>
      </c>
      <c r="O364" s="72">
        <f>O363/N363-1</f>
        <v>-1.4184397163120588E-2</v>
      </c>
      <c r="P364" s="72">
        <f>P363/O363-1</f>
        <v>4.3165467625899234E-2</v>
      </c>
      <c r="Q364" s="24"/>
      <c r="R364" s="72">
        <f>R363/P363-1</f>
        <v>-6.2068965517241392E-2</v>
      </c>
      <c r="S364" s="72">
        <f>S363/R363-1</f>
        <v>2.2058823529411686E-2</v>
      </c>
      <c r="T364" s="72">
        <f>T363/S363-1</f>
        <v>2.1582733812949728E-2</v>
      </c>
      <c r="U364" s="72">
        <f>U363/T363-1</f>
        <v>4.9295774647887258E-2</v>
      </c>
      <c r="V364" s="24"/>
      <c r="W364" s="72">
        <f>W363/U363-1</f>
        <v>-0.12204026845637583</v>
      </c>
      <c r="X364" s="72">
        <f>X363/W363-1</f>
        <v>3.198385518590996E-2</v>
      </c>
      <c r="Y364" s="72">
        <f>Y363/X363-1</f>
        <v>3.043703703703704E-2</v>
      </c>
      <c r="Z364" s="72">
        <f>Z363/Y363-1</f>
        <v>2.7388594555342038E-3</v>
      </c>
      <c r="AA364" s="24"/>
      <c r="AB364" s="72">
        <f>AB363/Z363-1</f>
        <v>-1.3183740769947105E-2</v>
      </c>
      <c r="AC364" s="72">
        <f>AC363/AB363-1</f>
        <v>1.8873818570152023E-2</v>
      </c>
      <c r="AD364" s="72">
        <f>AD363/AC363-1</f>
        <v>-1.9465379432295316E-2</v>
      </c>
      <c r="AE364" s="72">
        <f>AE363/AD363-1</f>
        <v>7.4826024040310912E-3</v>
      </c>
      <c r="AF364" s="24"/>
      <c r="AG364" s="72">
        <f>AG363/AE363-1</f>
        <v>-1.1173023067817311E-2</v>
      </c>
      <c r="AH364" s="72">
        <f>AH363/AG363-1</f>
        <v>0</v>
      </c>
      <c r="AI364" s="72">
        <f>AI363/AH363-1</f>
        <v>1.4598540145985384E-2</v>
      </c>
      <c r="AJ364" s="72">
        <f>AJ363/AI363-1</f>
        <v>7.194244604316502E-3</v>
      </c>
      <c r="AK364" s="24"/>
      <c r="AL364" s="72">
        <v>1.4285714285714235E-2</v>
      </c>
      <c r="AM364" s="72">
        <v>-7.0422535211267512E-3</v>
      </c>
      <c r="AN364" s="72">
        <v>-2.1276595744680882E-2</v>
      </c>
      <c r="AO364" s="72">
        <v>2.8985507246376718E-2</v>
      </c>
      <c r="AP364" s="24"/>
      <c r="AQ364" s="72">
        <v>-3.5211267605633756E-2</v>
      </c>
      <c r="AR364" s="72">
        <v>-4.3795620437956151E-2</v>
      </c>
      <c r="AS364" s="72">
        <v>-2.2900763358778664E-2</v>
      </c>
      <c r="AT364" s="72">
        <v>7.03125E-2</v>
      </c>
      <c r="AU364" s="24"/>
      <c r="AV364" s="72">
        <v>-8.0291970802919721E-2</v>
      </c>
      <c r="AW364" s="72">
        <v>-5.555555555555558E-2</v>
      </c>
      <c r="AX364" s="72">
        <v>-4.2016806722689037E-2</v>
      </c>
      <c r="AY364" s="72">
        <v>5.2631578947368363E-2</v>
      </c>
      <c r="AZ364" s="24"/>
    </row>
    <row r="365" spans="1:52" ht="11.25" customHeight="1">
      <c r="A365" s="71" t="s">
        <v>8</v>
      </c>
      <c r="B365" s="24"/>
      <c r="C365" s="73"/>
      <c r="D365" s="73"/>
      <c r="E365" s="73"/>
      <c r="F365" s="73"/>
      <c r="G365" s="24">
        <f>G363/B363-1</f>
        <v>0.18202247191011245</v>
      </c>
      <c r="H365" s="73"/>
      <c r="I365" s="73"/>
      <c r="J365" s="73"/>
      <c r="K365" s="73"/>
      <c r="L365" s="24">
        <f t="shared" ref="L365:AD365" si="350">L363/G363-1</f>
        <v>2.8517110266159662E-2</v>
      </c>
      <c r="M365" s="73">
        <f t="shared" si="350"/>
        <v>6.4000000000000057E-2</v>
      </c>
      <c r="N365" s="73">
        <f t="shared" si="350"/>
        <v>2.9197080291970767E-2</v>
      </c>
      <c r="O365" s="73">
        <f t="shared" si="350"/>
        <v>1.4598540145985384E-2</v>
      </c>
      <c r="P365" s="73">
        <f t="shared" si="350"/>
        <v>2.1126760563380254E-2</v>
      </c>
      <c r="Q365" s="24">
        <f t="shared" si="350"/>
        <v>3.1423290203327126E-2</v>
      </c>
      <c r="R365" s="73">
        <f t="shared" si="350"/>
        <v>2.2556390977443552E-2</v>
      </c>
      <c r="S365" s="73">
        <f t="shared" si="350"/>
        <v>-1.4184397163120588E-2</v>
      </c>
      <c r="T365" s="73">
        <f t="shared" si="350"/>
        <v>2.1582733812949728E-2</v>
      </c>
      <c r="U365" s="73">
        <f t="shared" si="350"/>
        <v>2.7586206896551779E-2</v>
      </c>
      <c r="V365" s="24">
        <f t="shared" si="350"/>
        <v>1.4336917562723928E-2</v>
      </c>
      <c r="W365" s="73">
        <f t="shared" si="350"/>
        <v>-3.8117647058823478E-2</v>
      </c>
      <c r="X365" s="73">
        <f t="shared" si="350"/>
        <v>-2.877697841726623E-2</v>
      </c>
      <c r="Y365" s="73">
        <f t="shared" si="350"/>
        <v>-2.0359154929577405E-2</v>
      </c>
      <c r="Z365" s="73">
        <f t="shared" si="350"/>
        <v>-6.3825503355705249E-2</v>
      </c>
      <c r="AA365" s="24">
        <f t="shared" si="350"/>
        <v>-3.8136042402826864E-2</v>
      </c>
      <c r="AB365" s="73">
        <f t="shared" si="350"/>
        <v>5.2248960371819919E-2</v>
      </c>
      <c r="AC365" s="73">
        <f t="shared" si="350"/>
        <v>3.8881481481481517E-2</v>
      </c>
      <c r="AD365" s="73">
        <f t="shared" si="350"/>
        <v>-1.1429885916799054E-2</v>
      </c>
      <c r="AE365" s="73">
        <f t="shared" ref="AE365:AN365" si="351">AE363/Z363-1</f>
        <v>-6.7531722704134989E-3</v>
      </c>
      <c r="AF365" s="24">
        <f t="shared" si="351"/>
        <v>1.7545438681887848E-2</v>
      </c>
      <c r="AG365" s="73">
        <f t="shared" si="351"/>
        <v>-4.7293517664238616E-3</v>
      </c>
      <c r="AH365" s="73">
        <f t="shared" si="351"/>
        <v>-2.3165940577116406E-2</v>
      </c>
      <c r="AI365" s="73">
        <f t="shared" si="351"/>
        <v>1.0769420952741138E-2</v>
      </c>
      <c r="AJ365" s="73">
        <f t="shared" si="351"/>
        <v>1.0480122412449555E-2</v>
      </c>
      <c r="AK365" s="24">
        <v>-1.7455913438887416E-3</v>
      </c>
      <c r="AL365" s="73">
        <v>3.649635036496357E-2</v>
      </c>
      <c r="AM365" s="73">
        <v>2.9197080291970767E-2</v>
      </c>
      <c r="AN365" s="73">
        <v>-7.194244604316502E-3</v>
      </c>
      <c r="AO365" s="73">
        <v>1.4285714285714235E-2</v>
      </c>
      <c r="AP365" s="24">
        <v>1.8083182640144635E-2</v>
      </c>
      <c r="AQ365" s="73">
        <v>-3.5211267605633756E-2</v>
      </c>
      <c r="AR365" s="73">
        <v>-7.0921985815602828E-2</v>
      </c>
      <c r="AS365" s="73">
        <v>-7.2463768115942018E-2</v>
      </c>
      <c r="AT365" s="73">
        <v>-3.5211267605633756E-2</v>
      </c>
      <c r="AU365" s="24">
        <v>-5.3285968028419228E-2</v>
      </c>
      <c r="AV365" s="73">
        <v>-8.0291970802919721E-2</v>
      </c>
      <c r="AW365" s="73">
        <v>-9.1603053435114545E-2</v>
      </c>
      <c r="AX365" s="73">
        <v>-0.109375</v>
      </c>
      <c r="AY365" s="73">
        <v>-0.12408759124087587</v>
      </c>
      <c r="AZ365" s="24">
        <v>-0.10131332082551592</v>
      </c>
    </row>
    <row r="366" spans="1:52">
      <c r="A366" s="69" t="s">
        <v>89</v>
      </c>
      <c r="B366" s="37">
        <v>147</v>
      </c>
      <c r="C366" s="80" t="s">
        <v>53</v>
      </c>
      <c r="D366" s="80" t="s">
        <v>53</v>
      </c>
      <c r="E366" s="80" t="s">
        <v>53</v>
      </c>
      <c r="F366" s="80" t="s">
        <v>53</v>
      </c>
      <c r="G366" s="37">
        <v>181</v>
      </c>
      <c r="H366" s="70">
        <v>41</v>
      </c>
      <c r="I366" s="70">
        <v>43</v>
      </c>
      <c r="J366" s="70">
        <v>47</v>
      </c>
      <c r="K366" s="70">
        <f>L366-J366-I366-H366</f>
        <v>44</v>
      </c>
      <c r="L366" s="37">
        <v>175</v>
      </c>
      <c r="M366" s="70">
        <v>44</v>
      </c>
      <c r="N366" s="70">
        <v>48</v>
      </c>
      <c r="O366" s="70">
        <v>48</v>
      </c>
      <c r="P366" s="70">
        <f>Q366-O366-N366-M366</f>
        <v>52</v>
      </c>
      <c r="Q366" s="37">
        <v>192</v>
      </c>
      <c r="R366" s="70">
        <v>47</v>
      </c>
      <c r="S366" s="70">
        <v>53</v>
      </c>
      <c r="T366" s="70">
        <v>51</v>
      </c>
      <c r="U366" s="70">
        <f>V366-T366-S366-R366</f>
        <v>58.084000000000003</v>
      </c>
      <c r="V366" s="37">
        <v>209.084</v>
      </c>
      <c r="W366" s="70">
        <v>50.045999999999999</v>
      </c>
      <c r="X366" s="70">
        <v>52.976999999999997</v>
      </c>
      <c r="Y366" s="70">
        <v>54.37</v>
      </c>
      <c r="Z366" s="70">
        <f>AA366-Y366-X366-W366</f>
        <v>51.805</v>
      </c>
      <c r="AA366" s="37">
        <v>209.19800000000001</v>
      </c>
      <c r="AB366" s="70">
        <v>51.332000000000001</v>
      </c>
      <c r="AC366" s="70">
        <v>50.058</v>
      </c>
      <c r="AD366" s="70">
        <v>49.411999999999999</v>
      </c>
      <c r="AE366" s="70">
        <f>AF366-AD366-AC366-AB366</f>
        <v>54.455000000000005</v>
      </c>
      <c r="AF366" s="37">
        <v>205.25700000000001</v>
      </c>
      <c r="AG366" s="70">
        <v>50</v>
      </c>
      <c r="AH366" s="70">
        <v>50</v>
      </c>
      <c r="AI366" s="70">
        <v>53</v>
      </c>
      <c r="AJ366" s="70">
        <f>AK366-AI366-AH366-AG366</f>
        <v>56</v>
      </c>
      <c r="AK366" s="37">
        <v>209</v>
      </c>
      <c r="AL366" s="70">
        <v>53</v>
      </c>
      <c r="AM366" s="70">
        <v>53</v>
      </c>
      <c r="AN366" s="70">
        <v>49</v>
      </c>
      <c r="AO366" s="70">
        <v>54</v>
      </c>
      <c r="AP366" s="37">
        <v>209</v>
      </c>
      <c r="AQ366" s="70">
        <v>57</v>
      </c>
      <c r="AR366" s="70">
        <v>56</v>
      </c>
      <c r="AS366" s="70">
        <v>55</v>
      </c>
      <c r="AT366" s="70">
        <v>53</v>
      </c>
      <c r="AU366" s="37">
        <v>221</v>
      </c>
      <c r="AV366" s="70">
        <v>48</v>
      </c>
      <c r="AW366" s="70">
        <v>46</v>
      </c>
      <c r="AX366" s="70">
        <v>48</v>
      </c>
      <c r="AY366" s="70">
        <v>45</v>
      </c>
      <c r="AZ366" s="37">
        <v>187</v>
      </c>
    </row>
    <row r="367" spans="1:52">
      <c r="A367" s="71" t="s">
        <v>7</v>
      </c>
      <c r="B367" s="24"/>
      <c r="C367" s="72"/>
      <c r="D367" s="72"/>
      <c r="E367" s="72"/>
      <c r="F367" s="72"/>
      <c r="G367" s="24"/>
      <c r="H367" s="72"/>
      <c r="I367" s="72">
        <f>I366/H366-1</f>
        <v>4.8780487804878092E-2</v>
      </c>
      <c r="J367" s="72">
        <f>J366/I366-1</f>
        <v>9.3023255813953432E-2</v>
      </c>
      <c r="K367" s="72">
        <f>K366/J366-1</f>
        <v>-6.3829787234042534E-2</v>
      </c>
      <c r="L367" s="24"/>
      <c r="M367" s="72">
        <f>M366/K366-1</f>
        <v>0</v>
      </c>
      <c r="N367" s="72">
        <f>N366/M366-1</f>
        <v>9.0909090909090828E-2</v>
      </c>
      <c r="O367" s="72">
        <f>O366/N366-1</f>
        <v>0</v>
      </c>
      <c r="P367" s="72">
        <f>P366/O366-1</f>
        <v>8.3333333333333259E-2</v>
      </c>
      <c r="Q367" s="24"/>
      <c r="R367" s="72">
        <f>R366/P366-1</f>
        <v>-9.6153846153846145E-2</v>
      </c>
      <c r="S367" s="72">
        <f>S366/R366-1</f>
        <v>0.12765957446808507</v>
      </c>
      <c r="T367" s="72">
        <f>T366/S366-1</f>
        <v>-3.7735849056603765E-2</v>
      </c>
      <c r="U367" s="72">
        <f>U366/T366-1</f>
        <v>0.13890196078431383</v>
      </c>
      <c r="V367" s="24"/>
      <c r="W367" s="72">
        <f>W366/U366-1</f>
        <v>-0.13838578610288554</v>
      </c>
      <c r="X367" s="72">
        <f>X366/W366-1</f>
        <v>5.8566119170363251E-2</v>
      </c>
      <c r="Y367" s="72">
        <f>Y366/X366-1</f>
        <v>2.629442965815354E-2</v>
      </c>
      <c r="Z367" s="72">
        <f>Z366/Y366-1</f>
        <v>-4.7176751885230739E-2</v>
      </c>
      <c r="AA367" s="24"/>
      <c r="AB367" s="72">
        <f>AB366/Z366-1</f>
        <v>-9.1303928192258965E-3</v>
      </c>
      <c r="AC367" s="72">
        <f>AC366/AB366-1</f>
        <v>-2.4818826463025023E-2</v>
      </c>
      <c r="AD367" s="72">
        <f>AD366/AC366-1</f>
        <v>-1.2905030165008657E-2</v>
      </c>
      <c r="AE367" s="72">
        <f>AE366/AD366-1</f>
        <v>0.10206022828462724</v>
      </c>
      <c r="AF367" s="24"/>
      <c r="AG367" s="72">
        <f>AG366/AE366-1</f>
        <v>-8.1810669360022126E-2</v>
      </c>
      <c r="AH367" s="72">
        <f>AH366/AG366-1</f>
        <v>0</v>
      </c>
      <c r="AI367" s="72">
        <f>AI366/AH366-1</f>
        <v>6.0000000000000053E-2</v>
      </c>
      <c r="AJ367" s="72">
        <f>AJ366/AI366-1</f>
        <v>5.6603773584905648E-2</v>
      </c>
      <c r="AK367" s="24"/>
      <c r="AL367" s="72">
        <v>-5.3571428571428603E-2</v>
      </c>
      <c r="AM367" s="72">
        <v>0</v>
      </c>
      <c r="AN367" s="72">
        <v>-7.547169811320753E-2</v>
      </c>
      <c r="AO367" s="72">
        <v>0.1020408163265305</v>
      </c>
      <c r="AP367" s="24"/>
      <c r="AQ367" s="72">
        <v>5.555555555555558E-2</v>
      </c>
      <c r="AR367" s="72">
        <v>-1.7543859649122862E-2</v>
      </c>
      <c r="AS367" s="72">
        <v>-1.7857142857142905E-2</v>
      </c>
      <c r="AT367" s="72">
        <v>-3.6363636363636376E-2</v>
      </c>
      <c r="AU367" s="24"/>
      <c r="AV367" s="72">
        <v>-9.4339622641509413E-2</v>
      </c>
      <c r="AW367" s="72">
        <v>-4.166666666666663E-2</v>
      </c>
      <c r="AX367" s="72">
        <v>4.3478260869565188E-2</v>
      </c>
      <c r="AY367" s="72">
        <v>-6.25E-2</v>
      </c>
      <c r="AZ367" s="24"/>
    </row>
    <row r="368" spans="1:52">
      <c r="A368" s="71" t="s">
        <v>8</v>
      </c>
      <c r="B368" s="24"/>
      <c r="C368" s="73"/>
      <c r="D368" s="73"/>
      <c r="E368" s="73"/>
      <c r="F368" s="73"/>
      <c r="G368" s="24">
        <f>G366/B366-1</f>
        <v>0.23129251700680276</v>
      </c>
      <c r="H368" s="73"/>
      <c r="I368" s="73"/>
      <c r="J368" s="73"/>
      <c r="K368" s="73"/>
      <c r="L368" s="24">
        <f t="shared" ref="L368:AD368" si="352">L366/G366-1</f>
        <v>-3.3149171270718258E-2</v>
      </c>
      <c r="M368" s="73">
        <f t="shared" si="352"/>
        <v>7.3170731707317138E-2</v>
      </c>
      <c r="N368" s="73">
        <f t="shared" si="352"/>
        <v>0.11627906976744184</v>
      </c>
      <c r="O368" s="73">
        <f t="shared" si="352"/>
        <v>2.1276595744680771E-2</v>
      </c>
      <c r="P368" s="73">
        <f t="shared" si="352"/>
        <v>0.18181818181818188</v>
      </c>
      <c r="Q368" s="24">
        <f t="shared" si="352"/>
        <v>9.7142857142857197E-2</v>
      </c>
      <c r="R368" s="73">
        <f t="shared" si="352"/>
        <v>6.8181818181818121E-2</v>
      </c>
      <c r="S368" s="73">
        <f t="shared" si="352"/>
        <v>0.10416666666666674</v>
      </c>
      <c r="T368" s="73">
        <f t="shared" si="352"/>
        <v>6.25E-2</v>
      </c>
      <c r="U368" s="73">
        <f t="shared" si="352"/>
        <v>0.11699999999999999</v>
      </c>
      <c r="V368" s="24">
        <f t="shared" si="352"/>
        <v>8.8979166666666609E-2</v>
      </c>
      <c r="W368" s="73">
        <f t="shared" si="352"/>
        <v>6.4808510638297845E-2</v>
      </c>
      <c r="X368" s="73">
        <f t="shared" si="352"/>
        <v>-4.3396226415104433E-4</v>
      </c>
      <c r="Y368" s="73">
        <f t="shared" si="352"/>
        <v>6.6078431372548874E-2</v>
      </c>
      <c r="Z368" s="73">
        <f t="shared" si="352"/>
        <v>-0.10810205908683979</v>
      </c>
      <c r="AA368" s="24">
        <f t="shared" si="352"/>
        <v>5.4523540777862145E-4</v>
      </c>
      <c r="AB368" s="73">
        <f t="shared" si="352"/>
        <v>2.5696359349398623E-2</v>
      </c>
      <c r="AC368" s="73">
        <f t="shared" si="352"/>
        <v>-5.5099382751005122E-2</v>
      </c>
      <c r="AD368" s="73">
        <f t="shared" si="352"/>
        <v>-9.118999448225118E-2</v>
      </c>
      <c r="AE368" s="73">
        <f t="shared" ref="AE368:AN368" si="353">AE366/Z366-1</f>
        <v>5.1153363574944599E-2</v>
      </c>
      <c r="AF368" s="24">
        <f t="shared" si="353"/>
        <v>-1.8838612223826212E-2</v>
      </c>
      <c r="AG368" s="73">
        <f t="shared" si="353"/>
        <v>-2.5948725940933559E-2</v>
      </c>
      <c r="AH368" s="73">
        <f t="shared" si="353"/>
        <v>-1.1586559590874845E-3</v>
      </c>
      <c r="AI368" s="73">
        <f t="shared" si="353"/>
        <v>7.261393993361942E-2</v>
      </c>
      <c r="AJ368" s="73">
        <f t="shared" si="353"/>
        <v>2.8372050316775255E-2</v>
      </c>
      <c r="AK368" s="24">
        <v>1.8235675275386498E-2</v>
      </c>
      <c r="AL368" s="73">
        <v>6.0000000000000053E-2</v>
      </c>
      <c r="AM368" s="73">
        <v>6.0000000000000053E-2</v>
      </c>
      <c r="AN368" s="73">
        <v>-7.547169811320753E-2</v>
      </c>
      <c r="AO368" s="73">
        <v>-3.5714285714285698E-2</v>
      </c>
      <c r="AP368" s="24">
        <v>0</v>
      </c>
      <c r="AQ368" s="73">
        <v>7.547169811320753E-2</v>
      </c>
      <c r="AR368" s="73">
        <v>5.6603773584905648E-2</v>
      </c>
      <c r="AS368" s="73">
        <v>0.12244897959183665</v>
      </c>
      <c r="AT368" s="73">
        <v>-1.851851851851849E-2</v>
      </c>
      <c r="AU368" s="24">
        <v>5.741626794258381E-2</v>
      </c>
      <c r="AV368" s="73">
        <v>-0.15789473684210531</v>
      </c>
      <c r="AW368" s="73">
        <v>-0.1785714285714286</v>
      </c>
      <c r="AX368" s="73">
        <v>-0.12727272727272732</v>
      </c>
      <c r="AY368" s="73">
        <v>-0.15094339622641506</v>
      </c>
      <c r="AZ368" s="24">
        <v>-0.15384615384615385</v>
      </c>
    </row>
    <row r="369" spans="1:52">
      <c r="A369" s="69" t="s">
        <v>90</v>
      </c>
      <c r="B369" s="37">
        <v>94</v>
      </c>
      <c r="C369" s="80" t="s">
        <v>53</v>
      </c>
      <c r="D369" s="80" t="s">
        <v>53</v>
      </c>
      <c r="E369" s="80" t="s">
        <v>53</v>
      </c>
      <c r="F369" s="80" t="s">
        <v>53</v>
      </c>
      <c r="G369" s="37">
        <v>103</v>
      </c>
      <c r="H369" s="70">
        <v>24</v>
      </c>
      <c r="I369" s="70">
        <v>26</v>
      </c>
      <c r="J369" s="70">
        <v>24</v>
      </c>
      <c r="K369" s="70">
        <f>L369-J369-I369-H369</f>
        <v>31</v>
      </c>
      <c r="L369" s="37">
        <v>105</v>
      </c>
      <c r="M369" s="70">
        <v>28</v>
      </c>
      <c r="N369" s="70">
        <v>27</v>
      </c>
      <c r="O369" s="70">
        <v>26</v>
      </c>
      <c r="P369" s="70">
        <f>Q369-O369-N369-M369</f>
        <v>28</v>
      </c>
      <c r="Q369" s="37">
        <v>109</v>
      </c>
      <c r="R369" s="70">
        <v>28</v>
      </c>
      <c r="S369" s="70">
        <v>26</v>
      </c>
      <c r="T369" s="70">
        <v>30</v>
      </c>
      <c r="U369" s="70">
        <f>V369-T369-S369-R369</f>
        <v>32.278000000000006</v>
      </c>
      <c r="V369" s="37">
        <f>115.861+0.417</f>
        <v>116.27800000000001</v>
      </c>
      <c r="W369" s="70">
        <v>31.416</v>
      </c>
      <c r="X369" s="70">
        <v>28.713000000000001</v>
      </c>
      <c r="Y369" s="70">
        <v>29.314</v>
      </c>
      <c r="Z369" s="70">
        <f>AA369-Y369-X369-W369</f>
        <v>27.634000000000004</v>
      </c>
      <c r="AA369" s="37">
        <f>117.077</f>
        <v>117.077</v>
      </c>
      <c r="AB369" s="70">
        <v>29.92</v>
      </c>
      <c r="AC369" s="70">
        <f>29.967+0.001</f>
        <v>29.968</v>
      </c>
      <c r="AD369" s="70">
        <f>31.247+1.975</f>
        <v>33.222000000000001</v>
      </c>
      <c r="AE369" s="70">
        <f>AF369-AD369-AC369-AB369</f>
        <v>25.918000000000006</v>
      </c>
      <c r="AF369" s="37">
        <f>119.028</f>
        <v>119.02800000000001</v>
      </c>
      <c r="AG369" s="70">
        <v>29</v>
      </c>
      <c r="AH369" s="70">
        <v>30</v>
      </c>
      <c r="AI369" s="70">
        <v>26</v>
      </c>
      <c r="AJ369" s="70">
        <f>AK369-AI369-AH369-AG369</f>
        <v>27</v>
      </c>
      <c r="AK369" s="37">
        <v>112</v>
      </c>
      <c r="AL369" s="70">
        <v>28</v>
      </c>
      <c r="AM369" s="70">
        <v>28</v>
      </c>
      <c r="AN369" s="147">
        <v>29</v>
      </c>
      <c r="AO369" s="70">
        <v>31</v>
      </c>
      <c r="AP369" s="37">
        <v>116</v>
      </c>
      <c r="AQ369" s="70">
        <v>29</v>
      </c>
      <c r="AR369" s="70">
        <v>28</v>
      </c>
      <c r="AS369" s="147">
        <v>28</v>
      </c>
      <c r="AT369" s="70">
        <v>33</v>
      </c>
      <c r="AU369" s="37">
        <v>118</v>
      </c>
      <c r="AV369" s="70">
        <v>29</v>
      </c>
      <c r="AW369" s="70">
        <v>27</v>
      </c>
      <c r="AX369" s="70">
        <v>28</v>
      </c>
      <c r="AY369" s="70">
        <v>31</v>
      </c>
      <c r="AZ369" s="37">
        <v>115</v>
      </c>
    </row>
    <row r="370" spans="1:52">
      <c r="A370" s="71" t="s">
        <v>7</v>
      </c>
      <c r="B370" s="24"/>
      <c r="C370" s="72"/>
      <c r="D370" s="72"/>
      <c r="E370" s="72"/>
      <c r="F370" s="72"/>
      <c r="G370" s="24"/>
      <c r="H370" s="72"/>
      <c r="I370" s="72">
        <f>I369/H369-1</f>
        <v>8.3333333333333259E-2</v>
      </c>
      <c r="J370" s="72">
        <f>J369/I369-1</f>
        <v>-7.6923076923076872E-2</v>
      </c>
      <c r="K370" s="72">
        <f>K369/J369-1</f>
        <v>0.29166666666666674</v>
      </c>
      <c r="L370" s="24"/>
      <c r="M370" s="72">
        <f>M369/K369-1</f>
        <v>-9.6774193548387122E-2</v>
      </c>
      <c r="N370" s="72">
        <f>N369/M369-1</f>
        <v>-3.5714285714285698E-2</v>
      </c>
      <c r="O370" s="72">
        <f>O369/N369-1</f>
        <v>-3.703703703703709E-2</v>
      </c>
      <c r="P370" s="72">
        <f>P369/O369-1</f>
        <v>7.6923076923076872E-2</v>
      </c>
      <c r="Q370" s="24"/>
      <c r="R370" s="72">
        <f>R369/P369-1</f>
        <v>0</v>
      </c>
      <c r="S370" s="72">
        <f>S369/R369-1</f>
        <v>-7.1428571428571397E-2</v>
      </c>
      <c r="T370" s="72">
        <f>T369/S369-1</f>
        <v>0.15384615384615374</v>
      </c>
      <c r="U370" s="72">
        <f>U369/T369-1</f>
        <v>7.593333333333363E-2</v>
      </c>
      <c r="V370" s="24"/>
      <c r="W370" s="72">
        <f>W369/U369-1</f>
        <v>-2.6705496003470053E-2</v>
      </c>
      <c r="X370" s="72">
        <f>X369/W369-1</f>
        <v>-8.6038961038961026E-2</v>
      </c>
      <c r="Y370" s="72">
        <f>Y369/X369-1</f>
        <v>2.0931285480444428E-2</v>
      </c>
      <c r="Z370" s="72">
        <f>Z369/Y369-1</f>
        <v>-5.7310500102340067E-2</v>
      </c>
      <c r="AA370" s="24"/>
      <c r="AB370" s="72">
        <f>AB369/Z369-1</f>
        <v>8.2724180357530486E-2</v>
      </c>
      <c r="AC370" s="72">
        <f>AC369/AB369-1</f>
        <v>1.6042780748661833E-3</v>
      </c>
      <c r="AD370" s="72">
        <f>AD369/AC369-1</f>
        <v>0.10858248798718639</v>
      </c>
      <c r="AE370" s="72">
        <f>AE369/AD369-1</f>
        <v>-0.21985431340677852</v>
      </c>
      <c r="AF370" s="24"/>
      <c r="AG370" s="72">
        <f>AG369/AE369-1</f>
        <v>0.11891349641175997</v>
      </c>
      <c r="AH370" s="72">
        <f>AH369/AG369-1</f>
        <v>3.4482758620689724E-2</v>
      </c>
      <c r="AI370" s="72">
        <f>AI369/AH369-1</f>
        <v>-0.1333333333333333</v>
      </c>
      <c r="AJ370" s="72">
        <f>AJ369/AI369-1</f>
        <v>3.8461538461538547E-2</v>
      </c>
      <c r="AK370" s="24"/>
      <c r="AL370" s="72">
        <v>3.7037037037036979E-2</v>
      </c>
      <c r="AM370" s="72">
        <v>0</v>
      </c>
      <c r="AN370" s="72">
        <v>3.5714285714285809E-2</v>
      </c>
      <c r="AO370" s="72">
        <v>6.8965517241379226E-2</v>
      </c>
      <c r="AP370" s="24"/>
      <c r="AQ370" s="72">
        <v>-6.4516129032258118E-2</v>
      </c>
      <c r="AR370" s="72">
        <v>-3.4482758620689613E-2</v>
      </c>
      <c r="AS370" s="72">
        <v>0</v>
      </c>
      <c r="AT370" s="72">
        <v>0.1785714285714286</v>
      </c>
      <c r="AU370" s="24"/>
      <c r="AV370" s="72">
        <v>-0.12121212121212122</v>
      </c>
      <c r="AW370" s="72">
        <v>-6.8965517241379337E-2</v>
      </c>
      <c r="AX370" s="72">
        <v>3.7037037037036979E-2</v>
      </c>
      <c r="AY370" s="72">
        <v>0.10714285714285721</v>
      </c>
      <c r="AZ370" s="24"/>
    </row>
    <row r="371" spans="1:52">
      <c r="A371" s="71" t="s">
        <v>8</v>
      </c>
      <c r="B371" s="24"/>
      <c r="C371" s="73"/>
      <c r="D371" s="73"/>
      <c r="E371" s="73"/>
      <c r="F371" s="73"/>
      <c r="G371" s="24">
        <f>G369/B369-1</f>
        <v>9.5744680851063801E-2</v>
      </c>
      <c r="H371" s="73"/>
      <c r="I371" s="73"/>
      <c r="J371" s="73"/>
      <c r="K371" s="73"/>
      <c r="L371" s="24">
        <f t="shared" ref="L371:AD371" si="354">L369/G369-1</f>
        <v>1.9417475728155331E-2</v>
      </c>
      <c r="M371" s="73">
        <f t="shared" si="354"/>
        <v>0.16666666666666674</v>
      </c>
      <c r="N371" s="73">
        <f t="shared" si="354"/>
        <v>3.8461538461538547E-2</v>
      </c>
      <c r="O371" s="73">
        <f t="shared" si="354"/>
        <v>8.3333333333333259E-2</v>
      </c>
      <c r="P371" s="73">
        <f t="shared" si="354"/>
        <v>-9.6774193548387122E-2</v>
      </c>
      <c r="Q371" s="24">
        <f t="shared" si="354"/>
        <v>3.8095238095238182E-2</v>
      </c>
      <c r="R371" s="73">
        <f t="shared" si="354"/>
        <v>0</v>
      </c>
      <c r="S371" s="73">
        <f t="shared" si="354"/>
        <v>-3.703703703703709E-2</v>
      </c>
      <c r="T371" s="73">
        <f t="shared" si="354"/>
        <v>0.15384615384615374</v>
      </c>
      <c r="U371" s="73">
        <f t="shared" si="354"/>
        <v>0.15278571428571452</v>
      </c>
      <c r="V371" s="24">
        <f t="shared" si="354"/>
        <v>6.6770642201834818E-2</v>
      </c>
      <c r="W371" s="73">
        <f t="shared" si="354"/>
        <v>0.12200000000000011</v>
      </c>
      <c r="X371" s="73">
        <f t="shared" si="354"/>
        <v>0.10434615384615387</v>
      </c>
      <c r="Y371" s="73">
        <f t="shared" si="354"/>
        <v>-2.2866666666666702E-2</v>
      </c>
      <c r="Z371" s="73">
        <f t="shared" si="354"/>
        <v>-0.14387508519734804</v>
      </c>
      <c r="AA371" s="24">
        <f t="shared" si="354"/>
        <v>6.8714632174615708E-3</v>
      </c>
      <c r="AB371" s="73">
        <f t="shared" si="354"/>
        <v>-4.7619047619047561E-2</v>
      </c>
      <c r="AC371" s="73">
        <f t="shared" si="354"/>
        <v>4.3708424755337205E-2</v>
      </c>
      <c r="AD371" s="73">
        <f t="shared" si="354"/>
        <v>0.13331513952377705</v>
      </c>
      <c r="AE371" s="73">
        <f t="shared" ref="AE371:AN371" si="355">AE369/Z369-1</f>
        <v>-6.2097416226387647E-2</v>
      </c>
      <c r="AF371" s="24">
        <f t="shared" si="355"/>
        <v>1.6664246606933997E-2</v>
      </c>
      <c r="AG371" s="73">
        <f t="shared" si="355"/>
        <v>-3.074866310160429E-2</v>
      </c>
      <c r="AH371" s="73">
        <f t="shared" si="355"/>
        <v>1.0678056593700358E-3</v>
      </c>
      <c r="AI371" s="73">
        <f t="shared" si="355"/>
        <v>-0.21738606947203665</v>
      </c>
      <c r="AJ371" s="73">
        <f t="shared" si="355"/>
        <v>4.1747048383362628E-2</v>
      </c>
      <c r="AK371" s="24">
        <v>-5.9044930604563728E-2</v>
      </c>
      <c r="AL371" s="73">
        <v>-3.4482758620689613E-2</v>
      </c>
      <c r="AM371" s="73">
        <v>-6.6666666666666652E-2</v>
      </c>
      <c r="AN371" s="73">
        <v>0.11538461538461542</v>
      </c>
      <c r="AO371" s="73">
        <v>0.14814814814814814</v>
      </c>
      <c r="AP371" s="24">
        <v>3.5714285714285809E-2</v>
      </c>
      <c r="AQ371" s="73">
        <v>3.5714285714285809E-2</v>
      </c>
      <c r="AR371" s="73">
        <v>0</v>
      </c>
      <c r="AS371" s="73">
        <v>-3.4482758620689613E-2</v>
      </c>
      <c r="AT371" s="73">
        <v>6.4516129032258007E-2</v>
      </c>
      <c r="AU371" s="24">
        <v>1.7241379310344751E-2</v>
      </c>
      <c r="AV371" s="73">
        <v>0</v>
      </c>
      <c r="AW371" s="73">
        <v>-3.5714285714285698E-2</v>
      </c>
      <c r="AX371" s="73">
        <v>0</v>
      </c>
      <c r="AY371" s="73">
        <v>-6.0606060606060552E-2</v>
      </c>
      <c r="AZ371" s="24">
        <v>-2.5423728813559365E-2</v>
      </c>
    </row>
    <row r="372" spans="1:52" ht="11.25" customHeight="1">
      <c r="A372" s="69" t="s">
        <v>108</v>
      </c>
      <c r="B372" s="63" t="s">
        <v>154</v>
      </c>
      <c r="C372" s="80" t="s">
        <v>53</v>
      </c>
      <c r="D372" s="80" t="s">
        <v>53</v>
      </c>
      <c r="E372" s="80" t="s">
        <v>53</v>
      </c>
      <c r="F372" s="80" t="s">
        <v>53</v>
      </c>
      <c r="G372" s="63" t="s">
        <v>154</v>
      </c>
      <c r="H372" s="80" t="s">
        <v>53</v>
      </c>
      <c r="I372" s="80" t="s">
        <v>53</v>
      </c>
      <c r="J372" s="80" t="s">
        <v>53</v>
      </c>
      <c r="K372" s="80" t="s">
        <v>53</v>
      </c>
      <c r="L372" s="63" t="s">
        <v>154</v>
      </c>
      <c r="M372" s="80" t="s">
        <v>53</v>
      </c>
      <c r="N372" s="80" t="s">
        <v>53</v>
      </c>
      <c r="O372" s="80" t="s">
        <v>53</v>
      </c>
      <c r="P372" s="80" t="s">
        <v>53</v>
      </c>
      <c r="Q372" s="63" t="s">
        <v>154</v>
      </c>
      <c r="R372" s="80" t="s">
        <v>53</v>
      </c>
      <c r="S372" s="80" t="s">
        <v>53</v>
      </c>
      <c r="T372" s="80" t="s">
        <v>53</v>
      </c>
      <c r="U372" s="80" t="s">
        <v>53</v>
      </c>
      <c r="V372" s="63" t="s">
        <v>154</v>
      </c>
      <c r="W372" s="80" t="s">
        <v>53</v>
      </c>
      <c r="X372" s="80" t="s">
        <v>53</v>
      </c>
      <c r="Y372" s="80" t="s">
        <v>53</v>
      </c>
      <c r="Z372" s="80" t="s">
        <v>53</v>
      </c>
      <c r="AA372" s="63" t="s">
        <v>154</v>
      </c>
      <c r="AB372" s="80" t="s">
        <v>53</v>
      </c>
      <c r="AC372" s="80" t="s">
        <v>53</v>
      </c>
      <c r="AD372" s="80" t="s">
        <v>53</v>
      </c>
      <c r="AE372" s="80" t="s">
        <v>53</v>
      </c>
      <c r="AF372" s="63">
        <v>3</v>
      </c>
      <c r="AG372" s="151" t="s">
        <v>154</v>
      </c>
      <c r="AH372" s="151" t="s">
        <v>154</v>
      </c>
      <c r="AI372" s="151" t="s">
        <v>154</v>
      </c>
      <c r="AJ372" s="151" t="s">
        <v>154</v>
      </c>
      <c r="AK372" s="63" t="s">
        <v>154</v>
      </c>
      <c r="AL372" s="186" t="s">
        <v>154</v>
      </c>
      <c r="AM372" s="186">
        <v>-2</v>
      </c>
      <c r="AN372" s="186">
        <v>1</v>
      </c>
      <c r="AO372" s="186">
        <v>-1</v>
      </c>
      <c r="AP372" s="178">
        <v>-2</v>
      </c>
      <c r="AQ372" s="70">
        <v>14</v>
      </c>
      <c r="AR372" s="151" t="s">
        <v>154</v>
      </c>
      <c r="AS372" s="151" t="s">
        <v>154</v>
      </c>
      <c r="AT372" s="193">
        <v>4</v>
      </c>
      <c r="AU372" s="178">
        <v>18</v>
      </c>
      <c r="AV372" s="151" t="s">
        <v>154</v>
      </c>
      <c r="AW372" s="151">
        <v>1</v>
      </c>
      <c r="AX372" s="151">
        <v>-1</v>
      </c>
      <c r="AY372" s="70">
        <v>3</v>
      </c>
      <c r="AZ372" s="178">
        <v>3</v>
      </c>
    </row>
    <row r="373" spans="1:52" ht="15.75" customHeight="1">
      <c r="A373" s="69" t="s">
        <v>212</v>
      </c>
      <c r="B373" s="37">
        <v>240</v>
      </c>
      <c r="C373" s="80" t="s">
        <v>53</v>
      </c>
      <c r="D373" s="80" t="s">
        <v>53</v>
      </c>
      <c r="E373" s="80" t="s">
        <v>53</v>
      </c>
      <c r="F373" s="80" t="s">
        <v>53</v>
      </c>
      <c r="G373" s="37">
        <v>260</v>
      </c>
      <c r="H373" s="80" t="s">
        <v>53</v>
      </c>
      <c r="I373" s="80" t="s">
        <v>53</v>
      </c>
      <c r="J373" s="80" t="s">
        <v>53</v>
      </c>
      <c r="K373" s="80" t="s">
        <v>53</v>
      </c>
      <c r="L373" s="37">
        <v>242</v>
      </c>
      <c r="M373" s="80" t="s">
        <v>53</v>
      </c>
      <c r="N373" s="80" t="s">
        <v>53</v>
      </c>
      <c r="O373" s="80" t="s">
        <v>53</v>
      </c>
      <c r="P373" s="80" t="s">
        <v>53</v>
      </c>
      <c r="Q373" s="37">
        <v>248</v>
      </c>
      <c r="R373" s="80" t="s">
        <v>53</v>
      </c>
      <c r="S373" s="80" t="s">
        <v>53</v>
      </c>
      <c r="T373" s="80" t="s">
        <v>53</v>
      </c>
      <c r="U373" s="80" t="s">
        <v>53</v>
      </c>
      <c r="V373" s="37">
        <v>265</v>
      </c>
      <c r="W373" s="80" t="s">
        <v>53</v>
      </c>
      <c r="X373" s="80" t="s">
        <v>53</v>
      </c>
      <c r="Y373" s="80" t="s">
        <v>53</v>
      </c>
      <c r="Z373" s="80" t="s">
        <v>53</v>
      </c>
      <c r="AA373" s="37">
        <v>278</v>
      </c>
      <c r="AB373" s="70">
        <v>73</v>
      </c>
      <c r="AC373" s="70">
        <v>70</v>
      </c>
      <c r="AD373" s="70">
        <v>70</v>
      </c>
      <c r="AE373" s="70">
        <f>AF373-AD373-AC373-AB373</f>
        <v>74</v>
      </c>
      <c r="AF373" s="37">
        <v>287</v>
      </c>
      <c r="AG373" s="70">
        <v>75</v>
      </c>
      <c r="AH373" s="70">
        <v>73</v>
      </c>
      <c r="AI373" s="70">
        <v>75</v>
      </c>
      <c r="AJ373" s="70">
        <f>AK373-AI373-AH373-AG373</f>
        <v>75</v>
      </c>
      <c r="AK373" s="37">
        <v>298</v>
      </c>
      <c r="AL373" s="70">
        <v>77</v>
      </c>
      <c r="AM373" s="70">
        <v>74</v>
      </c>
      <c r="AN373" s="70">
        <v>75</v>
      </c>
      <c r="AO373" s="70">
        <v>77</v>
      </c>
      <c r="AP373" s="37">
        <v>303</v>
      </c>
      <c r="AQ373" s="70">
        <v>83</v>
      </c>
      <c r="AR373" s="70">
        <v>82</v>
      </c>
      <c r="AS373" s="70">
        <v>83</v>
      </c>
      <c r="AT373" s="70">
        <v>82</v>
      </c>
      <c r="AU373" s="37">
        <v>330</v>
      </c>
      <c r="AV373" s="70">
        <v>84</v>
      </c>
      <c r="AW373" s="70">
        <v>81</v>
      </c>
      <c r="AX373" s="70">
        <v>81</v>
      </c>
      <c r="AY373" s="70">
        <v>78</v>
      </c>
      <c r="AZ373" s="37">
        <v>324</v>
      </c>
    </row>
    <row r="374" spans="1:52">
      <c r="A374" s="71" t="s">
        <v>7</v>
      </c>
      <c r="B374" s="24"/>
      <c r="C374" s="73"/>
      <c r="D374" s="73"/>
      <c r="E374" s="73"/>
      <c r="F374" s="73"/>
      <c r="G374" s="24"/>
      <c r="H374" s="73"/>
      <c r="I374" s="73"/>
      <c r="J374" s="73"/>
      <c r="K374" s="73"/>
      <c r="L374" s="24"/>
      <c r="M374" s="73"/>
      <c r="N374" s="73"/>
      <c r="O374" s="73"/>
      <c r="P374" s="73"/>
      <c r="Q374" s="24"/>
      <c r="R374" s="73"/>
      <c r="S374" s="73"/>
      <c r="T374" s="73"/>
      <c r="U374" s="73"/>
      <c r="V374" s="24"/>
      <c r="W374" s="73"/>
      <c r="X374" s="73"/>
      <c r="Y374" s="73"/>
      <c r="Z374" s="73"/>
      <c r="AA374" s="24"/>
      <c r="AB374" s="72"/>
      <c r="AC374" s="72">
        <f>AC373/AB373-1</f>
        <v>-4.1095890410958957E-2</v>
      </c>
      <c r="AD374" s="72">
        <f>AD373/AC373-1</f>
        <v>0</v>
      </c>
      <c r="AE374" s="72">
        <f>AE373/AD373-1</f>
        <v>5.7142857142857162E-2</v>
      </c>
      <c r="AF374" s="24"/>
      <c r="AG374" s="72">
        <f>AG373/AE373-1</f>
        <v>1.3513513513513598E-2</v>
      </c>
      <c r="AH374" s="72">
        <f>AH373/AG373-1</f>
        <v>-2.6666666666666616E-2</v>
      </c>
      <c r="AI374" s="72">
        <f>AI373/AH373-1</f>
        <v>2.7397260273972712E-2</v>
      </c>
      <c r="AJ374" s="72">
        <f>AJ373/AI373-1</f>
        <v>0</v>
      </c>
      <c r="AK374" s="24"/>
      <c r="AL374" s="72">
        <v>2.6666666666666616E-2</v>
      </c>
      <c r="AM374" s="72">
        <v>-3.8961038961038974E-2</v>
      </c>
      <c r="AN374" s="72">
        <v>1.3513513513513598E-2</v>
      </c>
      <c r="AO374" s="72">
        <v>2.6666666666666616E-2</v>
      </c>
      <c r="AP374" s="24"/>
      <c r="AQ374" s="72">
        <v>7.7922077922077948E-2</v>
      </c>
      <c r="AR374" s="72">
        <v>-1.2048192771084376E-2</v>
      </c>
      <c r="AS374" s="72">
        <v>1.2195121951219523E-2</v>
      </c>
      <c r="AT374" s="72">
        <v>-1.2048192771084376E-2</v>
      </c>
      <c r="AU374" s="24"/>
      <c r="AV374" s="72">
        <v>2.4390243902439046E-2</v>
      </c>
      <c r="AW374" s="72">
        <v>-3.5714285714285698E-2</v>
      </c>
      <c r="AX374" s="72">
        <v>0</v>
      </c>
      <c r="AY374" s="72">
        <v>-3.703703703703709E-2</v>
      </c>
      <c r="AZ374" s="24"/>
    </row>
    <row r="375" spans="1:52">
      <c r="A375" s="71" t="s">
        <v>8</v>
      </c>
      <c r="B375" s="24"/>
      <c r="C375" s="73"/>
      <c r="D375" s="73"/>
      <c r="E375" s="73"/>
      <c r="F375" s="73"/>
      <c r="G375" s="24">
        <f>G373/B373-1</f>
        <v>8.3333333333333259E-2</v>
      </c>
      <c r="H375" s="73"/>
      <c r="I375" s="73"/>
      <c r="J375" s="73"/>
      <c r="K375" s="73"/>
      <c r="L375" s="24">
        <f>L373/G373-1</f>
        <v>-6.9230769230769207E-2</v>
      </c>
      <c r="M375" s="73"/>
      <c r="N375" s="73"/>
      <c r="O375" s="73"/>
      <c r="P375" s="73"/>
      <c r="Q375" s="24">
        <f>Q373/L373-1</f>
        <v>2.4793388429751984E-2</v>
      </c>
      <c r="R375" s="73"/>
      <c r="S375" s="73"/>
      <c r="T375" s="73"/>
      <c r="U375" s="73"/>
      <c r="V375" s="24">
        <f>V373/Q373-1</f>
        <v>6.8548387096774244E-2</v>
      </c>
      <c r="W375" s="73"/>
      <c r="X375" s="73"/>
      <c r="Y375" s="73"/>
      <c r="Z375" s="73"/>
      <c r="AA375" s="24">
        <f>AA373/V373-1</f>
        <v>4.9056603773584895E-2</v>
      </c>
      <c r="AB375" s="73"/>
      <c r="AC375" s="73"/>
      <c r="AD375" s="73"/>
      <c r="AE375" s="73"/>
      <c r="AF375" s="24">
        <f t="shared" ref="AF375" si="356">AF373/AA373-1</f>
        <v>3.2374100719424481E-2</v>
      </c>
      <c r="AG375" s="73">
        <f t="shared" ref="AG375" si="357">AG373/AB373-1</f>
        <v>2.7397260273972712E-2</v>
      </c>
      <c r="AH375" s="73">
        <f t="shared" ref="AH375" si="358">AH373/AC373-1</f>
        <v>4.2857142857142927E-2</v>
      </c>
      <c r="AI375" s="73">
        <f t="shared" ref="AI375" si="359">AI373/AD373-1</f>
        <v>7.1428571428571397E-2</v>
      </c>
      <c r="AJ375" s="73">
        <f t="shared" ref="AJ375" si="360">AJ373/AE373-1</f>
        <v>1.3513513513513598E-2</v>
      </c>
      <c r="AK375" s="24">
        <v>3.8327526132404088E-2</v>
      </c>
      <c r="AL375" s="73">
        <v>2.6666666666666616E-2</v>
      </c>
      <c r="AM375" s="73">
        <v>1.3698630136986356E-2</v>
      </c>
      <c r="AN375" s="73">
        <v>0</v>
      </c>
      <c r="AO375" s="73">
        <v>2.6666666666666616E-2</v>
      </c>
      <c r="AP375" s="24">
        <v>1.6778523489932917E-2</v>
      </c>
      <c r="AQ375" s="73">
        <v>7.7922077922077948E-2</v>
      </c>
      <c r="AR375" s="73">
        <v>0.10810810810810811</v>
      </c>
      <c r="AS375" s="73">
        <v>0.10666666666666669</v>
      </c>
      <c r="AT375" s="73">
        <v>6.4935064935064846E-2</v>
      </c>
      <c r="AU375" s="24">
        <v>8.9108910891089188E-2</v>
      </c>
      <c r="AV375" s="73">
        <v>1.2048192771084265E-2</v>
      </c>
      <c r="AW375" s="73">
        <v>-1.2195121951219523E-2</v>
      </c>
      <c r="AX375" s="73">
        <v>-2.4096385542168641E-2</v>
      </c>
      <c r="AY375" s="73">
        <v>-4.8780487804878092E-2</v>
      </c>
      <c r="AZ375" s="24">
        <v>-1.8181818181818188E-2</v>
      </c>
    </row>
    <row r="376" spans="1:52" s="36" customFormat="1">
      <c r="A376" s="69" t="s">
        <v>213</v>
      </c>
      <c r="B376" s="37">
        <f>46.096+24.952+15.549</f>
        <v>86.597000000000008</v>
      </c>
      <c r="C376" s="70">
        <v>20</v>
      </c>
      <c r="D376" s="70">
        <f>10.137+5.245+4.935</f>
        <v>20.317</v>
      </c>
      <c r="E376" s="70">
        <f>10.15+5.082+4.672</f>
        <v>19.904</v>
      </c>
      <c r="F376" s="70">
        <f>G376-E376-D376-C376</f>
        <v>19.860999999999997</v>
      </c>
      <c r="G376" s="37">
        <f>40.852+20.34+18.89</f>
        <v>80.081999999999994</v>
      </c>
      <c r="H376" s="70">
        <f>10.212+4.612+4.79</f>
        <v>19.614000000000001</v>
      </c>
      <c r="I376" s="70">
        <f>10.079+5.233+5.362</f>
        <v>20.673999999999999</v>
      </c>
      <c r="J376" s="70">
        <f>10.169+5.512+5.719</f>
        <v>21.400000000000002</v>
      </c>
      <c r="K376" s="70">
        <f>L376-J376-I376-H376</f>
        <v>22.546000000000003</v>
      </c>
      <c r="L376" s="37">
        <f>41.005+21.158+22.071</f>
        <v>84.234000000000009</v>
      </c>
      <c r="M376" s="70">
        <f>10.003+6.211+6.375</f>
        <v>22.588999999999999</v>
      </c>
      <c r="N376" s="70">
        <v>23</v>
      </c>
      <c r="O376" s="70">
        <v>23.52</v>
      </c>
      <c r="P376" s="70">
        <f>Q376-O376-N376-M376</f>
        <v>25.182000000000002</v>
      </c>
      <c r="Q376" s="37">
        <f>42.96+25.374+25.957</f>
        <v>94.290999999999997</v>
      </c>
      <c r="R376" s="70">
        <f>11.201+6.443+6.622</f>
        <v>24.265999999999998</v>
      </c>
      <c r="S376" s="70">
        <f>11.652+8.008+6.743</f>
        <v>26.402999999999999</v>
      </c>
      <c r="T376" s="70">
        <f>12.275+8.876+6.822</f>
        <v>27.972999999999999</v>
      </c>
      <c r="U376" s="70">
        <f>V376-T376-S376-R376</f>
        <v>30.244</v>
      </c>
      <c r="V376" s="37">
        <f>48.323+33.462+27.101</f>
        <v>108.886</v>
      </c>
      <c r="W376" s="70">
        <f>17.646+10.076+6.634</f>
        <v>34.356000000000002</v>
      </c>
      <c r="X376" s="70">
        <f>17.483+10.26+6.699</f>
        <v>34.442</v>
      </c>
      <c r="Y376" s="70">
        <f>17.873+11.189+5.441</f>
        <v>34.503</v>
      </c>
      <c r="Z376" s="70">
        <f>AA376-Y376-X376-W376</f>
        <v>33.073</v>
      </c>
      <c r="AA376" s="37">
        <f>71.403+43.312+21.659</f>
        <v>136.374</v>
      </c>
      <c r="AB376" s="70">
        <f>17.414+10.524+3.354</f>
        <v>31.292000000000002</v>
      </c>
      <c r="AC376" s="70">
        <f>17.625+10.517+4.39</f>
        <v>32.531999999999996</v>
      </c>
      <c r="AD376" s="70">
        <f>17.249+11.187+4.514</f>
        <v>32.950000000000003</v>
      </c>
      <c r="AE376" s="70">
        <f>AF376-AD376-AC376-AB376</f>
        <v>32.225999999999999</v>
      </c>
      <c r="AF376" s="37">
        <f>69+43+17</f>
        <v>129</v>
      </c>
      <c r="AG376" s="70">
        <v>32</v>
      </c>
      <c r="AH376" s="70">
        <v>32</v>
      </c>
      <c r="AI376" s="70">
        <v>32</v>
      </c>
      <c r="AJ376" s="70">
        <f>AK376-AI376-AH376-AG376</f>
        <v>34</v>
      </c>
      <c r="AK376" s="37">
        <v>130</v>
      </c>
      <c r="AL376" s="70">
        <v>32</v>
      </c>
      <c r="AM376" s="70">
        <v>32</v>
      </c>
      <c r="AN376" s="70">
        <v>33</v>
      </c>
      <c r="AO376" s="70">
        <v>35</v>
      </c>
      <c r="AP376" s="37">
        <v>132</v>
      </c>
      <c r="AQ376" s="70">
        <v>33</v>
      </c>
      <c r="AR376" s="70">
        <v>35</v>
      </c>
      <c r="AS376" s="70">
        <v>35</v>
      </c>
      <c r="AT376" s="70">
        <v>34</v>
      </c>
      <c r="AU376" s="37">
        <v>137</v>
      </c>
      <c r="AV376" s="70">
        <v>33</v>
      </c>
      <c r="AW376" s="70">
        <v>33</v>
      </c>
      <c r="AX376" s="70">
        <v>34</v>
      </c>
      <c r="AY376" s="70">
        <v>35</v>
      </c>
      <c r="AZ376" s="37">
        <v>135</v>
      </c>
    </row>
    <row r="377" spans="1:52">
      <c r="A377" s="82" t="s">
        <v>7</v>
      </c>
      <c r="B377" s="24"/>
      <c r="C377" s="72"/>
      <c r="D377" s="72">
        <f>D376/C376-1</f>
        <v>1.584999999999992E-2</v>
      </c>
      <c r="E377" s="72">
        <f>E376/D376-1</f>
        <v>-2.0327804301816244E-2</v>
      </c>
      <c r="F377" s="72">
        <f>F376/E376-1</f>
        <v>-2.1603697749197348E-3</v>
      </c>
      <c r="G377" s="24"/>
      <c r="H377" s="72">
        <f>H376/F376-1</f>
        <v>-1.2436433210815001E-2</v>
      </c>
      <c r="I377" s="72">
        <f>I376/H376-1</f>
        <v>5.4043030488426513E-2</v>
      </c>
      <c r="J377" s="72">
        <f>J376/I376-1</f>
        <v>3.5116571539131503E-2</v>
      </c>
      <c r="K377" s="72">
        <f>K376/J376-1</f>
        <v>5.3551401869158965E-2</v>
      </c>
      <c r="L377" s="24"/>
      <c r="M377" s="72">
        <f>M376/K376-1</f>
        <v>1.9072119222920403E-3</v>
      </c>
      <c r="N377" s="72">
        <f>N376/M376-1</f>
        <v>1.8194696533711197E-2</v>
      </c>
      <c r="O377" s="72">
        <f>O376/N376-1</f>
        <v>2.2608695652173827E-2</v>
      </c>
      <c r="P377" s="72">
        <f>P376/O376-1</f>
        <v>7.0663265306122547E-2</v>
      </c>
      <c r="Q377" s="24"/>
      <c r="R377" s="72">
        <f>R376/P376-1</f>
        <v>-3.6375188626797117E-2</v>
      </c>
      <c r="S377" s="72">
        <f>S376/R376-1</f>
        <v>8.8065606197972546E-2</v>
      </c>
      <c r="T377" s="72">
        <f>T376/S376-1</f>
        <v>5.9462939817445104E-2</v>
      </c>
      <c r="U377" s="72">
        <f>U376/T376-1</f>
        <v>8.1185428806348936E-2</v>
      </c>
      <c r="V377" s="24"/>
      <c r="W377" s="72">
        <f>W376/U376-1</f>
        <v>0.13596085173918793</v>
      </c>
      <c r="X377" s="72">
        <f>X376/W376-1</f>
        <v>2.5032017697053099E-3</v>
      </c>
      <c r="Y377" s="72">
        <f>Y376/X376-1</f>
        <v>1.7710934324370875E-3</v>
      </c>
      <c r="Z377" s="72">
        <v>-4.1445671390893501E-2</v>
      </c>
      <c r="AA377" s="24"/>
      <c r="AB377" s="72">
        <f>AB376/Z376-1</f>
        <v>-5.385057297493423E-2</v>
      </c>
      <c r="AC377" s="72">
        <f>AC376/AB376-1</f>
        <v>3.9626741659209763E-2</v>
      </c>
      <c r="AD377" s="72">
        <f>AD376/AC376-1</f>
        <v>1.2848887249477636E-2</v>
      </c>
      <c r="AE377" s="72">
        <f>AE376/AD376-1</f>
        <v>-2.1972685887708732E-2</v>
      </c>
      <c r="AF377" s="24"/>
      <c r="AG377" s="72">
        <f>AG376/AE376-1</f>
        <v>-7.0129708930676271E-3</v>
      </c>
      <c r="AH377" s="72">
        <f>AH376/AG376-1</f>
        <v>0</v>
      </c>
      <c r="AI377" s="72">
        <f>AI376/AH376-1</f>
        <v>0</v>
      </c>
      <c r="AJ377" s="72">
        <f>AJ376/AI376-1</f>
        <v>6.25E-2</v>
      </c>
      <c r="AK377" s="24"/>
      <c r="AL377" s="72">
        <v>-5.8823529411764719E-2</v>
      </c>
      <c r="AM377" s="72">
        <v>0</v>
      </c>
      <c r="AN377" s="72">
        <v>3.125E-2</v>
      </c>
      <c r="AO377" s="72">
        <v>6.0606060606060552E-2</v>
      </c>
      <c r="AP377" s="24"/>
      <c r="AQ377" s="72">
        <v>-5.7142857142857162E-2</v>
      </c>
      <c r="AR377" s="72">
        <v>6.0606060606060552E-2</v>
      </c>
      <c r="AS377" s="72">
        <v>0</v>
      </c>
      <c r="AT377" s="72">
        <v>-2.8571428571428581E-2</v>
      </c>
      <c r="AU377" s="24"/>
      <c r="AV377" s="72">
        <v>-2.9411764705882359E-2</v>
      </c>
      <c r="AW377" s="72">
        <v>0</v>
      </c>
      <c r="AX377" s="72">
        <v>3.0303030303030276E-2</v>
      </c>
      <c r="AY377" s="72">
        <v>2.9411764705882248E-2</v>
      </c>
      <c r="AZ377" s="24"/>
    </row>
    <row r="378" spans="1:52">
      <c r="A378" s="82" t="s">
        <v>8</v>
      </c>
      <c r="B378" s="24"/>
      <c r="C378" s="73"/>
      <c r="D378" s="73"/>
      <c r="E378" s="73"/>
      <c r="F378" s="73"/>
      <c r="G378" s="24">
        <f t="shared" ref="G378:N378" si="361">G376/B376-1</f>
        <v>-7.5233553125397146E-2</v>
      </c>
      <c r="H378" s="73">
        <f t="shared" si="361"/>
        <v>-1.9299999999999984E-2</v>
      </c>
      <c r="I378" s="73">
        <f t="shared" si="361"/>
        <v>1.7571491854112331E-2</v>
      </c>
      <c r="J378" s="73">
        <f t="shared" si="361"/>
        <v>7.5160771704180229E-2</v>
      </c>
      <c r="K378" s="73">
        <f t="shared" si="361"/>
        <v>0.13518956749408417</v>
      </c>
      <c r="L378" s="24">
        <f t="shared" si="361"/>
        <v>5.1846856971604405E-2</v>
      </c>
      <c r="M378" s="73">
        <f t="shared" si="361"/>
        <v>0.15167737330478226</v>
      </c>
      <c r="N378" s="73">
        <f t="shared" si="361"/>
        <v>0.11250846473831877</v>
      </c>
      <c r="O378" s="73">
        <f t="shared" ref="O378:Y378" si="362">O376/J376-1</f>
        <v>9.9065420560747519E-2</v>
      </c>
      <c r="P378" s="73">
        <f t="shared" si="362"/>
        <v>0.11691652621307536</v>
      </c>
      <c r="Q378" s="24">
        <f t="shared" si="362"/>
        <v>0.1193935940356623</v>
      </c>
      <c r="R378" s="73">
        <f t="shared" si="362"/>
        <v>7.4239674177697168E-2</v>
      </c>
      <c r="S378" s="73">
        <f t="shared" si="362"/>
        <v>0.14795652173913032</v>
      </c>
      <c r="T378" s="73">
        <f t="shared" si="362"/>
        <v>0.18932823129251708</v>
      </c>
      <c r="U378" s="73">
        <f t="shared" si="362"/>
        <v>0.20101659915812875</v>
      </c>
      <c r="V378" s="24">
        <f t="shared" si="362"/>
        <v>0.15478677710491984</v>
      </c>
      <c r="W378" s="73">
        <f t="shared" si="362"/>
        <v>0.41580812659688471</v>
      </c>
      <c r="X378" s="73">
        <f t="shared" si="362"/>
        <v>0.30447297655569461</v>
      </c>
      <c r="Y378" s="73">
        <f t="shared" si="362"/>
        <v>0.23343938798126773</v>
      </c>
      <c r="Z378" s="73">
        <v>9.3539214389630976E-2</v>
      </c>
      <c r="AA378" s="24">
        <f t="shared" ref="AA378:AI378" si="363">AA376/V376-1</f>
        <v>0.2524475139136344</v>
      </c>
      <c r="AB378" s="73">
        <f t="shared" si="363"/>
        <v>-8.9183839795086706E-2</v>
      </c>
      <c r="AC378" s="73">
        <f t="shared" si="363"/>
        <v>-5.5455548458277826E-2</v>
      </c>
      <c r="AD378" s="73">
        <f t="shared" si="363"/>
        <v>-4.5010578790250055E-2</v>
      </c>
      <c r="AE378" s="73">
        <f t="shared" si="363"/>
        <v>-2.5610014210987853E-2</v>
      </c>
      <c r="AF378" s="24">
        <f t="shared" si="363"/>
        <v>-5.4071890536319223E-2</v>
      </c>
      <c r="AG378" s="73">
        <f t="shared" si="363"/>
        <v>2.2625591205419848E-2</v>
      </c>
      <c r="AH378" s="73">
        <f t="shared" si="363"/>
        <v>-1.6353129226607588E-2</v>
      </c>
      <c r="AI378" s="73">
        <f t="shared" si="363"/>
        <v>-2.8831562974203417E-2</v>
      </c>
      <c r="AJ378" s="73">
        <f t="shared" ref="AJ378:AS378" si="364">AJ376/AE376-1</f>
        <v>5.5048718426115695E-2</v>
      </c>
      <c r="AK378" s="24">
        <v>7.7519379844961378E-3</v>
      </c>
      <c r="AL378" s="73">
        <v>0</v>
      </c>
      <c r="AM378" s="73">
        <v>0</v>
      </c>
      <c r="AN378" s="73">
        <v>3.125E-2</v>
      </c>
      <c r="AO378" s="73">
        <v>2.9411764705882248E-2</v>
      </c>
      <c r="AP378" s="24">
        <v>1.538461538461533E-2</v>
      </c>
      <c r="AQ378" s="73">
        <v>3.125E-2</v>
      </c>
      <c r="AR378" s="73">
        <v>9.375E-2</v>
      </c>
      <c r="AS378" s="73">
        <v>6.0606060606060552E-2</v>
      </c>
      <c r="AT378" s="73">
        <v>-2.8571428571428581E-2</v>
      </c>
      <c r="AU378" s="24">
        <v>3.7878787878787845E-2</v>
      </c>
      <c r="AV378" s="73">
        <v>0</v>
      </c>
      <c r="AW378" s="73">
        <v>-5.7142857142857162E-2</v>
      </c>
      <c r="AX378" s="73">
        <v>-2.8571428571428581E-2</v>
      </c>
      <c r="AY378" s="73">
        <v>2.9411764705882248E-2</v>
      </c>
      <c r="AZ378" s="24">
        <v>-1.4598540145985384E-2</v>
      </c>
    </row>
    <row r="379" spans="1:52" s="36" customFormat="1">
      <c r="A379" s="69" t="s">
        <v>43</v>
      </c>
      <c r="B379" s="37">
        <v>203.58099999999999</v>
      </c>
      <c r="C379" s="70">
        <v>54.8</v>
      </c>
      <c r="D379" s="70">
        <v>62.561999999999998</v>
      </c>
      <c r="E379" s="70">
        <v>59.095999999999997</v>
      </c>
      <c r="F379" s="70">
        <f>G379-E379-D379-C379</f>
        <v>65.06</v>
      </c>
      <c r="G379" s="37">
        <v>241.518</v>
      </c>
      <c r="H379" s="70">
        <v>60.156999999999996</v>
      </c>
      <c r="I379" s="70">
        <v>67.596000000000004</v>
      </c>
      <c r="J379" s="70">
        <v>66.364999999999995</v>
      </c>
      <c r="K379" s="70">
        <f>L379-J379-I379-H379</f>
        <v>66.694000000000003</v>
      </c>
      <c r="L379" s="37">
        <v>260.81200000000001</v>
      </c>
      <c r="M379" s="70">
        <v>61.543999999999997</v>
      </c>
      <c r="N379" s="70">
        <v>123.69499999999999</v>
      </c>
      <c r="O379" s="70">
        <v>69.542000000000002</v>
      </c>
      <c r="P379" s="70">
        <f>Q379-O379-N379-M379</f>
        <v>65.050000000000026</v>
      </c>
      <c r="Q379" s="37">
        <v>319.83100000000002</v>
      </c>
      <c r="R379" s="70">
        <v>60.853999999999999</v>
      </c>
      <c r="S379" s="70">
        <v>60.320999999999998</v>
      </c>
      <c r="T379" s="70">
        <v>61.366</v>
      </c>
      <c r="U379" s="70">
        <f>V379-T379-S379-R379</f>
        <v>58.594000000000008</v>
      </c>
      <c r="V379" s="37">
        <v>241.13499999999999</v>
      </c>
      <c r="W379" s="70">
        <v>49.576999999999998</v>
      </c>
      <c r="X379" s="70">
        <v>52.960999999999999</v>
      </c>
      <c r="Y379" s="70">
        <v>54.901000000000003</v>
      </c>
      <c r="Z379" s="70">
        <f>AA379-Y379-X379-W379</f>
        <v>61.61999999999999</v>
      </c>
      <c r="AA379" s="37">
        <v>219.059</v>
      </c>
      <c r="AB379" s="70">
        <v>55.948999999999998</v>
      </c>
      <c r="AC379" s="70">
        <v>60.225000000000001</v>
      </c>
      <c r="AD379" s="70">
        <v>54.884999999999998</v>
      </c>
      <c r="AE379" s="70">
        <f>AF379-AD379-AC379-AB379</f>
        <v>56.409000000000006</v>
      </c>
      <c r="AF379" s="37">
        <v>227.46799999999999</v>
      </c>
      <c r="AG379" s="70">
        <v>58</v>
      </c>
      <c r="AH379" s="70">
        <v>58</v>
      </c>
      <c r="AI379" s="70">
        <v>59</v>
      </c>
      <c r="AJ379" s="70">
        <f>AK379-AI379-AH379-AG379</f>
        <v>57</v>
      </c>
      <c r="AK379" s="37">
        <v>232</v>
      </c>
      <c r="AL379" s="70">
        <v>61</v>
      </c>
      <c r="AM379" s="70">
        <v>62</v>
      </c>
      <c r="AN379" s="70">
        <v>59</v>
      </c>
      <c r="AO379" s="70">
        <v>58</v>
      </c>
      <c r="AP379" s="37">
        <v>240</v>
      </c>
      <c r="AQ379" s="70">
        <v>37</v>
      </c>
      <c r="AR379" s="70">
        <v>47</v>
      </c>
      <c r="AS379" s="70">
        <v>45</v>
      </c>
      <c r="AT379" s="70">
        <v>47</v>
      </c>
      <c r="AU379" s="37">
        <v>176</v>
      </c>
      <c r="AV379" s="70">
        <v>49</v>
      </c>
      <c r="AW379" s="70">
        <v>45</v>
      </c>
      <c r="AX379" s="70">
        <v>39</v>
      </c>
      <c r="AY379" s="70">
        <v>41</v>
      </c>
      <c r="AZ379" s="37">
        <v>174</v>
      </c>
    </row>
    <row r="380" spans="1:52">
      <c r="A380" s="71" t="s">
        <v>7</v>
      </c>
      <c r="B380" s="24"/>
      <c r="C380" s="72"/>
      <c r="D380" s="72">
        <f>D379/C379-1</f>
        <v>0.14164233576642338</v>
      </c>
      <c r="E380" s="72">
        <f>E379/D379-1</f>
        <v>-5.5401042166171144E-2</v>
      </c>
      <c r="F380" s="72">
        <f>F379/E379-1</f>
        <v>0.10092053607689189</v>
      </c>
      <c r="G380" s="24"/>
      <c r="H380" s="72">
        <f>H379/F379-1</f>
        <v>-7.5361205041500234E-2</v>
      </c>
      <c r="I380" s="72">
        <f>I379/H379-1</f>
        <v>0.1236597569692639</v>
      </c>
      <c r="J380" s="72">
        <f>J379/I379-1</f>
        <v>-1.8211136753654156E-2</v>
      </c>
      <c r="K380" s="72">
        <f>K379/J379-1</f>
        <v>4.9574323815264609E-3</v>
      </c>
      <c r="L380" s="24"/>
      <c r="M380" s="72">
        <f>M379/K379-1</f>
        <v>-7.7218340480403103E-2</v>
      </c>
      <c r="N380" s="72">
        <f>N379/M379-1</f>
        <v>1.0098628623423891</v>
      </c>
      <c r="O380" s="72">
        <f>O379/N379-1</f>
        <v>-0.43779457536682964</v>
      </c>
      <c r="P380" s="72">
        <f>P379/O379-1</f>
        <v>-6.4594058266946197E-2</v>
      </c>
      <c r="Q380" s="24"/>
      <c r="R380" s="72">
        <f>R379/P379-1</f>
        <v>-6.4504227517294788E-2</v>
      </c>
      <c r="S380" s="72">
        <f>S379/R379-1</f>
        <v>-8.758668288033622E-3</v>
      </c>
      <c r="T380" s="72">
        <f>T379/S379-1</f>
        <v>1.7323983355713723E-2</v>
      </c>
      <c r="U380" s="72">
        <f>U379/T379-1</f>
        <v>-4.5171593390476716E-2</v>
      </c>
      <c r="V380" s="24"/>
      <c r="W380" s="72">
        <f>W379/U379-1</f>
        <v>-0.15388947673823272</v>
      </c>
      <c r="X380" s="72">
        <f>X379/W379-1</f>
        <v>6.8257458095487777E-2</v>
      </c>
      <c r="Y380" s="72">
        <f>Y379/X379-1</f>
        <v>3.6630728271747293E-2</v>
      </c>
      <c r="Z380" s="72">
        <v>0.12238392743301563</v>
      </c>
      <c r="AA380" s="24"/>
      <c r="AB380" s="72">
        <f>AB379/Z379-1</f>
        <v>-9.2031807854592529E-2</v>
      </c>
      <c r="AC380" s="72">
        <f>AC379/AB379-1</f>
        <v>7.6426745786341233E-2</v>
      </c>
      <c r="AD380" s="72">
        <f>AD379/AC379-1</f>
        <v>-8.8667496886674968E-2</v>
      </c>
      <c r="AE380" s="72">
        <f>AE379/AD379-1</f>
        <v>2.7767149494397625E-2</v>
      </c>
      <c r="AF380" s="24"/>
      <c r="AG380" s="72">
        <f>AG379/AE379-1</f>
        <v>2.8204719105107134E-2</v>
      </c>
      <c r="AH380" s="72">
        <f>AH379/AG379-1</f>
        <v>0</v>
      </c>
      <c r="AI380" s="72">
        <f>AI379/AH379-1</f>
        <v>1.7241379310344751E-2</v>
      </c>
      <c r="AJ380" s="72">
        <f>AJ379/AI379-1</f>
        <v>-3.3898305084745783E-2</v>
      </c>
      <c r="AK380" s="24"/>
      <c r="AL380" s="72">
        <v>6.1502017897876904E-2</v>
      </c>
      <c r="AM380" s="72">
        <v>1.6393442622950838E-2</v>
      </c>
      <c r="AN380" s="72">
        <v>-4.8387096774193505E-2</v>
      </c>
      <c r="AO380" s="72">
        <v>-1.6949152542372836E-2</v>
      </c>
      <c r="AP380" s="24"/>
      <c r="AQ380" s="72">
        <v>-0.36206896551724133</v>
      </c>
      <c r="AR380" s="72">
        <v>0.27027027027027017</v>
      </c>
      <c r="AS380" s="72">
        <v>-4.2553191489361653E-2</v>
      </c>
      <c r="AT380" s="72">
        <v>4.4444444444444509E-2</v>
      </c>
      <c r="AU380" s="24"/>
      <c r="AV380" s="72">
        <v>4.2553191489361764E-2</v>
      </c>
      <c r="AW380" s="72">
        <v>-8.1632653061224469E-2</v>
      </c>
      <c r="AX380" s="72">
        <v>-0.1333333333333333</v>
      </c>
      <c r="AY380" s="72">
        <v>5.1282051282051322E-2</v>
      </c>
      <c r="AZ380" s="24"/>
    </row>
    <row r="381" spans="1:52">
      <c r="A381" s="71" t="s">
        <v>8</v>
      </c>
      <c r="B381" s="24"/>
      <c r="C381" s="73"/>
      <c r="D381" s="73"/>
      <c r="E381" s="73"/>
      <c r="F381" s="73"/>
      <c r="G381" s="24">
        <f t="shared" ref="G381:N381" si="365">G379/B379-1</f>
        <v>0.18634843133691259</v>
      </c>
      <c r="H381" s="73">
        <f t="shared" si="365"/>
        <v>9.7755474452554836E-2</v>
      </c>
      <c r="I381" s="73">
        <f t="shared" si="365"/>
        <v>8.0464179533902502E-2</v>
      </c>
      <c r="J381" s="73">
        <f t="shared" si="365"/>
        <v>0.12300324895085968</v>
      </c>
      <c r="K381" s="73">
        <f t="shared" si="365"/>
        <v>2.5115278204734137E-2</v>
      </c>
      <c r="L381" s="24">
        <f t="shared" si="365"/>
        <v>7.988638527977221E-2</v>
      </c>
      <c r="M381" s="73">
        <f t="shared" si="365"/>
        <v>2.3056335921006754E-2</v>
      </c>
      <c r="N381" s="73">
        <f t="shared" si="365"/>
        <v>0.82991597135925188</v>
      </c>
      <c r="O381" s="73">
        <f>O379/J379-1</f>
        <v>4.7871619076320426E-2</v>
      </c>
      <c r="P381" s="73">
        <v>-1.4999999999999999E-2</v>
      </c>
      <c r="Q381" s="24">
        <f t="shared" ref="Q381:Y381" si="366">Q379/L379-1</f>
        <v>0.22628943453522088</v>
      </c>
      <c r="R381" s="73">
        <f t="shared" si="366"/>
        <v>-1.1211490965813087E-2</v>
      </c>
      <c r="S381" s="73">
        <f t="shared" si="366"/>
        <v>-0.51234083835239908</v>
      </c>
      <c r="T381" s="73">
        <f t="shared" si="366"/>
        <v>-0.11756923873342728</v>
      </c>
      <c r="U381" s="73">
        <f t="shared" si="366"/>
        <v>-9.9246733282090882E-2</v>
      </c>
      <c r="V381" s="24">
        <f t="shared" si="366"/>
        <v>-0.24605494776929071</v>
      </c>
      <c r="W381" s="73">
        <f t="shared" si="366"/>
        <v>-0.185312387024682</v>
      </c>
      <c r="X381" s="73">
        <f t="shared" si="366"/>
        <v>-0.1220138923426336</v>
      </c>
      <c r="Y381" s="73">
        <f t="shared" si="366"/>
        <v>-0.10535149757194529</v>
      </c>
      <c r="Z381" s="73">
        <v>5.1643512987677553E-2</v>
      </c>
      <c r="AA381" s="24">
        <f t="shared" ref="AA381:AI381" si="367">AA379/V379-1</f>
        <v>-9.1550376345200801E-2</v>
      </c>
      <c r="AB381" s="73">
        <f t="shared" si="367"/>
        <v>0.12852734130746102</v>
      </c>
      <c r="AC381" s="73">
        <f t="shared" si="367"/>
        <v>0.13715753101338723</v>
      </c>
      <c r="AD381" s="73">
        <f t="shared" si="367"/>
        <v>-2.9143367151795996E-4</v>
      </c>
      <c r="AE381" s="73">
        <f t="shared" si="367"/>
        <v>-8.4566699123660882E-2</v>
      </c>
      <c r="AF381" s="24">
        <f t="shared" si="367"/>
        <v>3.838691859270793E-2</v>
      </c>
      <c r="AG381" s="73">
        <f t="shared" si="367"/>
        <v>3.6658385315197828E-2</v>
      </c>
      <c r="AH381" s="73">
        <f t="shared" si="367"/>
        <v>-3.6944790369447977E-2</v>
      </c>
      <c r="AI381" s="73">
        <f t="shared" si="367"/>
        <v>7.4974947617746146E-2</v>
      </c>
      <c r="AJ381" s="73">
        <f>AJ379/AE379-1</f>
        <v>1.047705153432954E-2</v>
      </c>
      <c r="AK381" s="24">
        <v>1.9923681572792784E-2</v>
      </c>
      <c r="AL381" s="73">
        <v>3.9004534212695896E-2</v>
      </c>
      <c r="AM381" s="73">
        <v>6.8965517241379226E-2</v>
      </c>
      <c r="AN381" s="73">
        <v>0</v>
      </c>
      <c r="AO381" s="73">
        <v>1.7543859649122862E-2</v>
      </c>
      <c r="AP381" s="24">
        <v>3.4482758620689724E-2</v>
      </c>
      <c r="AQ381" s="73">
        <v>-0.39344262295081966</v>
      </c>
      <c r="AR381" s="73">
        <v>-0.24193548387096775</v>
      </c>
      <c r="AS381" s="73">
        <v>-0.23728813559322037</v>
      </c>
      <c r="AT381" s="73">
        <v>-0.18965517241379315</v>
      </c>
      <c r="AU381" s="24">
        <v>-0.26666666666666672</v>
      </c>
      <c r="AV381" s="73">
        <v>0.32432432432432434</v>
      </c>
      <c r="AW381" s="73">
        <v>-4.2553191489361653E-2</v>
      </c>
      <c r="AX381" s="73">
        <v>-0.1333333333333333</v>
      </c>
      <c r="AY381" s="73">
        <v>-0.12765957446808507</v>
      </c>
      <c r="AZ381" s="24">
        <v>-1.1363636363636354E-2</v>
      </c>
    </row>
    <row r="382" spans="1:52" s="36" customFormat="1">
      <c r="A382" s="69" t="s">
        <v>42</v>
      </c>
      <c r="B382" s="37">
        <v>153.02000000000001</v>
      </c>
      <c r="C382" s="70">
        <v>41.5</v>
      </c>
      <c r="D382" s="70">
        <v>47.055999999999997</v>
      </c>
      <c r="E382" s="70">
        <v>44.006</v>
      </c>
      <c r="F382" s="70">
        <f>G382-E382-D382-C382</f>
        <v>45.786999999999992</v>
      </c>
      <c r="G382" s="37">
        <v>178.34899999999999</v>
      </c>
      <c r="H382" s="70">
        <v>44.088999999999999</v>
      </c>
      <c r="I382" s="70">
        <v>55.793999999999997</v>
      </c>
      <c r="J382" s="70">
        <v>50.698999999999998</v>
      </c>
      <c r="K382" s="70">
        <f>L382-J382-I382-H382</f>
        <v>49.417999999999992</v>
      </c>
      <c r="L382" s="37">
        <v>200</v>
      </c>
      <c r="M382" s="70">
        <v>46.469000000000001</v>
      </c>
      <c r="N382" s="70">
        <v>108.223</v>
      </c>
      <c r="O382" s="70">
        <v>53.423000000000002</v>
      </c>
      <c r="P382" s="70">
        <f>Q382-O382-N382-M382</f>
        <v>45.856000000000002</v>
      </c>
      <c r="Q382" s="37">
        <v>253.971</v>
      </c>
      <c r="R382" s="70">
        <v>45.963999999999999</v>
      </c>
      <c r="S382" s="70">
        <v>46.347000000000001</v>
      </c>
      <c r="T382" s="70">
        <v>45.918999999999997</v>
      </c>
      <c r="U382" s="70">
        <f>V382-T382-S382-R382</f>
        <v>43.99199999999999</v>
      </c>
      <c r="V382" s="37">
        <v>182.22200000000001</v>
      </c>
      <c r="W382" s="70">
        <v>35.805</v>
      </c>
      <c r="X382" s="70">
        <v>38.872999999999998</v>
      </c>
      <c r="Y382" s="70">
        <v>40.29</v>
      </c>
      <c r="Z382" s="70">
        <f>AA382-Y382-X382-W382</f>
        <v>44.630000000000031</v>
      </c>
      <c r="AA382" s="37">
        <v>159.59800000000001</v>
      </c>
      <c r="AB382" s="70">
        <v>37.485999999999997</v>
      </c>
      <c r="AC382" s="70">
        <v>43.552999999999997</v>
      </c>
      <c r="AD382" s="70">
        <v>38.768999999999998</v>
      </c>
      <c r="AE382" s="70">
        <f>AF382-AD382-AC382-AB382</f>
        <v>38.378000000000007</v>
      </c>
      <c r="AF382" s="37">
        <f>158.186</f>
        <v>158.18600000000001</v>
      </c>
      <c r="AG382" s="70">
        <v>42</v>
      </c>
      <c r="AH382" s="70">
        <v>41</v>
      </c>
      <c r="AI382" s="70">
        <v>42</v>
      </c>
      <c r="AJ382" s="70">
        <f>AK382-AI382-AH382-AG382</f>
        <v>40</v>
      </c>
      <c r="AK382" s="37">
        <v>165</v>
      </c>
      <c r="AL382" s="70">
        <v>44</v>
      </c>
      <c r="AM382" s="70">
        <v>45</v>
      </c>
      <c r="AN382" s="70">
        <v>41</v>
      </c>
      <c r="AO382" s="70">
        <v>42</v>
      </c>
      <c r="AP382" s="37">
        <v>172</v>
      </c>
      <c r="AQ382" s="70">
        <v>26</v>
      </c>
      <c r="AR382" s="70">
        <v>33</v>
      </c>
      <c r="AS382" s="70">
        <v>33</v>
      </c>
      <c r="AT382" s="70">
        <v>33</v>
      </c>
      <c r="AU382" s="37">
        <v>125</v>
      </c>
      <c r="AV382" s="70">
        <v>36</v>
      </c>
      <c r="AW382" s="70">
        <v>33</v>
      </c>
      <c r="AX382" s="70">
        <v>27</v>
      </c>
      <c r="AY382" s="70">
        <v>31</v>
      </c>
      <c r="AZ382" s="37">
        <v>127</v>
      </c>
    </row>
    <row r="383" spans="1:52">
      <c r="A383" s="71" t="s">
        <v>7</v>
      </c>
      <c r="B383" s="24"/>
      <c r="C383" s="72"/>
      <c r="D383" s="72">
        <f>D382/C382-1</f>
        <v>0.13387951807228915</v>
      </c>
      <c r="E383" s="72">
        <f>E382/D382-1</f>
        <v>-6.4816388983338968E-2</v>
      </c>
      <c r="F383" s="72">
        <f>F382/E382-1</f>
        <v>4.0471753851747394E-2</v>
      </c>
      <c r="G383" s="24"/>
      <c r="H383" s="72">
        <f>H382/F382-1</f>
        <v>-3.7084762050363484E-2</v>
      </c>
      <c r="I383" s="72">
        <f>I382/H382-1</f>
        <v>0.26548572206219245</v>
      </c>
      <c r="J383" s="72">
        <f>J382/I382-1</f>
        <v>-9.1318062874144124E-2</v>
      </c>
      <c r="K383" s="72">
        <f>K382/J382-1</f>
        <v>-2.5266770547742623E-2</v>
      </c>
      <c r="L383" s="24"/>
      <c r="M383" s="72">
        <f>M382/K382-1</f>
        <v>-5.9674612489376222E-2</v>
      </c>
      <c r="N383" s="72">
        <f>N382/M382-1</f>
        <v>1.3289289633949513</v>
      </c>
      <c r="O383" s="72">
        <f>O382/N382-1</f>
        <v>-0.50636186392910931</v>
      </c>
      <c r="P383" s="72">
        <f>P382/O382-1</f>
        <v>-0.14164311251708062</v>
      </c>
      <c r="Q383" s="24"/>
      <c r="R383" s="72">
        <f>R382/P382-1</f>
        <v>2.3551988834611404E-3</v>
      </c>
      <c r="S383" s="72">
        <f>S382/R382-1</f>
        <v>8.3326081281003272E-3</v>
      </c>
      <c r="T383" s="72">
        <f>T382/S382-1</f>
        <v>-9.2346861717048645E-3</v>
      </c>
      <c r="U383" s="72">
        <f>U382/T382-1</f>
        <v>-4.1965199590583535E-2</v>
      </c>
      <c r="V383" s="24"/>
      <c r="W383" s="72">
        <f>W382/U382-1</f>
        <v>-0.18610201854882691</v>
      </c>
      <c r="X383" s="72">
        <f>X382/W382-1</f>
        <v>8.5686356654098628E-2</v>
      </c>
      <c r="Y383" s="72">
        <f>Y382/X382-1</f>
        <v>3.6452036117613718E-2</v>
      </c>
      <c r="Z383" s="72">
        <v>0.10771903698188212</v>
      </c>
      <c r="AA383" s="24"/>
      <c r="AB383" s="72">
        <f>AB382/Z382-1</f>
        <v>-0.16007170064978782</v>
      </c>
      <c r="AC383" s="72">
        <f>AC382/AB382-1</f>
        <v>0.16184708958010985</v>
      </c>
      <c r="AD383" s="72">
        <f>AD382/AC382-1</f>
        <v>-0.10984317957431178</v>
      </c>
      <c r="AE383" s="72">
        <f>AE382/AD382-1</f>
        <v>-1.0085377492326075E-2</v>
      </c>
      <c r="AF383" s="24"/>
      <c r="AG383" s="72">
        <f>AG382/AE382-1</f>
        <v>9.4376986815362773E-2</v>
      </c>
      <c r="AH383" s="72">
        <f>AH382/AG382-1</f>
        <v>-2.3809523809523836E-2</v>
      </c>
      <c r="AI383" s="72">
        <f>AI382/AH382-1</f>
        <v>2.4390243902439046E-2</v>
      </c>
      <c r="AJ383" s="72">
        <f>AJ382/AI382-1</f>
        <v>-4.7619047619047672E-2</v>
      </c>
      <c r="AK383" s="24"/>
      <c r="AL383" s="72">
        <v>0.10000000000000009</v>
      </c>
      <c r="AM383" s="72">
        <v>2.2727272727272707E-2</v>
      </c>
      <c r="AN383" s="72">
        <v>-8.8888888888888906E-2</v>
      </c>
      <c r="AO383" s="72">
        <v>2.4390243902439046E-2</v>
      </c>
      <c r="AP383" s="24"/>
      <c r="AQ383" s="72">
        <v>-0.38095238095238093</v>
      </c>
      <c r="AR383" s="72">
        <v>0.26923076923076916</v>
      </c>
      <c r="AS383" s="72">
        <v>0</v>
      </c>
      <c r="AT383" s="72">
        <v>0</v>
      </c>
      <c r="AU383" s="24"/>
      <c r="AV383" s="72">
        <v>9.0909090909090828E-2</v>
      </c>
      <c r="AW383" s="72">
        <v>-8.333333333333337E-2</v>
      </c>
      <c r="AX383" s="72">
        <v>-0.18181818181818177</v>
      </c>
      <c r="AY383" s="72">
        <v>0.14814814814814814</v>
      </c>
      <c r="AZ383" s="24"/>
    </row>
    <row r="384" spans="1:52">
      <c r="A384" s="71" t="s">
        <v>8</v>
      </c>
      <c r="B384" s="24"/>
      <c r="C384" s="73"/>
      <c r="D384" s="73"/>
      <c r="E384" s="73"/>
      <c r="F384" s="73"/>
      <c r="G384" s="24">
        <f t="shared" ref="G384:N384" si="368">G382/B382-1</f>
        <v>0.16552738204156303</v>
      </c>
      <c r="H384" s="73">
        <f t="shared" si="368"/>
        <v>6.2385542168674757E-2</v>
      </c>
      <c r="I384" s="73">
        <f t="shared" si="368"/>
        <v>0.18569364161849711</v>
      </c>
      <c r="J384" s="73">
        <f t="shared" si="368"/>
        <v>0.15209289642321489</v>
      </c>
      <c r="K384" s="73">
        <f t="shared" si="368"/>
        <v>7.9301985279664589E-2</v>
      </c>
      <c r="L384" s="24">
        <f t="shared" si="368"/>
        <v>0.12139681186886397</v>
      </c>
      <c r="M384" s="73">
        <f t="shared" si="368"/>
        <v>5.3981718796071609E-2</v>
      </c>
      <c r="N384" s="73">
        <f t="shared" si="368"/>
        <v>0.93968885543248382</v>
      </c>
      <c r="O384" s="73">
        <f t="shared" ref="O384:Y384" si="369">O382/J382-1</f>
        <v>5.372887039192098E-2</v>
      </c>
      <c r="P384" s="73">
        <f t="shared" si="369"/>
        <v>-7.2078999554817891E-2</v>
      </c>
      <c r="Q384" s="24">
        <f t="shared" si="369"/>
        <v>0.26985499999999996</v>
      </c>
      <c r="R384" s="73">
        <f t="shared" si="369"/>
        <v>-1.0867460027114917E-2</v>
      </c>
      <c r="S384" s="73">
        <f t="shared" si="369"/>
        <v>-0.5717453775999557</v>
      </c>
      <c r="T384" s="73">
        <f t="shared" si="369"/>
        <v>-0.14046384516032429</v>
      </c>
      <c r="U384" s="73">
        <f t="shared" si="369"/>
        <v>-4.0648988136776198E-2</v>
      </c>
      <c r="V384" s="24">
        <f t="shared" si="369"/>
        <v>-0.28250863287540706</v>
      </c>
      <c r="W384" s="73">
        <f t="shared" si="369"/>
        <v>-0.22102079888608472</v>
      </c>
      <c r="X384" s="73">
        <f t="shared" si="369"/>
        <v>-0.16126178609187225</v>
      </c>
      <c r="Y384" s="73">
        <f t="shared" si="369"/>
        <v>-0.12258542215640578</v>
      </c>
      <c r="Z384" s="73">
        <v>1.450263684306341E-2</v>
      </c>
      <c r="AA384" s="24">
        <f t="shared" ref="AA384:AI384" si="370">AA382/V382-1</f>
        <v>-0.12415624897103528</v>
      </c>
      <c r="AB384" s="73">
        <f t="shared" si="370"/>
        <v>4.6948750174556464E-2</v>
      </c>
      <c r="AC384" s="73">
        <f t="shared" si="370"/>
        <v>0.12039204589303631</v>
      </c>
      <c r="AD384" s="73">
        <f t="shared" si="370"/>
        <v>-3.775130305286678E-2</v>
      </c>
      <c r="AE384" s="73">
        <f t="shared" si="370"/>
        <v>-0.14008514452162268</v>
      </c>
      <c r="AF384" s="24">
        <f t="shared" si="370"/>
        <v>-8.8472286620133733E-3</v>
      </c>
      <c r="AG384" s="73">
        <f t="shared" si="370"/>
        <v>0.12041828949474476</v>
      </c>
      <c r="AH384" s="73">
        <f t="shared" si="370"/>
        <v>-5.8618235253598994E-2</v>
      </c>
      <c r="AI384" s="73">
        <f t="shared" si="370"/>
        <v>8.3339781784415479E-2</v>
      </c>
      <c r="AJ384" s="73">
        <f t="shared" ref="AJ384:AS384" si="371">AJ382/AE382-1</f>
        <v>4.2263796967012102E-2</v>
      </c>
      <c r="AK384" s="24">
        <v>4.3075872706813456E-2</v>
      </c>
      <c r="AL384" s="73">
        <v>4.7619047619047672E-2</v>
      </c>
      <c r="AM384" s="73">
        <v>9.7560975609756184E-2</v>
      </c>
      <c r="AN384" s="73">
        <v>-2.3809523809523836E-2</v>
      </c>
      <c r="AO384" s="73">
        <v>5.0000000000000044E-2</v>
      </c>
      <c r="AP384" s="24">
        <v>4.2424242424242475E-2</v>
      </c>
      <c r="AQ384" s="73">
        <v>-0.40909090909090906</v>
      </c>
      <c r="AR384" s="73">
        <v>-0.26666666666666672</v>
      </c>
      <c r="AS384" s="73">
        <v>-0.19512195121951215</v>
      </c>
      <c r="AT384" s="73">
        <v>-0.2142857142857143</v>
      </c>
      <c r="AU384" s="24">
        <v>-0.27325581395348841</v>
      </c>
      <c r="AV384" s="73">
        <v>0.38461538461538458</v>
      </c>
      <c r="AW384" s="73">
        <v>0</v>
      </c>
      <c r="AX384" s="73">
        <v>-0.18181818181818177</v>
      </c>
      <c r="AY384" s="73">
        <v>-6.0606060606060552E-2</v>
      </c>
      <c r="AZ384" s="24">
        <v>1.6000000000000014E-2</v>
      </c>
    </row>
    <row r="385" spans="1:52" s="36" customFormat="1">
      <c r="A385" s="69" t="s">
        <v>9</v>
      </c>
      <c r="B385" s="37">
        <f>B376+B379</f>
        <v>290.178</v>
      </c>
      <c r="C385" s="77">
        <f>C376+C379</f>
        <v>74.8</v>
      </c>
      <c r="D385" s="77">
        <f>D376+D379</f>
        <v>82.878999999999991</v>
      </c>
      <c r="E385" s="77">
        <f>E376+E379</f>
        <v>79</v>
      </c>
      <c r="F385" s="70">
        <f>G385-E385-D385-C385</f>
        <v>84.921000000000035</v>
      </c>
      <c r="G385" s="37">
        <f>G376+G379</f>
        <v>321.60000000000002</v>
      </c>
      <c r="H385" s="77">
        <f>H376+H379</f>
        <v>79.771000000000001</v>
      </c>
      <c r="I385" s="77">
        <f>I376+I379</f>
        <v>88.27000000000001</v>
      </c>
      <c r="J385" s="77">
        <f>J376+J379</f>
        <v>87.765000000000001</v>
      </c>
      <c r="K385" s="70">
        <f>L385-J385-I385-H385</f>
        <v>89.240000000000052</v>
      </c>
      <c r="L385" s="37">
        <f>L376+L379</f>
        <v>345.04600000000005</v>
      </c>
      <c r="M385" s="77">
        <f>M376+M379</f>
        <v>84.132999999999996</v>
      </c>
      <c r="N385" s="77">
        <f>N376+N379</f>
        <v>146.69499999999999</v>
      </c>
      <c r="O385" s="77">
        <f>O376+O379</f>
        <v>93.061999999999998</v>
      </c>
      <c r="P385" s="70">
        <v>90</v>
      </c>
      <c r="Q385" s="37">
        <f>Q376+Q379</f>
        <v>414.12200000000001</v>
      </c>
      <c r="R385" s="77">
        <f>R376+R379</f>
        <v>85.12</v>
      </c>
      <c r="S385" s="77">
        <f>S376+S379</f>
        <v>86.72399999999999</v>
      </c>
      <c r="T385" s="77">
        <f>T376+T379</f>
        <v>89.338999999999999</v>
      </c>
      <c r="U385" s="70">
        <f>V385-T385-S385-R385</f>
        <v>88.837999999999965</v>
      </c>
      <c r="V385" s="37">
        <f>V376+V379</f>
        <v>350.02099999999996</v>
      </c>
      <c r="W385" s="77">
        <f>W376+W379</f>
        <v>83.932999999999993</v>
      </c>
      <c r="X385" s="77">
        <f>X376+X379</f>
        <v>87.402999999999992</v>
      </c>
      <c r="Y385" s="77">
        <f>Y376+Y379</f>
        <v>89.403999999999996</v>
      </c>
      <c r="Z385" s="70">
        <f>AA385-Y385-X385-W385</f>
        <v>94.693000000000012</v>
      </c>
      <c r="AA385" s="37">
        <f>AA376+AA379</f>
        <v>355.43299999999999</v>
      </c>
      <c r="AB385" s="77">
        <f>AB376+AB379</f>
        <v>87.241</v>
      </c>
      <c r="AC385" s="77">
        <f>AC376+AC379</f>
        <v>92.757000000000005</v>
      </c>
      <c r="AD385" s="77">
        <f>AD376+AD379</f>
        <v>87.835000000000008</v>
      </c>
      <c r="AE385" s="70">
        <f>AF385-AD385-AC385-AB385</f>
        <v>88.63499999999992</v>
      </c>
      <c r="AF385" s="37">
        <f>AF376+AF379</f>
        <v>356.46799999999996</v>
      </c>
      <c r="AG385" s="77">
        <f>AG376+AG379</f>
        <v>90</v>
      </c>
      <c r="AH385" s="77">
        <f>AH376+AH379</f>
        <v>90</v>
      </c>
      <c r="AI385" s="77">
        <f>AI376+AI379</f>
        <v>91</v>
      </c>
      <c r="AJ385" s="70">
        <f>AK385-AI385-AH385-AG385</f>
        <v>91</v>
      </c>
      <c r="AK385" s="37">
        <v>362</v>
      </c>
      <c r="AL385" s="77">
        <v>93</v>
      </c>
      <c r="AM385" s="77">
        <v>94</v>
      </c>
      <c r="AN385" s="77">
        <v>92</v>
      </c>
      <c r="AO385" s="70">
        <v>93</v>
      </c>
      <c r="AP385" s="37">
        <v>372</v>
      </c>
      <c r="AQ385" s="77">
        <v>70</v>
      </c>
      <c r="AR385" s="77">
        <v>82</v>
      </c>
      <c r="AS385" s="77">
        <v>80</v>
      </c>
      <c r="AT385" s="70">
        <v>81</v>
      </c>
      <c r="AU385" s="37">
        <v>313</v>
      </c>
      <c r="AV385" s="77">
        <v>82</v>
      </c>
      <c r="AW385" s="77">
        <v>78</v>
      </c>
      <c r="AX385" s="77">
        <v>73</v>
      </c>
      <c r="AY385" s="70">
        <v>76</v>
      </c>
      <c r="AZ385" s="37">
        <v>309</v>
      </c>
    </row>
    <row r="386" spans="1:52">
      <c r="A386" s="71" t="s">
        <v>7</v>
      </c>
      <c r="B386" s="24"/>
      <c r="C386" s="72"/>
      <c r="D386" s="72">
        <f>D385/C385-1</f>
        <v>0.10800802139037424</v>
      </c>
      <c r="E386" s="72">
        <f>E385/D385-1</f>
        <v>-4.6803170887679491E-2</v>
      </c>
      <c r="F386" s="72">
        <f>F385/E385-1</f>
        <v>7.494936708860811E-2</v>
      </c>
      <c r="G386" s="24"/>
      <c r="H386" s="72">
        <f>H385/F385-1</f>
        <v>-6.0644599097985585E-2</v>
      </c>
      <c r="I386" s="72">
        <f>I385/H385-1</f>
        <v>0.10654247784282522</v>
      </c>
      <c r="J386" s="72">
        <f>J385/I385-1</f>
        <v>-5.7210830406707602E-3</v>
      </c>
      <c r="K386" s="72">
        <f>K385/J385-1</f>
        <v>1.6806243946904331E-2</v>
      </c>
      <c r="L386" s="24"/>
      <c r="M386" s="72">
        <f>M385/K385-1</f>
        <v>-5.7227700582698993E-2</v>
      </c>
      <c r="N386" s="72">
        <f>N385/M385-1</f>
        <v>0.7436083344228781</v>
      </c>
      <c r="O386" s="72">
        <f>O385/N385-1</f>
        <v>-0.36560891645932037</v>
      </c>
      <c r="P386" s="72">
        <f>P385/O385-1</f>
        <v>-3.2902795985472078E-2</v>
      </c>
      <c r="Q386" s="24"/>
      <c r="R386" s="72">
        <f>R385/P385-1</f>
        <v>-5.4222222222222172E-2</v>
      </c>
      <c r="S386" s="72">
        <f>S385/R385-1</f>
        <v>1.8843984962405802E-2</v>
      </c>
      <c r="T386" s="72">
        <f>T385/S385-1</f>
        <v>3.0153129468198037E-2</v>
      </c>
      <c r="U386" s="72">
        <f>U385/T385-1</f>
        <v>-5.607853233190796E-3</v>
      </c>
      <c r="V386" s="24"/>
      <c r="W386" s="72">
        <f>W385/U385-1</f>
        <v>-5.5212859361984501E-2</v>
      </c>
      <c r="X386" s="72">
        <f>X385/W385-1</f>
        <v>4.1342499374501074E-2</v>
      </c>
      <c r="Y386" s="72">
        <f>Y385/X385-1</f>
        <v>2.2893951008546631E-2</v>
      </c>
      <c r="Z386" s="72">
        <v>5.9158426916021911E-2</v>
      </c>
      <c r="AA386" s="24"/>
      <c r="AB386" s="72">
        <f>AB385/Z385-1</f>
        <v>-7.8696418953882685E-2</v>
      </c>
      <c r="AC386" s="72">
        <f>AC385/AB385-1</f>
        <v>6.3227152371018169E-2</v>
      </c>
      <c r="AD386" s="72">
        <f>AD385/AC385-1</f>
        <v>-5.3063380661297788E-2</v>
      </c>
      <c r="AE386" s="72">
        <f>AE385/AD385-1</f>
        <v>9.107986565718873E-3</v>
      </c>
      <c r="AF386" s="24"/>
      <c r="AG386" s="72">
        <f>AG385/AE385-1</f>
        <v>1.5400236926722766E-2</v>
      </c>
      <c r="AH386" s="72">
        <f>AH385/AG385-1</f>
        <v>0</v>
      </c>
      <c r="AI386" s="72">
        <f>AI385/AH385-1</f>
        <v>1.1111111111111072E-2</v>
      </c>
      <c r="AJ386" s="72">
        <f>AJ385/AI385-1</f>
        <v>0</v>
      </c>
      <c r="AK386" s="24"/>
      <c r="AL386" s="72">
        <v>2.19780219780219E-2</v>
      </c>
      <c r="AM386" s="72">
        <v>1.0752688172043001E-2</v>
      </c>
      <c r="AN386" s="72">
        <v>-2.1276595744680882E-2</v>
      </c>
      <c r="AO386" s="72">
        <v>1.0869565217391353E-2</v>
      </c>
      <c r="AP386" s="24"/>
      <c r="AQ386" s="72">
        <v>-0.24731182795698925</v>
      </c>
      <c r="AR386" s="72">
        <v>0.17142857142857149</v>
      </c>
      <c r="AS386" s="72">
        <v>-2.4390243902439046E-2</v>
      </c>
      <c r="AT386" s="72">
        <v>1.2499999999999956E-2</v>
      </c>
      <c r="AU386" s="24"/>
      <c r="AV386" s="72">
        <v>1.2345679012345734E-2</v>
      </c>
      <c r="AW386" s="72">
        <v>-4.8780487804878092E-2</v>
      </c>
      <c r="AX386" s="72">
        <v>-6.4102564102564097E-2</v>
      </c>
      <c r="AY386" s="72">
        <v>4.1095890410958846E-2</v>
      </c>
      <c r="AZ386" s="24"/>
    </row>
    <row r="387" spans="1:52">
      <c r="A387" s="71" t="s">
        <v>8</v>
      </c>
      <c r="B387" s="24"/>
      <c r="C387" s="73"/>
      <c r="D387" s="73"/>
      <c r="E387" s="73"/>
      <c r="F387" s="73"/>
      <c r="G387" s="24">
        <f t="shared" ref="G387:N387" si="372">G385/B385-1</f>
        <v>0.10828525939251099</v>
      </c>
      <c r="H387" s="73">
        <f t="shared" si="372"/>
        <v>6.6457219251336852E-2</v>
      </c>
      <c r="I387" s="73">
        <f t="shared" si="372"/>
        <v>6.5046634249930957E-2</v>
      </c>
      <c r="J387" s="73">
        <f t="shared" si="372"/>
        <v>0.1109493670886077</v>
      </c>
      <c r="K387" s="73">
        <f t="shared" si="372"/>
        <v>5.085903369013578E-2</v>
      </c>
      <c r="L387" s="24">
        <f t="shared" si="372"/>
        <v>7.2904228855721565E-2</v>
      </c>
      <c r="M387" s="73">
        <f t="shared" si="372"/>
        <v>5.4681525867796399E-2</v>
      </c>
      <c r="N387" s="73">
        <f t="shared" si="372"/>
        <v>0.66188965673501721</v>
      </c>
      <c r="O387" s="73">
        <f>O385/J385-1</f>
        <v>6.0354355380846547E-2</v>
      </c>
      <c r="P387" s="73">
        <v>0.01</v>
      </c>
      <c r="Q387" s="24">
        <f t="shared" ref="Q387:Y387" si="373">Q385/L385-1</f>
        <v>0.20019359737542231</v>
      </c>
      <c r="R387" s="73">
        <f t="shared" si="373"/>
        <v>1.1731425243364679E-2</v>
      </c>
      <c r="S387" s="73">
        <f t="shared" si="373"/>
        <v>-0.40881420634650134</v>
      </c>
      <c r="T387" s="73">
        <f t="shared" si="373"/>
        <v>-4.0005587672734322E-2</v>
      </c>
      <c r="U387" s="73">
        <f t="shared" si="373"/>
        <v>-1.291111111111154E-2</v>
      </c>
      <c r="V387" s="24">
        <f t="shared" si="373"/>
        <v>-0.15478771956090243</v>
      </c>
      <c r="W387" s="73">
        <f t="shared" si="373"/>
        <v>-1.3945018796992614E-2</v>
      </c>
      <c r="X387" s="73">
        <f t="shared" si="373"/>
        <v>7.829435911627769E-3</v>
      </c>
      <c r="Y387" s="73">
        <f t="shared" si="373"/>
        <v>7.2756578873733879E-4</v>
      </c>
      <c r="Z387" s="73">
        <v>6.5906481460636712E-2</v>
      </c>
      <c r="AA387" s="24">
        <f t="shared" ref="AA387:AI387" si="374">AA385/V385-1</f>
        <v>1.5461929427091681E-2</v>
      </c>
      <c r="AB387" s="73">
        <f t="shared" si="374"/>
        <v>3.9412388452694458E-2</v>
      </c>
      <c r="AC387" s="73">
        <f t="shared" si="374"/>
        <v>6.1256478610574261E-2</v>
      </c>
      <c r="AD387" s="73">
        <f t="shared" si="374"/>
        <v>-1.7549550355688615E-2</v>
      </c>
      <c r="AE387" s="73">
        <f t="shared" si="374"/>
        <v>-6.3975161838785266E-2</v>
      </c>
      <c r="AF387" s="24">
        <f t="shared" si="374"/>
        <v>2.9119412097355912E-3</v>
      </c>
      <c r="AG387" s="73">
        <f t="shared" si="374"/>
        <v>3.1625038685938911E-2</v>
      </c>
      <c r="AH387" s="73">
        <f t="shared" si="374"/>
        <v>-2.9722824153433192E-2</v>
      </c>
      <c r="AI387" s="73">
        <f t="shared" si="374"/>
        <v>3.6033471850628995E-2</v>
      </c>
      <c r="AJ387" s="73">
        <f t="shared" ref="AJ387:AS387" si="375">AJ385/AE385-1</f>
        <v>2.6682461781464273E-2</v>
      </c>
      <c r="AK387" s="24">
        <v>1.5518924559848379E-2</v>
      </c>
      <c r="AL387" s="73">
        <v>3.3333333333333437E-2</v>
      </c>
      <c r="AM387" s="73">
        <v>4.4444444444444509E-2</v>
      </c>
      <c r="AN387" s="73">
        <v>1.098901098901095E-2</v>
      </c>
      <c r="AO387" s="73">
        <v>2.19780219780219E-2</v>
      </c>
      <c r="AP387" s="24">
        <v>2.7624309392265234E-2</v>
      </c>
      <c r="AQ387" s="73">
        <v>-0.24731182795698925</v>
      </c>
      <c r="AR387" s="73">
        <v>-0.12765957446808507</v>
      </c>
      <c r="AS387" s="73">
        <v>-0.13043478260869568</v>
      </c>
      <c r="AT387" s="73">
        <v>-0.12903225806451613</v>
      </c>
      <c r="AU387" s="24">
        <v>-0.15860215053763438</v>
      </c>
      <c r="AV387" s="73">
        <v>0.17142857142857149</v>
      </c>
      <c r="AW387" s="73">
        <v>-4.8780487804878092E-2</v>
      </c>
      <c r="AX387" s="73">
        <v>-8.7500000000000022E-2</v>
      </c>
      <c r="AY387" s="73">
        <v>-6.1728395061728447E-2</v>
      </c>
      <c r="AZ387" s="24">
        <v>-1.2779552715655007E-2</v>
      </c>
    </row>
    <row r="388" spans="1:52">
      <c r="A388" s="82"/>
      <c r="B388" s="24"/>
      <c r="C388" s="73"/>
      <c r="D388" s="73"/>
      <c r="E388" s="73"/>
      <c r="F388" s="73"/>
      <c r="G388" s="24"/>
      <c r="H388" s="73"/>
      <c r="I388" s="73"/>
      <c r="J388" s="73"/>
      <c r="K388" s="73"/>
      <c r="L388" s="24"/>
      <c r="M388" s="73"/>
      <c r="N388" s="73"/>
      <c r="O388" s="73"/>
      <c r="P388" s="73"/>
      <c r="Q388" s="24"/>
      <c r="R388" s="73"/>
      <c r="S388" s="73"/>
      <c r="T388" s="73"/>
      <c r="U388" s="73"/>
      <c r="V388" s="24"/>
      <c r="W388" s="73"/>
      <c r="X388" s="73"/>
      <c r="Y388" s="73"/>
      <c r="Z388" s="73"/>
      <c r="AA388" s="24"/>
      <c r="AB388" s="73"/>
      <c r="AC388" s="73"/>
      <c r="AD388" s="73"/>
      <c r="AE388" s="73"/>
      <c r="AF388" s="24"/>
      <c r="AG388" s="73"/>
      <c r="AH388" s="73"/>
      <c r="AI388" s="73"/>
      <c r="AJ388" s="73"/>
      <c r="AK388" s="24"/>
      <c r="AL388" s="73"/>
      <c r="AM388" s="73"/>
      <c r="AN388" s="73"/>
      <c r="AO388" s="73"/>
      <c r="AP388" s="24"/>
      <c r="AQ388" s="73"/>
      <c r="AR388" s="73"/>
      <c r="AS388" s="73"/>
      <c r="AT388" s="73"/>
      <c r="AU388" s="24"/>
      <c r="AV388" s="73"/>
      <c r="AW388" s="73"/>
      <c r="AX388" s="73"/>
      <c r="AY388" s="73"/>
      <c r="AZ388" s="24"/>
    </row>
    <row r="389" spans="1:52">
      <c r="A389" s="40" t="s">
        <v>82</v>
      </c>
      <c r="B389" s="41"/>
      <c r="C389" s="49"/>
      <c r="D389" s="49"/>
      <c r="E389" s="49"/>
      <c r="F389" s="49"/>
      <c r="G389" s="41"/>
      <c r="H389" s="49"/>
      <c r="I389" s="49"/>
      <c r="J389" s="49"/>
      <c r="K389" s="49"/>
      <c r="L389" s="41"/>
      <c r="M389" s="49"/>
      <c r="N389" s="49"/>
      <c r="O389" s="49"/>
      <c r="P389" s="49"/>
      <c r="Q389" s="41"/>
      <c r="R389" s="49"/>
      <c r="S389" s="49"/>
      <c r="T389" s="49"/>
      <c r="U389" s="49"/>
      <c r="V389" s="41"/>
      <c r="W389" s="49"/>
      <c r="X389" s="49"/>
      <c r="Y389" s="49"/>
      <c r="Z389" s="49"/>
      <c r="AA389" s="41"/>
      <c r="AB389" s="49"/>
      <c r="AC389" s="49"/>
      <c r="AD389" s="49"/>
      <c r="AE389" s="49"/>
      <c r="AF389" s="41"/>
      <c r="AG389" s="49"/>
      <c r="AH389" s="49"/>
      <c r="AI389" s="49"/>
      <c r="AJ389" s="49"/>
      <c r="AK389" s="41"/>
      <c r="AL389" s="49"/>
      <c r="AM389" s="49"/>
      <c r="AN389" s="49"/>
      <c r="AO389" s="49"/>
      <c r="AP389" s="41"/>
      <c r="AQ389" s="49"/>
      <c r="AR389" s="49"/>
      <c r="AS389" s="49"/>
      <c r="AT389" s="49"/>
      <c r="AU389" s="41"/>
      <c r="AV389" s="49"/>
      <c r="AW389" s="49"/>
      <c r="AX389" s="49"/>
      <c r="AY389" s="49"/>
      <c r="AZ389" s="41"/>
    </row>
    <row r="390" spans="1:52" s="36" customFormat="1">
      <c r="A390" s="69" t="s">
        <v>12</v>
      </c>
      <c r="B390" s="37">
        <v>92.694000000000003</v>
      </c>
      <c r="C390" s="70">
        <v>7.5179999999999998</v>
      </c>
      <c r="D390" s="70">
        <v>50.93</v>
      </c>
      <c r="E390" s="70">
        <v>31.88</v>
      </c>
      <c r="F390" s="70">
        <f>G390-E390-D390-C390</f>
        <v>73.117999999999995</v>
      </c>
      <c r="G390" s="37">
        <v>163.446</v>
      </c>
      <c r="H390" s="70">
        <f>83.509</f>
        <v>83.509</v>
      </c>
      <c r="I390" s="70">
        <v>82.688000000000002</v>
      </c>
      <c r="J390" s="70">
        <v>81.460999999999999</v>
      </c>
      <c r="K390" s="70">
        <f>L390-J390-I390-H390</f>
        <v>71.909000000000006</v>
      </c>
      <c r="L390" s="37">
        <f>319.858-0.291</f>
        <v>319.56700000000001</v>
      </c>
      <c r="M390" s="70">
        <f>59.48</f>
        <v>59.48</v>
      </c>
      <c r="N390" s="70">
        <f>125.337-59.48</f>
        <v>65.856999999999999</v>
      </c>
      <c r="O390" s="70">
        <v>74.631</v>
      </c>
      <c r="P390" s="70">
        <f>Q390-O390-N390-M390</f>
        <v>90.108000000000033</v>
      </c>
      <c r="Q390" s="37">
        <f>291.87-1.794</f>
        <v>290.07600000000002</v>
      </c>
      <c r="R390" s="70">
        <f>42.049-0.051</f>
        <v>41.997999999999998</v>
      </c>
      <c r="S390" s="70">
        <f>68.191-0.075</f>
        <v>68.116</v>
      </c>
      <c r="T390" s="70">
        <f>57.303+0.147</f>
        <v>57.449999999999996</v>
      </c>
      <c r="U390" s="70">
        <f>V390-T390-S390-R390</f>
        <v>75.928000000000026</v>
      </c>
      <c r="V390" s="37">
        <f>242.86+0.632</f>
        <v>243.49200000000002</v>
      </c>
      <c r="W390" s="70">
        <f>58.496-0.079</f>
        <v>58.417000000000002</v>
      </c>
      <c r="X390" s="70">
        <f>63.904+0.307</f>
        <v>64.210999999999999</v>
      </c>
      <c r="Y390" s="70">
        <f>63.132+0.004</f>
        <v>63.135999999999996</v>
      </c>
      <c r="Z390" s="70">
        <f>AA390-Y390-X390-W390</f>
        <v>86.321999999999974</v>
      </c>
      <c r="AA390" s="37">
        <f>271.953+0.133</f>
        <v>272.08599999999996</v>
      </c>
      <c r="AB390" s="70">
        <f>58.59-0.278</f>
        <v>58.312000000000005</v>
      </c>
      <c r="AC390" s="70">
        <f>81.111+0.088</f>
        <v>81.198999999999998</v>
      </c>
      <c r="AD390" s="70">
        <f>71.669-0.179</f>
        <v>71.489999999999995</v>
      </c>
      <c r="AE390" s="70">
        <f>AF390-AD390-AC390-AB390</f>
        <v>76.723999999999933</v>
      </c>
      <c r="AF390" s="37">
        <f>288.131-0.406</f>
        <v>287.72499999999997</v>
      </c>
      <c r="AG390" s="70">
        <v>74</v>
      </c>
      <c r="AH390" s="70">
        <v>95</v>
      </c>
      <c r="AI390" s="70">
        <v>71</v>
      </c>
      <c r="AJ390" s="70">
        <f>AK390-AI390-AH390-AG390</f>
        <v>72</v>
      </c>
      <c r="AK390" s="37">
        <v>312</v>
      </c>
      <c r="AL390" s="70">
        <v>62</v>
      </c>
      <c r="AM390" s="70">
        <v>74</v>
      </c>
      <c r="AN390" s="70">
        <v>69</v>
      </c>
      <c r="AO390" s="70">
        <v>96</v>
      </c>
      <c r="AP390" s="37">
        <v>301</v>
      </c>
      <c r="AQ390" s="70">
        <v>49</v>
      </c>
      <c r="AR390" s="70">
        <v>69</v>
      </c>
      <c r="AS390" s="70">
        <v>65</v>
      </c>
      <c r="AT390" s="70">
        <v>86</v>
      </c>
      <c r="AU390" s="37">
        <v>269</v>
      </c>
      <c r="AV390" s="70">
        <v>52</v>
      </c>
      <c r="AW390" s="70">
        <v>69</v>
      </c>
      <c r="AX390" s="70">
        <v>74</v>
      </c>
      <c r="AY390" s="70">
        <v>82</v>
      </c>
      <c r="AZ390" s="37">
        <v>277</v>
      </c>
    </row>
    <row r="391" spans="1:52">
      <c r="A391" s="82" t="s">
        <v>7</v>
      </c>
      <c r="B391" s="24"/>
      <c r="C391" s="72"/>
      <c r="D391" s="72">
        <f>D390/C390-1</f>
        <v>5.7744080872572496</v>
      </c>
      <c r="E391" s="72">
        <f>E390/D390-1</f>
        <v>-0.37404280384841937</v>
      </c>
      <c r="F391" s="72">
        <f>F390/E390-1</f>
        <v>1.293538268506901</v>
      </c>
      <c r="G391" s="24"/>
      <c r="H391" s="72">
        <f>H390/F390-1</f>
        <v>0.14211274925462969</v>
      </c>
      <c r="I391" s="72">
        <f>I390/H390-1</f>
        <v>-9.8312756708857085E-3</v>
      </c>
      <c r="J391" s="72">
        <f>J390/I390-1</f>
        <v>-1.4838912538699733E-2</v>
      </c>
      <c r="K391" s="72">
        <f>K390/J390-1</f>
        <v>-0.11725856544849678</v>
      </c>
      <c r="L391" s="24"/>
      <c r="M391" s="72">
        <f>M390/K390-1</f>
        <v>-0.17284345492219344</v>
      </c>
      <c r="N391" s="72">
        <f>N390/M390-1</f>
        <v>0.10721250840618701</v>
      </c>
      <c r="O391" s="72">
        <f>O390/N390-1</f>
        <v>0.13322805472463073</v>
      </c>
      <c r="P391" s="72">
        <f>P390/O390-1</f>
        <v>0.20738031113076372</v>
      </c>
      <c r="Q391" s="24"/>
      <c r="R391" s="72">
        <f>R390/P390-1</f>
        <v>-0.53391485772628422</v>
      </c>
      <c r="S391" s="72">
        <f>S390/R390-1</f>
        <v>0.62188675651221503</v>
      </c>
      <c r="T391" s="72">
        <f>T390/S390-1</f>
        <v>-0.1565858241822774</v>
      </c>
      <c r="U391" s="72">
        <f>U390/T390-1</f>
        <v>0.32163620539599713</v>
      </c>
      <c r="V391" s="24"/>
      <c r="W391" s="72">
        <f>W390/U390-1</f>
        <v>-0.23062638288905302</v>
      </c>
      <c r="X391" s="72">
        <f>X390/W390-1</f>
        <v>9.9183456870431508E-2</v>
      </c>
      <c r="Y391" s="72">
        <f>Y390/X390-1</f>
        <v>-1.6741679774493479E-2</v>
      </c>
      <c r="Z391" s="72">
        <v>0.36723897617840828</v>
      </c>
      <c r="AA391" s="24"/>
      <c r="AB391" s="72">
        <f>AB390/Z390-1</f>
        <v>-0.32448275063135679</v>
      </c>
      <c r="AC391" s="72">
        <f>AC390/AB390-1</f>
        <v>0.3924921114007407</v>
      </c>
      <c r="AD391" s="72">
        <f>AD390/AC390-1</f>
        <v>-0.11957043805958201</v>
      </c>
      <c r="AE391" s="72">
        <f>AE390/AD390-1</f>
        <v>7.3213036788361219E-2</v>
      </c>
      <c r="AF391" s="24"/>
      <c r="AG391" s="72">
        <f>AG390/AE390-1</f>
        <v>-3.5503884051925505E-2</v>
      </c>
      <c r="AH391" s="72">
        <f>AH390/AG390-1</f>
        <v>0.28378378378378377</v>
      </c>
      <c r="AI391" s="72">
        <f>AI390/AH390-1</f>
        <v>-0.25263157894736843</v>
      </c>
      <c r="AJ391" s="72">
        <f>AJ390/AI390-1</f>
        <v>1.4084507042253502E-2</v>
      </c>
      <c r="AK391" s="24"/>
      <c r="AL391" s="72">
        <v>-0.13888888888888884</v>
      </c>
      <c r="AM391" s="72">
        <v>0.19354838709677424</v>
      </c>
      <c r="AN391" s="72">
        <v>-6.7567567567567544E-2</v>
      </c>
      <c r="AO391" s="72">
        <v>0.39130434782608692</v>
      </c>
      <c r="AP391" s="24"/>
      <c r="AQ391" s="72">
        <v>-0.48958333333333337</v>
      </c>
      <c r="AR391" s="72">
        <v>0.40816326530612246</v>
      </c>
      <c r="AS391" s="72">
        <v>-5.7971014492753659E-2</v>
      </c>
      <c r="AT391" s="72">
        <v>0.32307692307692304</v>
      </c>
      <c r="AU391" s="24"/>
      <c r="AV391" s="72">
        <v>-0.39534883720930236</v>
      </c>
      <c r="AW391" s="72">
        <v>0.32692307692307687</v>
      </c>
      <c r="AX391" s="72">
        <v>7.2463768115942129E-2</v>
      </c>
      <c r="AY391" s="72">
        <v>0.10810810810810811</v>
      </c>
      <c r="AZ391" s="24"/>
    </row>
    <row r="392" spans="1:52">
      <c r="A392" s="84" t="s">
        <v>8</v>
      </c>
      <c r="B392" s="24"/>
      <c r="C392" s="73"/>
      <c r="D392" s="73"/>
      <c r="E392" s="73"/>
      <c r="F392" s="73"/>
      <c r="G392" s="24">
        <f t="shared" ref="G392:N392" si="376">G390/B390-1</f>
        <v>0.76328564955660561</v>
      </c>
      <c r="H392" s="73">
        <f t="shared" si="376"/>
        <v>10.107874434690077</v>
      </c>
      <c r="I392" s="73">
        <f t="shared" si="376"/>
        <v>0.62356175142352255</v>
      </c>
      <c r="J392" s="73">
        <f t="shared" si="376"/>
        <v>1.5552383939774153</v>
      </c>
      <c r="K392" s="73">
        <f t="shared" si="376"/>
        <v>-1.6534916162914581E-2</v>
      </c>
      <c r="L392" s="24">
        <f t="shared" si="376"/>
        <v>0.95518397513551889</v>
      </c>
      <c r="M392" s="73">
        <f t="shared" si="376"/>
        <v>-0.28774144104228294</v>
      </c>
      <c r="N392" s="73">
        <f t="shared" si="376"/>
        <v>-0.20354827786377716</v>
      </c>
      <c r="O392" s="73">
        <f t="shared" ref="O392:Y392" si="377">O390/J390-1</f>
        <v>-8.3843802555824243E-2</v>
      </c>
      <c r="P392" s="73">
        <f t="shared" si="377"/>
        <v>0.2530837586393917</v>
      </c>
      <c r="Q392" s="24">
        <f t="shared" si="377"/>
        <v>-9.2284247121886764E-2</v>
      </c>
      <c r="R392" s="73">
        <f t="shared" si="377"/>
        <v>-0.29391392064559518</v>
      </c>
      <c r="S392" s="73">
        <f t="shared" si="377"/>
        <v>3.4301592845103812E-2</v>
      </c>
      <c r="T392" s="73">
        <f t="shared" si="377"/>
        <v>-0.23021264621939952</v>
      </c>
      <c r="U392" s="73">
        <f t="shared" si="377"/>
        <v>-0.15736671549695924</v>
      </c>
      <c r="V392" s="24">
        <f t="shared" si="377"/>
        <v>-0.16059239647540646</v>
      </c>
      <c r="W392" s="73">
        <f t="shared" si="377"/>
        <v>0.39094718796133154</v>
      </c>
      <c r="X392" s="73">
        <f t="shared" si="377"/>
        <v>-5.7328674613894015E-2</v>
      </c>
      <c r="Y392" s="73">
        <f t="shared" si="377"/>
        <v>9.8973020017406377E-2</v>
      </c>
      <c r="Z392" s="73">
        <v>0.13689284585396622</v>
      </c>
      <c r="AA392" s="24">
        <f t="shared" ref="AA392:AI392" si="378">AA390/V390-1</f>
        <v>0.11743301627979541</v>
      </c>
      <c r="AB392" s="73">
        <f t="shared" si="378"/>
        <v>-1.7974219833266636E-3</v>
      </c>
      <c r="AC392" s="73">
        <f t="shared" si="378"/>
        <v>0.2645652614038092</v>
      </c>
      <c r="AD392" s="73">
        <f t="shared" si="378"/>
        <v>0.13231753674607205</v>
      </c>
      <c r="AE392" s="73">
        <f t="shared" si="378"/>
        <v>-0.11118834132666111</v>
      </c>
      <c r="AF392" s="24">
        <f t="shared" si="378"/>
        <v>5.7478150290716901E-2</v>
      </c>
      <c r="AG392" s="73">
        <f t="shared" si="378"/>
        <v>0.26903553299492367</v>
      </c>
      <c r="AH392" s="73">
        <f t="shared" si="378"/>
        <v>0.16996514735403156</v>
      </c>
      <c r="AI392" s="73">
        <f t="shared" si="378"/>
        <v>-6.8541054692963232E-3</v>
      </c>
      <c r="AJ392" s="73">
        <f t="shared" ref="AJ392:AS392" si="379">AJ390/AE390-1</f>
        <v>-6.1571346645116765E-2</v>
      </c>
      <c r="AK392" s="24">
        <v>8.4368754887479414E-2</v>
      </c>
      <c r="AL392" s="73">
        <v>-0.16216216216216217</v>
      </c>
      <c r="AM392" s="73">
        <v>-0.22105263157894739</v>
      </c>
      <c r="AN392" s="73">
        <v>-2.8169014084507005E-2</v>
      </c>
      <c r="AO392" s="73">
        <v>0.33333333333333326</v>
      </c>
      <c r="AP392" s="24">
        <v>-3.5256410256410242E-2</v>
      </c>
      <c r="AQ392" s="73">
        <v>-0.20967741935483875</v>
      </c>
      <c r="AR392" s="73">
        <v>-6.7567567567567544E-2</v>
      </c>
      <c r="AS392" s="73">
        <v>-5.7971014492753659E-2</v>
      </c>
      <c r="AT392" s="73">
        <v>-0.10416666666666663</v>
      </c>
      <c r="AU392" s="24">
        <v>-0.10631229235880402</v>
      </c>
      <c r="AV392" s="73">
        <v>6.1224489795918435E-2</v>
      </c>
      <c r="AW392" s="73">
        <v>0</v>
      </c>
      <c r="AX392" s="73">
        <v>0.13846153846153841</v>
      </c>
      <c r="AY392" s="73">
        <v>-4.6511627906976716E-2</v>
      </c>
      <c r="AZ392" s="24">
        <v>2.9739776951672958E-2</v>
      </c>
    </row>
    <row r="393" spans="1:52" hidden="1">
      <c r="A393" s="69" t="s">
        <v>73</v>
      </c>
      <c r="B393" s="37">
        <f>90+41</f>
        <v>131</v>
      </c>
      <c r="C393" s="70">
        <v>27</v>
      </c>
      <c r="D393" s="70">
        <v>50</v>
      </c>
      <c r="E393" s="70">
        <v>14</v>
      </c>
      <c r="F393" s="70">
        <f>G393-E393-D393-C393</f>
        <v>29</v>
      </c>
      <c r="G393" s="37">
        <v>120</v>
      </c>
      <c r="H393" s="70">
        <v>20</v>
      </c>
      <c r="I393" s="70">
        <v>63</v>
      </c>
      <c r="J393" s="70">
        <v>29</v>
      </c>
      <c r="K393" s="70">
        <f>L393-J393-I393-H393</f>
        <v>38</v>
      </c>
      <c r="L393" s="37">
        <v>150</v>
      </c>
      <c r="M393" s="70">
        <v>20</v>
      </c>
      <c r="N393" s="70">
        <v>43</v>
      </c>
      <c r="O393" s="70">
        <v>29</v>
      </c>
      <c r="P393" s="70">
        <v>69</v>
      </c>
      <c r="Q393" s="37">
        <v>160</v>
      </c>
      <c r="R393" s="70">
        <v>49</v>
      </c>
      <c r="S393" s="70">
        <v>71</v>
      </c>
      <c r="T393" s="70">
        <v>85</v>
      </c>
      <c r="U393" s="70">
        <f>V393-T393-S393-R393</f>
        <v>80</v>
      </c>
      <c r="V393" s="37">
        <v>285</v>
      </c>
      <c r="W393" s="70">
        <v>81</v>
      </c>
      <c r="X393" s="70">
        <v>29</v>
      </c>
      <c r="Y393" s="70">
        <v>29</v>
      </c>
      <c r="Z393" s="70">
        <f>AA393-Y393-X393-W393</f>
        <v>30</v>
      </c>
      <c r="AA393" s="37">
        <v>169</v>
      </c>
      <c r="AB393" s="70">
        <v>26</v>
      </c>
      <c r="AC393" s="70">
        <v>39</v>
      </c>
      <c r="AD393" s="70">
        <v>16</v>
      </c>
      <c r="AE393" s="70">
        <v>25</v>
      </c>
      <c r="AF393" s="37">
        <f>AE393+AD393+AC393+AB393</f>
        <v>106</v>
      </c>
      <c r="AG393" s="70">
        <v>33</v>
      </c>
      <c r="AH393" s="70">
        <v>24</v>
      </c>
      <c r="AI393" s="70">
        <v>28</v>
      </c>
      <c r="AJ393" s="70">
        <f>AK393-AI393-AH393-AG393</f>
        <v>25</v>
      </c>
      <c r="AK393" s="37">
        <v>110</v>
      </c>
      <c r="AL393" s="70">
        <v>56</v>
      </c>
      <c r="AM393" s="70">
        <v>17</v>
      </c>
      <c r="AN393" s="70">
        <v>27</v>
      </c>
      <c r="AO393" s="70">
        <v>27</v>
      </c>
      <c r="AP393" s="37">
        <v>127</v>
      </c>
      <c r="AQ393" s="70">
        <v>45</v>
      </c>
      <c r="AR393" s="70">
        <v>35</v>
      </c>
      <c r="AS393" s="70">
        <v>20</v>
      </c>
      <c r="AT393" s="70"/>
      <c r="AU393" s="37"/>
      <c r="AV393" s="70">
        <v>45</v>
      </c>
      <c r="AW393" s="70">
        <v>45</v>
      </c>
      <c r="AX393" s="70">
        <v>45</v>
      </c>
      <c r="AY393" s="70"/>
      <c r="AZ393" s="37"/>
    </row>
    <row r="394" spans="1:52" hidden="1">
      <c r="A394" s="71" t="s">
        <v>7</v>
      </c>
      <c r="B394" s="24"/>
      <c r="C394" s="72"/>
      <c r="D394" s="72">
        <f>D393/C393-1</f>
        <v>0.85185185185185186</v>
      </c>
      <c r="E394" s="72">
        <f>E393/D393-1</f>
        <v>-0.72</v>
      </c>
      <c r="F394" s="72">
        <f>F393/E393-1</f>
        <v>1.0714285714285716</v>
      </c>
      <c r="G394" s="24"/>
      <c r="H394" s="72">
        <f>H393/F393-1</f>
        <v>-0.31034482758620685</v>
      </c>
      <c r="I394" s="72">
        <f>I393/H393-1</f>
        <v>2.15</v>
      </c>
      <c r="J394" s="72">
        <f>J393/I393-1</f>
        <v>-0.53968253968253976</v>
      </c>
      <c r="K394" s="72">
        <f>K393/J393-1</f>
        <v>0.31034482758620685</v>
      </c>
      <c r="L394" s="24"/>
      <c r="M394" s="72">
        <f>M393/K393-1</f>
        <v>-0.47368421052631582</v>
      </c>
      <c r="N394" s="72">
        <f>N393/M393-1</f>
        <v>1.1499999999999999</v>
      </c>
      <c r="O394" s="72">
        <f>O393/N393-1</f>
        <v>-0.32558139534883723</v>
      </c>
      <c r="P394" s="72">
        <f>P393/O393-1</f>
        <v>1.3793103448275863</v>
      </c>
      <c r="Q394" s="24"/>
      <c r="R394" s="72">
        <f>R393/P393-1</f>
        <v>-0.28985507246376807</v>
      </c>
      <c r="S394" s="72">
        <f>S393/R393-1</f>
        <v>0.44897959183673475</v>
      </c>
      <c r="T394" s="72">
        <f>T393/S393-1</f>
        <v>0.19718309859154926</v>
      </c>
      <c r="U394" s="72">
        <f>U393/T393-1</f>
        <v>-5.8823529411764719E-2</v>
      </c>
      <c r="V394" s="24"/>
      <c r="W394" s="72">
        <f>W393/U393-1</f>
        <v>1.2499999999999956E-2</v>
      </c>
      <c r="X394" s="72">
        <f>X393/W393-1</f>
        <v>-0.64197530864197527</v>
      </c>
      <c r="Y394" s="72">
        <f>Y393/X393-1</f>
        <v>0</v>
      </c>
      <c r="Z394" s="72">
        <v>3.4482758620689724E-2</v>
      </c>
      <c r="AA394" s="24"/>
      <c r="AB394" s="72">
        <f>AB393/Z393-1</f>
        <v>-0.1333333333333333</v>
      </c>
      <c r="AC394" s="72">
        <f>AC393/AB393-1</f>
        <v>0.5</v>
      </c>
      <c r="AD394" s="72">
        <f>AD393/AC393-1</f>
        <v>-0.58974358974358976</v>
      </c>
      <c r="AE394" s="72">
        <f>AE393/AD393-1</f>
        <v>0.5625</v>
      </c>
      <c r="AF394" s="24"/>
      <c r="AG394" s="72">
        <f>AG393/AE393-1</f>
        <v>0.32000000000000006</v>
      </c>
      <c r="AH394" s="72">
        <f>AH393/AG393-1</f>
        <v>-0.27272727272727271</v>
      </c>
      <c r="AI394" s="72">
        <f>AI393/AH393-1</f>
        <v>0.16666666666666674</v>
      </c>
      <c r="AJ394" s="72">
        <f>AJ393/AI393-1</f>
        <v>-0.1071428571428571</v>
      </c>
      <c r="AK394" s="24"/>
      <c r="AL394" s="72">
        <v>1.2400000000000002</v>
      </c>
      <c r="AM394" s="72">
        <v>-0.6964285714285714</v>
      </c>
      <c r="AN394" s="72">
        <v>0.58823529411764697</v>
      </c>
      <c r="AO394" s="72">
        <v>0</v>
      </c>
      <c r="AP394" s="24"/>
      <c r="AQ394" s="72">
        <v>0.66666666666666674</v>
      </c>
      <c r="AR394" s="72">
        <v>-0.22222222222222221</v>
      </c>
      <c r="AS394" s="72">
        <v>-0.4285714285714286</v>
      </c>
      <c r="AT394" s="72"/>
      <c r="AU394" s="24"/>
      <c r="AV394" s="72" t="e">
        <v>#DIV/0!</v>
      </c>
      <c r="AW394" s="72" t="e">
        <v>#DIV/0!</v>
      </c>
      <c r="AX394" s="72">
        <v>0</v>
      </c>
      <c r="AY394" s="72"/>
      <c r="AZ394" s="24"/>
    </row>
    <row r="395" spans="1:52" hidden="1">
      <c r="A395" s="71" t="s">
        <v>8</v>
      </c>
      <c r="B395" s="24"/>
      <c r="C395" s="73"/>
      <c r="D395" s="73"/>
      <c r="E395" s="73"/>
      <c r="F395" s="73"/>
      <c r="G395" s="24">
        <f t="shared" ref="G395:N395" si="380">G393/B393-1</f>
        <v>-8.3969465648854991E-2</v>
      </c>
      <c r="H395" s="73">
        <f t="shared" si="380"/>
        <v>-0.2592592592592593</v>
      </c>
      <c r="I395" s="73">
        <f t="shared" si="380"/>
        <v>0.26</v>
      </c>
      <c r="J395" s="73">
        <f t="shared" si="380"/>
        <v>1.0714285714285716</v>
      </c>
      <c r="K395" s="73">
        <f t="shared" si="380"/>
        <v>0.31034482758620685</v>
      </c>
      <c r="L395" s="24">
        <f t="shared" si="380"/>
        <v>0.25</v>
      </c>
      <c r="M395" s="73">
        <f t="shared" si="380"/>
        <v>0</v>
      </c>
      <c r="N395" s="73">
        <f t="shared" si="380"/>
        <v>-0.31746031746031744</v>
      </c>
      <c r="O395" s="73">
        <f t="shared" ref="O395:Y395" si="381">O393/J393-1</f>
        <v>0</v>
      </c>
      <c r="P395" s="73">
        <f t="shared" si="381"/>
        <v>0.81578947368421062</v>
      </c>
      <c r="Q395" s="24">
        <f t="shared" si="381"/>
        <v>6.6666666666666652E-2</v>
      </c>
      <c r="R395" s="73">
        <f t="shared" si="381"/>
        <v>1.4500000000000002</v>
      </c>
      <c r="S395" s="73">
        <f t="shared" si="381"/>
        <v>0.65116279069767447</v>
      </c>
      <c r="T395" s="73">
        <f t="shared" si="381"/>
        <v>1.9310344827586206</v>
      </c>
      <c r="U395" s="73">
        <f t="shared" si="381"/>
        <v>0.15942028985507251</v>
      </c>
      <c r="V395" s="24">
        <f t="shared" si="381"/>
        <v>0.78125</v>
      </c>
      <c r="W395" s="73">
        <f t="shared" si="381"/>
        <v>0.65306122448979598</v>
      </c>
      <c r="X395" s="73">
        <f t="shared" si="381"/>
        <v>-0.59154929577464788</v>
      </c>
      <c r="Y395" s="73">
        <f t="shared" si="381"/>
        <v>-0.6588235294117647</v>
      </c>
      <c r="Z395" s="73">
        <v>-0.625</v>
      </c>
      <c r="AA395" s="24">
        <f t="shared" ref="AA395:AI395" si="382">AA393/V393-1</f>
        <v>-0.40701754385964917</v>
      </c>
      <c r="AB395" s="73">
        <f t="shared" si="382"/>
        <v>-0.67901234567901236</v>
      </c>
      <c r="AC395" s="73">
        <f t="shared" si="382"/>
        <v>0.34482758620689657</v>
      </c>
      <c r="AD395" s="73">
        <f t="shared" si="382"/>
        <v>-0.44827586206896552</v>
      </c>
      <c r="AE395" s="73">
        <f t="shared" si="382"/>
        <v>-0.16666666666666663</v>
      </c>
      <c r="AF395" s="24">
        <f t="shared" si="382"/>
        <v>-0.37278106508875741</v>
      </c>
      <c r="AG395" s="73">
        <f t="shared" si="382"/>
        <v>0.26923076923076916</v>
      </c>
      <c r="AH395" s="73">
        <f t="shared" si="382"/>
        <v>-0.38461538461538458</v>
      </c>
      <c r="AI395" s="73">
        <f t="shared" si="382"/>
        <v>0.75</v>
      </c>
      <c r="AJ395" s="73">
        <f t="shared" ref="AJ395:AS395" si="383">AJ393/AE393-1</f>
        <v>0</v>
      </c>
      <c r="AK395" s="24">
        <v>3.7735849056603765E-2</v>
      </c>
      <c r="AL395" s="73">
        <v>0.69696969696969702</v>
      </c>
      <c r="AM395" s="73">
        <v>-0.29166666666666663</v>
      </c>
      <c r="AN395" s="73">
        <v>-3.5714285714285698E-2</v>
      </c>
      <c r="AO395" s="73">
        <v>8.0000000000000071E-2</v>
      </c>
      <c r="AP395" s="24">
        <v>0.15454545454545454</v>
      </c>
      <c r="AQ395" s="73">
        <v>-0.1964285714285714</v>
      </c>
      <c r="AR395" s="73">
        <v>1.0588235294117645</v>
      </c>
      <c r="AS395" s="73">
        <v>-0.2592592592592593</v>
      </c>
      <c r="AT395" s="73"/>
      <c r="AU395" s="24"/>
      <c r="AV395" s="73">
        <v>0</v>
      </c>
      <c r="AW395" s="73">
        <v>0.28571428571428581</v>
      </c>
      <c r="AX395" s="73">
        <v>1.25</v>
      </c>
      <c r="AY395" s="73"/>
      <c r="AZ395" s="24"/>
    </row>
    <row r="396" spans="1:52">
      <c r="A396" s="69" t="s">
        <v>72</v>
      </c>
      <c r="B396" s="37">
        <f>41.15+8.994+40.879+12.468</f>
        <v>103.491</v>
      </c>
      <c r="C396" s="70">
        <f>8.133+2.208+17.166</f>
        <v>27.506999999999998</v>
      </c>
      <c r="D396" s="70">
        <f>10.724+7.38+12.816</f>
        <v>30.92</v>
      </c>
      <c r="E396" s="70">
        <f>13.406+2.329+17.566</f>
        <v>33.301000000000002</v>
      </c>
      <c r="F396" s="70">
        <f>G396-E396-D396-C396</f>
        <v>26.93</v>
      </c>
      <c r="G396" s="37">
        <f>45.028+9.918+58.712+5</f>
        <v>118.658</v>
      </c>
      <c r="H396" s="70">
        <f>15.023+5.147+1.278</f>
        <v>21.448</v>
      </c>
      <c r="I396" s="70">
        <f>7.388+9.424+9.283</f>
        <v>26.094999999999999</v>
      </c>
      <c r="J396" s="70">
        <f>9.214+6.57+17.691</f>
        <v>33.475000000000001</v>
      </c>
      <c r="K396" s="70">
        <f>L396-J396-I396-H396</f>
        <v>38.912000000000013</v>
      </c>
      <c r="L396" s="37">
        <f>39.192+27.4+53.338</f>
        <v>119.93</v>
      </c>
      <c r="M396" s="70">
        <f>6.574+8.15+22.007</f>
        <v>36.731000000000002</v>
      </c>
      <c r="N396" s="70">
        <f>(29.638+15.235+24.624)-(6.574+8.15+22.007)</f>
        <v>32.765999999999998</v>
      </c>
      <c r="O396" s="70">
        <f>18.586+1.753+9.684</f>
        <v>30.022999999999996</v>
      </c>
      <c r="P396" s="70">
        <f>Q396-O396-N396-M396</f>
        <v>80.244000000000028</v>
      </c>
      <c r="Q396" s="37">
        <f>101.972+33.208+44.584</f>
        <v>179.76400000000001</v>
      </c>
      <c r="R396" s="70">
        <f>25.962+19.629+0.432</f>
        <v>46.023000000000003</v>
      </c>
      <c r="S396" s="70">
        <f>31.759+14.805+0.408</f>
        <v>46.972000000000001</v>
      </c>
      <c r="T396" s="70">
        <f>74.585+16.26+0.829</f>
        <v>91.673999999999992</v>
      </c>
      <c r="U396" s="70">
        <f>V396-T396-S396-R396</f>
        <v>103.74900000000002</v>
      </c>
      <c r="V396" s="37">
        <f>209.208+57.026+22.184</f>
        <v>288.41800000000001</v>
      </c>
      <c r="W396" s="70">
        <f>53.395+13.741+3.912</f>
        <v>71.048000000000002</v>
      </c>
      <c r="X396" s="70">
        <f>16.256+12.968+6.548</f>
        <v>35.771999999999998</v>
      </c>
      <c r="Y396" s="70">
        <f>15.176+11.446+3.054</f>
        <v>29.675999999999998</v>
      </c>
      <c r="Z396" s="70">
        <f>AA396-Y396-X396-W396</f>
        <v>38.865000000000009</v>
      </c>
      <c r="AA396" s="37">
        <f>113.803+54.321+7.237</f>
        <v>175.36099999999999</v>
      </c>
      <c r="AB396" s="70">
        <f>16.608+11.749+2.527</f>
        <v>30.884</v>
      </c>
      <c r="AC396" s="70">
        <f>15.364+9.196+3.058</f>
        <v>27.618000000000002</v>
      </c>
      <c r="AD396" s="70">
        <f>10.822+14.215</f>
        <v>25.036999999999999</v>
      </c>
      <c r="AE396" s="70">
        <f>AF396-AD396-AC396-AB396</f>
        <v>20.976000000000006</v>
      </c>
      <c r="AF396" s="37">
        <f>50.18+44.784+9.551</f>
        <v>104.515</v>
      </c>
      <c r="AG396" s="70">
        <f>14.362+9.277+7.122</f>
        <v>30.760999999999999</v>
      </c>
      <c r="AH396" s="70">
        <f>14.573+9.287</f>
        <v>23.86</v>
      </c>
      <c r="AI396" s="70">
        <f>10.98+9.355+7.009</f>
        <v>27.344000000000001</v>
      </c>
      <c r="AJ396" s="70">
        <f>AK396-AI396-AH396-AG396</f>
        <v>28.035000000000007</v>
      </c>
      <c r="AK396" s="37">
        <v>110</v>
      </c>
      <c r="AL396" s="70">
        <v>52.957000000000001</v>
      </c>
      <c r="AM396" s="70">
        <v>25.783999999999999</v>
      </c>
      <c r="AN396" s="70">
        <v>28.239000000000001</v>
      </c>
      <c r="AO396" s="70">
        <v>21.020000000000003</v>
      </c>
      <c r="AP396" s="37">
        <v>128</v>
      </c>
      <c r="AQ396" s="70">
        <v>37</v>
      </c>
      <c r="AR396" s="70">
        <v>33</v>
      </c>
      <c r="AS396" s="70">
        <v>24</v>
      </c>
      <c r="AT396" s="70">
        <v>26</v>
      </c>
      <c r="AU396" s="37">
        <v>120</v>
      </c>
      <c r="AV396" s="70">
        <v>29</v>
      </c>
      <c r="AW396" s="70">
        <v>46</v>
      </c>
      <c r="AX396" s="70">
        <v>31</v>
      </c>
      <c r="AY396" s="70">
        <v>36</v>
      </c>
      <c r="AZ396" s="37">
        <v>142</v>
      </c>
    </row>
    <row r="397" spans="1:52">
      <c r="A397" s="71" t="s">
        <v>7</v>
      </c>
      <c r="B397" s="24"/>
      <c r="C397" s="72"/>
      <c r="D397" s="72">
        <f>D396/C396-1</f>
        <v>0.12407750754353453</v>
      </c>
      <c r="E397" s="72">
        <f>E396/D396-1</f>
        <v>7.7005174644243279E-2</v>
      </c>
      <c r="F397" s="72">
        <f>F396/E396-1</f>
        <v>-0.19131557610882566</v>
      </c>
      <c r="G397" s="24"/>
      <c r="H397" s="72">
        <f>H396/F396-1</f>
        <v>-0.20356479762346824</v>
      </c>
      <c r="I397" s="72">
        <f>I396/H396-1</f>
        <v>0.21666355837374107</v>
      </c>
      <c r="J397" s="72">
        <f>J396/I396-1</f>
        <v>0.28281279938685588</v>
      </c>
      <c r="K397" s="72">
        <f>K396/J396-1</f>
        <v>0.16241971620612428</v>
      </c>
      <c r="L397" s="24"/>
      <c r="M397" s="72">
        <f>M396/K396-1</f>
        <v>-5.6049547697368696E-2</v>
      </c>
      <c r="N397" s="72">
        <f>N396/M396-1</f>
        <v>-0.1079469657782256</v>
      </c>
      <c r="O397" s="72">
        <f>O396/N396-1</f>
        <v>-8.3714826344381432E-2</v>
      </c>
      <c r="P397" s="72">
        <f>P396/O396-1</f>
        <v>1.6727508909835804</v>
      </c>
      <c r="Q397" s="24"/>
      <c r="R397" s="72">
        <f>R396/P396-1</f>
        <v>-0.42646179153581587</v>
      </c>
      <c r="S397" s="72">
        <f>S396/R396-1</f>
        <v>2.0620124720248434E-2</v>
      </c>
      <c r="T397" s="72">
        <f>T396/S396-1</f>
        <v>0.95167333730733183</v>
      </c>
      <c r="U397" s="72">
        <f>U396/T396-1</f>
        <v>0.13171673538844209</v>
      </c>
      <c r="V397" s="24"/>
      <c r="W397" s="72">
        <f>W396/U396-1</f>
        <v>-0.31519339945445268</v>
      </c>
      <c r="X397" s="72">
        <f>X396/W396-1</f>
        <v>-0.49650940209435879</v>
      </c>
      <c r="Y397" s="72">
        <f>Y396/X396-1</f>
        <v>-0.17041261321704126</v>
      </c>
      <c r="Z397" s="72">
        <v>0.30964415689446056</v>
      </c>
      <c r="AA397" s="24"/>
      <c r="AB397" s="72">
        <f>AB396/Z396-1</f>
        <v>-0.20535185899909958</v>
      </c>
      <c r="AC397" s="72">
        <f>AC396/AB396-1</f>
        <v>-0.10575055044683324</v>
      </c>
      <c r="AD397" s="72">
        <f>AD396/AC396-1</f>
        <v>-9.3453544789630083E-2</v>
      </c>
      <c r="AE397" s="72">
        <f>AE396/AD396-1</f>
        <v>-0.16219994408275729</v>
      </c>
      <c r="AF397" s="24"/>
      <c r="AG397" s="72">
        <f>AG396/AE396-1</f>
        <v>0.46648550724637627</v>
      </c>
      <c r="AH397" s="72">
        <f>AH396/AG396-1</f>
        <v>-0.22434251162185881</v>
      </c>
      <c r="AI397" s="72">
        <f>AI396/AH396-1</f>
        <v>0.14601844090528093</v>
      </c>
      <c r="AJ397" s="72">
        <f>AJ396/AI396-1</f>
        <v>2.5270626097133153E-2</v>
      </c>
      <c r="AK397" s="24"/>
      <c r="AL397" s="72">
        <v>0.88896022828607046</v>
      </c>
      <c r="AM397" s="72">
        <v>-0.51311441358082976</v>
      </c>
      <c r="AN397" s="72">
        <v>9.5214086255041908E-2</v>
      </c>
      <c r="AO397" s="72">
        <v>-0.25563936400014153</v>
      </c>
      <c r="AP397" s="24"/>
      <c r="AQ397" s="72">
        <v>0.76022835394862009</v>
      </c>
      <c r="AR397" s="72">
        <v>-0.10810810810810811</v>
      </c>
      <c r="AS397" s="72">
        <v>-0.27272727272727271</v>
      </c>
      <c r="AT397" s="72">
        <v>8.3333333333333259E-2</v>
      </c>
      <c r="AU397" s="24"/>
      <c r="AV397" s="72">
        <v>0.11538461538461542</v>
      </c>
      <c r="AW397" s="72">
        <v>0.5862068965517242</v>
      </c>
      <c r="AX397" s="72">
        <v>-0.32608695652173914</v>
      </c>
      <c r="AY397" s="72">
        <v>0.16129032258064524</v>
      </c>
      <c r="AZ397" s="24"/>
    </row>
    <row r="398" spans="1:52">
      <c r="A398" s="71" t="s">
        <v>8</v>
      </c>
      <c r="B398" s="24"/>
      <c r="C398" s="73"/>
      <c r="D398" s="73"/>
      <c r="E398" s="73"/>
      <c r="F398" s="73"/>
      <c r="G398" s="24">
        <f t="shared" ref="G398:N398" si="384">G396/B396-1</f>
        <v>0.14655380661120287</v>
      </c>
      <c r="H398" s="73">
        <f t="shared" si="384"/>
        <v>-0.2202712036936052</v>
      </c>
      <c r="I398" s="73">
        <f t="shared" si="384"/>
        <v>-0.15604786545924976</v>
      </c>
      <c r="J398" s="73">
        <f t="shared" si="384"/>
        <v>5.2250683162666789E-3</v>
      </c>
      <c r="K398" s="73">
        <f t="shared" si="384"/>
        <v>0.44493130337913156</v>
      </c>
      <c r="L398" s="24">
        <f t="shared" si="384"/>
        <v>1.0719884036474614E-2</v>
      </c>
      <c r="M398" s="73">
        <f t="shared" si="384"/>
        <v>0.71256061171204776</v>
      </c>
      <c r="N398" s="73">
        <f t="shared" si="384"/>
        <v>0.25564284345660093</v>
      </c>
      <c r="O398" s="73">
        <f t="shared" ref="O398:Y398" si="385">O396/J396-1</f>
        <v>-0.10312173263629587</v>
      </c>
      <c r="P398" s="73">
        <f t="shared" si="385"/>
        <v>1.0621916118421053</v>
      </c>
      <c r="Q398" s="24">
        <f t="shared" si="385"/>
        <v>0.49890769615609099</v>
      </c>
      <c r="R398" s="73">
        <f t="shared" si="385"/>
        <v>0.25297432686286792</v>
      </c>
      <c r="S398" s="73">
        <f t="shared" si="385"/>
        <v>0.43355917719587378</v>
      </c>
      <c r="T398" s="73">
        <f t="shared" si="385"/>
        <v>2.0534590147553544</v>
      </c>
      <c r="U398" s="73">
        <f t="shared" si="385"/>
        <v>0.29291909675489736</v>
      </c>
      <c r="V398" s="24">
        <f t="shared" si="385"/>
        <v>0.6044258027191205</v>
      </c>
      <c r="W398" s="73">
        <f t="shared" si="385"/>
        <v>0.5437498641983356</v>
      </c>
      <c r="X398" s="73">
        <f t="shared" si="385"/>
        <v>-0.23843992165545436</v>
      </c>
      <c r="Y398" s="73">
        <f t="shared" si="385"/>
        <v>-0.67628771516460495</v>
      </c>
      <c r="Z398" s="73">
        <v>-0.62539397970100918</v>
      </c>
      <c r="AA398" s="24">
        <f t="shared" ref="AA398:AI398" si="386">AA396/V396-1</f>
        <v>-0.39199009770541371</v>
      </c>
      <c r="AB398" s="73">
        <f t="shared" si="386"/>
        <v>-0.5653079608152235</v>
      </c>
      <c r="AC398" s="73">
        <f t="shared" si="386"/>
        <v>-0.22794364307279424</v>
      </c>
      <c r="AD398" s="73">
        <f t="shared" si="386"/>
        <v>-0.15632160668553707</v>
      </c>
      <c r="AE398" s="73">
        <f t="shared" si="386"/>
        <v>-0.46028560401389418</v>
      </c>
      <c r="AF398" s="24">
        <f t="shared" si="386"/>
        <v>-0.40400088959346714</v>
      </c>
      <c r="AG398" s="73">
        <f t="shared" si="386"/>
        <v>-3.9826447351379857E-3</v>
      </c>
      <c r="AH398" s="73">
        <f t="shared" si="386"/>
        <v>-0.13607067854297927</v>
      </c>
      <c r="AI398" s="73">
        <f t="shared" si="386"/>
        <v>9.2143627431401587E-2</v>
      </c>
      <c r="AJ398" s="73">
        <f t="shared" ref="AJ398:AS398" si="387">AJ396/AE396-1</f>
        <v>0.33652745995423339</v>
      </c>
      <c r="AK398" s="24">
        <v>5.2480505190642512E-2</v>
      </c>
      <c r="AL398" s="73">
        <v>0.7215630181073438</v>
      </c>
      <c r="AM398" s="73">
        <v>8.0637049455155152E-2</v>
      </c>
      <c r="AN398" s="73">
        <v>3.2731129315389129E-2</v>
      </c>
      <c r="AO398" s="73">
        <v>-0.25022293561619413</v>
      </c>
      <c r="AP398" s="24">
        <v>0.16363636363636358</v>
      </c>
      <c r="AQ398" s="73">
        <v>-0.30131993881828656</v>
      </c>
      <c r="AR398" s="73">
        <v>0.27986348122866889</v>
      </c>
      <c r="AS398" s="73">
        <v>-0.15011154785934344</v>
      </c>
      <c r="AT398" s="73">
        <v>0.23691722169362484</v>
      </c>
      <c r="AU398" s="24">
        <v>-6.25E-2</v>
      </c>
      <c r="AV398" s="73">
        <v>-0.21621621621621623</v>
      </c>
      <c r="AW398" s="73">
        <v>0.39393939393939403</v>
      </c>
      <c r="AX398" s="73">
        <v>0.29166666666666674</v>
      </c>
      <c r="AY398" s="73">
        <v>0.38461538461538458</v>
      </c>
      <c r="AZ398" s="24">
        <v>0.18333333333333335</v>
      </c>
    </row>
    <row r="399" spans="1:52" s="36" customFormat="1" ht="15.6">
      <c r="A399" s="69" t="s">
        <v>71</v>
      </c>
      <c r="B399" s="37">
        <f>B396-3.926</f>
        <v>99.564999999999998</v>
      </c>
      <c r="C399" s="70">
        <f>8.133+2.208+17.166</f>
        <v>27.506999999999998</v>
      </c>
      <c r="D399" s="70">
        <f>10.724+7.38+12.816</f>
        <v>30.92</v>
      </c>
      <c r="E399" s="70">
        <f>E396</f>
        <v>33.301000000000002</v>
      </c>
      <c r="F399" s="70">
        <f>G399-E399-D399-C399</f>
        <v>26.417999999999999</v>
      </c>
      <c r="G399" s="37">
        <f>G396-0.512</f>
        <v>118.146</v>
      </c>
      <c r="H399" s="70">
        <f>H396-0.107</f>
        <v>21.341000000000001</v>
      </c>
      <c r="I399" s="70">
        <f>I396-0.045</f>
        <v>26.049999999999997</v>
      </c>
      <c r="J399" s="70">
        <f>J396</f>
        <v>33.475000000000001</v>
      </c>
      <c r="K399" s="70">
        <f>L399-J399-I399-H399</f>
        <v>38.908000000000008</v>
      </c>
      <c r="L399" s="37">
        <f>L396-0.156</f>
        <v>119.774</v>
      </c>
      <c r="M399" s="70">
        <f>M396-0.021</f>
        <v>36.71</v>
      </c>
      <c r="N399" s="70">
        <f>N396</f>
        <v>32.765999999999998</v>
      </c>
      <c r="O399" s="70">
        <f>O396-0.101</f>
        <v>29.921999999999997</v>
      </c>
      <c r="P399" s="70">
        <f>Q399-O399-N399-M399</f>
        <v>80.232000000000028</v>
      </c>
      <c r="Q399" s="37">
        <f>Q396-0.134</f>
        <v>179.63000000000002</v>
      </c>
      <c r="R399" s="70">
        <f>R396-0.256</f>
        <v>45.767000000000003</v>
      </c>
      <c r="S399" s="70">
        <f>S396</f>
        <v>46.972000000000001</v>
      </c>
      <c r="T399" s="70">
        <f>T396-0.097</f>
        <v>91.576999999999998</v>
      </c>
      <c r="U399" s="70">
        <f>V399-T399-S399-R399</f>
        <v>103.32200000000003</v>
      </c>
      <c r="V399" s="37">
        <f>V396-0.78</f>
        <v>287.63800000000003</v>
      </c>
      <c r="W399" s="70">
        <f>W396-0.422</f>
        <v>70.626000000000005</v>
      </c>
      <c r="X399" s="70">
        <f>X396-0.121</f>
        <v>35.650999999999996</v>
      </c>
      <c r="Y399" s="70">
        <f>Y396-1.073</f>
        <v>28.602999999999998</v>
      </c>
      <c r="Z399" s="70">
        <f>AA399-Y399-X399-W399</f>
        <v>38.155999999999992</v>
      </c>
      <c r="AA399" s="37">
        <f>AA396-2.325</f>
        <v>173.036</v>
      </c>
      <c r="AB399" s="70">
        <f>AB396-0.173</f>
        <v>30.711000000000002</v>
      </c>
      <c r="AC399" s="70">
        <f>AC396-0.475</f>
        <v>27.143000000000001</v>
      </c>
      <c r="AD399" s="70">
        <f>AD396-3.627</f>
        <v>21.41</v>
      </c>
      <c r="AE399" s="70">
        <f>AF399-AD399-AC399-AB399</f>
        <v>17.895000000000007</v>
      </c>
      <c r="AF399" s="37">
        <f>AF396-7.356</f>
        <v>97.159000000000006</v>
      </c>
      <c r="AG399" s="70">
        <v>31</v>
      </c>
      <c r="AH399" s="70">
        <v>23</v>
      </c>
      <c r="AI399" s="70">
        <v>27</v>
      </c>
      <c r="AJ399" s="70">
        <f>AK399-AI399-AH399-AG399</f>
        <v>27</v>
      </c>
      <c r="AK399" s="37">
        <v>108</v>
      </c>
      <c r="AL399" s="70">
        <v>53</v>
      </c>
      <c r="AM399" s="70">
        <v>26</v>
      </c>
      <c r="AN399" s="70">
        <v>28</v>
      </c>
      <c r="AO399" s="70">
        <v>21</v>
      </c>
      <c r="AP399" s="37">
        <v>128</v>
      </c>
      <c r="AQ399" s="70">
        <v>37</v>
      </c>
      <c r="AR399" s="70">
        <v>33</v>
      </c>
      <c r="AS399" s="70">
        <v>24</v>
      </c>
      <c r="AT399" s="70">
        <v>25</v>
      </c>
      <c r="AU399" s="37">
        <v>119</v>
      </c>
      <c r="AV399" s="70">
        <v>29</v>
      </c>
      <c r="AW399" s="70">
        <v>46</v>
      </c>
      <c r="AX399" s="70">
        <v>29</v>
      </c>
      <c r="AY399" s="70">
        <v>35</v>
      </c>
      <c r="AZ399" s="37">
        <v>139</v>
      </c>
    </row>
    <row r="400" spans="1:52">
      <c r="A400" s="71" t="s">
        <v>7</v>
      </c>
      <c r="B400" s="24"/>
      <c r="C400" s="72"/>
      <c r="D400" s="72">
        <f>D399/C399-1</f>
        <v>0.12407750754353453</v>
      </c>
      <c r="E400" s="72">
        <f>E399/D399-1</f>
        <v>7.7005174644243279E-2</v>
      </c>
      <c r="F400" s="72">
        <f>F399/E399-1</f>
        <v>-0.20669048977508186</v>
      </c>
      <c r="G400" s="24"/>
      <c r="H400" s="72">
        <f>H399/F399-1</f>
        <v>-0.19217957453251566</v>
      </c>
      <c r="I400" s="72">
        <f>I399/H399-1</f>
        <v>0.22065507708167353</v>
      </c>
      <c r="J400" s="72">
        <f>J399/I399-1</f>
        <v>0.28502879078694843</v>
      </c>
      <c r="K400" s="72">
        <f>K399/J399-1</f>
        <v>0.16230022404779709</v>
      </c>
      <c r="L400" s="24"/>
      <c r="M400" s="72">
        <f>M399/K399-1</f>
        <v>-5.6492238100133818E-2</v>
      </c>
      <c r="N400" s="72">
        <f>N399/M399-1</f>
        <v>-0.10743666575864896</v>
      </c>
      <c r="O400" s="72">
        <f>O399/N399-1</f>
        <v>-8.6797289873649541E-2</v>
      </c>
      <c r="P400" s="72">
        <f>P399/O399-1</f>
        <v>1.6813715660717876</v>
      </c>
      <c r="Q400" s="24"/>
      <c r="R400" s="72">
        <f>R399/P399-1</f>
        <v>-0.4295667564064215</v>
      </c>
      <c r="S400" s="72">
        <f>S399/R399-1</f>
        <v>2.6329014355321423E-2</v>
      </c>
      <c r="T400" s="72">
        <f>T399/S399-1</f>
        <v>0.94960827727156594</v>
      </c>
      <c r="U400" s="72">
        <f>U399/T399-1</f>
        <v>0.12825272721316527</v>
      </c>
      <c r="V400" s="24"/>
      <c r="W400" s="72">
        <f>W399/U399-1</f>
        <v>-0.31644761038307445</v>
      </c>
      <c r="X400" s="72">
        <f>X399/W399-1</f>
        <v>-0.49521422705519225</v>
      </c>
      <c r="Y400" s="72">
        <f>Y399/X399-1</f>
        <v>-0.19769431432498386</v>
      </c>
      <c r="Z400" s="72">
        <v>0.33398594553018901</v>
      </c>
      <c r="AA400" s="24"/>
      <c r="AB400" s="72">
        <f>AB399/Z399-1</f>
        <v>-0.1951200335464931</v>
      </c>
      <c r="AC400" s="72">
        <f>AC399/AB399-1</f>
        <v>-0.11617987040474098</v>
      </c>
      <c r="AD400" s="72">
        <f>AD399/AC399-1</f>
        <v>-0.21121467781748515</v>
      </c>
      <c r="AE400" s="72">
        <f>AE399/AD399-1</f>
        <v>-0.16417561886968679</v>
      </c>
      <c r="AF400" s="24"/>
      <c r="AG400" s="72">
        <f>AG399/AE399-1</f>
        <v>0.73232746577256158</v>
      </c>
      <c r="AH400" s="72">
        <f>AH399/AG399-1</f>
        <v>-0.25806451612903225</v>
      </c>
      <c r="AI400" s="72">
        <f>AI399/AH399-1</f>
        <v>0.17391304347826098</v>
      </c>
      <c r="AJ400" s="72">
        <f>AJ399/AI399-1</f>
        <v>0</v>
      </c>
      <c r="AK400" s="24"/>
      <c r="AL400" s="72">
        <v>0.96296296296296302</v>
      </c>
      <c r="AM400" s="72">
        <v>-0.50943396226415094</v>
      </c>
      <c r="AN400" s="72">
        <v>7.6923076923076872E-2</v>
      </c>
      <c r="AO400" s="72">
        <v>-0.25</v>
      </c>
      <c r="AP400" s="24"/>
      <c r="AQ400" s="72">
        <v>0.76190476190476186</v>
      </c>
      <c r="AR400" s="72">
        <v>-0.10810810810810811</v>
      </c>
      <c r="AS400" s="72">
        <v>-0.27272727272727271</v>
      </c>
      <c r="AT400" s="72">
        <v>4.1666666666666741E-2</v>
      </c>
      <c r="AU400" s="24"/>
      <c r="AV400" s="72">
        <v>0.15999999999999992</v>
      </c>
      <c r="AW400" s="72">
        <v>0.5862068965517242</v>
      </c>
      <c r="AX400" s="72">
        <v>-0.36956521739130432</v>
      </c>
      <c r="AY400" s="72">
        <v>0.2068965517241379</v>
      </c>
      <c r="AZ400" s="24"/>
    </row>
    <row r="401" spans="1:52">
      <c r="A401" s="71" t="s">
        <v>8</v>
      </c>
      <c r="B401" s="24"/>
      <c r="C401" s="73"/>
      <c r="D401" s="73"/>
      <c r="E401" s="73"/>
      <c r="F401" s="73"/>
      <c r="G401" s="24">
        <f t="shared" ref="G401:N401" si="388">G399/B399-1</f>
        <v>0.18662180485110236</v>
      </c>
      <c r="H401" s="73">
        <f t="shared" si="388"/>
        <v>-0.2241611226233321</v>
      </c>
      <c r="I401" s="73">
        <f t="shared" si="388"/>
        <v>-0.15750323415265211</v>
      </c>
      <c r="J401" s="73">
        <f t="shared" si="388"/>
        <v>5.2250683162666789E-3</v>
      </c>
      <c r="K401" s="73">
        <f t="shared" si="388"/>
        <v>0.4727837080778261</v>
      </c>
      <c r="L401" s="24">
        <f t="shared" si="388"/>
        <v>1.3779560882298147E-2</v>
      </c>
      <c r="M401" s="73">
        <f t="shared" si="388"/>
        <v>0.7201630663980132</v>
      </c>
      <c r="N401" s="73">
        <f t="shared" si="388"/>
        <v>0.25781190019193856</v>
      </c>
      <c r="O401" s="73">
        <f t="shared" ref="O401:Y401" si="389">O399/J399-1</f>
        <v>-0.10613890963405537</v>
      </c>
      <c r="P401" s="73">
        <f t="shared" si="389"/>
        <v>1.0620951989308116</v>
      </c>
      <c r="Q401" s="24">
        <f t="shared" si="389"/>
        <v>0.49974117922086614</v>
      </c>
      <c r="R401" s="73">
        <f t="shared" si="389"/>
        <v>0.24671751566330702</v>
      </c>
      <c r="S401" s="73">
        <f t="shared" si="389"/>
        <v>0.43355917719587378</v>
      </c>
      <c r="T401" s="73">
        <f t="shared" si="389"/>
        <v>2.0605240291424374</v>
      </c>
      <c r="U401" s="73">
        <f t="shared" si="389"/>
        <v>0.28779040781732967</v>
      </c>
      <c r="V401" s="24">
        <f t="shared" si="389"/>
        <v>0.60128040973111396</v>
      </c>
      <c r="W401" s="73">
        <f t="shared" si="389"/>
        <v>0.54316428867961641</v>
      </c>
      <c r="X401" s="73">
        <f t="shared" si="389"/>
        <v>-0.24101592438048214</v>
      </c>
      <c r="Y401" s="73">
        <f t="shared" si="389"/>
        <v>-0.68766174912914813</v>
      </c>
      <c r="Z401" s="73">
        <v>-0.63070788409051337</v>
      </c>
      <c r="AA401" s="24">
        <f t="shared" ref="AA401:AI401" si="390">AA399/V399-1</f>
        <v>-0.39842440845785332</v>
      </c>
      <c r="AB401" s="73">
        <f t="shared" si="390"/>
        <v>-0.56516013932546083</v>
      </c>
      <c r="AC401" s="73">
        <f t="shared" si="390"/>
        <v>-0.23864688227539188</v>
      </c>
      <c r="AD401" s="73">
        <f t="shared" si="390"/>
        <v>-0.25147711778484771</v>
      </c>
      <c r="AE401" s="73">
        <f t="shared" si="390"/>
        <v>-0.53100429814445937</v>
      </c>
      <c r="AF401" s="24">
        <f t="shared" si="390"/>
        <v>-0.43850412630897617</v>
      </c>
      <c r="AG401" s="73">
        <f t="shared" si="390"/>
        <v>9.4103090098009989E-3</v>
      </c>
      <c r="AH401" s="73">
        <f t="shared" si="390"/>
        <v>-0.15263603875769072</v>
      </c>
      <c r="AI401" s="73">
        <f t="shared" si="390"/>
        <v>0.26109294722092469</v>
      </c>
      <c r="AJ401" s="73">
        <f t="shared" ref="AJ401:AS401" si="391">AJ399/AE399-1</f>
        <v>0.50880134115674713</v>
      </c>
      <c r="AK401" s="24">
        <v>0.11157998744326303</v>
      </c>
      <c r="AL401" s="73">
        <v>0.70967741935483875</v>
      </c>
      <c r="AM401" s="73">
        <v>0.13043478260869557</v>
      </c>
      <c r="AN401" s="73">
        <v>3.7037037037036979E-2</v>
      </c>
      <c r="AO401" s="73">
        <v>-0.22222222222222221</v>
      </c>
      <c r="AP401" s="24">
        <v>0.18518518518518512</v>
      </c>
      <c r="AQ401" s="73">
        <v>-0.30188679245283023</v>
      </c>
      <c r="AR401" s="73">
        <v>0.26923076923076916</v>
      </c>
      <c r="AS401" s="73">
        <v>-0.1428571428571429</v>
      </c>
      <c r="AT401" s="73">
        <v>0.19047619047619047</v>
      </c>
      <c r="AU401" s="24">
        <v>-7.03125E-2</v>
      </c>
      <c r="AV401" s="73">
        <v>-0.21621621621621623</v>
      </c>
      <c r="AW401" s="73">
        <v>0.39393939393939403</v>
      </c>
      <c r="AX401" s="73">
        <v>0.20833333333333326</v>
      </c>
      <c r="AY401" s="73">
        <v>0.39999999999999991</v>
      </c>
      <c r="AZ401" s="24">
        <v>0.16806722689075637</v>
      </c>
    </row>
    <row r="402" spans="1:52" s="36" customFormat="1">
      <c r="A402" s="69" t="s">
        <v>70</v>
      </c>
      <c r="B402" s="178">
        <f>B390-B399</f>
        <v>-6.8709999999999951</v>
      </c>
      <c r="C402" s="186">
        <f>C390-C399</f>
        <v>-19.988999999999997</v>
      </c>
      <c r="D402" s="186">
        <f>D390-D399</f>
        <v>20.009999999999998</v>
      </c>
      <c r="E402" s="186">
        <f>E390-E399</f>
        <v>-1.4210000000000029</v>
      </c>
      <c r="F402" s="186">
        <f>G402-E402-D402-C402</f>
        <v>46.7</v>
      </c>
      <c r="G402" s="37">
        <f>G390-G399</f>
        <v>45.3</v>
      </c>
      <c r="H402" s="70">
        <f>H390-H399</f>
        <v>62.167999999999999</v>
      </c>
      <c r="I402" s="70">
        <f>I390-I399</f>
        <v>56.638000000000005</v>
      </c>
      <c r="J402" s="70">
        <f>J390-J399</f>
        <v>47.985999999999997</v>
      </c>
      <c r="K402" s="70">
        <f>L402-J402-I402-H402</f>
        <v>33.001000000000012</v>
      </c>
      <c r="L402" s="37">
        <f>L390-L399</f>
        <v>199.79300000000001</v>
      </c>
      <c r="M402" s="70">
        <f>M390-M399</f>
        <v>22.769999999999996</v>
      </c>
      <c r="N402" s="70">
        <f>N390-N399</f>
        <v>33.091000000000001</v>
      </c>
      <c r="O402" s="70">
        <f>O390-O399</f>
        <v>44.709000000000003</v>
      </c>
      <c r="P402" s="70">
        <f>Q402-O402-N402-M402</f>
        <v>9.8759999999999977</v>
      </c>
      <c r="Q402" s="37">
        <f>Q390-Q399</f>
        <v>110.446</v>
      </c>
      <c r="R402" s="186">
        <f>R390-R399</f>
        <v>-3.7690000000000055</v>
      </c>
      <c r="S402" s="186">
        <f>S390-S399</f>
        <v>21.143999999999998</v>
      </c>
      <c r="T402" s="186">
        <f>T390-T399</f>
        <v>-34.127000000000002</v>
      </c>
      <c r="U402" s="186">
        <f>V402-(SUM(R402:T402))</f>
        <v>-27.394000000000005</v>
      </c>
      <c r="V402" s="178">
        <f>V390-V399</f>
        <v>-44.146000000000015</v>
      </c>
      <c r="W402" s="186">
        <f>W390-W399</f>
        <v>-12.209000000000003</v>
      </c>
      <c r="X402" s="186">
        <f>X390-X399</f>
        <v>28.560000000000002</v>
      </c>
      <c r="Y402" s="186">
        <f>Y390-Y399</f>
        <v>34.533000000000001</v>
      </c>
      <c r="Z402" s="186">
        <f>AA402-Y402-X402-W402</f>
        <v>48.165999999999954</v>
      </c>
      <c r="AA402" s="37">
        <f>AA390-AA399</f>
        <v>99.049999999999955</v>
      </c>
      <c r="AB402" s="70">
        <f>AB390-AB399</f>
        <v>27.601000000000003</v>
      </c>
      <c r="AC402" s="70">
        <f>AC390-AC399</f>
        <v>54.055999999999997</v>
      </c>
      <c r="AD402" s="70">
        <f>AD390-AD399</f>
        <v>50.08</v>
      </c>
      <c r="AE402" s="70">
        <f>AF402-AD402-AC402-AB402</f>
        <v>58.828999999999994</v>
      </c>
      <c r="AF402" s="37">
        <f>AF390-AF399</f>
        <v>190.56599999999997</v>
      </c>
      <c r="AG402" s="70">
        <f>AG390-AG399</f>
        <v>43</v>
      </c>
      <c r="AH402" s="70">
        <f>AH390-AH399</f>
        <v>72</v>
      </c>
      <c r="AI402" s="70">
        <f>AI390-AI399</f>
        <v>44</v>
      </c>
      <c r="AJ402" s="147">
        <f>AK402-AI402-AH402-AG402</f>
        <v>45</v>
      </c>
      <c r="AK402" s="37">
        <v>204</v>
      </c>
      <c r="AL402" s="70">
        <v>9</v>
      </c>
      <c r="AM402" s="70">
        <v>48</v>
      </c>
      <c r="AN402" s="70">
        <v>41</v>
      </c>
      <c r="AO402" s="70">
        <v>75</v>
      </c>
      <c r="AP402" s="37">
        <v>173</v>
      </c>
      <c r="AQ402" s="70">
        <v>12</v>
      </c>
      <c r="AR402" s="70">
        <v>36</v>
      </c>
      <c r="AS402" s="70">
        <v>41</v>
      </c>
      <c r="AT402" s="70">
        <v>61</v>
      </c>
      <c r="AU402" s="37">
        <v>150</v>
      </c>
      <c r="AV402" s="70">
        <v>23</v>
      </c>
      <c r="AW402" s="70">
        <v>23</v>
      </c>
      <c r="AX402" s="70">
        <v>45</v>
      </c>
      <c r="AY402" s="70">
        <v>47</v>
      </c>
      <c r="AZ402" s="37">
        <v>138</v>
      </c>
    </row>
    <row r="403" spans="1:52">
      <c r="A403" s="71" t="s">
        <v>7</v>
      </c>
      <c r="B403" s="24"/>
      <c r="C403" s="72"/>
      <c r="D403" s="85" t="s">
        <v>44</v>
      </c>
      <c r="E403" s="85" t="s">
        <v>44</v>
      </c>
      <c r="F403" s="85" t="s">
        <v>44</v>
      </c>
      <c r="G403" s="24"/>
      <c r="H403" s="72">
        <f>H402/F402-1</f>
        <v>0.33122055674518203</v>
      </c>
      <c r="I403" s="72">
        <f>I402/H402-1</f>
        <v>-8.8952515763736861E-2</v>
      </c>
      <c r="J403" s="72">
        <f>J402/I402-1</f>
        <v>-0.15275963134291481</v>
      </c>
      <c r="K403" s="72">
        <f>K402/J402-1</f>
        <v>-0.31227858125286512</v>
      </c>
      <c r="L403" s="24"/>
      <c r="M403" s="72">
        <f>M402/K402-1</f>
        <v>-0.31002090845731989</v>
      </c>
      <c r="N403" s="72">
        <f>N402/M402-1</f>
        <v>0.45327184892402306</v>
      </c>
      <c r="O403" s="72">
        <f>O402/N402-1</f>
        <v>0.35109244205373069</v>
      </c>
      <c r="P403" s="72">
        <f>P402/O402-1</f>
        <v>-0.77910487821244057</v>
      </c>
      <c r="Q403" s="24"/>
      <c r="R403" s="85" t="s">
        <v>44</v>
      </c>
      <c r="S403" s="85" t="s">
        <v>44</v>
      </c>
      <c r="T403" s="85" t="s">
        <v>44</v>
      </c>
      <c r="U403" s="72">
        <f>U402/T402-1</f>
        <v>-0.19729246637559694</v>
      </c>
      <c r="V403" s="24"/>
      <c r="W403" s="72">
        <f>W402/U402-1</f>
        <v>-0.55431846389720374</v>
      </c>
      <c r="X403" s="85" t="s">
        <v>44</v>
      </c>
      <c r="Y403" s="72">
        <f>Y402/X402-1</f>
        <v>0.2091386554621848</v>
      </c>
      <c r="Z403" s="72">
        <v>0.39478180291315423</v>
      </c>
      <c r="AA403" s="24"/>
      <c r="AB403" s="72">
        <f>AB402/Z402-1</f>
        <v>-0.42696092679483388</v>
      </c>
      <c r="AC403" s="72">
        <f>AC402/AB402-1</f>
        <v>0.9584797652258974</v>
      </c>
      <c r="AD403" s="72">
        <f>AD402/AC402-1</f>
        <v>-7.3553352079325118E-2</v>
      </c>
      <c r="AE403" s="72">
        <f>AE402/AD402-1</f>
        <v>0.17470047923322674</v>
      </c>
      <c r="AF403" s="24"/>
      <c r="AG403" s="72">
        <f>AG402/AE402-1</f>
        <v>-0.26906797667816884</v>
      </c>
      <c r="AH403" s="72">
        <f>AH402/AG402-1</f>
        <v>0.67441860465116288</v>
      </c>
      <c r="AI403" s="72">
        <f>AI402/AH402-1</f>
        <v>-0.38888888888888884</v>
      </c>
      <c r="AJ403" s="72">
        <f>AJ402/AI402-1</f>
        <v>2.2727272727272707E-2</v>
      </c>
      <c r="AK403" s="24"/>
      <c r="AL403" s="72">
        <v>-0.8</v>
      </c>
      <c r="AM403" s="72">
        <v>4.333333333333333</v>
      </c>
      <c r="AN403" s="72">
        <v>-0.14583333333333337</v>
      </c>
      <c r="AO403" s="72">
        <v>0.8292682926829269</v>
      </c>
      <c r="AP403" s="24"/>
      <c r="AQ403" s="72">
        <v>-0.84</v>
      </c>
      <c r="AR403" s="72">
        <v>2</v>
      </c>
      <c r="AS403" s="72">
        <v>0.13888888888888884</v>
      </c>
      <c r="AT403" s="72">
        <v>0.48780487804878048</v>
      </c>
      <c r="AU403" s="24"/>
      <c r="AV403" s="72">
        <v>-0.62295081967213117</v>
      </c>
      <c r="AW403" s="72">
        <v>0</v>
      </c>
      <c r="AX403" s="72">
        <v>0.95652173913043481</v>
      </c>
      <c r="AY403" s="72">
        <v>4.4444444444444509E-2</v>
      </c>
      <c r="AZ403" s="24"/>
    </row>
    <row r="404" spans="1:52">
      <c r="A404" s="71" t="s">
        <v>8</v>
      </c>
      <c r="B404" s="24"/>
      <c r="C404" s="73"/>
      <c r="D404" s="73"/>
      <c r="E404" s="73"/>
      <c r="F404" s="73"/>
      <c r="G404" s="92" t="s">
        <v>44</v>
      </c>
      <c r="H404" s="83" t="s">
        <v>49</v>
      </c>
      <c r="I404" s="73">
        <f t="shared" ref="I404:N404" si="392">I402/D402-1</f>
        <v>1.83048475762119</v>
      </c>
      <c r="J404" s="73">
        <f t="shared" si="392"/>
        <v>-34.769176636171636</v>
      </c>
      <c r="K404" s="73">
        <f t="shared" si="392"/>
        <v>-0.29334047109207684</v>
      </c>
      <c r="L404" s="24">
        <f t="shared" si="392"/>
        <v>3.4104415011037528</v>
      </c>
      <c r="M404" s="73">
        <f t="shared" si="392"/>
        <v>-0.63373439711748814</v>
      </c>
      <c r="N404" s="73">
        <f t="shared" si="392"/>
        <v>-0.4157456124863167</v>
      </c>
      <c r="O404" s="73">
        <f t="shared" ref="O404:X404" si="393">O402/J402-1</f>
        <v>-6.8290751469178401E-2</v>
      </c>
      <c r="P404" s="73">
        <f t="shared" si="393"/>
        <v>-0.70073634132299034</v>
      </c>
      <c r="Q404" s="24">
        <f t="shared" si="393"/>
        <v>-0.4471978497745166</v>
      </c>
      <c r="R404" s="85" t="s">
        <v>44</v>
      </c>
      <c r="S404" s="73">
        <f t="shared" si="393"/>
        <v>-0.36103472243208135</v>
      </c>
      <c r="T404" s="85" t="s">
        <v>44</v>
      </c>
      <c r="U404" s="85" t="s">
        <v>44</v>
      </c>
      <c r="V404" s="92" t="s">
        <v>44</v>
      </c>
      <c r="W404" s="73">
        <f t="shared" si="393"/>
        <v>2.2393207747413069</v>
      </c>
      <c r="X404" s="73">
        <f t="shared" si="393"/>
        <v>0.35073779795686733</v>
      </c>
      <c r="Y404" s="85" t="s">
        <v>44</v>
      </c>
      <c r="Z404" s="85" t="s">
        <v>44</v>
      </c>
      <c r="AA404" s="92" t="s">
        <v>44</v>
      </c>
      <c r="AB404" s="85" t="s">
        <v>44</v>
      </c>
      <c r="AC404" s="73">
        <f t="shared" ref="AC404:AI404" si="394">AC402/X402-1</f>
        <v>0.89271708683473361</v>
      </c>
      <c r="AD404" s="73">
        <f t="shared" si="394"/>
        <v>0.45020704833058223</v>
      </c>
      <c r="AE404" s="73">
        <f t="shared" si="394"/>
        <v>0.22138022671594171</v>
      </c>
      <c r="AF404" s="24">
        <f t="shared" si="394"/>
        <v>0.92393740535083357</v>
      </c>
      <c r="AG404" s="73">
        <f t="shared" si="394"/>
        <v>0.55791456831274222</v>
      </c>
      <c r="AH404" s="73">
        <f t="shared" si="394"/>
        <v>0.33195204972620984</v>
      </c>
      <c r="AI404" s="73">
        <f t="shared" si="394"/>
        <v>-0.12140575079872207</v>
      </c>
      <c r="AJ404" s="73">
        <f t="shared" ref="AJ404:AS404" si="395">AJ402/AE402-1</f>
        <v>-0.23507113838413018</v>
      </c>
      <c r="AK404" s="24">
        <v>7.0495261484210259E-2</v>
      </c>
      <c r="AL404" s="73">
        <v>-0.79069767441860461</v>
      </c>
      <c r="AM404" s="73">
        <v>-0.33333333333333337</v>
      </c>
      <c r="AN404" s="73">
        <v>-6.8181818181818232E-2</v>
      </c>
      <c r="AO404" s="73">
        <v>0.66666666666666674</v>
      </c>
      <c r="AP404" s="24">
        <v>-0.15196078431372551</v>
      </c>
      <c r="AQ404" s="73">
        <v>0.33333333333333326</v>
      </c>
      <c r="AR404" s="73">
        <v>-0.25</v>
      </c>
      <c r="AS404" s="73">
        <v>0</v>
      </c>
      <c r="AT404" s="73">
        <v>-0.18666666666666665</v>
      </c>
      <c r="AU404" s="24">
        <v>-0.13294797687861271</v>
      </c>
      <c r="AV404" s="73">
        <v>0.91666666666666674</v>
      </c>
      <c r="AW404" s="73">
        <v>-0.36111111111111116</v>
      </c>
      <c r="AX404" s="73">
        <v>9.7560975609756184E-2</v>
      </c>
      <c r="AY404" s="73">
        <v>-0.22950819672131151</v>
      </c>
      <c r="AZ404" s="24">
        <v>-7.999999999999996E-2</v>
      </c>
    </row>
    <row r="405" spans="1:52" ht="11.25" customHeight="1">
      <c r="A405" s="50" t="s">
        <v>20</v>
      </c>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row>
    <row r="406" spans="1:52" s="36" customFormat="1">
      <c r="A406" s="36" t="s">
        <v>111</v>
      </c>
      <c r="B406" s="56">
        <f>B363/B346</f>
        <v>0.34135635839502676</v>
      </c>
      <c r="C406" s="80" t="s">
        <v>53</v>
      </c>
      <c r="D406" s="80" t="s">
        <v>53</v>
      </c>
      <c r="E406" s="80" t="s">
        <v>53</v>
      </c>
      <c r="F406" s="80" t="s">
        <v>53</v>
      </c>
      <c r="G406" s="56">
        <f t="shared" ref="G406:AS406" si="396">G363/G346</f>
        <v>0.40282467400685723</v>
      </c>
      <c r="H406" s="56">
        <f t="shared" si="396"/>
        <v>0.3852198835095072</v>
      </c>
      <c r="I406" s="56">
        <f t="shared" si="396"/>
        <v>0.41932827894818997</v>
      </c>
      <c r="J406" s="56">
        <f t="shared" si="396"/>
        <v>0.41204990315323448</v>
      </c>
      <c r="K406" s="56">
        <f t="shared" si="396"/>
        <v>0.42517388713729226</v>
      </c>
      <c r="L406" s="56">
        <f t="shared" si="396"/>
        <v>0.41057383195159936</v>
      </c>
      <c r="M406" s="56">
        <f t="shared" si="396"/>
        <v>0.38761949172301235</v>
      </c>
      <c r="N406" s="56">
        <f t="shared" si="396"/>
        <v>0.4147058823529412</v>
      </c>
      <c r="O406" s="56">
        <f t="shared" si="396"/>
        <v>0.40014163286573373</v>
      </c>
      <c r="P406" s="56">
        <f t="shared" si="396"/>
        <v>0.41431885979449773</v>
      </c>
      <c r="Q406" s="56">
        <f t="shared" si="396"/>
        <v>0.40421045311412279</v>
      </c>
      <c r="R406" s="78">
        <f t="shared" si="396"/>
        <v>0.41286311462719372</v>
      </c>
      <c r="S406" s="78">
        <f t="shared" si="396"/>
        <v>0.41811930538050363</v>
      </c>
      <c r="T406" s="78">
        <f t="shared" si="396"/>
        <v>0.40492987869213354</v>
      </c>
      <c r="U406" s="78">
        <f t="shared" si="396"/>
        <v>0.43685278354384338</v>
      </c>
      <c r="V406" s="56">
        <f t="shared" si="396"/>
        <v>0.41814359021337139</v>
      </c>
      <c r="W406" s="78">
        <f t="shared" si="396"/>
        <v>0.39376079850220641</v>
      </c>
      <c r="X406" s="78">
        <f t="shared" si="396"/>
        <v>0.40929803870443526</v>
      </c>
      <c r="Y406" s="78">
        <f t="shared" si="396"/>
        <v>0.41089161551776088</v>
      </c>
      <c r="Z406" s="78">
        <f t="shared" si="396"/>
        <v>0.41085924337570812</v>
      </c>
      <c r="AA406" s="56">
        <f t="shared" si="396"/>
        <v>0.40624438015486708</v>
      </c>
      <c r="AB406" s="78">
        <f t="shared" si="396"/>
        <v>0.39832337893835218</v>
      </c>
      <c r="AC406" s="78">
        <f t="shared" si="396"/>
        <v>0.39094451753896925</v>
      </c>
      <c r="AD406" s="78">
        <f t="shared" si="396"/>
        <v>0.38239661424154114</v>
      </c>
      <c r="AE406" s="78">
        <f t="shared" si="396"/>
        <v>0.375655135202553</v>
      </c>
      <c r="AF406" s="56">
        <f t="shared" si="396"/>
        <v>0.38664299209707692</v>
      </c>
      <c r="AG406" s="78">
        <f t="shared" si="396"/>
        <v>0.38591549295774646</v>
      </c>
      <c r="AH406" s="78">
        <f t="shared" si="396"/>
        <v>0.37534246575342467</v>
      </c>
      <c r="AI406" s="78">
        <f t="shared" si="396"/>
        <v>0.36103896103896105</v>
      </c>
      <c r="AJ406" s="78">
        <f t="shared" si="396"/>
        <v>0.35087719298245612</v>
      </c>
      <c r="AK406" s="56">
        <v>0.36768617021276595</v>
      </c>
      <c r="AL406" s="78">
        <v>0.361323155216285</v>
      </c>
      <c r="AM406" s="78">
        <v>0.36061381074168797</v>
      </c>
      <c r="AN406" s="78">
        <v>0.35475578406169667</v>
      </c>
      <c r="AO406" s="78">
        <v>0.35061728395061731</v>
      </c>
      <c r="AP406" s="56">
        <v>0.35678073510773128</v>
      </c>
      <c r="AQ406" s="78">
        <v>0.3468354430379747</v>
      </c>
      <c r="AR406" s="78">
        <v>0.34748010610079577</v>
      </c>
      <c r="AS406" s="78">
        <v>0.33333333333333331</v>
      </c>
      <c r="AT406" s="78">
        <v>0.34948979591836737</v>
      </c>
      <c r="AU406" s="56">
        <v>0.34431524547803616</v>
      </c>
      <c r="AV406" s="78">
        <v>0.328125</v>
      </c>
      <c r="AW406" s="78">
        <v>0.29238329238329236</v>
      </c>
      <c r="AX406" s="78">
        <v>0.31062670299727518</v>
      </c>
      <c r="AY406" s="78">
        <v>0.31662269129287601</v>
      </c>
      <c r="AZ406" s="56">
        <v>0.31164606376057252</v>
      </c>
    </row>
    <row r="407" spans="1:52" s="36" customFormat="1" ht="11.25" customHeight="1">
      <c r="A407" s="69" t="s">
        <v>31</v>
      </c>
      <c r="B407" s="56">
        <f t="shared" ref="B407:Y407" si="397">B379/B346</f>
        <v>0.15616554786161335</v>
      </c>
      <c r="C407" s="78">
        <f t="shared" si="397"/>
        <v>0.17457789104810451</v>
      </c>
      <c r="D407" s="78">
        <f t="shared" si="397"/>
        <v>0.19199160370468116</v>
      </c>
      <c r="E407" s="78">
        <f t="shared" si="397"/>
        <v>0.17971432307584698</v>
      </c>
      <c r="F407" s="78">
        <f t="shared" si="397"/>
        <v>0.19294874076183022</v>
      </c>
      <c r="G407" s="56">
        <f t="shared" si="397"/>
        <v>0.18496085478476831</v>
      </c>
      <c r="H407" s="78">
        <f t="shared" si="397"/>
        <v>0.18538938025825139</v>
      </c>
      <c r="I407" s="78">
        <f t="shared" si="397"/>
        <v>0.2068971849911084</v>
      </c>
      <c r="J407" s="78">
        <f t="shared" si="397"/>
        <v>0.19960358994718541</v>
      </c>
      <c r="K407" s="78">
        <f t="shared" si="397"/>
        <v>0.1996939945685533</v>
      </c>
      <c r="L407" s="56">
        <f t="shared" si="397"/>
        <v>0.19793453282617476</v>
      </c>
      <c r="M407" s="78">
        <f t="shared" si="397"/>
        <v>0.17936581953835393</v>
      </c>
      <c r="N407" s="78">
        <f t="shared" si="397"/>
        <v>0.36380882352941174</v>
      </c>
      <c r="O407" s="78">
        <f t="shared" si="397"/>
        <v>0.20019172253776157</v>
      </c>
      <c r="P407" s="78">
        <f t="shared" si="397"/>
        <v>0.18587201261815234</v>
      </c>
      <c r="Q407" s="56">
        <f t="shared" si="397"/>
        <v>0.23168285560921686</v>
      </c>
      <c r="R407" s="78">
        <f t="shared" si="397"/>
        <v>0.18473802924649446</v>
      </c>
      <c r="S407" s="78">
        <f t="shared" si="397"/>
        <v>0.18144873827235511</v>
      </c>
      <c r="T407" s="78">
        <f t="shared" si="397"/>
        <v>0.17499244321001031</v>
      </c>
      <c r="U407" s="78">
        <f t="shared" si="397"/>
        <v>0.17179162415414739</v>
      </c>
      <c r="V407" s="56">
        <f t="shared" si="397"/>
        <v>0.17814320605318254</v>
      </c>
      <c r="W407" s="78">
        <f t="shared" si="397"/>
        <v>0.14922852791205882</v>
      </c>
      <c r="X407" s="78">
        <f t="shared" si="397"/>
        <v>0.16056913650241181</v>
      </c>
      <c r="Y407" s="78">
        <f t="shared" si="397"/>
        <v>0.16216319996219217</v>
      </c>
      <c r="Z407" s="78">
        <v>0.18149793230203701</v>
      </c>
      <c r="AA407" s="56">
        <f t="shared" ref="AA407:AS407" si="398">AA379/AA346</f>
        <v>0.16346259319149001</v>
      </c>
      <c r="AB407" s="78">
        <f t="shared" si="398"/>
        <v>0.16190071069750211</v>
      </c>
      <c r="AC407" s="78">
        <f t="shared" si="398"/>
        <v>0.16787737216510937</v>
      </c>
      <c r="AD407" s="78">
        <f t="shared" si="398"/>
        <v>0.15261773407781459</v>
      </c>
      <c r="AE407" s="78">
        <f t="shared" si="398"/>
        <v>0.15294576985334196</v>
      </c>
      <c r="AF407" s="56">
        <f t="shared" si="398"/>
        <v>0.15876199868645224</v>
      </c>
      <c r="AG407" s="78">
        <f t="shared" si="398"/>
        <v>0.16338028169014085</v>
      </c>
      <c r="AH407" s="78">
        <f t="shared" si="398"/>
        <v>0.15890410958904111</v>
      </c>
      <c r="AI407" s="78">
        <f t="shared" si="398"/>
        <v>0.15324675324675324</v>
      </c>
      <c r="AJ407" s="78">
        <f t="shared" si="398"/>
        <v>0.14285714285714285</v>
      </c>
      <c r="AK407" s="56">
        <v>0.15425531914893617</v>
      </c>
      <c r="AL407" s="78">
        <v>0.15521628498727735</v>
      </c>
      <c r="AM407" s="78">
        <v>0.15856777493606139</v>
      </c>
      <c r="AN407" s="78">
        <v>0.15167095115681234</v>
      </c>
      <c r="AO407" s="78">
        <v>0.14320987654320988</v>
      </c>
      <c r="AP407" s="56">
        <v>0.15209125475285171</v>
      </c>
      <c r="AQ407" s="78">
        <v>9.3670886075949367E-2</v>
      </c>
      <c r="AR407" s="78">
        <v>0.12466843501326259</v>
      </c>
      <c r="AS407" s="78">
        <v>0.1171875</v>
      </c>
      <c r="AT407" s="78">
        <v>0.11989795918367346</v>
      </c>
      <c r="AU407" s="56">
        <v>0.11369509043927649</v>
      </c>
      <c r="AV407" s="78">
        <v>0.12760416666666666</v>
      </c>
      <c r="AW407" s="78">
        <v>0.11056511056511056</v>
      </c>
      <c r="AX407" s="78">
        <v>0.10626702997275204</v>
      </c>
      <c r="AY407" s="78">
        <v>0.10817941952506596</v>
      </c>
      <c r="AZ407" s="56">
        <v>0.11320754716981132</v>
      </c>
    </row>
    <row r="408" spans="1:52" s="36" customFormat="1" ht="10.5" customHeight="1">
      <c r="A408" s="69" t="s">
        <v>39</v>
      </c>
      <c r="B408" s="56">
        <f t="shared" ref="B408:Y408" si="399">B382/B346</f>
        <v>0.1173805617114764</v>
      </c>
      <c r="C408" s="78">
        <f t="shared" si="399"/>
        <v>0.13220770946161198</v>
      </c>
      <c r="D408" s="78">
        <f t="shared" si="399"/>
        <v>0.14440645925525841</v>
      </c>
      <c r="E408" s="78">
        <f t="shared" si="399"/>
        <v>0.13382476819540617</v>
      </c>
      <c r="F408" s="78">
        <f t="shared" si="399"/>
        <v>0.13579071615834487</v>
      </c>
      <c r="G408" s="56">
        <f t="shared" si="399"/>
        <v>0.13658436841149996</v>
      </c>
      <c r="H408" s="78">
        <f t="shared" si="399"/>
        <v>0.13587167555240531</v>
      </c>
      <c r="I408" s="78">
        <f t="shared" si="399"/>
        <v>0.17077373719441832</v>
      </c>
      <c r="J408" s="78">
        <f t="shared" si="399"/>
        <v>0.15248553313843674</v>
      </c>
      <c r="K408" s="78">
        <f t="shared" si="399"/>
        <v>0.14796650108838524</v>
      </c>
      <c r="L408" s="56">
        <f t="shared" si="399"/>
        <v>0.15178330201537871</v>
      </c>
      <c r="M408" s="78">
        <f t="shared" si="399"/>
        <v>0.13543075308929819</v>
      </c>
      <c r="N408" s="78">
        <f t="shared" si="399"/>
        <v>0.31830294117647057</v>
      </c>
      <c r="O408" s="78">
        <f t="shared" si="399"/>
        <v>0.15378968670925247</v>
      </c>
      <c r="P408" s="78">
        <f t="shared" si="399"/>
        <v>0.13102762506714821</v>
      </c>
      <c r="Q408" s="56">
        <f t="shared" si="399"/>
        <v>0.1839744318778618</v>
      </c>
      <c r="R408" s="78">
        <f t="shared" si="399"/>
        <v>0.13953558971120833</v>
      </c>
      <c r="S408" s="78">
        <f t="shared" si="399"/>
        <v>0.13941421184510938</v>
      </c>
      <c r="T408" s="78">
        <f t="shared" si="399"/>
        <v>0.13094348661735267</v>
      </c>
      <c r="U408" s="78">
        <f t="shared" si="399"/>
        <v>0.1289800513668507</v>
      </c>
      <c r="V408" s="56">
        <f t="shared" si="399"/>
        <v>0.1346200729608851</v>
      </c>
      <c r="W408" s="78">
        <f t="shared" si="399"/>
        <v>0.10777431958148467</v>
      </c>
      <c r="X408" s="78">
        <f t="shared" si="399"/>
        <v>0.11785661228561119</v>
      </c>
      <c r="Y408" s="78">
        <f t="shared" si="399"/>
        <v>0.11900612605374623</v>
      </c>
      <c r="Z408" s="78">
        <v>0.13145492889711002</v>
      </c>
      <c r="AA408" s="56">
        <f t="shared" ref="AA408:AS408" si="400">AA382/AA346</f>
        <v>0.11909258669205749</v>
      </c>
      <c r="AB408" s="78">
        <f t="shared" si="400"/>
        <v>0.10847396809963654</v>
      </c>
      <c r="AC408" s="78">
        <f t="shared" si="400"/>
        <v>0.12140412104453313</v>
      </c>
      <c r="AD408" s="78">
        <f t="shared" si="400"/>
        <v>0.10780426222943963</v>
      </c>
      <c r="AE408" s="78">
        <f t="shared" si="400"/>
        <v>0.10405702557094716</v>
      </c>
      <c r="AF408" s="56">
        <f t="shared" si="400"/>
        <v>0.11040641111811392</v>
      </c>
      <c r="AG408" s="78">
        <f t="shared" si="400"/>
        <v>0.11830985915492957</v>
      </c>
      <c r="AH408" s="78">
        <f t="shared" si="400"/>
        <v>0.11232876712328767</v>
      </c>
      <c r="AI408" s="78">
        <f t="shared" si="400"/>
        <v>0.10909090909090909</v>
      </c>
      <c r="AJ408" s="78">
        <f t="shared" si="400"/>
        <v>0.10025062656641603</v>
      </c>
      <c r="AK408" s="56">
        <v>0.10970744680851063</v>
      </c>
      <c r="AL408" s="78">
        <v>0.11195928753180662</v>
      </c>
      <c r="AM408" s="78">
        <v>0.11508951406649616</v>
      </c>
      <c r="AN408" s="78">
        <v>0.10539845758354756</v>
      </c>
      <c r="AO408" s="78">
        <v>0.1037037037037037</v>
      </c>
      <c r="AP408" s="56">
        <v>0.10899873257287707</v>
      </c>
      <c r="AQ408" s="78">
        <v>6.5822784810126586E-2</v>
      </c>
      <c r="AR408" s="78">
        <v>8.7533156498673742E-2</v>
      </c>
      <c r="AS408" s="78">
        <v>8.59375E-2</v>
      </c>
      <c r="AT408" s="78">
        <v>8.4183673469387751E-2</v>
      </c>
      <c r="AU408" s="56">
        <v>8.0749354005167959E-2</v>
      </c>
      <c r="AV408" s="78">
        <v>9.375E-2</v>
      </c>
      <c r="AW408" s="78">
        <v>8.1081081081081086E-2</v>
      </c>
      <c r="AX408" s="78">
        <v>7.3569482288828342E-2</v>
      </c>
      <c r="AY408" s="78">
        <v>8.1794195250659632E-2</v>
      </c>
      <c r="AZ408" s="56">
        <v>8.2628497072218601E-2</v>
      </c>
    </row>
    <row r="409" spans="1:52" s="36" customFormat="1" ht="10.5" customHeight="1">
      <c r="A409" s="69" t="s">
        <v>10</v>
      </c>
      <c r="B409" s="56">
        <f t="shared" ref="B409:Y409" si="401">B385/B346</f>
        <v>0.22259349520528557</v>
      </c>
      <c r="C409" s="78">
        <f t="shared" si="401"/>
        <v>0.23829244982478498</v>
      </c>
      <c r="D409" s="78">
        <f t="shared" si="401"/>
        <v>0.25434084785397315</v>
      </c>
      <c r="E409" s="78">
        <f t="shared" si="401"/>
        <v>0.24024352786976974</v>
      </c>
      <c r="F409" s="78">
        <f t="shared" si="401"/>
        <v>0.25185059966546863</v>
      </c>
      <c r="G409" s="56">
        <f t="shared" si="401"/>
        <v>0.24628976266274769</v>
      </c>
      <c r="H409" s="78">
        <f t="shared" si="401"/>
        <v>0.2458350026194952</v>
      </c>
      <c r="I409" s="78">
        <f t="shared" si="401"/>
        <v>0.27017596483764039</v>
      </c>
      <c r="J409" s="78">
        <f t="shared" si="401"/>
        <v>0.26396758941783666</v>
      </c>
      <c r="K409" s="78">
        <f t="shared" si="401"/>
        <v>0.26720082878966184</v>
      </c>
      <c r="L409" s="56">
        <f t="shared" si="401"/>
        <v>0.26186110613599184</v>
      </c>
      <c r="M409" s="78">
        <f t="shared" si="401"/>
        <v>0.24519993005362553</v>
      </c>
      <c r="N409" s="78">
        <f t="shared" si="401"/>
        <v>0.43145588235294113</v>
      </c>
      <c r="O409" s="78">
        <f t="shared" si="401"/>
        <v>0.26789914127878356</v>
      </c>
      <c r="P409" s="78">
        <f t="shared" si="401"/>
        <v>0.25716343021727445</v>
      </c>
      <c r="Q409" s="56">
        <f t="shared" si="401"/>
        <v>0.29998645387908024</v>
      </c>
      <c r="R409" s="78">
        <f t="shared" si="401"/>
        <v>0.25840373762549068</v>
      </c>
      <c r="S409" s="78">
        <f t="shared" si="401"/>
        <v>0.2608703499267539</v>
      </c>
      <c r="T409" s="78">
        <f t="shared" si="401"/>
        <v>0.25476077769349659</v>
      </c>
      <c r="U409" s="78">
        <f t="shared" si="401"/>
        <v>0.26046394351991908</v>
      </c>
      <c r="V409" s="56">
        <f t="shared" si="401"/>
        <v>0.25858487206726938</v>
      </c>
      <c r="W409" s="78">
        <f t="shared" si="401"/>
        <v>0.25264130611458602</v>
      </c>
      <c r="X409" s="78">
        <f t="shared" si="401"/>
        <v>0.26499167760654629</v>
      </c>
      <c r="Y409" s="78">
        <f t="shared" si="401"/>
        <v>0.26407604104515087</v>
      </c>
      <c r="Z409" s="78">
        <v>0.27891242621676071</v>
      </c>
      <c r="AA409" s="56">
        <f t="shared" ref="AA409:AS409" si="402">AA385/AA346</f>
        <v>0.26522534972692685</v>
      </c>
      <c r="AB409" s="78">
        <f t="shared" si="402"/>
        <v>0.25245098039215685</v>
      </c>
      <c r="AC409" s="78">
        <f t="shared" si="402"/>
        <v>0.25856042191646411</v>
      </c>
      <c r="AD409" s="78">
        <f t="shared" si="402"/>
        <v>0.24424120748337153</v>
      </c>
      <c r="AE409" s="78">
        <f t="shared" si="402"/>
        <v>0.24032243633021239</v>
      </c>
      <c r="AF409" s="56">
        <f t="shared" si="402"/>
        <v>0.248797950251298</v>
      </c>
      <c r="AG409" s="78">
        <f t="shared" si="402"/>
        <v>0.25352112676056338</v>
      </c>
      <c r="AH409" s="78">
        <f t="shared" si="402"/>
        <v>0.24657534246575341</v>
      </c>
      <c r="AI409" s="78">
        <f t="shared" si="402"/>
        <v>0.23636363636363636</v>
      </c>
      <c r="AJ409" s="78">
        <f t="shared" si="402"/>
        <v>0.22807017543859648</v>
      </c>
      <c r="AK409" s="56">
        <v>0.24069148936170212</v>
      </c>
      <c r="AL409" s="78">
        <v>0.23664122137404581</v>
      </c>
      <c r="AM409" s="78">
        <v>0.24040920716112532</v>
      </c>
      <c r="AN409" s="78">
        <v>0.23650385604113111</v>
      </c>
      <c r="AO409" s="78">
        <v>0.22962962962962963</v>
      </c>
      <c r="AP409" s="56">
        <v>0.23574144486692014</v>
      </c>
      <c r="AQ409" s="78">
        <v>0.17721518987341772</v>
      </c>
      <c r="AR409" s="78">
        <v>0.21750663129973474</v>
      </c>
      <c r="AS409" s="78">
        <v>0.20833333333333334</v>
      </c>
      <c r="AT409" s="78">
        <v>0.2066326530612245</v>
      </c>
      <c r="AU409" s="56">
        <v>0.20219638242894056</v>
      </c>
      <c r="AV409" s="78">
        <v>0.21354166666666666</v>
      </c>
      <c r="AW409" s="78">
        <v>0.19164619164619165</v>
      </c>
      <c r="AX409" s="78">
        <v>0.1989100817438692</v>
      </c>
      <c r="AY409" s="78">
        <v>0.20052770448548812</v>
      </c>
      <c r="AZ409" s="56">
        <v>0.20104098893949252</v>
      </c>
    </row>
    <row r="410" spans="1:52" s="36" customFormat="1" ht="11.25" customHeight="1">
      <c r="A410" s="69" t="s">
        <v>19</v>
      </c>
      <c r="B410" s="56">
        <f t="shared" ref="B410:AU410" si="403">B396/B346</f>
        <v>7.9387215475639816E-2</v>
      </c>
      <c r="C410" s="78">
        <f t="shared" si="403"/>
        <v>8.762981841350749E-2</v>
      </c>
      <c r="D410" s="78">
        <f t="shared" si="403"/>
        <v>9.4887957331107414E-2</v>
      </c>
      <c r="E410" s="78">
        <f t="shared" si="403"/>
        <v>0.10127024964039497</v>
      </c>
      <c r="F410" s="78">
        <f t="shared" si="403"/>
        <v>7.9866424665171951E-2</v>
      </c>
      <c r="G410" s="56">
        <f t="shared" si="403"/>
        <v>9.0871426175486048E-2</v>
      </c>
      <c r="H410" s="78">
        <f t="shared" si="403"/>
        <v>6.6097568492095291E-2</v>
      </c>
      <c r="I410" s="78">
        <f t="shared" si="403"/>
        <v>7.9871324373379682E-2</v>
      </c>
      <c r="J410" s="78">
        <f t="shared" si="403"/>
        <v>0.10068153655514252</v>
      </c>
      <c r="K410" s="78">
        <f t="shared" si="403"/>
        <v>0.11650962180483325</v>
      </c>
      <c r="L410" s="56">
        <f t="shared" si="403"/>
        <v>9.1016857053521846E-2</v>
      </c>
      <c r="M410" s="78">
        <f t="shared" si="403"/>
        <v>0.10705001165772908</v>
      </c>
      <c r="N410" s="78">
        <f t="shared" si="403"/>
        <v>9.6370588235294111E-2</v>
      </c>
      <c r="O410" s="78">
        <f t="shared" si="403"/>
        <v>8.6427713982215271E-2</v>
      </c>
      <c r="P410" s="78">
        <f t="shared" si="403"/>
        <v>0.229286914381722</v>
      </c>
      <c r="Q410" s="56">
        <f t="shared" si="403"/>
        <v>0.13021951235413473</v>
      </c>
      <c r="R410" s="78">
        <f t="shared" si="403"/>
        <v>0.13971469944475984</v>
      </c>
      <c r="S410" s="78">
        <f t="shared" si="403"/>
        <v>0.1412942446930433</v>
      </c>
      <c r="T410" s="78">
        <f t="shared" si="403"/>
        <v>0.26141930774100453</v>
      </c>
      <c r="U410" s="78">
        <f t="shared" si="403"/>
        <v>0.30418147275094104</v>
      </c>
      <c r="V410" s="56">
        <f t="shared" si="403"/>
        <v>0.21307444876706741</v>
      </c>
      <c r="W410" s="78">
        <f t="shared" si="403"/>
        <v>0.21385699923545101</v>
      </c>
      <c r="X410" s="78">
        <f t="shared" si="403"/>
        <v>0.10845488474470412</v>
      </c>
      <c r="Y410" s="78">
        <f t="shared" si="403"/>
        <v>8.7655145117174815E-2</v>
      </c>
      <c r="Z410" s="78">
        <f t="shared" si="403"/>
        <v>0.11447447482828094</v>
      </c>
      <c r="AA410" s="56">
        <f t="shared" si="403"/>
        <v>0.13085499251184785</v>
      </c>
      <c r="AB410" s="78">
        <f t="shared" si="403"/>
        <v>8.9369632150380809E-2</v>
      </c>
      <c r="AC410" s="78">
        <f t="shared" si="403"/>
        <v>7.6985259683785653E-2</v>
      </c>
      <c r="AD410" s="78">
        <f t="shared" si="403"/>
        <v>6.9619936377994782E-2</v>
      </c>
      <c r="AE410" s="78">
        <f t="shared" si="403"/>
        <v>5.6873734128307568E-2</v>
      </c>
      <c r="AF410" s="56">
        <f t="shared" si="403"/>
        <v>7.2946569595347732E-2</v>
      </c>
      <c r="AG410" s="78">
        <f t="shared" si="403"/>
        <v>8.6650704225352107E-2</v>
      </c>
      <c r="AH410" s="78">
        <f t="shared" si="403"/>
        <v>6.5369863013698626E-2</v>
      </c>
      <c r="AI410" s="78">
        <f t="shared" si="403"/>
        <v>7.1023376623376627E-2</v>
      </c>
      <c r="AJ410" s="78">
        <f t="shared" si="403"/>
        <v>7.0263157894736861E-2</v>
      </c>
      <c r="AK410" s="56">
        <v>7.3138297872340427E-2</v>
      </c>
      <c r="AL410" s="78">
        <v>0.13475063613231553</v>
      </c>
      <c r="AM410" s="78">
        <v>6.5943734015345271E-2</v>
      </c>
      <c r="AN410" s="78">
        <v>7.2593830334190229E-2</v>
      </c>
      <c r="AO410" s="78">
        <v>5.1901234567901244E-2</v>
      </c>
      <c r="AP410" s="56">
        <v>8.1115335868187574E-2</v>
      </c>
      <c r="AQ410" s="78">
        <v>9.3670886075949367E-2</v>
      </c>
      <c r="AR410" s="78">
        <v>8.7533156498673742E-2</v>
      </c>
      <c r="AS410" s="78">
        <v>6.25E-2</v>
      </c>
      <c r="AT410" s="78">
        <v>6.6326530612244902E-2</v>
      </c>
      <c r="AU410" s="56">
        <v>7.7519379844961239E-2</v>
      </c>
      <c r="AV410" s="78">
        <v>7.5520833333333329E-2</v>
      </c>
      <c r="AW410" s="78">
        <v>0.11302211302211303</v>
      </c>
      <c r="AX410" s="78">
        <v>8.4468664850136238E-2</v>
      </c>
      <c r="AY410" s="78">
        <v>9.498680738786279E-2</v>
      </c>
      <c r="AZ410" s="56">
        <v>9.2387768379960961E-2</v>
      </c>
    </row>
    <row r="411" spans="1:52" ht="4.5" customHeight="1">
      <c r="A411" s="54"/>
      <c r="B411" s="54"/>
      <c r="C411" s="55"/>
      <c r="D411" s="55"/>
      <c r="E411" s="55"/>
      <c r="F411" s="55"/>
      <c r="G411" s="54"/>
      <c r="H411" s="55"/>
      <c r="I411" s="55"/>
      <c r="J411" s="55"/>
      <c r="K411" s="55"/>
      <c r="L411" s="54"/>
      <c r="M411" s="55"/>
      <c r="N411" s="55"/>
      <c r="O411" s="55"/>
      <c r="P411" s="55"/>
      <c r="Q411" s="54"/>
      <c r="R411" s="55"/>
      <c r="S411" s="55"/>
      <c r="T411" s="55"/>
      <c r="U411" s="55"/>
      <c r="V411" s="54"/>
      <c r="W411" s="55"/>
      <c r="X411" s="55"/>
      <c r="Y411" s="55"/>
      <c r="Z411" s="55"/>
      <c r="AA411" s="54"/>
      <c r="AB411" s="55"/>
      <c r="AC411" s="55"/>
      <c r="AD411" s="55"/>
      <c r="AE411" s="55"/>
      <c r="AF411" s="54"/>
      <c r="AG411" s="55"/>
      <c r="AH411" s="55"/>
      <c r="AI411" s="55"/>
      <c r="AJ411" s="55"/>
      <c r="AK411" s="54"/>
      <c r="AL411" s="55"/>
      <c r="AM411" s="55"/>
      <c r="AN411" s="55"/>
      <c r="AO411" s="55"/>
      <c r="AP411" s="54"/>
      <c r="AQ411" s="55"/>
      <c r="AR411" s="55"/>
      <c r="AS411" s="55"/>
      <c r="AT411" s="55"/>
      <c r="AU411" s="54"/>
      <c r="AV411" s="55"/>
      <c r="AW411" s="55"/>
      <c r="AX411" s="55"/>
      <c r="AY411" s="55"/>
      <c r="AZ411" s="54"/>
    </row>
    <row r="412" spans="1:52" ht="21">
      <c r="A412" s="35" t="s">
        <v>21</v>
      </c>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row>
    <row r="413" spans="1:52">
      <c r="A413" s="22"/>
      <c r="B413" s="22"/>
      <c r="C413" s="21"/>
      <c r="D413" s="21"/>
      <c r="E413" s="21"/>
      <c r="F413" s="21"/>
      <c r="G413" s="22"/>
      <c r="H413" s="21"/>
      <c r="I413" s="21"/>
      <c r="J413" s="21"/>
      <c r="K413" s="21"/>
      <c r="L413" s="22"/>
      <c r="M413" s="21"/>
      <c r="N413" s="21"/>
      <c r="O413" s="21"/>
      <c r="P413" s="21"/>
      <c r="Q413" s="22"/>
      <c r="R413" s="21"/>
      <c r="S413" s="21"/>
      <c r="T413" s="21"/>
      <c r="U413" s="21"/>
      <c r="V413" s="22"/>
      <c r="W413" s="21"/>
      <c r="X413" s="21"/>
      <c r="Y413" s="21"/>
      <c r="Z413" s="21"/>
      <c r="AA413" s="22"/>
      <c r="AB413" s="21"/>
      <c r="AC413" s="21"/>
      <c r="AD413" s="21"/>
      <c r="AE413" s="21"/>
      <c r="AF413" s="22"/>
      <c r="AG413" s="21"/>
      <c r="AH413" s="21"/>
      <c r="AI413" s="21"/>
      <c r="AJ413" s="21"/>
      <c r="AK413" s="22"/>
      <c r="AL413" s="21"/>
      <c r="AM413" s="21"/>
      <c r="AN413" s="21"/>
      <c r="AO413" s="21"/>
      <c r="AP413" s="22"/>
      <c r="AQ413" s="21"/>
      <c r="AR413" s="21"/>
      <c r="AS413" s="21"/>
      <c r="AT413" s="21"/>
      <c r="AU413" s="22"/>
      <c r="AV413" s="21"/>
      <c r="AW413" s="21"/>
      <c r="AX413" s="21"/>
      <c r="AY413" s="21"/>
      <c r="AZ413" s="22"/>
    </row>
    <row r="414" spans="1:52">
      <c r="A414" s="40" t="s">
        <v>81</v>
      </c>
      <c r="B414" s="41"/>
      <c r="C414" s="42"/>
      <c r="D414" s="42"/>
      <c r="E414" s="42"/>
      <c r="F414" s="42"/>
      <c r="G414" s="41"/>
      <c r="H414" s="42"/>
      <c r="I414" s="42"/>
      <c r="J414" s="42"/>
      <c r="K414" s="42"/>
      <c r="L414" s="41"/>
      <c r="M414" s="42"/>
      <c r="N414" s="42"/>
      <c r="O414" s="42"/>
      <c r="P414" s="42"/>
      <c r="Q414" s="41"/>
      <c r="R414" s="42"/>
      <c r="S414" s="42"/>
      <c r="T414" s="42"/>
      <c r="U414" s="42"/>
      <c r="V414" s="41"/>
      <c r="W414" s="42"/>
      <c r="X414" s="42"/>
      <c r="Y414" s="42"/>
      <c r="Z414" s="42"/>
      <c r="AA414" s="41"/>
      <c r="AB414" s="42"/>
      <c r="AC414" s="42"/>
      <c r="AD414" s="42"/>
      <c r="AE414" s="42"/>
      <c r="AF414" s="41"/>
      <c r="AG414" s="42"/>
      <c r="AH414" s="42"/>
      <c r="AI414" s="42"/>
      <c r="AJ414" s="42"/>
      <c r="AK414" s="41"/>
      <c r="AL414" s="42"/>
      <c r="AM414" s="42"/>
      <c r="AN414" s="42"/>
      <c r="AO414" s="42"/>
      <c r="AP414" s="41"/>
      <c r="AQ414" s="42"/>
      <c r="AR414" s="42"/>
      <c r="AS414" s="42"/>
      <c r="AT414" s="42"/>
      <c r="AU414" s="41"/>
      <c r="AV414" s="42"/>
      <c r="AW414" s="42"/>
      <c r="AX414" s="42"/>
      <c r="AY414" s="42"/>
      <c r="AZ414" s="41"/>
    </row>
    <row r="415" spans="1:52" s="36" customFormat="1">
      <c r="A415" s="69" t="s">
        <v>16</v>
      </c>
      <c r="B415" s="37">
        <v>1414.8230000000001</v>
      </c>
      <c r="C415" s="70">
        <v>381.36200000000002</v>
      </c>
      <c r="D415" s="70">
        <v>379.875</v>
      </c>
      <c r="E415" s="70">
        <v>375.15</v>
      </c>
      <c r="F415" s="70">
        <f>G415-E415-D415-C415</f>
        <v>376.24499999999995</v>
      </c>
      <c r="G415" s="37">
        <v>1512.6320000000001</v>
      </c>
      <c r="H415" s="70">
        <v>383.78199999999998</v>
      </c>
      <c r="I415" s="70">
        <v>376.09800000000001</v>
      </c>
      <c r="J415" s="70">
        <v>380.45100000000002</v>
      </c>
      <c r="K415" s="70">
        <f>L415-J415-I415-H415</f>
        <v>390.10399999999998</v>
      </c>
      <c r="L415" s="37">
        <v>1530.4349999999999</v>
      </c>
      <c r="M415" s="70">
        <v>391.416</v>
      </c>
      <c r="N415" s="70">
        <v>395.947</v>
      </c>
      <c r="O415" s="70">
        <v>395.34699999999998</v>
      </c>
      <c r="P415" s="70">
        <f>Q415-O415-N415-M415</f>
        <v>400.22000000000008</v>
      </c>
      <c r="Q415" s="37">
        <v>1582.93</v>
      </c>
      <c r="R415" s="70">
        <v>405.55</v>
      </c>
      <c r="S415" s="70">
        <v>403.96</v>
      </c>
      <c r="T415" s="70">
        <v>405.46800000000002</v>
      </c>
      <c r="U415" s="70">
        <f>V415-T415-S415-R415</f>
        <v>403.83099999999985</v>
      </c>
      <c r="V415" s="37">
        <v>1618.809</v>
      </c>
      <c r="W415" s="70">
        <v>416.70400000000001</v>
      </c>
      <c r="X415" s="70">
        <v>408.73200000000003</v>
      </c>
      <c r="Y415" s="70">
        <v>402.72</v>
      </c>
      <c r="Z415" s="70">
        <f>AA415-Y415-X415-W415</f>
        <v>407.83799999999991</v>
      </c>
      <c r="AA415" s="37">
        <v>1635.9939999999999</v>
      </c>
      <c r="AB415" s="70">
        <v>403.541</v>
      </c>
      <c r="AC415" s="70">
        <v>403.84</v>
      </c>
      <c r="AD415" s="70">
        <v>410.26400000000001</v>
      </c>
      <c r="AE415" s="70">
        <f>AF415-AD415-AC415-AB415</f>
        <v>417.57099999999986</v>
      </c>
      <c r="AF415" s="37">
        <v>1635.2159999999999</v>
      </c>
      <c r="AG415" s="70">
        <v>424</v>
      </c>
      <c r="AH415" s="70">
        <v>428</v>
      </c>
      <c r="AI415" s="70">
        <v>432</v>
      </c>
      <c r="AJ415" s="70">
        <f>AK415-AI415-AH415-AG415</f>
        <v>440</v>
      </c>
      <c r="AK415" s="37">
        <v>1724</v>
      </c>
      <c r="AL415" s="70">
        <v>440</v>
      </c>
      <c r="AM415" s="70">
        <v>439</v>
      </c>
      <c r="AN415" s="70">
        <v>446</v>
      </c>
      <c r="AO415" s="70">
        <v>449</v>
      </c>
      <c r="AP415" s="37">
        <v>1774</v>
      </c>
      <c r="AQ415" s="70">
        <v>439</v>
      </c>
      <c r="AR415" s="70">
        <v>434</v>
      </c>
      <c r="AS415" s="70">
        <v>434</v>
      </c>
      <c r="AT415" s="70">
        <v>438</v>
      </c>
      <c r="AU415" s="37">
        <v>1745</v>
      </c>
      <c r="AV415" s="70">
        <v>424</v>
      </c>
      <c r="AW415" s="70">
        <v>416</v>
      </c>
      <c r="AX415" s="70">
        <v>406</v>
      </c>
      <c r="AY415" s="70">
        <v>404</v>
      </c>
      <c r="AZ415" s="37">
        <v>1650</v>
      </c>
    </row>
    <row r="416" spans="1:52">
      <c r="A416" s="71" t="s">
        <v>7</v>
      </c>
      <c r="B416" s="24"/>
      <c r="C416" s="72"/>
      <c r="D416" s="72">
        <f>D415/C415-1</f>
        <v>-3.8991824041200163E-3</v>
      </c>
      <c r="E416" s="72">
        <f>E415/D415-1</f>
        <v>-1.2438302073050411E-2</v>
      </c>
      <c r="F416" s="72">
        <f>F415/E415-1</f>
        <v>2.9188324670130772E-3</v>
      </c>
      <c r="G416" s="24"/>
      <c r="H416" s="72">
        <f>H415/F415-1</f>
        <v>2.003215989581264E-2</v>
      </c>
      <c r="I416" s="72">
        <f>I415/H415-1</f>
        <v>-2.0021783199837273E-2</v>
      </c>
      <c r="J416" s="72">
        <f>J415/I415-1</f>
        <v>1.1574111002983223E-2</v>
      </c>
      <c r="K416" s="72">
        <f>K415/J415-1</f>
        <v>2.5372518405786693E-2</v>
      </c>
      <c r="L416" s="24"/>
      <c r="M416" s="72">
        <f>M415/K415-1</f>
        <v>3.3632057092467527E-3</v>
      </c>
      <c r="N416" s="72">
        <f>N415/M415-1</f>
        <v>1.1575919226602949E-2</v>
      </c>
      <c r="O416" s="72">
        <f>O415/N415-1</f>
        <v>-1.5153543277257597E-3</v>
      </c>
      <c r="P416" s="72">
        <f>P415/O415-1</f>
        <v>1.2325880808505163E-2</v>
      </c>
      <c r="Q416" s="24"/>
      <c r="R416" s="72">
        <f>R415/P415-1</f>
        <v>1.3317675278596619E-2</v>
      </c>
      <c r="S416" s="72">
        <f>S415/R415-1</f>
        <v>-3.9206016520775266E-3</v>
      </c>
      <c r="T416" s="72">
        <f>T415/S415-1</f>
        <v>3.733042875532222E-3</v>
      </c>
      <c r="U416" s="72">
        <f>U415/T415-1</f>
        <v>-4.0373099726739303E-3</v>
      </c>
      <c r="V416" s="24"/>
      <c r="W416" s="72">
        <f>W415/U415-1</f>
        <v>3.1877196153837106E-2</v>
      </c>
      <c r="X416" s="72">
        <f>X415/W415-1</f>
        <v>-1.9131085854707353E-2</v>
      </c>
      <c r="Y416" s="72">
        <f>Y415/X415-1</f>
        <v>-1.4708904612313223E-2</v>
      </c>
      <c r="Z416" s="72">
        <v>1.270858164481492E-2</v>
      </c>
      <c r="AA416" s="24"/>
      <c r="AB416" s="72">
        <f>AB415/Z415-1</f>
        <v>-1.0536046175196767E-2</v>
      </c>
      <c r="AC416" s="72">
        <f>AC415/AB415-1</f>
        <v>7.4094082137876605E-4</v>
      </c>
      <c r="AD416" s="72">
        <f>AD415/AC415-1</f>
        <v>1.5907290015847897E-2</v>
      </c>
      <c r="AE416" s="72">
        <f>AE415/AD415-1</f>
        <v>1.7810483006063915E-2</v>
      </c>
      <c r="AF416" s="24"/>
      <c r="AG416" s="72">
        <f>AG415/AE415-1</f>
        <v>1.5396184121982071E-2</v>
      </c>
      <c r="AH416" s="72">
        <f>AH415/AG415-1</f>
        <v>9.4339622641510523E-3</v>
      </c>
      <c r="AI416" s="72">
        <f>AI415/AH415-1</f>
        <v>9.3457943925232545E-3</v>
      </c>
      <c r="AJ416" s="72">
        <f>AJ415/AI415-1</f>
        <v>1.8518518518518601E-2</v>
      </c>
      <c r="AK416" s="24"/>
      <c r="AL416" s="72">
        <v>0</v>
      </c>
      <c r="AM416" s="72">
        <v>-2.2727272727273151E-3</v>
      </c>
      <c r="AN416" s="72">
        <v>1.5945330296127658E-2</v>
      </c>
      <c r="AO416" s="72">
        <v>6.7264573991030474E-3</v>
      </c>
      <c r="AP416" s="24"/>
      <c r="AQ416" s="72">
        <v>-2.2271714922049046E-2</v>
      </c>
      <c r="AR416" s="72">
        <v>-1.1389521640091105E-2</v>
      </c>
      <c r="AS416" s="72">
        <v>0</v>
      </c>
      <c r="AT416" s="72">
        <v>9.2165898617511122E-3</v>
      </c>
      <c r="AU416" s="24"/>
      <c r="AV416" s="72">
        <v>-3.1963470319634757E-2</v>
      </c>
      <c r="AW416" s="72">
        <v>-1.8867924528301883E-2</v>
      </c>
      <c r="AX416" s="72">
        <v>-2.4038461538461564E-2</v>
      </c>
      <c r="AY416" s="72">
        <v>-4.9261083743842304E-3</v>
      </c>
      <c r="AZ416" s="24"/>
    </row>
    <row r="417" spans="1:52">
      <c r="A417" s="71" t="s">
        <v>8</v>
      </c>
      <c r="B417" s="24"/>
      <c r="C417" s="73"/>
      <c r="D417" s="73"/>
      <c r="E417" s="73"/>
      <c r="F417" s="73"/>
      <c r="G417" s="24">
        <f t="shared" ref="G417:N417" si="404">G415/B415-1</f>
        <v>6.9131615756882647E-2</v>
      </c>
      <c r="H417" s="73">
        <f t="shared" si="404"/>
        <v>6.345676811008838E-3</v>
      </c>
      <c r="I417" s="73">
        <f t="shared" si="404"/>
        <v>-9.9427443237907198E-3</v>
      </c>
      <c r="J417" s="73">
        <f t="shared" si="404"/>
        <v>1.4130347860855874E-2</v>
      </c>
      <c r="K417" s="73">
        <f t="shared" si="404"/>
        <v>3.6835040997222679E-2</v>
      </c>
      <c r="L417" s="24">
        <f t="shared" si="404"/>
        <v>1.1769551351551444E-2</v>
      </c>
      <c r="M417" s="73">
        <f t="shared" si="404"/>
        <v>1.9891500904159143E-2</v>
      </c>
      <c r="N417" s="73">
        <f t="shared" si="404"/>
        <v>5.277613813420956E-2</v>
      </c>
      <c r="O417" s="73">
        <f t="shared" ref="O417:Y417" si="405">O415/J415-1</f>
        <v>3.9153530940909453E-2</v>
      </c>
      <c r="P417" s="73">
        <f t="shared" si="405"/>
        <v>2.5931546459405874E-2</v>
      </c>
      <c r="Q417" s="24">
        <f t="shared" si="405"/>
        <v>3.4300705355013505E-2</v>
      </c>
      <c r="R417" s="73">
        <f t="shared" si="405"/>
        <v>3.6109918858707957E-2</v>
      </c>
      <c r="S417" s="73">
        <f t="shared" si="405"/>
        <v>2.0237557046776322E-2</v>
      </c>
      <c r="T417" s="73">
        <f t="shared" si="405"/>
        <v>2.5600295436667198E-2</v>
      </c>
      <c r="U417" s="73">
        <f t="shared" si="405"/>
        <v>9.022537604316927E-3</v>
      </c>
      <c r="V417" s="24">
        <f t="shared" si="405"/>
        <v>2.2666194967560171E-2</v>
      </c>
      <c r="W417" s="73">
        <f t="shared" si="405"/>
        <v>2.7503390457403576E-2</v>
      </c>
      <c r="X417" s="73">
        <f t="shared" si="405"/>
        <v>1.1813050797108815E-2</v>
      </c>
      <c r="Y417" s="73">
        <f t="shared" si="405"/>
        <v>-6.777353576607803E-3</v>
      </c>
      <c r="Z417" s="73">
        <v>9.9224675668783124E-3</v>
      </c>
      <c r="AA417" s="24">
        <v>1.0615829291781731E-2</v>
      </c>
      <c r="AB417" s="73">
        <f t="shared" ref="AB417:AI417" si="406">AB415/W415-1</f>
        <v>-3.1588369682076567E-2</v>
      </c>
      <c r="AC417" s="73">
        <f t="shared" si="406"/>
        <v>-1.1968722781676155E-2</v>
      </c>
      <c r="AD417" s="73">
        <f t="shared" si="406"/>
        <v>1.873261819626526E-2</v>
      </c>
      <c r="AE417" s="73">
        <f t="shared" si="406"/>
        <v>2.3864867913239829E-2</v>
      </c>
      <c r="AF417" s="24">
        <f t="shared" si="406"/>
        <v>-4.7555186632719515E-4</v>
      </c>
      <c r="AG417" s="73">
        <f t="shared" si="406"/>
        <v>5.0698689848119427E-2</v>
      </c>
      <c r="AH417" s="73">
        <f t="shared" si="406"/>
        <v>5.9825673534072976E-2</v>
      </c>
      <c r="AI417" s="73">
        <f t="shared" si="406"/>
        <v>5.2980519860382547E-2</v>
      </c>
      <c r="AJ417" s="73">
        <f t="shared" ref="AJ417:AS417" si="407">AJ415/AE415-1</f>
        <v>5.3713021258660509E-2</v>
      </c>
      <c r="AK417" s="24">
        <v>5.4294967759610957E-2</v>
      </c>
      <c r="AL417" s="73">
        <v>3.7735849056603765E-2</v>
      </c>
      <c r="AM417" s="73">
        <v>2.5700934579439227E-2</v>
      </c>
      <c r="AN417" s="73">
        <v>3.240740740740744E-2</v>
      </c>
      <c r="AO417" s="73">
        <v>2.0454545454545503E-2</v>
      </c>
      <c r="AP417" s="24">
        <v>2.9002320185614883E-2</v>
      </c>
      <c r="AQ417" s="73">
        <v>-2.2727272727273151E-3</v>
      </c>
      <c r="AR417" s="73">
        <v>-1.1389521640091105E-2</v>
      </c>
      <c r="AS417" s="73">
        <v>-2.6905829596412523E-2</v>
      </c>
      <c r="AT417" s="73">
        <v>-2.4498886414253906E-2</v>
      </c>
      <c r="AU417" s="24">
        <v>-1.6347237880496079E-2</v>
      </c>
      <c r="AV417" s="73">
        <v>-3.4168564920273314E-2</v>
      </c>
      <c r="AW417" s="73">
        <v>-4.1474654377880227E-2</v>
      </c>
      <c r="AX417" s="73">
        <v>-6.4516129032258118E-2</v>
      </c>
      <c r="AY417" s="73">
        <v>-7.7625570776255759E-2</v>
      </c>
      <c r="AZ417" s="24">
        <v>-5.4441260744985676E-2</v>
      </c>
    </row>
    <row r="418" spans="1:52">
      <c r="A418" s="69" t="s">
        <v>88</v>
      </c>
      <c r="B418" s="37">
        <v>1117.098</v>
      </c>
      <c r="C418" s="80" t="s">
        <v>53</v>
      </c>
      <c r="D418" s="80" t="s">
        <v>53</v>
      </c>
      <c r="E418" s="80" t="s">
        <v>53</v>
      </c>
      <c r="F418" s="80" t="s">
        <v>53</v>
      </c>
      <c r="G418" s="37">
        <v>1091.171</v>
      </c>
      <c r="H418" s="70">
        <v>258.45400000000001</v>
      </c>
      <c r="I418" s="70">
        <v>255.61500000000001</v>
      </c>
      <c r="J418" s="70">
        <v>261.83600000000001</v>
      </c>
      <c r="K418" s="70">
        <f>L418-J418-I418-H418</f>
        <v>266.19600000000008</v>
      </c>
      <c r="L418" s="37">
        <v>1042.1010000000001</v>
      </c>
      <c r="M418" s="70">
        <v>261.553</v>
      </c>
      <c r="N418" s="70">
        <v>322.11099999999999</v>
      </c>
      <c r="O418" s="70">
        <v>258.524</v>
      </c>
      <c r="P418" s="70">
        <f>Q418-O418-N418-M418</f>
        <v>286.65999999999997</v>
      </c>
      <c r="Q418" s="37">
        <v>1128.848</v>
      </c>
      <c r="R418" s="70">
        <v>271.899</v>
      </c>
      <c r="S418" s="70">
        <v>268.99700000000001</v>
      </c>
      <c r="T418" s="70">
        <v>267.77999999999997</v>
      </c>
      <c r="U418" s="70">
        <f>V418-T418-S418-R418</f>
        <v>219.4919999999999</v>
      </c>
      <c r="V418" s="37">
        <v>1028.1679999999999</v>
      </c>
      <c r="W418" s="70">
        <v>272.23700000000002</v>
      </c>
      <c r="X418" s="70">
        <v>255.75399999999999</v>
      </c>
      <c r="Y418" s="70">
        <v>272.64100000000002</v>
      </c>
      <c r="Z418" s="70">
        <f>AA418-Y418-X418-W418</f>
        <v>266.45499999999987</v>
      </c>
      <c r="AA418" s="37">
        <v>1067.087</v>
      </c>
      <c r="AB418" s="70">
        <f>258.114+18.5</f>
        <v>276.61399999999998</v>
      </c>
      <c r="AC418" s="70">
        <f>260.881+19</f>
        <v>279.88099999999997</v>
      </c>
      <c r="AD418" s="70">
        <f>257.775+19.7</f>
        <v>277.47499999999997</v>
      </c>
      <c r="AE418" s="70">
        <f>AF418-AD418-AC418-AB418</f>
        <v>296.03000000000014</v>
      </c>
      <c r="AF418" s="37">
        <v>1130</v>
      </c>
      <c r="AG418" s="70">
        <v>292</v>
      </c>
      <c r="AH418" s="147">
        <v>297</v>
      </c>
      <c r="AI418" s="70">
        <v>300</v>
      </c>
      <c r="AJ418" s="70">
        <f>AK418-AI418-AH418-AG418</f>
        <v>314</v>
      </c>
      <c r="AK418" s="37">
        <v>1203</v>
      </c>
      <c r="AL418" s="70">
        <v>320</v>
      </c>
      <c r="AM418" s="70">
        <v>313</v>
      </c>
      <c r="AN418" s="70">
        <v>314</v>
      </c>
      <c r="AO418" s="70">
        <v>342</v>
      </c>
      <c r="AP418" s="37">
        <v>1289</v>
      </c>
      <c r="AQ418" s="70">
        <v>321</v>
      </c>
      <c r="AR418" s="70">
        <v>312</v>
      </c>
      <c r="AS418" s="70">
        <v>314</v>
      </c>
      <c r="AT418" s="70">
        <v>314</v>
      </c>
      <c r="AU418" s="37">
        <v>1261</v>
      </c>
      <c r="AV418" s="70">
        <v>315</v>
      </c>
      <c r="AW418" s="70">
        <v>313</v>
      </c>
      <c r="AX418" s="70">
        <v>312</v>
      </c>
      <c r="AY418" s="70">
        <v>320</v>
      </c>
      <c r="AZ418" s="37">
        <v>1260</v>
      </c>
    </row>
    <row r="419" spans="1:52">
      <c r="A419" s="71" t="s">
        <v>7</v>
      </c>
      <c r="B419" s="24"/>
      <c r="C419" s="72"/>
      <c r="D419" s="72"/>
      <c r="E419" s="72"/>
      <c r="F419" s="72"/>
      <c r="G419" s="24"/>
      <c r="H419" s="72"/>
      <c r="I419" s="72">
        <f>I418/H418-1</f>
        <v>-1.0984546573084564E-2</v>
      </c>
      <c r="J419" s="72">
        <f>J418/I418-1</f>
        <v>2.4337382391487195E-2</v>
      </c>
      <c r="K419" s="72">
        <f>K418/J418-1</f>
        <v>1.6651644540857991E-2</v>
      </c>
      <c r="L419" s="24"/>
      <c r="M419" s="72">
        <f>M418/K418-1</f>
        <v>-1.7442035192114402E-2</v>
      </c>
      <c r="N419" s="72">
        <f>N418/M418-1</f>
        <v>0.23153242363880366</v>
      </c>
      <c r="O419" s="72">
        <f>O418/N418-1</f>
        <v>-0.19740710500417558</v>
      </c>
      <c r="P419" s="72">
        <f>P418/O418-1</f>
        <v>0.10883322244743221</v>
      </c>
      <c r="Q419" s="24"/>
      <c r="R419" s="72">
        <f>R418/P418-1</f>
        <v>-5.1493057978092449E-2</v>
      </c>
      <c r="S419" s="72">
        <f>S418/R418-1</f>
        <v>-1.0673080813096036E-2</v>
      </c>
      <c r="T419" s="72">
        <f>T418/S418-1</f>
        <v>-4.5242140246918305E-3</v>
      </c>
      <c r="U419" s="72">
        <f>U418/T418-1</f>
        <v>-0.18032713421465407</v>
      </c>
      <c r="V419" s="24"/>
      <c r="W419" s="72">
        <f>W418/U418-1</f>
        <v>0.24030488582727449</v>
      </c>
      <c r="X419" s="72">
        <f>X418/W418-1</f>
        <v>-6.054650910787307E-2</v>
      </c>
      <c r="Y419" s="72">
        <f>Y418/X418-1</f>
        <v>6.6028292812624789E-2</v>
      </c>
      <c r="Z419" s="72">
        <f>Z418/Y418-1</f>
        <v>-2.2689177343100053E-2</v>
      </c>
      <c r="AA419" s="24"/>
      <c r="AB419" s="72">
        <f>AB418/Z418-1</f>
        <v>3.8126512919630429E-2</v>
      </c>
      <c r="AC419" s="72">
        <f>AC418/AB418-1</f>
        <v>1.1810682033447373E-2</v>
      </c>
      <c r="AD419" s="72">
        <f>AD418/AC418-1</f>
        <v>-8.5965106598876462E-3</v>
      </c>
      <c r="AE419" s="72">
        <f>AE418/AD418-1</f>
        <v>6.6870889269304179E-2</v>
      </c>
      <c r="AF419" s="24"/>
      <c r="AG419" s="72">
        <f>AG418/AE418-1</f>
        <v>-1.36134851197518E-2</v>
      </c>
      <c r="AH419" s="165">
        <f>AH418/AG418-1</f>
        <v>1.7123287671232834E-2</v>
      </c>
      <c r="AI419" s="72">
        <f>AI418/AH418-1</f>
        <v>1.0101010101010166E-2</v>
      </c>
      <c r="AJ419" s="72">
        <f>AJ418/AI418-1</f>
        <v>4.6666666666666634E-2</v>
      </c>
      <c r="AK419" s="24"/>
      <c r="AL419" s="72">
        <v>1.9108280254777066E-2</v>
      </c>
      <c r="AM419" s="72">
        <v>-2.1874999999999978E-2</v>
      </c>
      <c r="AN419" s="72">
        <v>3.1948881789136685E-3</v>
      </c>
      <c r="AO419" s="72">
        <v>8.9171974522292974E-2</v>
      </c>
      <c r="AP419" s="24"/>
      <c r="AQ419" s="72">
        <v>-6.1403508771929793E-2</v>
      </c>
      <c r="AR419" s="72">
        <v>-2.8037383177570097E-2</v>
      </c>
      <c r="AS419" s="72">
        <v>6.4102564102563875E-3</v>
      </c>
      <c r="AT419" s="72">
        <v>0</v>
      </c>
      <c r="AU419" s="24"/>
      <c r="AV419" s="72">
        <v>3.1847133757962887E-3</v>
      </c>
      <c r="AW419" s="72">
        <v>-6.3492063492063266E-3</v>
      </c>
      <c r="AX419" s="72">
        <v>-3.1948881789137795E-3</v>
      </c>
      <c r="AY419" s="72">
        <v>2.564102564102555E-2</v>
      </c>
      <c r="AZ419" s="24"/>
    </row>
    <row r="420" spans="1:52">
      <c r="A420" s="71" t="s">
        <v>8</v>
      </c>
      <c r="B420" s="24"/>
      <c r="C420" s="73"/>
      <c r="D420" s="73"/>
      <c r="E420" s="73"/>
      <c r="F420" s="73"/>
      <c r="G420" s="24">
        <f>G418/B418-1</f>
        <v>-2.3209243951739178E-2</v>
      </c>
      <c r="H420" s="73"/>
      <c r="I420" s="73"/>
      <c r="J420" s="73"/>
      <c r="K420" s="73"/>
      <c r="L420" s="24">
        <f t="shared" ref="L420:AD420" si="408">L418/G418-1</f>
        <v>-4.497003677700373E-2</v>
      </c>
      <c r="M420" s="73">
        <f t="shared" si="408"/>
        <v>1.1990528295170444E-2</v>
      </c>
      <c r="N420" s="73">
        <f t="shared" si="408"/>
        <v>0.26014122801869988</v>
      </c>
      <c r="O420" s="73">
        <f t="shared" si="408"/>
        <v>-1.2649139155807454E-2</v>
      </c>
      <c r="P420" s="73">
        <f t="shared" si="408"/>
        <v>7.6875685585057196E-2</v>
      </c>
      <c r="Q420" s="24">
        <f t="shared" si="408"/>
        <v>8.3242411244207393E-2</v>
      </c>
      <c r="R420" s="73">
        <f t="shared" si="408"/>
        <v>3.9556036443856524E-2</v>
      </c>
      <c r="S420" s="73">
        <f t="shared" si="408"/>
        <v>-0.16489346840064445</v>
      </c>
      <c r="T420" s="73">
        <f t="shared" si="408"/>
        <v>3.5803252309263289E-2</v>
      </c>
      <c r="U420" s="73">
        <f t="shared" si="408"/>
        <v>-0.23431242587036938</v>
      </c>
      <c r="V420" s="24">
        <f t="shared" si="408"/>
        <v>-8.9188269811347531E-2</v>
      </c>
      <c r="W420" s="73">
        <f t="shared" si="408"/>
        <v>1.2431086543165382E-3</v>
      </c>
      <c r="X420" s="73">
        <f t="shared" si="408"/>
        <v>-4.9231032316345624E-2</v>
      </c>
      <c r="Y420" s="73">
        <f t="shared" si="408"/>
        <v>1.8152961386212807E-2</v>
      </c>
      <c r="Z420" s="73">
        <f t="shared" si="408"/>
        <v>0.213962240081643</v>
      </c>
      <c r="AA420" s="24">
        <f t="shared" si="408"/>
        <v>3.7852763361629682E-2</v>
      </c>
      <c r="AB420" s="73">
        <f t="shared" si="408"/>
        <v>1.6077902709771053E-2</v>
      </c>
      <c r="AC420" s="73">
        <f t="shared" si="408"/>
        <v>9.4336745466346406E-2</v>
      </c>
      <c r="AD420" s="73">
        <f t="shared" si="408"/>
        <v>1.7730275343766921E-2</v>
      </c>
      <c r="AE420" s="73">
        <f t="shared" ref="AE420:AN420" si="409">AE418/Z418-1</f>
        <v>0.11099435176671602</v>
      </c>
      <c r="AF420" s="24">
        <f t="shared" si="409"/>
        <v>5.8957704479578599E-2</v>
      </c>
      <c r="AG420" s="73">
        <f t="shared" si="409"/>
        <v>5.5622636598292363E-2</v>
      </c>
      <c r="AH420" s="164">
        <f t="shared" si="409"/>
        <v>6.1165280958693335E-2</v>
      </c>
      <c r="AI420" s="73">
        <f t="shared" si="409"/>
        <v>8.117848454815757E-2</v>
      </c>
      <c r="AJ420" s="73">
        <f t="shared" si="409"/>
        <v>6.0703307097253134E-2</v>
      </c>
      <c r="AK420" s="24">
        <v>6.4601769911504459E-2</v>
      </c>
      <c r="AL420" s="73">
        <v>9.5890410958904049E-2</v>
      </c>
      <c r="AM420" s="73">
        <v>5.3872053872053849E-2</v>
      </c>
      <c r="AN420" s="73">
        <v>4.6666666666666634E-2</v>
      </c>
      <c r="AO420" s="73">
        <v>8.9171974522292974E-2</v>
      </c>
      <c r="AP420" s="24">
        <v>7.1487946799667412E-2</v>
      </c>
      <c r="AQ420" s="73">
        <v>3.1250000000000444E-3</v>
      </c>
      <c r="AR420" s="73">
        <v>-3.1948881789137795E-3</v>
      </c>
      <c r="AS420" s="73">
        <v>0</v>
      </c>
      <c r="AT420" s="73">
        <v>-8.1871345029239762E-2</v>
      </c>
      <c r="AU420" s="24">
        <v>-2.1722265321954981E-2</v>
      </c>
      <c r="AV420" s="73">
        <v>-1.8691588785046731E-2</v>
      </c>
      <c r="AW420" s="73">
        <v>3.2051282051281937E-3</v>
      </c>
      <c r="AX420" s="73">
        <v>-6.3694267515923553E-3</v>
      </c>
      <c r="AY420" s="73">
        <v>1.9108280254777066E-2</v>
      </c>
      <c r="AZ420" s="24">
        <v>-7.9302141157810979E-4</v>
      </c>
    </row>
    <row r="421" spans="1:52">
      <c r="A421" s="69" t="s">
        <v>110</v>
      </c>
      <c r="B421" s="37">
        <v>297.72500000000002</v>
      </c>
      <c r="C421" s="80" t="s">
        <v>53</v>
      </c>
      <c r="D421" s="80" t="s">
        <v>53</v>
      </c>
      <c r="E421" s="80" t="s">
        <v>53</v>
      </c>
      <c r="F421" s="80" t="s">
        <v>53</v>
      </c>
      <c r="G421" s="37">
        <v>421.46100000000001</v>
      </c>
      <c r="H421" s="70">
        <v>125.328</v>
      </c>
      <c r="I421" s="70">
        <v>120.483</v>
      </c>
      <c r="J421" s="70">
        <v>118.61499999999999</v>
      </c>
      <c r="K421" s="70">
        <f>L421-J421-I421-H421</f>
        <v>123.90799999999999</v>
      </c>
      <c r="L421" s="37">
        <v>488.334</v>
      </c>
      <c r="M421" s="70">
        <v>129.863</v>
      </c>
      <c r="N421" s="70">
        <v>73.835999999999999</v>
      </c>
      <c r="O421" s="70">
        <v>136.82300000000001</v>
      </c>
      <c r="P421" s="70">
        <f>Q421-O421-N421-M421</f>
        <v>113.56</v>
      </c>
      <c r="Q421" s="37">
        <v>454.08199999999999</v>
      </c>
      <c r="R421" s="70">
        <v>133.65100000000001</v>
      </c>
      <c r="S421" s="70">
        <v>134.96299999999999</v>
      </c>
      <c r="T421" s="70">
        <v>137.68799999999999</v>
      </c>
      <c r="U421" s="70">
        <f>V421-T421-S421-R421</f>
        <v>184.339</v>
      </c>
      <c r="V421" s="37">
        <v>590.64099999999996</v>
      </c>
      <c r="W421" s="70">
        <v>144.46700000000001</v>
      </c>
      <c r="X421" s="70">
        <v>152.97800000000001</v>
      </c>
      <c r="Y421" s="70">
        <v>130.07900000000001</v>
      </c>
      <c r="Z421" s="70">
        <f>AA421-Y421-X421-W421</f>
        <v>141.38300000000001</v>
      </c>
      <c r="AA421" s="37">
        <v>568.90700000000004</v>
      </c>
      <c r="AB421" s="70">
        <f>145.427-18.5</f>
        <v>126.92699999999999</v>
      </c>
      <c r="AC421" s="70">
        <f>142.959-19</f>
        <v>123.959</v>
      </c>
      <c r="AD421" s="70">
        <f>152.489-19.7</f>
        <v>132.78900000000002</v>
      </c>
      <c r="AE421" s="70">
        <f>AF421-AD421-AC421-AB421</f>
        <v>121.32500000000002</v>
      </c>
      <c r="AF421" s="37">
        <v>505</v>
      </c>
      <c r="AG421" s="70">
        <v>132</v>
      </c>
      <c r="AH421" s="147">
        <v>130</v>
      </c>
      <c r="AI421" s="70">
        <v>133</v>
      </c>
      <c r="AJ421" s="70">
        <f>AK421-AI421-AH421-AG421</f>
        <v>126</v>
      </c>
      <c r="AK421" s="37">
        <v>521</v>
      </c>
      <c r="AL421" s="70">
        <v>120</v>
      </c>
      <c r="AM421" s="70">
        <v>126</v>
      </c>
      <c r="AN421" s="70">
        <v>132</v>
      </c>
      <c r="AO421" s="70">
        <v>107</v>
      </c>
      <c r="AP421" s="37">
        <v>485</v>
      </c>
      <c r="AQ421" s="70">
        <v>118</v>
      </c>
      <c r="AR421" s="70">
        <v>122</v>
      </c>
      <c r="AS421" s="70">
        <v>120</v>
      </c>
      <c r="AT421" s="70">
        <v>124</v>
      </c>
      <c r="AU421" s="37">
        <v>484</v>
      </c>
      <c r="AV421" s="70">
        <v>109</v>
      </c>
      <c r="AW421" s="70">
        <v>103</v>
      </c>
      <c r="AX421" s="70">
        <v>94</v>
      </c>
      <c r="AY421" s="70">
        <v>84</v>
      </c>
      <c r="AZ421" s="37">
        <v>390</v>
      </c>
    </row>
    <row r="422" spans="1:52">
      <c r="A422" s="71" t="s">
        <v>7</v>
      </c>
      <c r="B422" s="24"/>
      <c r="C422" s="72"/>
      <c r="D422" s="72"/>
      <c r="E422" s="72"/>
      <c r="F422" s="72"/>
      <c r="G422" s="24"/>
      <c r="H422" s="72"/>
      <c r="I422" s="72">
        <f>I421/H421-1</f>
        <v>-3.8658559938720805E-2</v>
      </c>
      <c r="J422" s="72">
        <f>J421/I421-1</f>
        <v>-1.5504262012068115E-2</v>
      </c>
      <c r="K422" s="72">
        <f>K421/J421-1</f>
        <v>4.4623361294945818E-2</v>
      </c>
      <c r="L422" s="24"/>
      <c r="M422" s="72">
        <f>M421/K421-1</f>
        <v>4.8059850857087527E-2</v>
      </c>
      <c r="N422" s="72">
        <f>N421/M421-1</f>
        <v>-0.43143158559404915</v>
      </c>
      <c r="O422" s="72">
        <f>O421/N421-1</f>
        <v>0.85306625494338828</v>
      </c>
      <c r="P422" s="72">
        <f>P421/O421-1</f>
        <v>-0.17002258392229375</v>
      </c>
      <c r="Q422" s="24"/>
      <c r="R422" s="72">
        <f>R421/P421-1</f>
        <v>0.17691969003170138</v>
      </c>
      <c r="S422" s="72">
        <f>S421/R421-1</f>
        <v>9.8166119220954862E-3</v>
      </c>
      <c r="T422" s="72">
        <f>T421/S421-1</f>
        <v>2.0190718937783014E-2</v>
      </c>
      <c r="U422" s="72">
        <f>U421/T421-1</f>
        <v>0.33881674510487492</v>
      </c>
      <c r="V422" s="24"/>
      <c r="W422" s="72">
        <f>W421/U421-1</f>
        <v>-0.21629714818893442</v>
      </c>
      <c r="X422" s="72">
        <f>X421/W421-1</f>
        <v>5.8913108183875851E-2</v>
      </c>
      <c r="Y422" s="72">
        <f>Y421/X421-1</f>
        <v>-0.14968819045875881</v>
      </c>
      <c r="Z422" s="72">
        <f>Z421/Y421-1</f>
        <v>8.6901037062093067E-2</v>
      </c>
      <c r="AA422" s="24"/>
      <c r="AB422" s="72">
        <f>AB421/Z421-1</f>
        <v>-0.10224708769795532</v>
      </c>
      <c r="AC422" s="72">
        <f>AC421/AB421-1</f>
        <v>-2.3383519660907348E-2</v>
      </c>
      <c r="AD422" s="72">
        <f>AD421/AC421-1</f>
        <v>7.1233230342290677E-2</v>
      </c>
      <c r="AE422" s="72">
        <f>AE421/AD421-1</f>
        <v>-8.633245223625452E-2</v>
      </c>
      <c r="AF422" s="24"/>
      <c r="AG422" s="72">
        <f>AG421/AE421-1</f>
        <v>8.7986812281063198E-2</v>
      </c>
      <c r="AH422" s="72">
        <f>AH421/AG421-1</f>
        <v>-1.5151515151515138E-2</v>
      </c>
      <c r="AI422" s="72">
        <f>AI421/AH421-1</f>
        <v>2.3076923076922995E-2</v>
      </c>
      <c r="AJ422" s="72">
        <f>AJ421/AI421-1</f>
        <v>-5.2631578947368474E-2</v>
      </c>
      <c r="AK422" s="24"/>
      <c r="AL422" s="72">
        <v>-4.7619047619047672E-2</v>
      </c>
      <c r="AM422" s="72">
        <v>5.0000000000000044E-2</v>
      </c>
      <c r="AN422" s="72">
        <v>4.7619047619047672E-2</v>
      </c>
      <c r="AO422" s="72">
        <v>-0.18939393939393945</v>
      </c>
      <c r="AP422" s="24"/>
      <c r="AQ422" s="72">
        <v>0.10280373831775691</v>
      </c>
      <c r="AR422" s="72">
        <v>3.3898305084745672E-2</v>
      </c>
      <c r="AS422" s="72">
        <v>-1.6393442622950838E-2</v>
      </c>
      <c r="AT422" s="72">
        <v>3.3333333333333437E-2</v>
      </c>
      <c r="AU422" s="24"/>
      <c r="AV422" s="72">
        <v>-0.12096774193548387</v>
      </c>
      <c r="AW422" s="72">
        <v>-5.5045871559633031E-2</v>
      </c>
      <c r="AX422" s="72">
        <v>-8.737864077669899E-2</v>
      </c>
      <c r="AY422" s="72">
        <v>-0.1063829787234043</v>
      </c>
      <c r="AZ422" s="24"/>
    </row>
    <row r="423" spans="1:52">
      <c r="A423" s="71" t="s">
        <v>8</v>
      </c>
      <c r="B423" s="24"/>
      <c r="C423" s="73"/>
      <c r="D423" s="73"/>
      <c r="E423" s="73"/>
      <c r="F423" s="73"/>
      <c r="G423" s="24">
        <f>G421/B421-1</f>
        <v>0.4156050046183557</v>
      </c>
      <c r="H423" s="73"/>
      <c r="I423" s="73"/>
      <c r="J423" s="73"/>
      <c r="K423" s="73"/>
      <c r="L423" s="24">
        <f t="shared" ref="L423:AD423" si="410">L421/G421-1</f>
        <v>0.15866948543281589</v>
      </c>
      <c r="M423" s="73">
        <f t="shared" si="410"/>
        <v>3.6185050427677723E-2</v>
      </c>
      <c r="N423" s="73">
        <f t="shared" si="410"/>
        <v>-0.38716665421677754</v>
      </c>
      <c r="O423" s="73">
        <f t="shared" si="410"/>
        <v>0.15350503730556864</v>
      </c>
      <c r="P423" s="73">
        <f t="shared" si="410"/>
        <v>-8.3513574587597117E-2</v>
      </c>
      <c r="Q423" s="24">
        <f t="shared" si="410"/>
        <v>-7.014051857949688E-2</v>
      </c>
      <c r="R423" s="73">
        <f t="shared" si="410"/>
        <v>2.9169201389156241E-2</v>
      </c>
      <c r="S423" s="73">
        <f t="shared" si="410"/>
        <v>0.82787529118587133</v>
      </c>
      <c r="T423" s="73">
        <f t="shared" si="410"/>
        <v>6.3220364997111922E-3</v>
      </c>
      <c r="U423" s="73">
        <f t="shared" si="410"/>
        <v>0.62327404015498411</v>
      </c>
      <c r="V423" s="24">
        <f t="shared" si="410"/>
        <v>0.30073643086490986</v>
      </c>
      <c r="W423" s="73">
        <f t="shared" si="410"/>
        <v>8.0927190967519991E-2</v>
      </c>
      <c r="X423" s="73">
        <f t="shared" si="410"/>
        <v>0.13348102813363671</v>
      </c>
      <c r="Y423" s="73">
        <f t="shared" si="410"/>
        <v>-5.5262622741270029E-2</v>
      </c>
      <c r="Z423" s="73">
        <f t="shared" si="410"/>
        <v>-0.2330271944623763</v>
      </c>
      <c r="AA423" s="24">
        <f t="shared" si="410"/>
        <v>-3.6797310041124631E-2</v>
      </c>
      <c r="AB423" s="73">
        <f t="shared" si="410"/>
        <v>-0.121411810309621</v>
      </c>
      <c r="AC423" s="73">
        <f t="shared" si="410"/>
        <v>-0.18969394291989705</v>
      </c>
      <c r="AD423" s="73">
        <f t="shared" si="410"/>
        <v>2.0833493492416144E-2</v>
      </c>
      <c r="AE423" s="73">
        <f t="shared" ref="AE423:AN423" si="411">AE421/Z421-1</f>
        <v>-0.14186995607675601</v>
      </c>
      <c r="AF423" s="24">
        <f t="shared" si="411"/>
        <v>-0.11233294721281339</v>
      </c>
      <c r="AG423" s="73">
        <f t="shared" si="411"/>
        <v>3.996785553901061E-2</v>
      </c>
      <c r="AH423" s="73">
        <f t="shared" si="411"/>
        <v>4.8733855549012217E-2</v>
      </c>
      <c r="AI423" s="73">
        <f t="shared" si="411"/>
        <v>1.5889870395890959E-3</v>
      </c>
      <c r="AJ423" s="73">
        <f t="shared" si="411"/>
        <v>3.8532866268287558E-2</v>
      </c>
      <c r="AK423" s="24">
        <v>3.1683168316831711E-2</v>
      </c>
      <c r="AL423" s="73">
        <v>-9.0909090909090939E-2</v>
      </c>
      <c r="AM423" s="73">
        <v>-3.0769230769230771E-2</v>
      </c>
      <c r="AN423" s="73">
        <v>-7.5187969924812581E-3</v>
      </c>
      <c r="AO423" s="73">
        <v>-0.15079365079365081</v>
      </c>
      <c r="AP423" s="24">
        <v>-6.9097888675623831E-2</v>
      </c>
      <c r="AQ423" s="73">
        <v>-1.6666666666666718E-2</v>
      </c>
      <c r="AR423" s="73">
        <v>-3.1746031746031744E-2</v>
      </c>
      <c r="AS423" s="73">
        <v>-9.0909090909090939E-2</v>
      </c>
      <c r="AT423" s="73">
        <v>0.1588785046728971</v>
      </c>
      <c r="AU423" s="24">
        <v>-2.0618556701030855E-3</v>
      </c>
      <c r="AV423" s="73">
        <v>-7.6271186440677985E-2</v>
      </c>
      <c r="AW423" s="73">
        <v>-0.15573770491803274</v>
      </c>
      <c r="AX423" s="73">
        <v>-0.21666666666666667</v>
      </c>
      <c r="AY423" s="73">
        <v>-0.32258064516129037</v>
      </c>
      <c r="AZ423" s="24">
        <v>-0.19421487603305787</v>
      </c>
    </row>
    <row r="424" spans="1:52">
      <c r="A424" s="69" t="s">
        <v>89</v>
      </c>
      <c r="B424" s="37">
        <v>137.679</v>
      </c>
      <c r="C424" s="80" t="s">
        <v>53</v>
      </c>
      <c r="D424" s="80" t="s">
        <v>53</v>
      </c>
      <c r="E424" s="80" t="s">
        <v>53</v>
      </c>
      <c r="F424" s="80" t="s">
        <v>53</v>
      </c>
      <c r="G424" s="37">
        <v>128.16200000000001</v>
      </c>
      <c r="H424" s="70">
        <v>28.420999999999999</v>
      </c>
      <c r="I424" s="70">
        <v>33.017000000000003</v>
      </c>
      <c r="J424" s="70">
        <v>28.779</v>
      </c>
      <c r="K424" s="70">
        <f>L424-J424-I424-H424</f>
        <v>32.094999999999999</v>
      </c>
      <c r="L424" s="37">
        <v>122.312</v>
      </c>
      <c r="M424" s="70">
        <v>38.936</v>
      </c>
      <c r="N424" s="70">
        <v>33.042000000000002</v>
      </c>
      <c r="O424" s="70">
        <v>31.542999999999999</v>
      </c>
      <c r="P424" s="70">
        <f>Q424-O424-N424-M424</f>
        <v>39.68099999999999</v>
      </c>
      <c r="Q424" s="37">
        <v>143.202</v>
      </c>
      <c r="R424" s="70">
        <v>40.058999999999997</v>
      </c>
      <c r="S424" s="70">
        <v>34.738</v>
      </c>
      <c r="T424" s="70">
        <v>37.170999999999999</v>
      </c>
      <c r="U424" s="70">
        <f>V424-T424-S424-R424</f>
        <v>40.769000000000005</v>
      </c>
      <c r="V424" s="37">
        <v>152.73699999999999</v>
      </c>
      <c r="W424" s="70">
        <v>53.506999999999998</v>
      </c>
      <c r="X424" s="70">
        <v>41.585000000000001</v>
      </c>
      <c r="Y424" s="70">
        <v>40.06</v>
      </c>
      <c r="Z424" s="70">
        <f>AA424-Y424-X424-W424</f>
        <v>31.121999999999993</v>
      </c>
      <c r="AA424" s="37">
        <v>166.274</v>
      </c>
      <c r="AB424" s="70">
        <v>39.119</v>
      </c>
      <c r="AC424" s="70">
        <v>36.228999999999999</v>
      </c>
      <c r="AD424" s="70">
        <v>41.195999999999998</v>
      </c>
      <c r="AE424" s="70">
        <f>AF424-AD424-AC424-AB424</f>
        <v>37.167999999999992</v>
      </c>
      <c r="AF424" s="37">
        <v>153.71199999999999</v>
      </c>
      <c r="AG424" s="70">
        <v>40</v>
      </c>
      <c r="AH424" s="147">
        <v>40</v>
      </c>
      <c r="AI424" s="70">
        <v>34</v>
      </c>
      <c r="AJ424" s="70">
        <f>AK424-AI424-AH424-AG424</f>
        <v>40</v>
      </c>
      <c r="AK424" s="37">
        <v>154</v>
      </c>
      <c r="AL424" s="70">
        <v>36</v>
      </c>
      <c r="AM424" s="70">
        <v>35</v>
      </c>
      <c r="AN424" s="70">
        <v>37</v>
      </c>
      <c r="AO424" s="70">
        <v>32</v>
      </c>
      <c r="AP424" s="37">
        <v>140</v>
      </c>
      <c r="AQ424" s="70">
        <v>38</v>
      </c>
      <c r="AR424" s="70">
        <v>24</v>
      </c>
      <c r="AS424" s="70">
        <v>35</v>
      </c>
      <c r="AT424" s="70">
        <v>31</v>
      </c>
      <c r="AU424" s="37">
        <v>128</v>
      </c>
      <c r="AV424" s="70">
        <v>35</v>
      </c>
      <c r="AW424" s="70">
        <v>29</v>
      </c>
      <c r="AX424" s="70">
        <v>34</v>
      </c>
      <c r="AY424" s="70">
        <v>33</v>
      </c>
      <c r="AZ424" s="37">
        <v>131</v>
      </c>
    </row>
    <row r="425" spans="1:52">
      <c r="A425" s="71" t="s">
        <v>7</v>
      </c>
      <c r="B425" s="24"/>
      <c r="C425" s="72"/>
      <c r="D425" s="72"/>
      <c r="E425" s="72"/>
      <c r="F425" s="72"/>
      <c r="G425" s="24"/>
      <c r="H425" s="72"/>
      <c r="I425" s="72">
        <f>I424/H424-1</f>
        <v>0.16171141057668637</v>
      </c>
      <c r="J425" s="72">
        <f>J424/I424-1</f>
        <v>-0.12835811854499202</v>
      </c>
      <c r="K425" s="72">
        <f>K424/J424-1</f>
        <v>0.11522290559088222</v>
      </c>
      <c r="L425" s="24"/>
      <c r="M425" s="72">
        <f>M424/K424-1</f>
        <v>0.21314846549306754</v>
      </c>
      <c r="N425" s="72">
        <f>N424/M424-1</f>
        <v>-0.15137661803986024</v>
      </c>
      <c r="O425" s="72">
        <f>O424/N424-1</f>
        <v>-4.5366503238302824E-2</v>
      </c>
      <c r="P425" s="72">
        <f>P424/O424-1</f>
        <v>0.25799701994103263</v>
      </c>
      <c r="Q425" s="24"/>
      <c r="R425" s="72">
        <f>R424/P424-1</f>
        <v>9.5259696076208655E-3</v>
      </c>
      <c r="S425" s="72">
        <f>S424/R424-1</f>
        <v>-0.1328290771112608</v>
      </c>
      <c r="T425" s="72">
        <f>T424/S424-1</f>
        <v>7.0038574471759985E-2</v>
      </c>
      <c r="U425" s="72">
        <f>U424/T424-1</f>
        <v>9.67958892685159E-2</v>
      </c>
      <c r="V425" s="24"/>
      <c r="W425" s="72">
        <f>W424/U424-1</f>
        <v>0.31244327798081861</v>
      </c>
      <c r="X425" s="72">
        <f>X424/W424-1</f>
        <v>-0.22281196852748231</v>
      </c>
      <c r="Y425" s="72">
        <f>Y424/X424-1</f>
        <v>-3.667187687868223E-2</v>
      </c>
      <c r="Z425" s="72">
        <f>Z424/Y424-1</f>
        <v>-0.223115327009486</v>
      </c>
      <c r="AA425" s="24"/>
      <c r="AB425" s="72">
        <f>AB424/Z424-1</f>
        <v>0.25695649379859931</v>
      </c>
      <c r="AC425" s="72">
        <f>AC424/AB424-1</f>
        <v>-7.3877144098775549E-2</v>
      </c>
      <c r="AD425" s="72">
        <f>AD424/AC424-1</f>
        <v>0.13710011316900816</v>
      </c>
      <c r="AE425" s="72">
        <f>AE424/AD424-1</f>
        <v>-9.7776483153704352E-2</v>
      </c>
      <c r="AF425" s="24"/>
      <c r="AG425" s="72">
        <f>AG424/AE424-1</f>
        <v>7.6194575979337209E-2</v>
      </c>
      <c r="AH425" s="165">
        <f>AH424/AG424-1</f>
        <v>0</v>
      </c>
      <c r="AI425" s="72">
        <f>AI424/AH424-1</f>
        <v>-0.15000000000000002</v>
      </c>
      <c r="AJ425" s="72">
        <f>AJ424/AI424-1</f>
        <v>0.17647058823529416</v>
      </c>
      <c r="AK425" s="24"/>
      <c r="AL425" s="72">
        <v>-9.9999999999999978E-2</v>
      </c>
      <c r="AM425" s="72">
        <v>-2.777777777777779E-2</v>
      </c>
      <c r="AN425" s="72">
        <v>5.7142857142857162E-2</v>
      </c>
      <c r="AO425" s="72">
        <v>-0.13513513513513509</v>
      </c>
      <c r="AP425" s="24"/>
      <c r="AQ425" s="72">
        <v>0.1875</v>
      </c>
      <c r="AR425" s="72">
        <v>-0.36842105263157898</v>
      </c>
      <c r="AS425" s="72">
        <v>0.45833333333333326</v>
      </c>
      <c r="AT425" s="72">
        <v>-0.11428571428571432</v>
      </c>
      <c r="AU425" s="24"/>
      <c r="AV425" s="72">
        <v>0.12903225806451624</v>
      </c>
      <c r="AW425" s="72">
        <v>-0.17142857142857137</v>
      </c>
      <c r="AX425" s="72">
        <v>0.17241379310344818</v>
      </c>
      <c r="AY425" s="72">
        <v>-2.9411764705882359E-2</v>
      </c>
      <c r="AZ425" s="24"/>
    </row>
    <row r="426" spans="1:52">
      <c r="A426" s="71" t="s">
        <v>8</v>
      </c>
      <c r="B426" s="24"/>
      <c r="C426" s="73"/>
      <c r="D426" s="73"/>
      <c r="E426" s="73"/>
      <c r="F426" s="73"/>
      <c r="G426" s="24">
        <f>G424/B424-1</f>
        <v>-6.9124557848328272E-2</v>
      </c>
      <c r="H426" s="73"/>
      <c r="I426" s="73"/>
      <c r="J426" s="73"/>
      <c r="K426" s="73"/>
      <c r="L426" s="24">
        <f t="shared" ref="L426:AD426" si="412">L424/G424-1</f>
        <v>-4.5645355097454821E-2</v>
      </c>
      <c r="M426" s="73">
        <f t="shared" si="412"/>
        <v>0.36997290735723598</v>
      </c>
      <c r="N426" s="73">
        <f t="shared" si="412"/>
        <v>7.5718569221905341E-4</v>
      </c>
      <c r="O426" s="73">
        <f t="shared" si="412"/>
        <v>9.6042253031724423E-2</v>
      </c>
      <c r="P426" s="73">
        <f t="shared" si="412"/>
        <v>0.23636080386352987</v>
      </c>
      <c r="Q426" s="24">
        <f t="shared" si="412"/>
        <v>0.17079272679704371</v>
      </c>
      <c r="R426" s="73">
        <f t="shared" si="412"/>
        <v>2.8842202588863719E-2</v>
      </c>
      <c r="S426" s="73">
        <f t="shared" si="412"/>
        <v>5.1328612069487356E-2</v>
      </c>
      <c r="T426" s="73">
        <f t="shared" si="412"/>
        <v>0.17842310496782177</v>
      </c>
      <c r="U426" s="73">
        <f t="shared" si="412"/>
        <v>2.7418663844157587E-2</v>
      </c>
      <c r="V426" s="24">
        <f t="shared" si="412"/>
        <v>6.6584265582882995E-2</v>
      </c>
      <c r="W426" s="73">
        <f t="shared" si="412"/>
        <v>0.33570483536783247</v>
      </c>
      <c r="X426" s="73">
        <f t="shared" si="412"/>
        <v>0.19710403592607517</v>
      </c>
      <c r="Y426" s="73">
        <f t="shared" si="412"/>
        <v>7.7721879960184204E-2</v>
      </c>
      <c r="Z426" s="73">
        <f t="shared" si="412"/>
        <v>-0.23662586769359095</v>
      </c>
      <c r="AA426" s="24">
        <f t="shared" si="412"/>
        <v>8.8629474194203084E-2</v>
      </c>
      <c r="AB426" s="73">
        <f t="shared" si="412"/>
        <v>-0.26889939634066573</v>
      </c>
      <c r="AC426" s="73">
        <f t="shared" si="412"/>
        <v>-0.1287964410244079</v>
      </c>
      <c r="AD426" s="73">
        <f t="shared" si="412"/>
        <v>2.8357463804293381E-2</v>
      </c>
      <c r="AE426" s="73">
        <f t="shared" ref="AE426:AN426" si="413">AE424/Z424-1</f>
        <v>0.19426772058351016</v>
      </c>
      <c r="AF426" s="24">
        <f t="shared" si="413"/>
        <v>-7.5549995790081481E-2</v>
      </c>
      <c r="AG426" s="73">
        <f t="shared" si="413"/>
        <v>2.2521025588588595E-2</v>
      </c>
      <c r="AH426" s="164">
        <f t="shared" si="413"/>
        <v>0.10408788539567748</v>
      </c>
      <c r="AI426" s="73">
        <f t="shared" si="413"/>
        <v>-0.17467715312166221</v>
      </c>
      <c r="AJ426" s="73">
        <f t="shared" si="413"/>
        <v>7.6194575979337209E-2</v>
      </c>
      <c r="AK426" s="24">
        <v>1.8736338086813298E-3</v>
      </c>
      <c r="AL426" s="73">
        <v>-9.9999999999999978E-2</v>
      </c>
      <c r="AM426" s="73">
        <v>-0.125</v>
      </c>
      <c r="AN426" s="73">
        <v>8.8235294117646967E-2</v>
      </c>
      <c r="AO426" s="73">
        <v>-0.19999999999999996</v>
      </c>
      <c r="AP426" s="24">
        <v>-9.0909090909090939E-2</v>
      </c>
      <c r="AQ426" s="73">
        <v>5.555555555555558E-2</v>
      </c>
      <c r="AR426" s="73">
        <v>-0.31428571428571428</v>
      </c>
      <c r="AS426" s="73">
        <v>-5.4054054054054057E-2</v>
      </c>
      <c r="AT426" s="73">
        <v>-3.125E-2</v>
      </c>
      <c r="AU426" s="24">
        <v>-8.5714285714285743E-2</v>
      </c>
      <c r="AV426" s="73">
        <v>-7.8947368421052655E-2</v>
      </c>
      <c r="AW426" s="73">
        <v>0.20833333333333326</v>
      </c>
      <c r="AX426" s="73">
        <v>-2.8571428571428581E-2</v>
      </c>
      <c r="AY426" s="73">
        <v>6.4516129032258007E-2</v>
      </c>
      <c r="AZ426" s="24">
        <v>2.34375E-2</v>
      </c>
    </row>
    <row r="427" spans="1:52">
      <c r="A427" s="69" t="s">
        <v>90</v>
      </c>
      <c r="B427" s="37">
        <v>104.047</v>
      </c>
      <c r="C427" s="80" t="s">
        <v>53</v>
      </c>
      <c r="D427" s="80" t="s">
        <v>53</v>
      </c>
      <c r="E427" s="80" t="s">
        <v>53</v>
      </c>
      <c r="F427" s="80" t="s">
        <v>53</v>
      </c>
      <c r="G427" s="37">
        <v>116.151</v>
      </c>
      <c r="H427" s="70">
        <v>30.957000000000001</v>
      </c>
      <c r="I427" s="70">
        <v>28.411999999999999</v>
      </c>
      <c r="J427" s="70">
        <v>29.175000000000001</v>
      </c>
      <c r="K427" s="70">
        <f>L427-J427-I427-H427</f>
        <v>29.26100000000001</v>
      </c>
      <c r="L427" s="37">
        <v>117.80500000000001</v>
      </c>
      <c r="M427" s="70">
        <v>32.235999999999997</v>
      </c>
      <c r="N427" s="70">
        <v>33.509</v>
      </c>
      <c r="O427" s="70">
        <v>33.537999999999997</v>
      </c>
      <c r="P427" s="70">
        <f>Q427-O427-N427-M427</f>
        <v>33.278000000000013</v>
      </c>
      <c r="Q427" s="37">
        <v>132.56100000000001</v>
      </c>
      <c r="R427" s="70">
        <v>32.222000000000001</v>
      </c>
      <c r="S427" s="70">
        <v>34.911999999999999</v>
      </c>
      <c r="T427" s="70">
        <v>37.152999999999999</v>
      </c>
      <c r="U427" s="70">
        <f>V427-T427-S427-R427</f>
        <v>38.749000000000002</v>
      </c>
      <c r="V427" s="37">
        <v>143.036</v>
      </c>
      <c r="W427" s="70">
        <v>39.354999999999997</v>
      </c>
      <c r="X427" s="70">
        <v>36.905000000000001</v>
      </c>
      <c r="Y427" s="70">
        <v>36.029000000000003</v>
      </c>
      <c r="Z427" s="70">
        <f>AA427-Y427-X427-W427</f>
        <v>37.594999999999992</v>
      </c>
      <c r="AA427" s="37">
        <v>149.88399999999999</v>
      </c>
      <c r="AB427" s="70">
        <f>38.879-18.5</f>
        <v>20.378999999999998</v>
      </c>
      <c r="AC427" s="70">
        <f>39.146-19</f>
        <v>20.146000000000001</v>
      </c>
      <c r="AD427" s="70">
        <f>38.885-19.7</f>
        <v>19.184999999999999</v>
      </c>
      <c r="AE427" s="70">
        <f>AF427-AD427-AC427-AB427</f>
        <v>24.29</v>
      </c>
      <c r="AF427" s="37">
        <v>84</v>
      </c>
      <c r="AG427" s="70">
        <v>20</v>
      </c>
      <c r="AH427" s="147">
        <v>23</v>
      </c>
      <c r="AI427" s="70">
        <v>23</v>
      </c>
      <c r="AJ427" s="70">
        <f>AK427-AI427-AH427-AG427</f>
        <v>28</v>
      </c>
      <c r="AK427" s="37">
        <v>94</v>
      </c>
      <c r="AL427" s="70">
        <v>25</v>
      </c>
      <c r="AM427" s="70">
        <v>21</v>
      </c>
      <c r="AN427" s="70">
        <v>21</v>
      </c>
      <c r="AO427" s="70">
        <v>28</v>
      </c>
      <c r="AP427" s="37">
        <v>95</v>
      </c>
      <c r="AQ427" s="70">
        <v>23</v>
      </c>
      <c r="AR427" s="70">
        <v>21</v>
      </c>
      <c r="AS427" s="70">
        <v>23</v>
      </c>
      <c r="AT427" s="70">
        <v>25</v>
      </c>
      <c r="AU427" s="37">
        <v>92</v>
      </c>
      <c r="AV427" s="70">
        <v>22</v>
      </c>
      <c r="AW427" s="70">
        <v>25</v>
      </c>
      <c r="AX427" s="70">
        <v>25</v>
      </c>
      <c r="AY427" s="70">
        <v>24</v>
      </c>
      <c r="AZ427" s="37">
        <v>96</v>
      </c>
    </row>
    <row r="428" spans="1:52">
      <c r="A428" s="71" t="s">
        <v>7</v>
      </c>
      <c r="B428" s="24"/>
      <c r="C428" s="72"/>
      <c r="D428" s="72"/>
      <c r="E428" s="72"/>
      <c r="F428" s="72"/>
      <c r="G428" s="24"/>
      <c r="H428" s="72"/>
      <c r="I428" s="72">
        <f>I427/H427-1</f>
        <v>-8.2210808540879365E-2</v>
      </c>
      <c r="J428" s="72">
        <f>J427/I427-1</f>
        <v>2.6854850063353641E-2</v>
      </c>
      <c r="K428" s="72">
        <f>K427/J427-1</f>
        <v>2.9477292202231276E-3</v>
      </c>
      <c r="L428" s="24"/>
      <c r="M428" s="72">
        <f>M427/K427-1</f>
        <v>0.10167116639896068</v>
      </c>
      <c r="N428" s="72">
        <f>N427/M427-1</f>
        <v>3.9490011167638839E-2</v>
      </c>
      <c r="O428" s="72">
        <f>O427/N427-1</f>
        <v>8.6543913575454212E-4</v>
      </c>
      <c r="P428" s="72">
        <f>P427/O427-1</f>
        <v>-7.7524002623884369E-3</v>
      </c>
      <c r="Q428" s="24"/>
      <c r="R428" s="72">
        <f>R427/P427-1</f>
        <v>-3.173267624256304E-2</v>
      </c>
      <c r="S428" s="72">
        <f>S427/R427-1</f>
        <v>8.3483334367823181E-2</v>
      </c>
      <c r="T428" s="72">
        <f>T427/S427-1</f>
        <v>6.4189963336388711E-2</v>
      </c>
      <c r="U428" s="72">
        <f>U427/T427-1</f>
        <v>4.2957500067289489E-2</v>
      </c>
      <c r="V428" s="24"/>
      <c r="W428" s="72">
        <f>W427/U427-1</f>
        <v>1.5639113267438942E-2</v>
      </c>
      <c r="X428" s="72">
        <f>X427/W427-1</f>
        <v>-6.2253843221953931E-2</v>
      </c>
      <c r="Y428" s="72">
        <f>Y427/X427-1</f>
        <v>-2.3736621054057605E-2</v>
      </c>
      <c r="Z428" s="72">
        <f>Z427/Y427-1</f>
        <v>4.3464986538621408E-2</v>
      </c>
      <c r="AA428" s="24"/>
      <c r="AB428" s="72">
        <f>AB427/Z427-1</f>
        <v>-0.45793323580263323</v>
      </c>
      <c r="AC428" s="72">
        <f>AC427/AB427-1</f>
        <v>-1.1433338240345314E-2</v>
      </c>
      <c r="AD428" s="72">
        <f>AD427/AC427-1</f>
        <v>-4.7701777027697956E-2</v>
      </c>
      <c r="AE428" s="72">
        <f>AE427/AD427-1</f>
        <v>0.26609330205890025</v>
      </c>
      <c r="AF428" s="24"/>
      <c r="AG428" s="72">
        <f>AG427/AE427-1</f>
        <v>-0.17661589131329758</v>
      </c>
      <c r="AH428" s="72">
        <f>AH427/AG427-1</f>
        <v>0.14999999999999991</v>
      </c>
      <c r="AI428" s="72">
        <f>AI427/AH427-1</f>
        <v>0</v>
      </c>
      <c r="AJ428" s="72">
        <f>AJ427/AI427-1</f>
        <v>0.21739130434782616</v>
      </c>
      <c r="AK428" s="24"/>
      <c r="AL428" s="72">
        <v>-0.1071428571428571</v>
      </c>
      <c r="AM428" s="72">
        <v>-0.16000000000000003</v>
      </c>
      <c r="AN428" s="72">
        <v>0</v>
      </c>
      <c r="AO428" s="72">
        <v>0.33333333333333326</v>
      </c>
      <c r="AP428" s="24"/>
      <c r="AQ428" s="72">
        <v>-0.1785714285714286</v>
      </c>
      <c r="AR428" s="72">
        <v>-8.6956521739130488E-2</v>
      </c>
      <c r="AS428" s="72">
        <v>9.5238095238095344E-2</v>
      </c>
      <c r="AT428" s="72">
        <v>8.6956521739130377E-2</v>
      </c>
      <c r="AU428" s="24"/>
      <c r="AV428" s="72">
        <v>-0.12</v>
      </c>
      <c r="AW428" s="72">
        <v>0.13636363636363646</v>
      </c>
      <c r="AX428" s="72">
        <v>0</v>
      </c>
      <c r="AY428" s="72">
        <v>-4.0000000000000036E-2</v>
      </c>
      <c r="AZ428" s="24"/>
    </row>
    <row r="429" spans="1:52">
      <c r="A429" s="71" t="s">
        <v>8</v>
      </c>
      <c r="B429" s="24"/>
      <c r="C429" s="73"/>
      <c r="D429" s="73"/>
      <c r="E429" s="73"/>
      <c r="F429" s="73"/>
      <c r="G429" s="24">
        <f>G427/B427-1</f>
        <v>0.11633204225013705</v>
      </c>
      <c r="H429" s="73"/>
      <c r="I429" s="73"/>
      <c r="J429" s="73"/>
      <c r="K429" s="73"/>
      <c r="L429" s="24">
        <f t="shared" ref="L429:AD429" si="414">L427/G427-1</f>
        <v>1.4240084028549038E-2</v>
      </c>
      <c r="M429" s="73">
        <f t="shared" si="414"/>
        <v>4.1315372936653993E-2</v>
      </c>
      <c r="N429" s="73">
        <f t="shared" si="414"/>
        <v>0.17939602984654379</v>
      </c>
      <c r="O429" s="73">
        <f t="shared" si="414"/>
        <v>0.14954584404455851</v>
      </c>
      <c r="P429" s="73">
        <f t="shared" si="414"/>
        <v>0.1372817060250846</v>
      </c>
      <c r="Q429" s="24">
        <f t="shared" si="414"/>
        <v>0.12525784134799034</v>
      </c>
      <c r="R429" s="73">
        <f t="shared" si="414"/>
        <v>-4.3429705918840433E-4</v>
      </c>
      <c r="S429" s="73">
        <f t="shared" si="414"/>
        <v>4.1869348533229767E-2</v>
      </c>
      <c r="T429" s="73">
        <f t="shared" si="414"/>
        <v>0.10778818057129236</v>
      </c>
      <c r="U429" s="73">
        <f t="shared" si="414"/>
        <v>0.16440290882865516</v>
      </c>
      <c r="V429" s="24">
        <f t="shared" si="414"/>
        <v>7.9020224651292548E-2</v>
      </c>
      <c r="W429" s="73">
        <f t="shared" si="414"/>
        <v>0.22137049221029104</v>
      </c>
      <c r="X429" s="73">
        <f t="shared" si="414"/>
        <v>5.7086388634280505E-2</v>
      </c>
      <c r="Y429" s="73">
        <f t="shared" si="414"/>
        <v>-3.0253276989745004E-2</v>
      </c>
      <c r="Z429" s="73">
        <f t="shared" si="414"/>
        <v>-2.9781413713902527E-2</v>
      </c>
      <c r="AA429" s="24">
        <f t="shared" si="414"/>
        <v>4.7876059173914243E-2</v>
      </c>
      <c r="AB429" s="73">
        <f t="shared" si="414"/>
        <v>-0.48217507305297935</v>
      </c>
      <c r="AC429" s="73">
        <f t="shared" si="414"/>
        <v>-0.45411190895542608</v>
      </c>
      <c r="AD429" s="73">
        <f t="shared" si="414"/>
        <v>-0.46751228177301629</v>
      </c>
      <c r="AE429" s="73">
        <f t="shared" ref="AE429:AN429" si="415">AE427/Z427-1</f>
        <v>-0.35390344460699552</v>
      </c>
      <c r="AF429" s="24">
        <f t="shared" si="415"/>
        <v>-0.43956659816925081</v>
      </c>
      <c r="AG429" s="73">
        <f t="shared" si="415"/>
        <v>-1.8597575936012412E-2</v>
      </c>
      <c r="AH429" s="73">
        <f t="shared" si="415"/>
        <v>0.14166583937258004</v>
      </c>
      <c r="AI429" s="73">
        <f t="shared" si="415"/>
        <v>0.19885327078446702</v>
      </c>
      <c r="AJ429" s="73">
        <f t="shared" si="415"/>
        <v>0.1527377521613833</v>
      </c>
      <c r="AK429" s="24">
        <v>0.11904761904761907</v>
      </c>
      <c r="AL429" s="73">
        <v>0.25</v>
      </c>
      <c r="AM429" s="73">
        <v>-8.6956521739130488E-2</v>
      </c>
      <c r="AN429" s="73">
        <v>-8.6956521739130488E-2</v>
      </c>
      <c r="AO429" s="73">
        <v>0</v>
      </c>
      <c r="AP429" s="24">
        <v>1.0638297872340496E-2</v>
      </c>
      <c r="AQ429" s="73">
        <v>-7.999999999999996E-2</v>
      </c>
      <c r="AR429" s="73">
        <v>0</v>
      </c>
      <c r="AS429" s="73">
        <v>9.5238095238095344E-2</v>
      </c>
      <c r="AT429" s="73">
        <v>-0.1071428571428571</v>
      </c>
      <c r="AU429" s="24">
        <v>-3.157894736842104E-2</v>
      </c>
      <c r="AV429" s="73">
        <v>-4.3478260869565188E-2</v>
      </c>
      <c r="AW429" s="73">
        <v>0.19047619047619047</v>
      </c>
      <c r="AX429" s="73">
        <v>8.6956521739130377E-2</v>
      </c>
      <c r="AY429" s="73">
        <v>-4.0000000000000036E-2</v>
      </c>
      <c r="AZ429" s="24">
        <v>4.3478260869565188E-2</v>
      </c>
    </row>
    <row r="430" spans="1:52">
      <c r="A430" s="69" t="s">
        <v>212</v>
      </c>
      <c r="B430" s="123" t="s">
        <v>45</v>
      </c>
      <c r="C430" s="80" t="s">
        <v>53</v>
      </c>
      <c r="D430" s="80" t="s">
        <v>53</v>
      </c>
      <c r="E430" s="80" t="s">
        <v>53</v>
      </c>
      <c r="F430" s="80" t="s">
        <v>53</v>
      </c>
      <c r="G430" s="123" t="s">
        <v>45</v>
      </c>
      <c r="H430" s="80" t="s">
        <v>53</v>
      </c>
      <c r="I430" s="80" t="s">
        <v>53</v>
      </c>
      <c r="J430" s="80" t="s">
        <v>53</v>
      </c>
      <c r="K430" s="80" t="s">
        <v>53</v>
      </c>
      <c r="L430" s="123" t="s">
        <v>45</v>
      </c>
      <c r="M430" s="80" t="s">
        <v>53</v>
      </c>
      <c r="N430" s="80" t="s">
        <v>53</v>
      </c>
      <c r="O430" s="80" t="s">
        <v>53</v>
      </c>
      <c r="P430" s="80" t="s">
        <v>53</v>
      </c>
      <c r="Q430" s="123" t="s">
        <v>45</v>
      </c>
      <c r="R430" s="80" t="s">
        <v>53</v>
      </c>
      <c r="S430" s="80" t="s">
        <v>53</v>
      </c>
      <c r="T430" s="80" t="s">
        <v>53</v>
      </c>
      <c r="U430" s="80" t="s">
        <v>53</v>
      </c>
      <c r="V430" s="123" t="s">
        <v>45</v>
      </c>
      <c r="W430" s="80" t="s">
        <v>53</v>
      </c>
      <c r="X430" s="80" t="s">
        <v>53</v>
      </c>
      <c r="Y430" s="80" t="s">
        <v>53</v>
      </c>
      <c r="Z430" s="80" t="s">
        <v>53</v>
      </c>
      <c r="AA430" s="123" t="s">
        <v>45</v>
      </c>
      <c r="AB430" s="80" t="s">
        <v>53</v>
      </c>
      <c r="AC430" s="80" t="s">
        <v>53</v>
      </c>
      <c r="AD430" s="80" t="s">
        <v>53</v>
      </c>
      <c r="AE430" s="80" t="s">
        <v>53</v>
      </c>
      <c r="AF430" s="123" t="s">
        <v>45</v>
      </c>
      <c r="AG430" s="70">
        <v>62</v>
      </c>
      <c r="AH430" s="70">
        <v>68</v>
      </c>
      <c r="AI430" s="70">
        <v>67</v>
      </c>
      <c r="AJ430" s="70">
        <f>AK430-AI430-AH430-AG430</f>
        <v>70</v>
      </c>
      <c r="AK430" s="37">
        <v>267</v>
      </c>
      <c r="AL430" s="70">
        <v>69</v>
      </c>
      <c r="AM430" s="70">
        <v>62</v>
      </c>
      <c r="AN430" s="70">
        <v>69</v>
      </c>
      <c r="AO430" s="70">
        <v>70</v>
      </c>
      <c r="AP430" s="37">
        <v>270</v>
      </c>
      <c r="AQ430" s="70">
        <v>61</v>
      </c>
      <c r="AR430" s="70">
        <v>60</v>
      </c>
      <c r="AS430" s="70">
        <v>64</v>
      </c>
      <c r="AT430" s="70">
        <v>64</v>
      </c>
      <c r="AU430" s="37">
        <v>249</v>
      </c>
      <c r="AV430" s="70">
        <v>59</v>
      </c>
      <c r="AW430" s="70">
        <v>59</v>
      </c>
      <c r="AX430" s="70">
        <v>62</v>
      </c>
      <c r="AY430" s="70">
        <v>66</v>
      </c>
      <c r="AZ430" s="37">
        <v>246</v>
      </c>
    </row>
    <row r="431" spans="1:52">
      <c r="A431" s="71" t="s">
        <v>7</v>
      </c>
      <c r="B431" s="24"/>
      <c r="C431" s="73"/>
      <c r="D431" s="73"/>
      <c r="E431" s="73"/>
      <c r="F431" s="73"/>
      <c r="G431" s="24"/>
      <c r="H431" s="73"/>
      <c r="I431" s="73"/>
      <c r="J431" s="73"/>
      <c r="K431" s="73"/>
      <c r="L431" s="24"/>
      <c r="M431" s="73"/>
      <c r="N431" s="73"/>
      <c r="O431" s="73"/>
      <c r="P431" s="73"/>
      <c r="Q431" s="24"/>
      <c r="R431" s="73"/>
      <c r="S431" s="73"/>
      <c r="T431" s="73"/>
      <c r="U431" s="73"/>
      <c r="V431" s="24"/>
      <c r="W431" s="73"/>
      <c r="X431" s="73"/>
      <c r="Y431" s="73"/>
      <c r="Z431" s="73"/>
      <c r="AA431" s="24"/>
      <c r="AB431" s="72"/>
      <c r="AC431" s="72"/>
      <c r="AD431" s="72"/>
      <c r="AE431" s="72"/>
      <c r="AF431" s="24"/>
      <c r="AG431" s="72"/>
      <c r="AH431" s="72">
        <f>AH430/AG430-1</f>
        <v>9.6774193548387011E-2</v>
      </c>
      <c r="AI431" s="72">
        <f>AI430/AH430-1</f>
        <v>-1.4705882352941124E-2</v>
      </c>
      <c r="AJ431" s="72">
        <f>AJ430/AI430-1</f>
        <v>4.4776119402984982E-2</v>
      </c>
      <c r="AK431" s="24"/>
      <c r="AL431" s="72">
        <v>-1.4285714285714235E-2</v>
      </c>
      <c r="AM431" s="72">
        <v>-0.10144927536231885</v>
      </c>
      <c r="AN431" s="72">
        <v>0.11290322580645151</v>
      </c>
      <c r="AO431" s="72">
        <v>1.449275362318847E-2</v>
      </c>
      <c r="AP431" s="24"/>
      <c r="AQ431" s="72">
        <v>-0.12857142857142856</v>
      </c>
      <c r="AR431" s="72">
        <v>-1.6393442622950838E-2</v>
      </c>
      <c r="AS431" s="72">
        <v>6.6666666666666652E-2</v>
      </c>
      <c r="AT431" s="72">
        <v>0</v>
      </c>
      <c r="AU431" s="24"/>
      <c r="AV431" s="72">
        <v>-7.8125E-2</v>
      </c>
      <c r="AW431" s="72">
        <v>0</v>
      </c>
      <c r="AX431" s="72">
        <v>5.0847457627118731E-2</v>
      </c>
      <c r="AY431" s="72">
        <v>6.4516129032258007E-2</v>
      </c>
      <c r="AZ431" s="24"/>
    </row>
    <row r="432" spans="1:52">
      <c r="A432" s="71" t="s">
        <v>8</v>
      </c>
      <c r="B432" s="24"/>
      <c r="C432" s="73"/>
      <c r="D432" s="73"/>
      <c r="E432" s="73"/>
      <c r="F432" s="73"/>
      <c r="G432" s="24"/>
      <c r="H432" s="73"/>
      <c r="I432" s="73"/>
      <c r="J432" s="73"/>
      <c r="K432" s="73"/>
      <c r="L432" s="24"/>
      <c r="M432" s="73"/>
      <c r="N432" s="73"/>
      <c r="O432" s="73"/>
      <c r="P432" s="73"/>
      <c r="Q432" s="24"/>
      <c r="R432" s="73"/>
      <c r="S432" s="73"/>
      <c r="T432" s="73"/>
      <c r="U432" s="73"/>
      <c r="V432" s="24"/>
      <c r="W432" s="73"/>
      <c r="X432" s="73"/>
      <c r="Y432" s="73"/>
      <c r="Z432" s="73"/>
      <c r="AA432" s="24"/>
      <c r="AB432" s="73"/>
      <c r="AC432" s="73"/>
      <c r="AD432" s="73"/>
      <c r="AE432" s="73"/>
      <c r="AF432" s="24"/>
      <c r="AG432" s="73"/>
      <c r="AH432" s="73"/>
      <c r="AI432" s="73"/>
      <c r="AJ432" s="73"/>
      <c r="AK432" s="24"/>
      <c r="AL432" s="73">
        <v>0.11290322580645151</v>
      </c>
      <c r="AM432" s="73">
        <v>-8.8235294117647078E-2</v>
      </c>
      <c r="AN432" s="73">
        <v>2.9850746268656803E-2</v>
      </c>
      <c r="AO432" s="73">
        <v>0</v>
      </c>
      <c r="AP432" s="24">
        <v>1.1235955056179803E-2</v>
      </c>
      <c r="AQ432" s="73">
        <v>-0.11594202898550721</v>
      </c>
      <c r="AR432" s="73">
        <v>-3.2258064516129004E-2</v>
      </c>
      <c r="AS432" s="73">
        <v>-7.2463768115942018E-2</v>
      </c>
      <c r="AT432" s="73">
        <v>-8.5714285714285743E-2</v>
      </c>
      <c r="AU432" s="24">
        <v>-7.7777777777777724E-2</v>
      </c>
      <c r="AV432" s="73">
        <v>-3.2786885245901676E-2</v>
      </c>
      <c r="AW432" s="73">
        <v>-1.6666666666666718E-2</v>
      </c>
      <c r="AX432" s="73">
        <v>-3.125E-2</v>
      </c>
      <c r="AY432" s="73">
        <v>3.125E-2</v>
      </c>
      <c r="AZ432" s="24">
        <v>-1.2048192771084376E-2</v>
      </c>
    </row>
    <row r="433" spans="1:55" s="36" customFormat="1">
      <c r="A433" s="69" t="s">
        <v>213</v>
      </c>
      <c r="B433" s="37">
        <v>273.202</v>
      </c>
      <c r="C433" s="70">
        <v>64.709999999999994</v>
      </c>
      <c r="D433" s="70">
        <v>60.594999999999999</v>
      </c>
      <c r="E433" s="70">
        <v>58.738</v>
      </c>
      <c r="F433" s="70">
        <f>G433-E433-D433-C433</f>
        <v>65.837000000000003</v>
      </c>
      <c r="G433" s="37">
        <v>249.88</v>
      </c>
      <c r="H433" s="70">
        <v>56.545000000000002</v>
      </c>
      <c r="I433" s="70">
        <v>55.561999999999998</v>
      </c>
      <c r="J433" s="70">
        <v>58.927999999999997</v>
      </c>
      <c r="K433" s="70">
        <f>L433-J433-I433-H433</f>
        <v>63.168000000000006</v>
      </c>
      <c r="L433" s="37">
        <v>234.203</v>
      </c>
      <c r="M433" s="70">
        <v>63.753999999999998</v>
      </c>
      <c r="N433" s="70">
        <v>68.176000000000002</v>
      </c>
      <c r="O433" s="70">
        <v>67.78</v>
      </c>
      <c r="P433" s="70">
        <f>Q433-O433-N433-M433</f>
        <v>85.02200000000002</v>
      </c>
      <c r="Q433" s="37">
        <v>284.73200000000003</v>
      </c>
      <c r="R433" s="70">
        <v>68.593000000000004</v>
      </c>
      <c r="S433" s="70">
        <v>71.131</v>
      </c>
      <c r="T433" s="70">
        <v>74.073999999999998</v>
      </c>
      <c r="U433" s="70">
        <f>V433-T433-S433-R433</f>
        <v>62.594999999999956</v>
      </c>
      <c r="V433" s="37">
        <v>276.39299999999997</v>
      </c>
      <c r="W433" s="70">
        <v>65.841999999999999</v>
      </c>
      <c r="X433" s="70">
        <v>53.802</v>
      </c>
      <c r="Y433" s="70">
        <v>64.432000000000002</v>
      </c>
      <c r="Z433" s="70">
        <f>AA433-Y433-X433-W433</f>
        <v>64.173999999999992</v>
      </c>
      <c r="AA433" s="37">
        <v>248.25</v>
      </c>
      <c r="AB433" s="70">
        <v>61.953000000000003</v>
      </c>
      <c r="AC433" s="70">
        <v>64.105000000000004</v>
      </c>
      <c r="AD433" s="70">
        <v>66.006</v>
      </c>
      <c r="AE433" s="70">
        <f>AF433-AD433-AC433-AB433</f>
        <v>70.671000000000021</v>
      </c>
      <c r="AF433" s="37">
        <v>262.73500000000001</v>
      </c>
      <c r="AG433" s="70">
        <v>70</v>
      </c>
      <c r="AH433" s="70">
        <v>74</v>
      </c>
      <c r="AI433" s="70">
        <v>75</v>
      </c>
      <c r="AJ433" s="70">
        <f>AK433-AI433-AH433-AG433</f>
        <v>78</v>
      </c>
      <c r="AK433" s="37">
        <v>297</v>
      </c>
      <c r="AL433" s="70">
        <v>76</v>
      </c>
      <c r="AM433" s="70">
        <v>80</v>
      </c>
      <c r="AN433" s="70">
        <v>78</v>
      </c>
      <c r="AO433" s="70">
        <v>88</v>
      </c>
      <c r="AP433" s="37">
        <v>322</v>
      </c>
      <c r="AQ433" s="70">
        <v>76</v>
      </c>
      <c r="AR433" s="70">
        <v>74</v>
      </c>
      <c r="AS433" s="70">
        <v>75</v>
      </c>
      <c r="AT433" s="70">
        <v>71</v>
      </c>
      <c r="AU433" s="37">
        <v>296</v>
      </c>
      <c r="AV433" s="70">
        <v>70</v>
      </c>
      <c r="AW433" s="70">
        <v>71</v>
      </c>
      <c r="AX433" s="70">
        <v>72</v>
      </c>
      <c r="AY433" s="70">
        <v>72</v>
      </c>
      <c r="AZ433" s="37">
        <v>285</v>
      </c>
    </row>
    <row r="434" spans="1:55">
      <c r="A434" s="82" t="s">
        <v>7</v>
      </c>
      <c r="B434" s="24"/>
      <c r="C434" s="72"/>
      <c r="D434" s="72">
        <f>D433/C433-1</f>
        <v>-6.3591407819502344E-2</v>
      </c>
      <c r="E434" s="72">
        <f>E433/D433-1</f>
        <v>-3.0646092911956413E-2</v>
      </c>
      <c r="F434" s="72">
        <f>F433/E433-1</f>
        <v>0.12085872859137181</v>
      </c>
      <c r="G434" s="24"/>
      <c r="H434" s="72">
        <f>H433/F433-1</f>
        <v>-0.14113644303355255</v>
      </c>
      <c r="I434" s="72">
        <f>I433/H433-1</f>
        <v>-1.7384384118843466E-2</v>
      </c>
      <c r="J434" s="72">
        <f>J433/I433-1</f>
        <v>6.0580972607177541E-2</v>
      </c>
      <c r="K434" s="72">
        <f>K433/J433-1</f>
        <v>7.1952212869943244E-2</v>
      </c>
      <c r="L434" s="24"/>
      <c r="M434" s="72">
        <f>M433/K433-1</f>
        <v>9.276849037487267E-3</v>
      </c>
      <c r="N434" s="72">
        <f>N433/M433-1</f>
        <v>6.9360353860149937E-2</v>
      </c>
      <c r="O434" s="72">
        <f>O433/N433-1</f>
        <v>-5.8084956582962199E-3</v>
      </c>
      <c r="P434" s="72">
        <f>P433/O433-1</f>
        <v>0.25438182354676919</v>
      </c>
      <c r="Q434" s="24"/>
      <c r="R434" s="72">
        <f>R433/P433-1</f>
        <v>-0.19323233986497623</v>
      </c>
      <c r="S434" s="72">
        <f>S433/R433-1</f>
        <v>3.7000860146078951E-2</v>
      </c>
      <c r="T434" s="72">
        <f>T433/S433-1</f>
        <v>4.1374365607119268E-2</v>
      </c>
      <c r="U434" s="72">
        <f>U433/T433-1</f>
        <v>-0.15496665496665551</v>
      </c>
      <c r="V434" s="24"/>
      <c r="W434" s="72">
        <f>W433/U433-1</f>
        <v>5.187315280773297E-2</v>
      </c>
      <c r="X434" s="72">
        <f>X433/W433-1</f>
        <v>-0.18286200297682331</v>
      </c>
      <c r="Y434" s="72">
        <f>Y433/X433-1</f>
        <v>0.19757629827887446</v>
      </c>
      <c r="Z434" s="72">
        <v>-4.0042215048424756E-3</v>
      </c>
      <c r="AA434" s="24"/>
      <c r="AB434" s="72">
        <f>AB433/Z433-1</f>
        <v>-3.4609031695078896E-2</v>
      </c>
      <c r="AC434" s="72">
        <f>AC433/AB433-1</f>
        <v>3.4736009555630831E-2</v>
      </c>
      <c r="AD434" s="72">
        <f>AD433/AC433-1</f>
        <v>2.9654473130021008E-2</v>
      </c>
      <c r="AE434" s="72">
        <f>AE433/AD433-1</f>
        <v>7.0675393146077958E-2</v>
      </c>
      <c r="AF434" s="24"/>
      <c r="AG434" s="72">
        <f>AG433/AE433-1</f>
        <v>-9.4947007966496022E-3</v>
      </c>
      <c r="AH434" s="72">
        <f>AH433/AG433-1</f>
        <v>5.7142857142857162E-2</v>
      </c>
      <c r="AI434" s="72">
        <f>AI433/AH433-1</f>
        <v>1.3513513513513598E-2</v>
      </c>
      <c r="AJ434" s="72">
        <f>AJ433/AI433-1</f>
        <v>4.0000000000000036E-2</v>
      </c>
      <c r="AK434" s="24"/>
      <c r="AL434" s="72">
        <v>-2.5641025641025661E-2</v>
      </c>
      <c r="AM434" s="72">
        <v>5.2631578947368363E-2</v>
      </c>
      <c r="AN434" s="72">
        <v>-2.5000000000000022E-2</v>
      </c>
      <c r="AO434" s="72">
        <v>0.12820512820512819</v>
      </c>
      <c r="AP434" s="24"/>
      <c r="AQ434" s="72">
        <v>-0.13636363636363635</v>
      </c>
      <c r="AR434" s="72">
        <v>-2.6315789473684181E-2</v>
      </c>
      <c r="AS434" s="72">
        <v>1.3513513513513598E-2</v>
      </c>
      <c r="AT434" s="72">
        <v>-5.3333333333333344E-2</v>
      </c>
      <c r="AU434" s="24"/>
      <c r="AV434" s="72">
        <v>-1.4084507042253502E-2</v>
      </c>
      <c r="AW434" s="72">
        <v>1.4285714285714235E-2</v>
      </c>
      <c r="AX434" s="72">
        <v>1.4084507042253502E-2</v>
      </c>
      <c r="AY434" s="72">
        <v>0</v>
      </c>
      <c r="AZ434" s="24"/>
    </row>
    <row r="435" spans="1:55">
      <c r="A435" s="82" t="s">
        <v>8</v>
      </c>
      <c r="B435" s="24"/>
      <c r="C435" s="73"/>
      <c r="D435" s="73"/>
      <c r="E435" s="73"/>
      <c r="F435" s="73"/>
      <c r="G435" s="24">
        <f t="shared" ref="G435:N435" si="416">G433/B433-1</f>
        <v>-8.5365407281059458E-2</v>
      </c>
      <c r="H435" s="73">
        <f t="shared" si="416"/>
        <v>-0.12617833410601131</v>
      </c>
      <c r="I435" s="73">
        <f t="shared" si="416"/>
        <v>-8.3059658387655722E-2</v>
      </c>
      <c r="J435" s="73">
        <f t="shared" si="416"/>
        <v>3.2347032585378077E-3</v>
      </c>
      <c r="K435" s="73">
        <f t="shared" si="416"/>
        <v>-4.0539514254902209E-2</v>
      </c>
      <c r="L435" s="24">
        <f t="shared" si="416"/>
        <v>-6.2738114294861536E-2</v>
      </c>
      <c r="M435" s="73">
        <f t="shared" si="416"/>
        <v>0.12749137854805892</v>
      </c>
      <c r="N435" s="73">
        <f t="shared" si="416"/>
        <v>0.22702566502285748</v>
      </c>
      <c r="O435" s="73">
        <f t="shared" ref="O435:Y435" si="417">O433/J433-1</f>
        <v>0.15021721422753198</v>
      </c>
      <c r="P435" s="73">
        <f t="shared" si="417"/>
        <v>0.34596631205673778</v>
      </c>
      <c r="Q435" s="24">
        <f t="shared" si="417"/>
        <v>0.21574873080191126</v>
      </c>
      <c r="R435" s="73">
        <f t="shared" si="417"/>
        <v>7.5901119929729921E-2</v>
      </c>
      <c r="S435" s="73">
        <f t="shared" si="417"/>
        <v>4.3343698662285712E-2</v>
      </c>
      <c r="T435" s="73">
        <f t="shared" si="417"/>
        <v>9.2859250516376557E-2</v>
      </c>
      <c r="U435" s="73">
        <f t="shared" si="417"/>
        <v>-0.26377878666698096</v>
      </c>
      <c r="V435" s="24">
        <f t="shared" si="417"/>
        <v>-2.928718935700958E-2</v>
      </c>
      <c r="W435" s="73">
        <f t="shared" si="417"/>
        <v>-4.0106133278906109E-2</v>
      </c>
      <c r="X435" s="73">
        <f t="shared" si="417"/>
        <v>-0.24362092477260266</v>
      </c>
      <c r="Y435" s="73">
        <f t="shared" si="417"/>
        <v>-0.13016713016713011</v>
      </c>
      <c r="Z435" s="73">
        <v>2.5225657001358481E-2</v>
      </c>
      <c r="AA435" s="24">
        <v>-0.10182240505367346</v>
      </c>
      <c r="AB435" s="73">
        <f t="shared" ref="AB435:AI435" si="418">AB433/W433-1</f>
        <v>-5.9065641991433937E-2</v>
      </c>
      <c r="AC435" s="73">
        <f t="shared" si="418"/>
        <v>0.19149845730642001</v>
      </c>
      <c r="AD435" s="73">
        <f t="shared" si="418"/>
        <v>2.4428855227216273E-2</v>
      </c>
      <c r="AE435" s="73">
        <f t="shared" si="418"/>
        <v>0.10124037772306593</v>
      </c>
      <c r="AF435" s="24">
        <f t="shared" si="418"/>
        <v>5.8348439073514724E-2</v>
      </c>
      <c r="AG435" s="73">
        <f t="shared" si="418"/>
        <v>0.12988878666085579</v>
      </c>
      <c r="AH435" s="73">
        <f t="shared" si="418"/>
        <v>0.15435613446689023</v>
      </c>
      <c r="AI435" s="73">
        <f t="shared" si="418"/>
        <v>0.13626033996909381</v>
      </c>
      <c r="AJ435" s="73">
        <f t="shared" ref="AJ435:AS435" si="419">AJ433/AE433-1</f>
        <v>0.10370590482659048</v>
      </c>
      <c r="AK435" s="24">
        <v>0.13041657944316509</v>
      </c>
      <c r="AL435" s="73">
        <v>8.5714285714285632E-2</v>
      </c>
      <c r="AM435" s="73">
        <v>8.1081081081081141E-2</v>
      </c>
      <c r="AN435" s="73">
        <v>4.0000000000000036E-2</v>
      </c>
      <c r="AO435" s="73">
        <v>0.12820512820512819</v>
      </c>
      <c r="AP435" s="24">
        <v>8.4175084175084125E-2</v>
      </c>
      <c r="AQ435" s="73">
        <v>0</v>
      </c>
      <c r="AR435" s="73">
        <v>-7.4999999999999956E-2</v>
      </c>
      <c r="AS435" s="73">
        <v>-3.8461538461538436E-2</v>
      </c>
      <c r="AT435" s="73">
        <v>-0.19318181818181823</v>
      </c>
      <c r="AU435" s="24">
        <v>-8.0745341614906874E-2</v>
      </c>
      <c r="AV435" s="73">
        <v>-7.8947368421052655E-2</v>
      </c>
      <c r="AW435" s="73">
        <v>-4.0540540540540571E-2</v>
      </c>
      <c r="AX435" s="73">
        <v>-4.0000000000000036E-2</v>
      </c>
      <c r="AY435" s="73">
        <v>1.4084507042253502E-2</v>
      </c>
      <c r="AZ435" s="24">
        <v>-3.7162162162162171E-2</v>
      </c>
    </row>
    <row r="436" spans="1:55" s="36" customFormat="1">
      <c r="A436" s="69" t="s">
        <v>43</v>
      </c>
      <c r="B436" s="37">
        <v>55.999000000000002</v>
      </c>
      <c r="C436" s="70">
        <v>26.847999999999999</v>
      </c>
      <c r="D436" s="70">
        <v>42.551000000000002</v>
      </c>
      <c r="E436" s="70">
        <v>52.412999999999997</v>
      </c>
      <c r="F436" s="70">
        <f>G436-E436-D436-C436</f>
        <v>55.335999999999999</v>
      </c>
      <c r="G436" s="37">
        <v>177.148</v>
      </c>
      <c r="H436" s="70">
        <v>65.95</v>
      </c>
      <c r="I436" s="70">
        <v>59.054000000000002</v>
      </c>
      <c r="J436" s="70">
        <v>60.661000000000001</v>
      </c>
      <c r="K436" s="70">
        <f>L436-J436-I436-H436</f>
        <v>62.552000000000007</v>
      </c>
      <c r="L436" s="37">
        <v>248.21700000000001</v>
      </c>
      <c r="M436" s="70">
        <v>58.691000000000003</v>
      </c>
      <c r="N436" s="70">
        <v>7.2850000000000001</v>
      </c>
      <c r="O436" s="70">
        <v>71.742000000000004</v>
      </c>
      <c r="P436" s="70">
        <f>Q436-O436-N436-M436</f>
        <v>40.600999999999985</v>
      </c>
      <c r="Q436" s="37">
        <v>178.31899999999999</v>
      </c>
      <c r="R436" s="70">
        <v>61.37</v>
      </c>
      <c r="S436" s="70">
        <v>65.313000000000002</v>
      </c>
      <c r="T436" s="70">
        <v>63.363999999999997</v>
      </c>
      <c r="U436" s="70">
        <v>106</v>
      </c>
      <c r="V436" s="37">
        <v>294.86799999999999</v>
      </c>
      <c r="W436" s="70">
        <v>51.604999999999997</v>
      </c>
      <c r="X436" s="70">
        <v>74.488</v>
      </c>
      <c r="Y436" s="70">
        <v>53.99</v>
      </c>
      <c r="Z436" s="70">
        <f>AA436-Y436-X436-W436</f>
        <v>72.665999999999997</v>
      </c>
      <c r="AA436" s="37">
        <v>252.749</v>
      </c>
      <c r="AB436" s="70">
        <v>67.429000000000002</v>
      </c>
      <c r="AC436" s="70">
        <v>67.584000000000003</v>
      </c>
      <c r="AD436" s="70">
        <v>72.408000000000001</v>
      </c>
      <c r="AE436" s="70">
        <f>AF436-AD436-AC436-AB436</f>
        <v>59.578999999999979</v>
      </c>
      <c r="AF436" s="37">
        <v>267</v>
      </c>
      <c r="AG436" s="70">
        <v>73</v>
      </c>
      <c r="AH436" s="70">
        <v>67</v>
      </c>
      <c r="AI436" s="70">
        <v>76</v>
      </c>
      <c r="AJ436" s="70">
        <f>AK436-AI436-AH436-AG436</f>
        <v>57</v>
      </c>
      <c r="AK436" s="37">
        <v>273</v>
      </c>
      <c r="AL436" s="70">
        <v>59</v>
      </c>
      <c r="AM436" s="70">
        <v>70</v>
      </c>
      <c r="AN436" s="70">
        <v>74</v>
      </c>
      <c r="AO436" s="70">
        <v>47</v>
      </c>
      <c r="AP436" s="37">
        <v>250</v>
      </c>
      <c r="AQ436" s="70">
        <v>57</v>
      </c>
      <c r="AR436" s="70">
        <v>77</v>
      </c>
      <c r="AS436" s="70">
        <v>62</v>
      </c>
      <c r="AT436" s="70">
        <v>68</v>
      </c>
      <c r="AU436" s="37">
        <v>264</v>
      </c>
      <c r="AV436" s="70">
        <v>52</v>
      </c>
      <c r="AW436" s="70">
        <v>49</v>
      </c>
      <c r="AX436" s="70">
        <v>35</v>
      </c>
      <c r="AY436" s="70">
        <v>27</v>
      </c>
      <c r="AZ436" s="37">
        <v>163</v>
      </c>
    </row>
    <row r="437" spans="1:55">
      <c r="A437" s="71" t="s">
        <v>7</v>
      </c>
      <c r="B437" s="24"/>
      <c r="C437" s="72"/>
      <c r="D437" s="72">
        <f>D436/C436-1</f>
        <v>0.58488528009535168</v>
      </c>
      <c r="E437" s="72">
        <f>E436/D436-1</f>
        <v>0.2317689361002091</v>
      </c>
      <c r="F437" s="72">
        <f>F436/E436-1</f>
        <v>5.576860702497477E-2</v>
      </c>
      <c r="G437" s="24"/>
      <c r="H437" s="72">
        <f>H436/F436-1</f>
        <v>0.19181003325140966</v>
      </c>
      <c r="I437" s="72">
        <f>I436/H436-1</f>
        <v>-0.10456406368460958</v>
      </c>
      <c r="J437" s="72">
        <f>J436/I436-1</f>
        <v>2.7212381887763648E-2</v>
      </c>
      <c r="K437" s="72">
        <f>K436/J436-1</f>
        <v>3.1173241456619705E-2</v>
      </c>
      <c r="L437" s="24"/>
      <c r="M437" s="72">
        <f>M436/K436-1</f>
        <v>-6.172464509528075E-2</v>
      </c>
      <c r="N437" s="72">
        <f>N436/M436-1</f>
        <v>-0.87587534715714499</v>
      </c>
      <c r="O437" s="72">
        <f>O436/N436-1</f>
        <v>8.847906657515443</v>
      </c>
      <c r="P437" s="72">
        <f>P436/O436-1</f>
        <v>-0.43406930389451115</v>
      </c>
      <c r="Q437" s="24"/>
      <c r="R437" s="72">
        <f>R436/P436-1</f>
        <v>0.51153912465210261</v>
      </c>
      <c r="S437" s="72">
        <f>S436/R436-1</f>
        <v>6.4249633371354253E-2</v>
      </c>
      <c r="T437" s="72">
        <f>T436/S436-1</f>
        <v>-2.9840919878125427E-2</v>
      </c>
      <c r="U437" s="72">
        <f>U436/T436-1</f>
        <v>0.67287418723565429</v>
      </c>
      <c r="V437" s="24"/>
      <c r="W437" s="72">
        <f>W436/U436-1</f>
        <v>-0.51316037735849052</v>
      </c>
      <c r="X437" s="72">
        <f>X436/W436-1</f>
        <v>0.44342602461001857</v>
      </c>
      <c r="Y437" s="72">
        <f>Y436/X436-1</f>
        <v>-0.27518526474062932</v>
      </c>
      <c r="Z437" s="72">
        <v>0.34591591035376901</v>
      </c>
      <c r="AA437" s="24"/>
      <c r="AB437" s="72">
        <f>AB436/Z436-1</f>
        <v>-7.2069468527234171E-2</v>
      </c>
      <c r="AC437" s="72">
        <f>AC436/AB436-1</f>
        <v>2.2987142030876928E-3</v>
      </c>
      <c r="AD437" s="72">
        <f>AD436/AC436-1</f>
        <v>7.1377840909090828E-2</v>
      </c>
      <c r="AE437" s="72">
        <f>AE436/AD436-1</f>
        <v>-0.17717655507678742</v>
      </c>
      <c r="AF437" s="24"/>
      <c r="AG437" s="72">
        <f>AG436/AE436-1</f>
        <v>0.22526393527920963</v>
      </c>
      <c r="AH437" s="72">
        <f>AH436/AG436-1</f>
        <v>-8.2191780821917804E-2</v>
      </c>
      <c r="AI437" s="72">
        <f>AI436/AH436-1</f>
        <v>0.13432835820895517</v>
      </c>
      <c r="AJ437" s="72">
        <f>AJ436/AI436-1</f>
        <v>-0.25</v>
      </c>
      <c r="AK437" s="24"/>
      <c r="AL437" s="72">
        <v>3.5087719298245723E-2</v>
      </c>
      <c r="AM437" s="72">
        <v>0.18644067796610164</v>
      </c>
      <c r="AN437" s="72">
        <v>5.7142857142857162E-2</v>
      </c>
      <c r="AO437" s="72">
        <v>-0.36486486486486491</v>
      </c>
      <c r="AP437" s="24"/>
      <c r="AQ437" s="72">
        <v>0.2127659574468086</v>
      </c>
      <c r="AR437" s="72">
        <v>0.35087719298245612</v>
      </c>
      <c r="AS437" s="72">
        <v>-0.19480519480519476</v>
      </c>
      <c r="AT437" s="72">
        <v>9.6774193548387011E-2</v>
      </c>
      <c r="AU437" s="24"/>
      <c r="AV437" s="72">
        <v>-0.23529411764705888</v>
      </c>
      <c r="AW437" s="72">
        <v>-5.7692307692307709E-2</v>
      </c>
      <c r="AX437" s="72">
        <v>-0.2857142857142857</v>
      </c>
      <c r="AY437" s="72">
        <v>-0.22857142857142854</v>
      </c>
      <c r="AZ437" s="24"/>
    </row>
    <row r="438" spans="1:55">
      <c r="A438" s="71" t="s">
        <v>8</v>
      </c>
      <c r="B438" s="24"/>
      <c r="C438" s="73"/>
      <c r="D438" s="73"/>
      <c r="E438" s="73"/>
      <c r="F438" s="73"/>
      <c r="G438" s="24">
        <f t="shared" ref="G438:N438" si="420">G436/B436-1</f>
        <v>2.1634136323862925</v>
      </c>
      <c r="H438" s="73">
        <f t="shared" si="420"/>
        <v>1.4564213349225272</v>
      </c>
      <c r="I438" s="73">
        <f t="shared" si="420"/>
        <v>0.3878404737843999</v>
      </c>
      <c r="J438" s="73">
        <f t="shared" si="420"/>
        <v>0.15736553908381512</v>
      </c>
      <c r="K438" s="73">
        <f t="shared" si="420"/>
        <v>0.13040335405522629</v>
      </c>
      <c r="L438" s="24">
        <f t="shared" si="420"/>
        <v>0.4011843204552128</v>
      </c>
      <c r="M438" s="73">
        <f t="shared" si="420"/>
        <v>-0.11006823351023498</v>
      </c>
      <c r="N438" s="73">
        <f t="shared" si="420"/>
        <v>-0.8766383310190673</v>
      </c>
      <c r="O438" s="73">
        <f t="shared" ref="O438:Y438" si="421">O436/J436-1</f>
        <v>0.18267090882115378</v>
      </c>
      <c r="P438" s="73">
        <f t="shared" si="421"/>
        <v>-0.35092403120603688</v>
      </c>
      <c r="Q438" s="24">
        <f t="shared" si="421"/>
        <v>-0.28160037386641534</v>
      </c>
      <c r="R438" s="73">
        <f t="shared" si="421"/>
        <v>4.5645840077694899E-2</v>
      </c>
      <c r="S438" s="73">
        <f t="shared" si="421"/>
        <v>7.9654083733699377</v>
      </c>
      <c r="T438" s="73">
        <f t="shared" si="421"/>
        <v>-0.11677957124139282</v>
      </c>
      <c r="U438" s="73">
        <f t="shared" si="421"/>
        <v>1.6107731336666595</v>
      </c>
      <c r="V438" s="24">
        <f t="shared" si="421"/>
        <v>0.65359832659447403</v>
      </c>
      <c r="W438" s="73">
        <f t="shared" si="421"/>
        <v>-0.15911683232849927</v>
      </c>
      <c r="X438" s="73">
        <f t="shared" si="421"/>
        <v>0.14047739347449961</v>
      </c>
      <c r="Y438" s="73">
        <f t="shared" si="421"/>
        <v>-0.14793889274666994</v>
      </c>
      <c r="Z438" s="73">
        <v>-0.30676104978964125</v>
      </c>
      <c r="AA438" s="24">
        <v>-0.14284018611717786</v>
      </c>
      <c r="AB438" s="73">
        <f t="shared" ref="AB438:AI438" si="422">AB436/W436-1</f>
        <v>0.30663695378354827</v>
      </c>
      <c r="AC438" s="73">
        <f t="shared" si="422"/>
        <v>-9.2686070239501595E-2</v>
      </c>
      <c r="AD438" s="73">
        <f t="shared" si="422"/>
        <v>0.34113724763845155</v>
      </c>
      <c r="AE438" s="73">
        <f t="shared" si="422"/>
        <v>-0.18009798255029885</v>
      </c>
      <c r="AF438" s="24">
        <f t="shared" si="422"/>
        <v>5.6384001519293792E-2</v>
      </c>
      <c r="AG438" s="73">
        <f t="shared" si="422"/>
        <v>8.2620237583235667E-2</v>
      </c>
      <c r="AH438" s="73">
        <f t="shared" si="422"/>
        <v>-8.6410984848485084E-3</v>
      </c>
      <c r="AI438" s="73">
        <f t="shared" si="422"/>
        <v>4.9607778146061099E-2</v>
      </c>
      <c r="AJ438" s="73">
        <f t="shared" ref="AJ438:AS438" si="423">AJ436/AE436-1</f>
        <v>-4.3287064234041828E-2</v>
      </c>
      <c r="AK438" s="24">
        <v>2.2471910112359605E-2</v>
      </c>
      <c r="AL438" s="73">
        <v>-0.19178082191780821</v>
      </c>
      <c r="AM438" s="73">
        <v>4.4776119402984982E-2</v>
      </c>
      <c r="AN438" s="73">
        <v>-2.6315789473684181E-2</v>
      </c>
      <c r="AO438" s="73">
        <v>-0.17543859649122806</v>
      </c>
      <c r="AP438" s="24">
        <v>-8.4249084249084283E-2</v>
      </c>
      <c r="AQ438" s="73">
        <v>-3.3898305084745783E-2</v>
      </c>
      <c r="AR438" s="73">
        <v>0.10000000000000009</v>
      </c>
      <c r="AS438" s="73">
        <v>-0.16216216216216217</v>
      </c>
      <c r="AT438" s="73">
        <v>0.44680851063829796</v>
      </c>
      <c r="AU438" s="24">
        <v>5.600000000000005E-2</v>
      </c>
      <c r="AV438" s="73">
        <v>-8.7719298245614086E-2</v>
      </c>
      <c r="AW438" s="73">
        <v>-0.36363636363636365</v>
      </c>
      <c r="AX438" s="73">
        <v>-0.43548387096774188</v>
      </c>
      <c r="AY438" s="73">
        <v>-0.60294117647058831</v>
      </c>
      <c r="AZ438" s="24">
        <v>-0.38257575757575757</v>
      </c>
    </row>
    <row r="439" spans="1:55">
      <c r="A439" s="69" t="s">
        <v>227</v>
      </c>
      <c r="B439" s="37">
        <v>153</v>
      </c>
      <c r="C439" s="70"/>
      <c r="D439" s="70"/>
      <c r="E439" s="70"/>
      <c r="F439" s="70"/>
      <c r="G439" s="37">
        <v>178</v>
      </c>
      <c r="H439" s="70"/>
      <c r="I439" s="70"/>
      <c r="J439" s="70"/>
      <c r="K439" s="70"/>
      <c r="L439" s="37">
        <v>170</v>
      </c>
      <c r="M439" s="70"/>
      <c r="N439" s="70"/>
      <c r="O439" s="70"/>
      <c r="P439" s="70"/>
      <c r="Q439" s="37">
        <v>172</v>
      </c>
      <c r="R439" s="70"/>
      <c r="S439" s="70"/>
      <c r="T439" s="70"/>
      <c r="U439" s="70"/>
      <c r="V439" s="37">
        <v>146</v>
      </c>
      <c r="W439" s="70"/>
      <c r="X439" s="70"/>
      <c r="Y439" s="70"/>
      <c r="Z439" s="70"/>
      <c r="AA439" s="37">
        <v>154</v>
      </c>
      <c r="AB439" s="70"/>
      <c r="AC439" s="70"/>
      <c r="AD439" s="70"/>
      <c r="AE439" s="70"/>
      <c r="AF439" s="37">
        <v>161</v>
      </c>
      <c r="AG439" s="70"/>
      <c r="AH439" s="70"/>
      <c r="AI439" s="70"/>
      <c r="AJ439" s="70"/>
      <c r="AK439" s="37">
        <v>111</v>
      </c>
      <c r="AL439" s="70"/>
      <c r="AM439" s="70"/>
      <c r="AN439" s="70"/>
      <c r="AO439" s="70"/>
      <c r="AP439" s="37">
        <v>90</v>
      </c>
      <c r="AQ439" s="70">
        <v>19</v>
      </c>
      <c r="AR439" s="70">
        <v>12</v>
      </c>
      <c r="AS439" s="70">
        <v>26</v>
      </c>
      <c r="AT439" s="70">
        <v>1</v>
      </c>
      <c r="AU439" s="37">
        <v>58</v>
      </c>
      <c r="AV439" s="70">
        <v>27</v>
      </c>
      <c r="AW439" s="70">
        <v>32</v>
      </c>
      <c r="AX439" s="151">
        <v>-1</v>
      </c>
      <c r="AY439" s="70">
        <v>13</v>
      </c>
      <c r="AZ439" s="37">
        <v>71</v>
      </c>
    </row>
    <row r="440" spans="1:55">
      <c r="A440" s="71" t="s">
        <v>7</v>
      </c>
      <c r="B440" s="24"/>
      <c r="C440" s="72"/>
      <c r="D440" s="72"/>
      <c r="E440" s="72"/>
      <c r="F440" s="72"/>
      <c r="G440" s="24"/>
      <c r="H440" s="72"/>
      <c r="I440" s="72"/>
      <c r="J440" s="72"/>
      <c r="K440" s="72"/>
      <c r="L440" s="24"/>
      <c r="M440" s="72" t="e">
        <f>M439/K439-1</f>
        <v>#DIV/0!</v>
      </c>
      <c r="N440" s="72" t="e">
        <f>N439/M439-1</f>
        <v>#DIV/0!</v>
      </c>
      <c r="O440" s="72" t="e">
        <f>O439/N439-1</f>
        <v>#DIV/0!</v>
      </c>
      <c r="P440" s="72" t="e">
        <f>P439/O439-1</f>
        <v>#DIV/0!</v>
      </c>
      <c r="Q440" s="24"/>
      <c r="R440" s="72" t="e">
        <f>R439/P439-1</f>
        <v>#DIV/0!</v>
      </c>
      <c r="S440" s="72" t="e">
        <f>S439/R439-1</f>
        <v>#DIV/0!</v>
      </c>
      <c r="T440" s="72" t="e">
        <f>T439/S439-1</f>
        <v>#DIV/0!</v>
      </c>
      <c r="U440" s="72" t="e">
        <f>U439/T439-1</f>
        <v>#DIV/0!</v>
      </c>
      <c r="V440" s="24"/>
      <c r="W440" s="72" t="e">
        <f>W439/U439-1</f>
        <v>#DIV/0!</v>
      </c>
      <c r="X440" s="72" t="e">
        <f>X439/W439-1</f>
        <v>#DIV/0!</v>
      </c>
      <c r="Y440" s="72" t="e">
        <f>Y439/X439-1</f>
        <v>#DIV/0!</v>
      </c>
      <c r="Z440" s="72" t="e">
        <f>Z439/Y439-1</f>
        <v>#DIV/0!</v>
      </c>
      <c r="AA440" s="24"/>
      <c r="AB440" s="72" t="e">
        <f>AB439/Z439-1</f>
        <v>#DIV/0!</v>
      </c>
      <c r="AC440" s="72" t="e">
        <f>AC439/AB439-1</f>
        <v>#DIV/0!</v>
      </c>
      <c r="AD440" s="72" t="e">
        <f>AD439/AC439-1</f>
        <v>#DIV/0!</v>
      </c>
      <c r="AE440" s="72">
        <v>0.34591591035376901</v>
      </c>
      <c r="AF440" s="24"/>
      <c r="AG440" s="72" t="e">
        <f>AG439/AE439-1</f>
        <v>#DIV/0!</v>
      </c>
      <c r="AH440" s="72" t="e">
        <f>AH439/AG439-1</f>
        <v>#DIV/0!</v>
      </c>
      <c r="AI440" s="72" t="e">
        <f>AI439/AH439-1</f>
        <v>#DIV/0!</v>
      </c>
      <c r="AJ440" s="72" t="e">
        <f>AJ439/AI439-1</f>
        <v>#DIV/0!</v>
      </c>
      <c r="AK440" s="24"/>
      <c r="AL440" s="72" t="e">
        <v>#DIV/0!</v>
      </c>
      <c r="AM440" s="72" t="e">
        <v>#DIV/0!</v>
      </c>
      <c r="AN440" s="72" t="e">
        <v>#DIV/0!</v>
      </c>
      <c r="AO440" s="72" t="e">
        <v>#DIV/0!</v>
      </c>
      <c r="AP440" s="24"/>
      <c r="AQ440" s="72"/>
      <c r="AR440" s="72">
        <v>-0.36842105263157898</v>
      </c>
      <c r="AS440" s="72">
        <v>1.1666666666666665</v>
      </c>
      <c r="AT440" s="72">
        <v>-0.96153846153846156</v>
      </c>
      <c r="AU440" s="24"/>
      <c r="AV440" s="72">
        <v>26</v>
      </c>
      <c r="AW440" s="72">
        <v>0.18518518518518512</v>
      </c>
      <c r="AX440" s="85" t="s">
        <v>44</v>
      </c>
      <c r="AY440" s="72">
        <v>-14</v>
      </c>
      <c r="AZ440" s="24"/>
      <c r="BA440" s="72"/>
      <c r="BB440" s="72"/>
      <c r="BC440" s="72"/>
    </row>
    <row r="441" spans="1:55">
      <c r="A441" s="71" t="s">
        <v>8</v>
      </c>
      <c r="B441" s="24"/>
      <c r="C441" s="73"/>
      <c r="D441" s="73"/>
      <c r="E441" s="73"/>
      <c r="F441" s="73"/>
      <c r="G441" s="24">
        <f t="shared" ref="G441" si="424">G439/B439-1</f>
        <v>0.1633986928104576</v>
      </c>
      <c r="H441" s="73"/>
      <c r="I441" s="73"/>
      <c r="J441" s="73"/>
      <c r="K441" s="73"/>
      <c r="L441" s="24">
        <f t="shared" ref="L441:Q441" si="425">L439/G439-1</f>
        <v>-4.49438202247191E-2</v>
      </c>
      <c r="M441" s="73" t="e">
        <f t="shared" si="425"/>
        <v>#DIV/0!</v>
      </c>
      <c r="N441" s="73" t="e">
        <f t="shared" si="425"/>
        <v>#DIV/0!</v>
      </c>
      <c r="O441" s="73" t="e">
        <f t="shared" si="425"/>
        <v>#DIV/0!</v>
      </c>
      <c r="P441" s="73" t="e">
        <f t="shared" si="425"/>
        <v>#DIV/0!</v>
      </c>
      <c r="Q441" s="24">
        <f t="shared" si="425"/>
        <v>1.1764705882352899E-2</v>
      </c>
      <c r="R441" s="73" t="e">
        <f t="shared" ref="R441" si="426">R439/M439-1</f>
        <v>#DIV/0!</v>
      </c>
      <c r="S441" s="73" t="e">
        <f t="shared" ref="S441" si="427">S439/N439-1</f>
        <v>#DIV/0!</v>
      </c>
      <c r="T441" s="73" t="e">
        <f t="shared" ref="T441" si="428">T439/O439-1</f>
        <v>#DIV/0!</v>
      </c>
      <c r="U441" s="73" t="e">
        <f t="shared" ref="U441" si="429">U439/P439-1</f>
        <v>#DIV/0!</v>
      </c>
      <c r="V441" s="24">
        <f t="shared" ref="V441" si="430">V439/Q439-1</f>
        <v>-0.15116279069767447</v>
      </c>
      <c r="W441" s="73" t="e">
        <f t="shared" ref="W441" si="431">W439/R439-1</f>
        <v>#DIV/0!</v>
      </c>
      <c r="X441" s="73" t="e">
        <f t="shared" ref="X441" si="432">X439/S439-1</f>
        <v>#DIV/0!</v>
      </c>
      <c r="Y441" s="73" t="e">
        <f t="shared" ref="Y441" si="433">Y439/T439-1</f>
        <v>#DIV/0!</v>
      </c>
      <c r="Z441" s="73" t="e">
        <f t="shared" ref="Z441" si="434">Z439/U439-1</f>
        <v>#DIV/0!</v>
      </c>
      <c r="AA441" s="24">
        <f t="shared" ref="AA441" si="435">AA439/V439-1</f>
        <v>5.4794520547945202E-2</v>
      </c>
      <c r="AB441" s="73" t="e">
        <f t="shared" ref="AB441" si="436">AB439/W439-1</f>
        <v>#DIV/0!</v>
      </c>
      <c r="AC441" s="73" t="e">
        <f t="shared" ref="AC441" si="437">AC439/X439-1</f>
        <v>#DIV/0!</v>
      </c>
      <c r="AD441" s="73" t="e">
        <f t="shared" ref="AD441" si="438">AD439/Y439-1</f>
        <v>#DIV/0!</v>
      </c>
      <c r="AE441" s="73">
        <v>-0.30676104978964125</v>
      </c>
      <c r="AF441" s="24">
        <f t="shared" ref="AF441" si="439">AF439/AA439-1</f>
        <v>4.5454545454545414E-2</v>
      </c>
      <c r="AG441" s="73" t="e">
        <f t="shared" ref="AG441" si="440">AG439/AB439-1</f>
        <v>#DIV/0!</v>
      </c>
      <c r="AH441" s="73" t="e">
        <f t="shared" ref="AH441" si="441">AH439/AC439-1</f>
        <v>#DIV/0!</v>
      </c>
      <c r="AI441" s="73" t="e">
        <f t="shared" ref="AI441" si="442">AI439/AD439-1</f>
        <v>#DIV/0!</v>
      </c>
      <c r="AJ441" s="73" t="e">
        <f t="shared" ref="AJ441" si="443">AJ439/AE439-1</f>
        <v>#DIV/0!</v>
      </c>
      <c r="AK441" s="24">
        <v>-0.31055900621118016</v>
      </c>
      <c r="AL441" s="73" t="e">
        <v>#DIV/0!</v>
      </c>
      <c r="AM441" s="73" t="e">
        <v>#DIV/0!</v>
      </c>
      <c r="AN441" s="73" t="e">
        <v>#DIV/0!</v>
      </c>
      <c r="AO441" s="73" t="e">
        <v>#DIV/0!</v>
      </c>
      <c r="AP441" s="24">
        <v>-0.18918918918918914</v>
      </c>
      <c r="AQ441" s="73"/>
      <c r="AR441" s="73"/>
      <c r="AS441" s="73"/>
      <c r="AT441" s="73"/>
      <c r="AU441" s="24">
        <v>-0.35555555555555551</v>
      </c>
      <c r="AV441" s="73">
        <v>0.42105263157894735</v>
      </c>
      <c r="AW441" s="73">
        <v>1.6666666666666665</v>
      </c>
      <c r="AX441" s="85" t="s">
        <v>44</v>
      </c>
      <c r="AY441" s="73">
        <v>12</v>
      </c>
      <c r="AZ441" s="24">
        <v>0.22413793103448265</v>
      </c>
      <c r="BA441" s="73"/>
      <c r="BB441" s="73"/>
      <c r="BC441" s="73"/>
    </row>
    <row r="442" spans="1:55">
      <c r="A442" s="192" t="s">
        <v>177</v>
      </c>
      <c r="B442" s="178">
        <f>55.999-166.523+13.392</f>
        <v>-97.132000000000005</v>
      </c>
      <c r="C442" s="80" t="s">
        <v>53</v>
      </c>
      <c r="D442" s="80" t="s">
        <v>53</v>
      </c>
      <c r="E442" s="80" t="s">
        <v>53</v>
      </c>
      <c r="F442" s="80" t="s">
        <v>53</v>
      </c>
      <c r="G442" s="178">
        <f>177.148-229.65+51.805</f>
        <v>-0.69700000000000983</v>
      </c>
      <c r="H442" s="80" t="s">
        <v>53</v>
      </c>
      <c r="I442" s="80" t="s">
        <v>53</v>
      </c>
      <c r="J442" s="80" t="s">
        <v>53</v>
      </c>
      <c r="K442" s="80" t="s">
        <v>53</v>
      </c>
      <c r="L442" s="37">
        <f>248.217-177.9+8.347</f>
        <v>78.664000000000001</v>
      </c>
      <c r="M442" s="80" t="s">
        <v>53</v>
      </c>
      <c r="N442" s="80" t="s">
        <v>53</v>
      </c>
      <c r="O442" s="80" t="s">
        <v>53</v>
      </c>
      <c r="P442" s="80" t="s">
        <v>53</v>
      </c>
      <c r="Q442" s="37">
        <f>178.319-181.584+9.313</f>
        <v>6.0479999999999858</v>
      </c>
      <c r="R442" s="80" t="s">
        <v>53</v>
      </c>
      <c r="S442" s="80" t="s">
        <v>53</v>
      </c>
      <c r="T442" s="80" t="s">
        <v>53</v>
      </c>
      <c r="U442" s="80" t="s">
        <v>53</v>
      </c>
      <c r="V442" s="37">
        <f>294.868-168.991+23.163</f>
        <v>149.04</v>
      </c>
      <c r="W442" s="80" t="s">
        <v>53</v>
      </c>
      <c r="X442" s="80" t="s">
        <v>53</v>
      </c>
      <c r="Y442" s="80" t="s">
        <v>53</v>
      </c>
      <c r="Z442" s="80" t="s">
        <v>53</v>
      </c>
      <c r="AA442" s="37">
        <f>252.749-155.431+1.859</f>
        <v>99.176999999999978</v>
      </c>
      <c r="AB442" s="80" t="s">
        <v>53</v>
      </c>
      <c r="AC442" s="80" t="s">
        <v>53</v>
      </c>
      <c r="AD442" s="80" t="s">
        <v>53</v>
      </c>
      <c r="AE442" s="80" t="s">
        <v>53</v>
      </c>
      <c r="AF442" s="37">
        <f>267-168+7</f>
        <v>106</v>
      </c>
      <c r="AG442" s="70">
        <v>55</v>
      </c>
      <c r="AH442" s="70">
        <f>67-50+6</f>
        <v>23</v>
      </c>
      <c r="AI442" s="70">
        <f>76-42+16</f>
        <v>50</v>
      </c>
      <c r="AJ442" s="70">
        <v>34</v>
      </c>
      <c r="AK442" s="37">
        <v>162</v>
      </c>
      <c r="AL442" s="70">
        <v>60</v>
      </c>
      <c r="AM442" s="70">
        <v>15</v>
      </c>
      <c r="AN442" s="70">
        <v>80</v>
      </c>
      <c r="AO442" s="70">
        <v>5</v>
      </c>
      <c r="AP442" s="37">
        <v>160</v>
      </c>
      <c r="AQ442" s="70">
        <v>38</v>
      </c>
      <c r="AR442" s="70">
        <v>65</v>
      </c>
      <c r="AS442" s="147">
        <v>36</v>
      </c>
      <c r="AT442" s="70">
        <v>67</v>
      </c>
      <c r="AU442" s="37">
        <v>206</v>
      </c>
      <c r="AV442" s="70">
        <v>25</v>
      </c>
      <c r="AW442" s="70">
        <v>16</v>
      </c>
      <c r="AX442" s="70">
        <v>36</v>
      </c>
      <c r="AY442" s="70">
        <v>15</v>
      </c>
      <c r="AZ442" s="37">
        <v>92</v>
      </c>
    </row>
    <row r="443" spans="1:55">
      <c r="A443" s="71" t="s">
        <v>7</v>
      </c>
      <c r="B443" s="24"/>
      <c r="C443" s="73"/>
      <c r="D443" s="73"/>
      <c r="E443" s="73"/>
      <c r="F443" s="73"/>
      <c r="G443" s="24"/>
      <c r="H443" s="73"/>
      <c r="I443" s="73"/>
      <c r="J443" s="73"/>
      <c r="K443" s="73"/>
      <c r="L443" s="24"/>
      <c r="M443" s="73"/>
      <c r="N443" s="73"/>
      <c r="O443" s="73"/>
      <c r="P443" s="73"/>
      <c r="Q443" s="24"/>
      <c r="R443" s="73"/>
      <c r="S443" s="73"/>
      <c r="T443" s="73"/>
      <c r="U443" s="73"/>
      <c r="V443" s="24"/>
      <c r="W443" s="73"/>
      <c r="X443" s="73"/>
      <c r="Y443" s="73"/>
      <c r="Z443" s="73"/>
      <c r="AA443" s="24"/>
      <c r="AB443" s="73"/>
      <c r="AC443" s="73"/>
      <c r="AD443" s="73"/>
      <c r="AE443" s="73"/>
      <c r="AF443" s="24"/>
      <c r="AG443" s="72"/>
      <c r="AH443" s="72">
        <f>AH442/AG442-1</f>
        <v>-0.58181818181818179</v>
      </c>
      <c r="AI443" s="72">
        <f>AI442/AH442-1</f>
        <v>1.1739130434782608</v>
      </c>
      <c r="AJ443" s="72">
        <f>AJ442/AI442-1</f>
        <v>-0.31999999999999995</v>
      </c>
      <c r="AK443" s="24"/>
      <c r="AL443" s="72">
        <v>0.76470588235294112</v>
      </c>
      <c r="AM443" s="72">
        <v>-0.75</v>
      </c>
      <c r="AN443" s="72">
        <v>4.333333333333333</v>
      </c>
      <c r="AO443" s="72">
        <v>-0.9375</v>
      </c>
      <c r="AP443" s="24"/>
      <c r="AQ443" s="72">
        <v>6.6</v>
      </c>
      <c r="AR443" s="72">
        <v>0.71052631578947367</v>
      </c>
      <c r="AS443" s="72">
        <v>-0.44615384615384612</v>
      </c>
      <c r="AT443" s="72">
        <v>0.86111111111111116</v>
      </c>
      <c r="AU443" s="24"/>
      <c r="AV443" s="72">
        <v>-0.62686567164179108</v>
      </c>
      <c r="AW443" s="72">
        <v>-0.36</v>
      </c>
      <c r="AX443" s="72">
        <v>1.25</v>
      </c>
      <c r="AY443" s="72">
        <v>-0.58333333333333326</v>
      </c>
      <c r="AZ443" s="24"/>
    </row>
    <row r="444" spans="1:55">
      <c r="A444" s="71" t="s">
        <v>8</v>
      </c>
      <c r="B444" s="24"/>
      <c r="C444" s="73"/>
      <c r="D444" s="73"/>
      <c r="E444" s="73"/>
      <c r="F444" s="73"/>
      <c r="G444" s="24">
        <f t="shared" ref="G444" si="444">G442/B442-1</f>
        <v>-0.99282419799859978</v>
      </c>
      <c r="H444" s="73"/>
      <c r="I444" s="73"/>
      <c r="J444" s="73"/>
      <c r="K444" s="73"/>
      <c r="L444" s="92" t="s">
        <v>44</v>
      </c>
      <c r="M444" s="73"/>
      <c r="N444" s="73"/>
      <c r="O444" s="73"/>
      <c r="P444" s="73"/>
      <c r="Q444" s="24">
        <f t="shared" ref="Q444" si="445">Q442/L442-1</f>
        <v>-0.92311603783179108</v>
      </c>
      <c r="R444" s="73"/>
      <c r="S444" s="73"/>
      <c r="T444" s="73"/>
      <c r="U444" s="73"/>
      <c r="V444" s="24">
        <f t="shared" ref="V444" si="446">V442/Q442-1</f>
        <v>23.642857142857199</v>
      </c>
      <c r="W444" s="73"/>
      <c r="X444" s="73"/>
      <c r="Y444" s="73"/>
      <c r="Z444" s="73"/>
      <c r="AA444" s="24">
        <f t="shared" ref="AA444" si="447">AA442/V442-1</f>
        <v>-0.33456119162640918</v>
      </c>
      <c r="AB444" s="73"/>
      <c r="AC444" s="73"/>
      <c r="AD444" s="73"/>
      <c r="AE444" s="73"/>
      <c r="AF444" s="24">
        <f t="shared" ref="AF444" si="448">AF442/AA442-1</f>
        <v>6.8796192665638412E-2</v>
      </c>
      <c r="AG444" s="73"/>
      <c r="AH444" s="73"/>
      <c r="AI444" s="73"/>
      <c r="AJ444" s="73"/>
      <c r="AK444" s="24">
        <v>0.52830188679245293</v>
      </c>
      <c r="AL444" s="73">
        <v>9.0909090909090828E-2</v>
      </c>
      <c r="AM444" s="73">
        <v>-0.34782608695652173</v>
      </c>
      <c r="AN444" s="73">
        <v>0.60000000000000009</v>
      </c>
      <c r="AO444" s="73">
        <v>-0.8529411764705882</v>
      </c>
      <c r="AP444" s="24"/>
      <c r="AQ444" s="73">
        <v>-0.3666666666666667</v>
      </c>
      <c r="AR444" s="73">
        <v>3.333333333333333</v>
      </c>
      <c r="AS444" s="73">
        <v>-0.55000000000000004</v>
      </c>
      <c r="AT444" s="73">
        <v>12.4</v>
      </c>
      <c r="AU444" s="24">
        <v>0.28750000000000009</v>
      </c>
      <c r="AV444" s="73">
        <v>-0.34210526315789469</v>
      </c>
      <c r="AW444" s="73">
        <v>-0.75384615384615383</v>
      </c>
      <c r="AX444" s="73">
        <v>0</v>
      </c>
      <c r="AY444" s="73">
        <v>-0.77611940298507465</v>
      </c>
      <c r="AZ444" s="24">
        <v>-0.55339805825242716</v>
      </c>
    </row>
    <row r="445" spans="1:55" s="36" customFormat="1">
      <c r="A445" s="69" t="s">
        <v>178</v>
      </c>
      <c r="B445" s="178">
        <v>-117.61</v>
      </c>
      <c r="C445" s="186">
        <v>-65.766999999999996</v>
      </c>
      <c r="D445" s="186">
        <v>-99.322000000000003</v>
      </c>
      <c r="E445" s="186">
        <v>-82.126999999999995</v>
      </c>
      <c r="F445" s="186">
        <f>G445-E445-D445-C445</f>
        <v>-17.490000000000009</v>
      </c>
      <c r="G445" s="178">
        <v>-264.70600000000002</v>
      </c>
      <c r="H445" s="186">
        <v>-1.153</v>
      </c>
      <c r="I445" s="186">
        <v>-95.153999999999996</v>
      </c>
      <c r="J445" s="186">
        <v>-88.456999999999994</v>
      </c>
      <c r="K445" s="186">
        <f>L445-J445-I445-H445</f>
        <v>-37.690000000000019</v>
      </c>
      <c r="L445" s="178">
        <v>-222.45400000000001</v>
      </c>
      <c r="M445" s="186">
        <v>-8.2669999999999995</v>
      </c>
      <c r="N445" s="186">
        <v>-142.78399999999999</v>
      </c>
      <c r="O445" s="186">
        <v>-78.350999999999999</v>
      </c>
      <c r="P445" s="186">
        <f>Q445-O445-N445-M445</f>
        <v>-84.237000000000023</v>
      </c>
      <c r="Q445" s="178">
        <v>-313.63900000000001</v>
      </c>
      <c r="R445" s="186">
        <v>-73.378</v>
      </c>
      <c r="S445" s="186">
        <v>-88.364000000000004</v>
      </c>
      <c r="T445" s="186">
        <v>-75.885000000000005</v>
      </c>
      <c r="U445" s="186">
        <f>V445-T445-S445-R445</f>
        <v>8.0100000000000335</v>
      </c>
      <c r="V445" s="178">
        <v>-229.61699999999999</v>
      </c>
      <c r="W445" s="186">
        <v>-63.862000000000002</v>
      </c>
      <c r="X445" s="186">
        <v>-106.64400000000001</v>
      </c>
      <c r="Y445" s="186">
        <v>-118.672</v>
      </c>
      <c r="Z445" s="186">
        <f>AA445-Y445-X445-W445</f>
        <v>-21.139000000000003</v>
      </c>
      <c r="AA445" s="178">
        <v>-310.31700000000001</v>
      </c>
      <c r="AB445" s="186">
        <v>-60.701000000000001</v>
      </c>
      <c r="AC445" s="186">
        <v>-100.938</v>
      </c>
      <c r="AD445" s="186">
        <v>-136.084</v>
      </c>
      <c r="AE445" s="186">
        <f>AF445-AD445-AC445-AB445</f>
        <v>-82.971000000000032</v>
      </c>
      <c r="AF445" s="178">
        <v>-380.69400000000002</v>
      </c>
      <c r="AG445" s="186">
        <v>-34</v>
      </c>
      <c r="AH445" s="186">
        <v>-115</v>
      </c>
      <c r="AI445" s="186">
        <v>-86</v>
      </c>
      <c r="AJ445" s="186">
        <f>AK445-AI445-AH445-AG445</f>
        <v>-87</v>
      </c>
      <c r="AK445" s="178">
        <v>-322</v>
      </c>
      <c r="AL445" s="186">
        <v>-3</v>
      </c>
      <c r="AM445" s="186">
        <v>-166</v>
      </c>
      <c r="AN445" s="186">
        <v>-75</v>
      </c>
      <c r="AO445" s="186">
        <v>-110</v>
      </c>
      <c r="AP445" s="178">
        <v>-354</v>
      </c>
      <c r="AQ445" s="186">
        <v>-71</v>
      </c>
      <c r="AR445" s="186">
        <v>-114</v>
      </c>
      <c r="AS445" s="186">
        <v>-142</v>
      </c>
      <c r="AT445" s="186">
        <v>395</v>
      </c>
      <c r="AU445" s="178">
        <v>68</v>
      </c>
      <c r="AV445" s="186">
        <v>19</v>
      </c>
      <c r="AW445" s="186">
        <v>-151</v>
      </c>
      <c r="AX445" s="186">
        <v>-123</v>
      </c>
      <c r="AY445" s="186">
        <v>11</v>
      </c>
      <c r="AZ445" s="178">
        <v>-244</v>
      </c>
    </row>
    <row r="446" spans="1:55">
      <c r="A446" s="71" t="s">
        <v>7</v>
      </c>
      <c r="B446" s="178"/>
      <c r="C446" s="72"/>
      <c r="D446" s="72">
        <f>D445/C445-1</f>
        <v>0.51021028783432443</v>
      </c>
      <c r="E446" s="72">
        <f>E445/D445-1</f>
        <v>-0.17312377922313293</v>
      </c>
      <c r="F446" s="72">
        <f>F445/E445-1</f>
        <v>-0.78703714978021833</v>
      </c>
      <c r="G446" s="24"/>
      <c r="H446" s="72">
        <f>H445/F445-1</f>
        <v>-0.93407661520869067</v>
      </c>
      <c r="I446" s="72">
        <f>I445/H445-1</f>
        <v>81.527320034692096</v>
      </c>
      <c r="J446" s="72">
        <f>J445/I445-1</f>
        <v>-7.0380646110515643E-2</v>
      </c>
      <c r="K446" s="72">
        <f>K445/J445-1</f>
        <v>-0.57391727053822739</v>
      </c>
      <c r="L446" s="24"/>
      <c r="M446" s="72">
        <f>M445/K445-1</f>
        <v>-0.78065799946935543</v>
      </c>
      <c r="N446" s="72">
        <f>N445/M445-1</f>
        <v>16.271561630579413</v>
      </c>
      <c r="O446" s="72">
        <f>O445/N445-1</f>
        <v>-0.45126204616763776</v>
      </c>
      <c r="P446" s="72">
        <f>P445/O445-1</f>
        <v>7.5123482788988394E-2</v>
      </c>
      <c r="Q446" s="24"/>
      <c r="R446" s="72">
        <f>R445/P445-1</f>
        <v>-0.12891009888766247</v>
      </c>
      <c r="S446" s="72">
        <f>S445/R445-1</f>
        <v>0.20423015072637574</v>
      </c>
      <c r="T446" s="72">
        <f>T445/S445-1</f>
        <v>-0.14122266986555609</v>
      </c>
      <c r="U446" s="85" t="s">
        <v>44</v>
      </c>
      <c r="V446" s="24"/>
      <c r="W446" s="85" t="s">
        <v>44</v>
      </c>
      <c r="X446" s="72">
        <f>X445/W445-1</f>
        <v>0.66991325044627481</v>
      </c>
      <c r="Y446" s="72">
        <f>Y445/X445-1</f>
        <v>0.11278646712426377</v>
      </c>
      <c r="Z446" s="72">
        <v>-0.821870365376837</v>
      </c>
      <c r="AA446" s="24"/>
      <c r="AB446" s="72">
        <f>AB445/Z445-1</f>
        <v>1.8715171010927665</v>
      </c>
      <c r="AC446" s="72">
        <f>AC445/AB445-1</f>
        <v>0.66287211083837172</v>
      </c>
      <c r="AD446" s="72">
        <f>AD445/AC445-1</f>
        <v>0.34819394083496791</v>
      </c>
      <c r="AE446" s="72">
        <f>AE445/AD445-1</f>
        <v>-0.39029569971488176</v>
      </c>
      <c r="AF446" s="24"/>
      <c r="AG446" s="72">
        <f>AG445/AE445-1</f>
        <v>-0.59021826903375896</v>
      </c>
      <c r="AH446" s="72">
        <f>AH445/AG445-1</f>
        <v>2.3823529411764706</v>
      </c>
      <c r="AI446" s="72">
        <f>AI445/AH445-1</f>
        <v>-0.25217391304347825</v>
      </c>
      <c r="AJ446" s="72">
        <f>AJ445/AI445-1</f>
        <v>1.1627906976744207E-2</v>
      </c>
      <c r="AK446" s="24"/>
      <c r="AL446" s="72">
        <v>-0.96551724137931039</v>
      </c>
      <c r="AM446" s="72">
        <v>54.333333333333336</v>
      </c>
      <c r="AN446" s="72">
        <v>-0.54819277108433728</v>
      </c>
      <c r="AO446" s="72">
        <v>0.46666666666666656</v>
      </c>
      <c r="AP446" s="24"/>
      <c r="AQ446" s="72">
        <v>-0.3545454545454545</v>
      </c>
      <c r="AR446" s="72">
        <v>0.60563380281690149</v>
      </c>
      <c r="AS446" s="72">
        <v>0.2456140350877194</v>
      </c>
      <c r="AT446" s="85" t="s">
        <v>44</v>
      </c>
      <c r="AU446" s="24"/>
      <c r="AV446" s="72">
        <v>-0.95189873417721516</v>
      </c>
      <c r="AW446" s="85" t="s">
        <v>44</v>
      </c>
      <c r="AX446" s="72">
        <v>-0.18543046357615889</v>
      </c>
      <c r="AY446" s="72">
        <v>-1.089430894308943</v>
      </c>
      <c r="AZ446" s="24"/>
    </row>
    <row r="447" spans="1:55">
      <c r="A447" s="71" t="s">
        <v>8</v>
      </c>
      <c r="B447" s="24"/>
      <c r="C447" s="73"/>
      <c r="D447" s="73"/>
      <c r="E447" s="73"/>
      <c r="F447" s="73"/>
      <c r="G447" s="24">
        <f t="shared" ref="G447:N447" si="449">G445/B445-1</f>
        <v>1.2507099736416971</v>
      </c>
      <c r="H447" s="73">
        <f t="shared" si="449"/>
        <v>-0.98246841120926909</v>
      </c>
      <c r="I447" s="73">
        <f t="shared" si="449"/>
        <v>-4.1964519441815562E-2</v>
      </c>
      <c r="J447" s="73">
        <f t="shared" si="449"/>
        <v>7.7075748535804234E-2</v>
      </c>
      <c r="K447" s="73">
        <f t="shared" si="449"/>
        <v>1.1549456832475702</v>
      </c>
      <c r="L447" s="24">
        <f t="shared" si="449"/>
        <v>-0.15961859572506865</v>
      </c>
      <c r="M447" s="73">
        <f t="shared" si="449"/>
        <v>6.169991326973113</v>
      </c>
      <c r="N447" s="73">
        <f t="shared" si="449"/>
        <v>0.50055699182378044</v>
      </c>
      <c r="O447" s="73">
        <f t="shared" ref="O447:Y447" si="450">O445/J445-1</f>
        <v>-0.11424760052907057</v>
      </c>
      <c r="P447" s="73">
        <f t="shared" si="450"/>
        <v>1.2349960201644992</v>
      </c>
      <c r="Q447" s="24">
        <f t="shared" si="450"/>
        <v>0.40990496911721075</v>
      </c>
      <c r="R447" s="73">
        <f t="shared" si="450"/>
        <v>7.8760130639893564</v>
      </c>
      <c r="S447" s="73">
        <f t="shared" si="450"/>
        <v>-0.38113514119229042</v>
      </c>
      <c r="T447" s="73">
        <f t="shared" si="450"/>
        <v>-3.147375272810804E-2</v>
      </c>
      <c r="U447" s="85" t="s">
        <v>44</v>
      </c>
      <c r="V447" s="24">
        <f t="shared" si="450"/>
        <v>-0.26789398002161724</v>
      </c>
      <c r="W447" s="73">
        <f t="shared" si="450"/>
        <v>-0.12968464662432877</v>
      </c>
      <c r="X447" s="73">
        <f t="shared" si="450"/>
        <v>0.2068715766601783</v>
      </c>
      <c r="Y447" s="73">
        <f t="shared" si="450"/>
        <v>0.56384002108453557</v>
      </c>
      <c r="Z447" s="85" t="s">
        <v>44</v>
      </c>
      <c r="AA447" s="24">
        <v>0.35145481388573163</v>
      </c>
      <c r="AB447" s="73">
        <f t="shared" ref="AB447:AI447" si="451">AB445/W445-1</f>
        <v>-4.9497353668848443E-2</v>
      </c>
      <c r="AC447" s="73">
        <f t="shared" si="451"/>
        <v>-5.3505119837965576E-2</v>
      </c>
      <c r="AD447" s="73">
        <f t="shared" si="451"/>
        <v>0.14672374275313471</v>
      </c>
      <c r="AE447" s="73">
        <f t="shared" si="451"/>
        <v>2.92502010501916</v>
      </c>
      <c r="AF447" s="24">
        <f t="shared" si="451"/>
        <v>0.22679066889664434</v>
      </c>
      <c r="AG447" s="73">
        <f t="shared" si="451"/>
        <v>-0.43987743200276763</v>
      </c>
      <c r="AH447" s="164">
        <f t="shared" si="451"/>
        <v>0.13931324179199112</v>
      </c>
      <c r="AI447" s="73">
        <f t="shared" si="451"/>
        <v>-0.36803738867170277</v>
      </c>
      <c r="AJ447" s="73">
        <f t="shared" ref="AJ447:AS447" si="452">AJ445/AE445-1</f>
        <v>4.8559135119499164E-2</v>
      </c>
      <c r="AK447" s="24">
        <v>-0.15417632008910043</v>
      </c>
      <c r="AL447" s="73">
        <v>-0.91176470588235292</v>
      </c>
      <c r="AM447" s="73">
        <v>0.44347826086956532</v>
      </c>
      <c r="AN447" s="73">
        <v>-0.12790697674418605</v>
      </c>
      <c r="AO447" s="73">
        <v>0.26436781609195403</v>
      </c>
      <c r="AP447" s="24">
        <v>9.9378881987577605E-2</v>
      </c>
      <c r="AQ447" s="73">
        <v>22.666666666666668</v>
      </c>
      <c r="AR447" s="73">
        <v>-0.31325301204819278</v>
      </c>
      <c r="AS447" s="73">
        <v>0.89333333333333331</v>
      </c>
      <c r="AT447" s="85" t="s">
        <v>44</v>
      </c>
      <c r="AU447" s="92" t="s">
        <v>44</v>
      </c>
      <c r="AV447" s="83" t="s">
        <v>44</v>
      </c>
      <c r="AW447" s="73">
        <v>0.32456140350877183</v>
      </c>
      <c r="AX447" s="73">
        <v>-0.13380281690140849</v>
      </c>
      <c r="AY447" s="73">
        <v>-0.97215189873417718</v>
      </c>
      <c r="AZ447" s="92" t="s">
        <v>44</v>
      </c>
    </row>
    <row r="448" spans="1:55" s="36" customFormat="1">
      <c r="A448" s="69" t="s">
        <v>9</v>
      </c>
      <c r="B448" s="37">
        <f>B433+B436</f>
        <v>329.20100000000002</v>
      </c>
      <c r="C448" s="77">
        <f>C433+C436</f>
        <v>91.557999999999993</v>
      </c>
      <c r="D448" s="77">
        <f>D433+D436</f>
        <v>103.146</v>
      </c>
      <c r="E448" s="77">
        <f>E433+E436</f>
        <v>111.151</v>
      </c>
      <c r="F448" s="70">
        <f>G448-E448-D448-C448</f>
        <v>121.173</v>
      </c>
      <c r="G448" s="37">
        <f>G433+G436</f>
        <v>427.02800000000002</v>
      </c>
      <c r="H448" s="77">
        <f>H433+H436</f>
        <v>122.495</v>
      </c>
      <c r="I448" s="77">
        <f>I433+I436</f>
        <v>114.616</v>
      </c>
      <c r="J448" s="77">
        <f>J433+J436</f>
        <v>119.589</v>
      </c>
      <c r="K448" s="70">
        <f>L448-J448-I448-H448</f>
        <v>125.72000000000003</v>
      </c>
      <c r="L448" s="37">
        <f>L433+L436</f>
        <v>482.42</v>
      </c>
      <c r="M448" s="77">
        <f>M433+M436</f>
        <v>122.44499999999999</v>
      </c>
      <c r="N448" s="77">
        <f>N433+N436</f>
        <v>75.460999999999999</v>
      </c>
      <c r="O448" s="77">
        <f>O433+O436</f>
        <v>139.52199999999999</v>
      </c>
      <c r="P448" s="70">
        <f>Q448-O448-N448-M448</f>
        <v>125.62300000000005</v>
      </c>
      <c r="Q448" s="37">
        <f>Q433+Q436</f>
        <v>463.05100000000004</v>
      </c>
      <c r="R448" s="77">
        <f>R433+R436</f>
        <v>129.96299999999999</v>
      </c>
      <c r="S448" s="77">
        <f>S433+S436</f>
        <v>136.44400000000002</v>
      </c>
      <c r="T448" s="77">
        <f>T433+T436</f>
        <v>137.43799999999999</v>
      </c>
      <c r="U448" s="70">
        <v>168</v>
      </c>
      <c r="V448" s="37">
        <f>V433+V436</f>
        <v>571.26099999999997</v>
      </c>
      <c r="W448" s="77">
        <v>118</v>
      </c>
      <c r="X448" s="77">
        <f>X433+X436</f>
        <v>128.29</v>
      </c>
      <c r="Y448" s="77">
        <f>Y433+Y436</f>
        <v>118.422</v>
      </c>
      <c r="Z448" s="70">
        <f>AA448-Y448-X448-W448</f>
        <v>136.79100000000003</v>
      </c>
      <c r="AA448" s="37">
        <f>500.999+0.504</f>
        <v>501.50300000000004</v>
      </c>
      <c r="AB448" s="77">
        <f>AB436+AB433+0.8</f>
        <v>130.18200000000002</v>
      </c>
      <c r="AC448" s="77">
        <f>AC433+AC436</f>
        <v>131.68900000000002</v>
      </c>
      <c r="AD448" s="77">
        <f>AD433+AD436</f>
        <v>138.41399999999999</v>
      </c>
      <c r="AE448" s="77">
        <v>131</v>
      </c>
      <c r="AF448" s="37">
        <f>AF433+AF436</f>
        <v>529.73500000000001</v>
      </c>
      <c r="AG448" s="77">
        <f>AG436+AG433</f>
        <v>143</v>
      </c>
      <c r="AH448" s="77">
        <f>AH433+AH436</f>
        <v>141</v>
      </c>
      <c r="AI448" s="77">
        <f>AI433+AI436</f>
        <v>151</v>
      </c>
      <c r="AJ448" s="77">
        <v>135</v>
      </c>
      <c r="AK448" s="37">
        <v>570</v>
      </c>
      <c r="AL448" s="77">
        <v>135</v>
      </c>
      <c r="AM448" s="77">
        <v>150</v>
      </c>
      <c r="AN448" s="77">
        <v>152</v>
      </c>
      <c r="AO448" s="70">
        <v>135</v>
      </c>
      <c r="AP448" s="37">
        <v>572</v>
      </c>
      <c r="AQ448" s="77">
        <v>133</v>
      </c>
      <c r="AR448" s="77">
        <v>151</v>
      </c>
      <c r="AS448" s="77">
        <v>137</v>
      </c>
      <c r="AT448" s="70">
        <v>139</v>
      </c>
      <c r="AU448" s="37">
        <v>560</v>
      </c>
      <c r="AV448" s="77">
        <v>122</v>
      </c>
      <c r="AW448" s="77">
        <v>120</v>
      </c>
      <c r="AX448" s="77">
        <v>107</v>
      </c>
      <c r="AY448" s="70">
        <v>99</v>
      </c>
      <c r="AZ448" s="37">
        <v>448</v>
      </c>
    </row>
    <row r="449" spans="1:52">
      <c r="A449" s="71" t="s">
        <v>7</v>
      </c>
      <c r="B449" s="24"/>
      <c r="C449" s="72"/>
      <c r="D449" s="72">
        <f>D448/C448-1</f>
        <v>0.12656458201358722</v>
      </c>
      <c r="E449" s="72">
        <f>E448/D448-1</f>
        <v>7.7608438524033874E-2</v>
      </c>
      <c r="F449" s="72">
        <f>F448/E448-1</f>
        <v>9.0165630538636687E-2</v>
      </c>
      <c r="G449" s="24"/>
      <c r="H449" s="72">
        <f>H448/F448-1</f>
        <v>1.0910021209345366E-2</v>
      </c>
      <c r="I449" s="72">
        <f>I448/H448-1</f>
        <v>-6.4320992693579382E-2</v>
      </c>
      <c r="J449" s="72">
        <f>J448/I448-1</f>
        <v>4.3388357646401809E-2</v>
      </c>
      <c r="K449" s="72">
        <f>K448/J448-1</f>
        <v>5.1267257021967216E-2</v>
      </c>
      <c r="L449" s="24"/>
      <c r="M449" s="72">
        <f>M448/K448-1</f>
        <v>-2.6049952274896815E-2</v>
      </c>
      <c r="N449" s="72">
        <f>N448/M448-1</f>
        <v>-0.38371513740863239</v>
      </c>
      <c r="O449" s="72">
        <f>O448/N448-1</f>
        <v>0.84892858562701257</v>
      </c>
      <c r="P449" s="72">
        <f>P448/O448-1</f>
        <v>-9.9618698126459959E-2</v>
      </c>
      <c r="Q449" s="24"/>
      <c r="R449" s="72">
        <f>R448/P448-1</f>
        <v>3.4547813696536034E-2</v>
      </c>
      <c r="S449" s="72">
        <f>S448/R448-1</f>
        <v>4.9868039365050132E-2</v>
      </c>
      <c r="T449" s="72">
        <f>T448/S448-1</f>
        <v>7.2850400164168327E-3</v>
      </c>
      <c r="U449" s="72">
        <f>U448/T448-1</f>
        <v>0.22236935927472756</v>
      </c>
      <c r="V449" s="24"/>
      <c r="W449" s="72">
        <f>W448/U448-1</f>
        <v>-0.29761904761904767</v>
      </c>
      <c r="X449" s="72">
        <f>X448/W448-1</f>
        <v>8.720338983050846E-2</v>
      </c>
      <c r="Y449" s="72">
        <f>Y448/X448-1</f>
        <v>-7.6919479304700222E-2</v>
      </c>
      <c r="Z449" s="72">
        <v>0.150858793129655</v>
      </c>
      <c r="AA449" s="24"/>
      <c r="AB449" s="72">
        <f>AB448/Z448-1</f>
        <v>-4.8314582099699632E-2</v>
      </c>
      <c r="AC449" s="72">
        <f>AC448/AB448-1</f>
        <v>1.1576101150696738E-2</v>
      </c>
      <c r="AD449" s="72">
        <f>AD448/AC448-1</f>
        <v>5.1067287320884613E-2</v>
      </c>
      <c r="AE449" s="72">
        <f>AE448/AD448-1</f>
        <v>-5.3563945843628447E-2</v>
      </c>
      <c r="AF449" s="24"/>
      <c r="AG449" s="72">
        <f>AG448/AE448-1</f>
        <v>9.1603053435114434E-2</v>
      </c>
      <c r="AH449" s="72">
        <f>AH448/AG448-1</f>
        <v>-1.3986013986013957E-2</v>
      </c>
      <c r="AI449" s="72">
        <f>AI448/AH448-1</f>
        <v>7.0921985815602939E-2</v>
      </c>
      <c r="AJ449" s="72">
        <f>AJ448/AI448-1</f>
        <v>-0.10596026490066224</v>
      </c>
      <c r="AK449" s="24"/>
      <c r="AL449" s="72">
        <v>0</v>
      </c>
      <c r="AM449" s="72">
        <v>0.11111111111111116</v>
      </c>
      <c r="AN449" s="72">
        <v>1.3333333333333419E-2</v>
      </c>
      <c r="AO449" s="72">
        <v>-0.11184210526315785</v>
      </c>
      <c r="AP449" s="24"/>
      <c r="AQ449" s="72">
        <v>-1.4814814814814836E-2</v>
      </c>
      <c r="AR449" s="72">
        <v>0.13533834586466176</v>
      </c>
      <c r="AS449" s="72">
        <v>-9.27152317880795E-2</v>
      </c>
      <c r="AT449" s="72">
        <v>1.4598540145985384E-2</v>
      </c>
      <c r="AU449" s="24"/>
      <c r="AV449" s="72">
        <v>-0.12230215827338131</v>
      </c>
      <c r="AW449" s="72">
        <v>-1.6393442622950838E-2</v>
      </c>
      <c r="AX449" s="72">
        <v>-0.10833333333333328</v>
      </c>
      <c r="AY449" s="72">
        <v>-7.4766355140186924E-2</v>
      </c>
      <c r="AZ449" s="24"/>
    </row>
    <row r="450" spans="1:52">
      <c r="A450" s="71" t="s">
        <v>8</v>
      </c>
      <c r="B450" s="24"/>
      <c r="C450" s="73"/>
      <c r="D450" s="73"/>
      <c r="E450" s="73"/>
      <c r="F450" s="73"/>
      <c r="G450" s="24">
        <f t="shared" ref="G450:N450" si="453">G448/B448-1</f>
        <v>0.29716495393391873</v>
      </c>
      <c r="H450" s="73">
        <f t="shared" si="453"/>
        <v>0.33789510474234929</v>
      </c>
      <c r="I450" s="73">
        <f t="shared" si="453"/>
        <v>0.11120159773524896</v>
      </c>
      <c r="J450" s="73">
        <f t="shared" si="453"/>
        <v>7.591474660596842E-2</v>
      </c>
      <c r="K450" s="73">
        <f t="shared" si="453"/>
        <v>3.7524861148936051E-2</v>
      </c>
      <c r="L450" s="24">
        <f t="shared" si="453"/>
        <v>0.12971514748447399</v>
      </c>
      <c r="M450" s="73">
        <f t="shared" si="453"/>
        <v>-4.0817992571129391E-4</v>
      </c>
      <c r="N450" s="73">
        <f t="shared" si="453"/>
        <v>-0.34161897117330919</v>
      </c>
      <c r="O450" s="73">
        <f t="shared" ref="O450:V450" si="454">O448/J448-1</f>
        <v>0.16667920962630345</v>
      </c>
      <c r="P450" s="73">
        <f t="shared" si="454"/>
        <v>-7.7155583837085207E-4</v>
      </c>
      <c r="Q450" s="24">
        <f t="shared" si="454"/>
        <v>-4.0149662120144258E-2</v>
      </c>
      <c r="R450" s="73">
        <f t="shared" si="454"/>
        <v>6.1398995467352613E-2</v>
      </c>
      <c r="S450" s="73">
        <f t="shared" si="454"/>
        <v>0.80813930374630627</v>
      </c>
      <c r="T450" s="73">
        <f t="shared" si="454"/>
        <v>-1.4936712489786563E-2</v>
      </c>
      <c r="U450" s="73">
        <f t="shared" si="454"/>
        <v>0.33733472373689488</v>
      </c>
      <c r="V450" s="24">
        <f t="shared" si="454"/>
        <v>0.23368916166901688</v>
      </c>
      <c r="W450" s="73">
        <v>-9.1999999999999998E-2</v>
      </c>
      <c r="X450" s="73">
        <f>X448/S448-1</f>
        <v>-5.97607809797428E-2</v>
      </c>
      <c r="Y450" s="73">
        <f>Y448/T448-1</f>
        <v>-0.13836056985695366</v>
      </c>
      <c r="Z450" s="73">
        <v>-0.18593802265016468</v>
      </c>
      <c r="AA450" s="24">
        <v>-0.12299456815711196</v>
      </c>
      <c r="AB450" s="73">
        <v>0.104</v>
      </c>
      <c r="AC450" s="73">
        <f>AC448/X448-1</f>
        <v>2.6494660534726266E-2</v>
      </c>
      <c r="AD450" s="73">
        <f>AD448/Y448-1</f>
        <v>0.1688199827734711</v>
      </c>
      <c r="AE450" s="73">
        <v>-4.4999999999999998E-2</v>
      </c>
      <c r="AF450" s="24">
        <f>AF448/AA448-1</f>
        <v>5.6294777897639703E-2</v>
      </c>
      <c r="AG450" s="73">
        <f>AG448/AB448-1</f>
        <v>9.8462152985819618E-2</v>
      </c>
      <c r="AH450" s="73">
        <f>AH448/AC448-1</f>
        <v>7.0704462787324562E-2</v>
      </c>
      <c r="AI450" s="73">
        <f>AI448/AD448-1</f>
        <v>9.0930108226046524E-2</v>
      </c>
      <c r="AJ450" s="73">
        <v>3.5000000000000003E-2</v>
      </c>
      <c r="AK450" s="24">
        <v>7.6009702964689785E-2</v>
      </c>
      <c r="AL450" s="73">
        <v>-5.5944055944055937E-2</v>
      </c>
      <c r="AM450" s="73">
        <v>6.3829787234042534E-2</v>
      </c>
      <c r="AN450" s="73">
        <v>6.6225165562914245E-3</v>
      </c>
      <c r="AO450" s="73">
        <v>0</v>
      </c>
      <c r="AP450" s="24">
        <v>3.5087719298245723E-3</v>
      </c>
      <c r="AQ450" s="73">
        <v>-1.4814814814814836E-2</v>
      </c>
      <c r="AR450" s="73">
        <v>6.6666666666665986E-3</v>
      </c>
      <c r="AS450" s="73">
        <v>-9.8684210526315819E-2</v>
      </c>
      <c r="AT450" s="73">
        <v>2.9629629629629672E-2</v>
      </c>
      <c r="AU450" s="24">
        <v>-2.0979020979020935E-2</v>
      </c>
      <c r="AV450" s="73">
        <v>-8.2706766917293284E-2</v>
      </c>
      <c r="AW450" s="73">
        <v>-0.20529801324503316</v>
      </c>
      <c r="AX450" s="73">
        <v>-0.21897810218978098</v>
      </c>
      <c r="AY450" s="73">
        <v>-0.28776978417266186</v>
      </c>
      <c r="AZ450" s="24">
        <v>-0.19999999999999996</v>
      </c>
    </row>
    <row r="451" spans="1:52">
      <c r="A451" s="82"/>
      <c r="B451" s="22"/>
      <c r="C451" s="73"/>
      <c r="D451" s="73"/>
      <c r="E451" s="73"/>
      <c r="F451" s="73"/>
      <c r="G451" s="22"/>
      <c r="H451" s="73"/>
      <c r="I451" s="73"/>
      <c r="J451" s="73"/>
      <c r="K451" s="73"/>
      <c r="L451" s="22"/>
      <c r="M451" s="73"/>
      <c r="N451" s="73"/>
      <c r="O451" s="73"/>
      <c r="P451" s="73"/>
      <c r="Q451" s="22"/>
      <c r="R451" s="73"/>
      <c r="S451" s="73"/>
      <c r="T451" s="73"/>
      <c r="U451" s="73"/>
      <c r="V451" s="22"/>
      <c r="W451" s="73"/>
      <c r="X451" s="73"/>
      <c r="Y451" s="73"/>
      <c r="Z451" s="73"/>
      <c r="AA451" s="22"/>
      <c r="AB451" s="73"/>
      <c r="AC451" s="73"/>
      <c r="AD451" s="73"/>
      <c r="AE451" s="73"/>
      <c r="AF451" s="22"/>
      <c r="AG451" s="73"/>
      <c r="AH451" s="73"/>
      <c r="AI451" s="73"/>
      <c r="AJ451" s="73"/>
      <c r="AK451" s="22"/>
      <c r="AL451" s="73"/>
      <c r="AM451" s="73"/>
      <c r="AN451" s="73"/>
      <c r="AO451" s="73"/>
      <c r="AP451" s="22"/>
      <c r="AQ451" s="73"/>
      <c r="AR451" s="73"/>
      <c r="AS451" s="73"/>
      <c r="AT451" s="73"/>
      <c r="AU451" s="22"/>
      <c r="AV451" s="73"/>
      <c r="AW451" s="73"/>
      <c r="AX451" s="73"/>
      <c r="AY451" s="73"/>
      <c r="AZ451" s="22"/>
    </row>
    <row r="452" spans="1:52">
      <c r="A452" s="40" t="s">
        <v>26</v>
      </c>
      <c r="B452" s="41"/>
      <c r="C452" s="53"/>
      <c r="D452" s="53"/>
      <c r="E452" s="53"/>
      <c r="F452" s="53"/>
      <c r="G452" s="41"/>
      <c r="H452" s="53"/>
      <c r="I452" s="53"/>
      <c r="J452" s="53"/>
      <c r="K452" s="53"/>
      <c r="L452" s="41"/>
      <c r="M452" s="53"/>
      <c r="N452" s="53"/>
      <c r="O452" s="53"/>
      <c r="P452" s="53"/>
      <c r="Q452" s="41"/>
      <c r="R452" s="53"/>
      <c r="S452" s="53"/>
      <c r="T452" s="53"/>
      <c r="U452" s="53"/>
      <c r="V452" s="41"/>
      <c r="W452" s="53"/>
      <c r="X452" s="53"/>
      <c r="Y452" s="53"/>
      <c r="Z452" s="53"/>
      <c r="AA452" s="41"/>
      <c r="AB452" s="53"/>
      <c r="AC452" s="53"/>
      <c r="AD452" s="53"/>
      <c r="AE452" s="53"/>
      <c r="AF452" s="41"/>
      <c r="AG452" s="53"/>
      <c r="AH452" s="53"/>
      <c r="AI452" s="53"/>
      <c r="AJ452" s="53"/>
      <c r="AK452" s="41"/>
      <c r="AL452" s="53"/>
      <c r="AM452" s="53"/>
      <c r="AN452" s="53"/>
      <c r="AO452" s="53"/>
      <c r="AP452" s="41"/>
      <c r="AQ452" s="53"/>
      <c r="AR452" s="53"/>
      <c r="AS452" s="53"/>
      <c r="AT452" s="53"/>
      <c r="AU452" s="41"/>
      <c r="AV452" s="53"/>
      <c r="AW452" s="53"/>
      <c r="AX452" s="53"/>
      <c r="AY452" s="53"/>
      <c r="AZ452" s="41"/>
    </row>
    <row r="453" spans="1:52" s="36" customFormat="1">
      <c r="A453" s="69" t="s">
        <v>12</v>
      </c>
      <c r="B453" s="37">
        <v>249.875</v>
      </c>
      <c r="C453" s="70">
        <v>84.1</v>
      </c>
      <c r="D453" s="70">
        <v>32.369999999999997</v>
      </c>
      <c r="E453" s="70">
        <v>97.233000000000004</v>
      </c>
      <c r="F453" s="70">
        <f>G453-E453-D453-C453</f>
        <v>133.32399999999998</v>
      </c>
      <c r="G453" s="37">
        <v>347.02699999999999</v>
      </c>
      <c r="H453" s="70">
        <v>90.685000000000002</v>
      </c>
      <c r="I453" s="70">
        <v>93.376000000000005</v>
      </c>
      <c r="J453" s="70">
        <v>135.02799999999999</v>
      </c>
      <c r="K453" s="70">
        <f>L453-J453-I453-H453</f>
        <v>90.639000000000038</v>
      </c>
      <c r="L453" s="37">
        <v>409.72800000000001</v>
      </c>
      <c r="M453" s="70">
        <v>124.29600000000001</v>
      </c>
      <c r="N453" s="70">
        <v>109.545</v>
      </c>
      <c r="O453" s="70">
        <v>126.117</v>
      </c>
      <c r="P453" s="70">
        <f>Q453-O453-N453-M453</f>
        <v>131.55599999999998</v>
      </c>
      <c r="Q453" s="37">
        <v>491.51400000000001</v>
      </c>
      <c r="R453" s="70">
        <v>141.339</v>
      </c>
      <c r="S453" s="70">
        <v>118.801</v>
      </c>
      <c r="T453" s="70">
        <v>134.20099999999999</v>
      </c>
      <c r="U453" s="70">
        <f>V453-T453-S453-R453</f>
        <v>118.80799999999999</v>
      </c>
      <c r="V453" s="37">
        <v>513.149</v>
      </c>
      <c r="W453" s="70">
        <v>115.95099999999999</v>
      </c>
      <c r="X453" s="70">
        <v>100.084</v>
      </c>
      <c r="Y453" s="70">
        <v>82.509</v>
      </c>
      <c r="Z453" s="70">
        <f>AA453-Y453-X453-W453</f>
        <v>119.50300000000001</v>
      </c>
      <c r="AA453" s="37">
        <v>418.04700000000003</v>
      </c>
      <c r="AB453" s="70">
        <v>121.581</v>
      </c>
      <c r="AC453" s="70">
        <v>110.20099999999999</v>
      </c>
      <c r="AD453" s="70">
        <v>125.82599999999999</v>
      </c>
      <c r="AE453" s="70">
        <v>134</v>
      </c>
      <c r="AF453" s="37">
        <v>490</v>
      </c>
      <c r="AG453" s="70">
        <v>113</v>
      </c>
      <c r="AH453" s="70">
        <v>106</v>
      </c>
      <c r="AI453" s="70">
        <v>101</v>
      </c>
      <c r="AJ453" s="70">
        <f>AK453-AI453-AH453-AG453</f>
        <v>122</v>
      </c>
      <c r="AK453" s="37">
        <v>442</v>
      </c>
      <c r="AL453" s="70">
        <v>149</v>
      </c>
      <c r="AM453" s="70">
        <v>106</v>
      </c>
      <c r="AN453" s="70">
        <v>145</v>
      </c>
      <c r="AO453" s="70">
        <v>105</v>
      </c>
      <c r="AP453" s="37">
        <v>505</v>
      </c>
      <c r="AQ453" s="70">
        <v>158</v>
      </c>
      <c r="AR453" s="70">
        <v>110</v>
      </c>
      <c r="AS453" s="70">
        <v>154</v>
      </c>
      <c r="AT453" s="70">
        <v>207</v>
      </c>
      <c r="AU453" s="37">
        <v>629</v>
      </c>
      <c r="AV453" s="70">
        <v>51</v>
      </c>
      <c r="AW453" s="70">
        <v>169</v>
      </c>
      <c r="AX453" s="70">
        <v>115</v>
      </c>
      <c r="AY453" s="70">
        <v>95</v>
      </c>
      <c r="AZ453" s="37">
        <v>430</v>
      </c>
    </row>
    <row r="454" spans="1:52">
      <c r="A454" s="82" t="s">
        <v>7</v>
      </c>
      <c r="B454" s="24"/>
      <c r="C454" s="72"/>
      <c r="D454" s="72">
        <f>D453/C453-1</f>
        <v>-0.61510107015457782</v>
      </c>
      <c r="E454" s="72">
        <f>E453/D453-1</f>
        <v>2.0037998146431883</v>
      </c>
      <c r="F454" s="72">
        <f>F453/E453-1</f>
        <v>0.37118056626865337</v>
      </c>
      <c r="G454" s="24"/>
      <c r="H454" s="72">
        <f>H453/F453-1</f>
        <v>-0.31981488704209282</v>
      </c>
      <c r="I454" s="72">
        <f>I453/H453-1</f>
        <v>2.9674146771792476E-2</v>
      </c>
      <c r="J454" s="72">
        <f>J453/I453-1</f>
        <v>0.44606751199451655</v>
      </c>
      <c r="K454" s="72">
        <f>K453/J453-1</f>
        <v>-0.32873922445714931</v>
      </c>
      <c r="L454" s="24"/>
      <c r="M454" s="72">
        <f>M453/K453-1</f>
        <v>0.37133022208982847</v>
      </c>
      <c r="N454" s="72">
        <f>N453/M453-1</f>
        <v>-0.1186763854025874</v>
      </c>
      <c r="O454" s="72">
        <f>O453/N453-1</f>
        <v>0.15128029576886215</v>
      </c>
      <c r="P454" s="72">
        <f>P453/O453-1</f>
        <v>4.3126620519041703E-2</v>
      </c>
      <c r="Q454" s="24"/>
      <c r="R454" s="72">
        <f>R453/P453-1</f>
        <v>7.4363769041321026E-2</v>
      </c>
      <c r="S454" s="72">
        <f>S453/R453-1</f>
        <v>-0.15946058766511717</v>
      </c>
      <c r="T454" s="72">
        <f>T453/S453-1</f>
        <v>0.12962853848031575</v>
      </c>
      <c r="U454" s="72">
        <f>U453/T453-1</f>
        <v>-0.11470108270430179</v>
      </c>
      <c r="V454" s="24"/>
      <c r="W454" s="72">
        <f>W453/U453-1</f>
        <v>-2.4047202208605456E-2</v>
      </c>
      <c r="X454" s="72">
        <f>X453/W453-1</f>
        <v>-0.13684228682805655</v>
      </c>
      <c r="Y454" s="72">
        <f>Y453/X453-1</f>
        <v>-0.17560249390511973</v>
      </c>
      <c r="Z454" s="72">
        <v>0.44838744864196656</v>
      </c>
      <c r="AA454" s="24"/>
      <c r="AB454" s="72">
        <f>AB453/Z453-1</f>
        <v>1.7388684802891907E-2</v>
      </c>
      <c r="AC454" s="72">
        <f>AC453/AB453-1</f>
        <v>-9.3600151339436333E-2</v>
      </c>
      <c r="AD454" s="72">
        <f>AD453/AC453-1</f>
        <v>0.1417863721744812</v>
      </c>
      <c r="AE454" s="72">
        <f>AE453/AD453-1</f>
        <v>6.4962726304579332E-2</v>
      </c>
      <c r="AF454" s="24"/>
      <c r="AG454" s="72">
        <f>AG453/AE453-1</f>
        <v>-0.15671641791044777</v>
      </c>
      <c r="AH454" s="72">
        <f>AH453/AG453-1</f>
        <v>-6.1946902654867242E-2</v>
      </c>
      <c r="AI454" s="72">
        <f>AI453/AH453-1</f>
        <v>-4.7169811320754707E-2</v>
      </c>
      <c r="AJ454" s="72">
        <f>AJ453/AI453-1</f>
        <v>0.20792079207920788</v>
      </c>
      <c r="AK454" s="24"/>
      <c r="AL454" s="72">
        <v>0.22131147540983598</v>
      </c>
      <c r="AM454" s="72">
        <v>-0.28859060402684567</v>
      </c>
      <c r="AN454" s="72">
        <v>0.36792452830188682</v>
      </c>
      <c r="AO454" s="72">
        <v>-0.27586206896551724</v>
      </c>
      <c r="AP454" s="24"/>
      <c r="AQ454" s="72">
        <v>0.50476190476190474</v>
      </c>
      <c r="AR454" s="72">
        <v>-0.30379746835443033</v>
      </c>
      <c r="AS454" s="72">
        <v>0.39999999999999991</v>
      </c>
      <c r="AT454" s="72">
        <v>0.3441558441558441</v>
      </c>
      <c r="AU454" s="24"/>
      <c r="AV454" s="72">
        <v>-0.75362318840579712</v>
      </c>
      <c r="AW454" s="72">
        <v>2.3137254901960786</v>
      </c>
      <c r="AX454" s="72">
        <v>-0.31952662721893488</v>
      </c>
      <c r="AY454" s="72">
        <v>-0.17391304347826086</v>
      </c>
      <c r="AZ454" s="24"/>
    </row>
    <row r="455" spans="1:52">
      <c r="A455" s="82" t="s">
        <v>8</v>
      </c>
      <c r="B455" s="24"/>
      <c r="C455" s="73"/>
      <c r="D455" s="73"/>
      <c r="E455" s="73"/>
      <c r="F455" s="73"/>
      <c r="G455" s="24">
        <f t="shared" ref="G455:N455" si="455">G453/B453-1</f>
        <v>0.38880240120060017</v>
      </c>
      <c r="H455" s="73">
        <f t="shared" si="455"/>
        <v>7.8299643281807496E-2</v>
      </c>
      <c r="I455" s="73">
        <f t="shared" si="455"/>
        <v>1.884646277417362</v>
      </c>
      <c r="J455" s="73">
        <f t="shared" si="455"/>
        <v>0.38870548064957355</v>
      </c>
      <c r="K455" s="73">
        <f t="shared" si="455"/>
        <v>-0.32015991119378318</v>
      </c>
      <c r="L455" s="24">
        <f t="shared" si="455"/>
        <v>0.18068046578508312</v>
      </c>
      <c r="M455" s="73">
        <f t="shared" si="455"/>
        <v>0.37063461432430955</v>
      </c>
      <c r="N455" s="73">
        <f t="shared" si="455"/>
        <v>0.17316012679917758</v>
      </c>
      <c r="O455" s="73">
        <f t="shared" ref="O455:Y455" si="456">O453/J453-1</f>
        <v>-6.5993719821074048E-2</v>
      </c>
      <c r="P455" s="73">
        <f t="shared" si="456"/>
        <v>0.4514281931618831</v>
      </c>
      <c r="Q455" s="24">
        <f t="shared" si="456"/>
        <v>0.19961047328959691</v>
      </c>
      <c r="R455" s="73">
        <f t="shared" si="456"/>
        <v>0.13711623865611111</v>
      </c>
      <c r="S455" s="73">
        <f t="shared" si="456"/>
        <v>8.4494956410607447E-2</v>
      </c>
      <c r="T455" s="73">
        <f t="shared" si="456"/>
        <v>6.4099209464227647E-2</v>
      </c>
      <c r="U455" s="73">
        <f t="shared" si="456"/>
        <v>-9.6901699656420037E-2</v>
      </c>
      <c r="V455" s="24">
        <f t="shared" si="456"/>
        <v>4.4017057499888157E-2</v>
      </c>
      <c r="W455" s="73">
        <f t="shared" si="456"/>
        <v>-0.17962487353101408</v>
      </c>
      <c r="X455" s="73">
        <f t="shared" si="456"/>
        <v>-0.15754917887896569</v>
      </c>
      <c r="Y455" s="73">
        <f t="shared" si="456"/>
        <v>-0.38518341890149843</v>
      </c>
      <c r="Z455" s="73">
        <v>5.8666083092049348E-3</v>
      </c>
      <c r="AA455" s="24">
        <v>-0.18533018674887791</v>
      </c>
      <c r="AB455" s="73">
        <f t="shared" ref="AB455:AI455" si="457">AB453/W453-1</f>
        <v>4.8554993057412288E-2</v>
      </c>
      <c r="AC455" s="73">
        <f t="shared" si="457"/>
        <v>0.10108508852563847</v>
      </c>
      <c r="AD455" s="73">
        <f t="shared" si="457"/>
        <v>0.52499727302476096</v>
      </c>
      <c r="AE455" s="73">
        <f t="shared" si="457"/>
        <v>0.12131076207291858</v>
      </c>
      <c r="AF455" s="24">
        <f t="shared" si="457"/>
        <v>0.1721170107667318</v>
      </c>
      <c r="AG455" s="73">
        <f t="shared" si="457"/>
        <v>-7.0578462095228667E-2</v>
      </c>
      <c r="AH455" s="73">
        <f t="shared" si="457"/>
        <v>-3.8121251168319659E-2</v>
      </c>
      <c r="AI455" s="73">
        <f t="shared" si="457"/>
        <v>-0.19730421375550355</v>
      </c>
      <c r="AJ455" s="73">
        <v>-8.7999999999999995E-2</v>
      </c>
      <c r="AK455" s="24">
        <v>-0.10100000000000001</v>
      </c>
      <c r="AL455" s="73">
        <v>0.31858407079646023</v>
      </c>
      <c r="AM455" s="73">
        <v>0</v>
      </c>
      <c r="AN455" s="73">
        <v>0.43564356435643559</v>
      </c>
      <c r="AO455" s="73">
        <v>-0.13934426229508201</v>
      </c>
      <c r="AP455" s="24">
        <v>0.14253393665158365</v>
      </c>
      <c r="AQ455" s="73">
        <v>6.0402684563758413E-2</v>
      </c>
      <c r="AR455" s="73">
        <v>3.7735849056603765E-2</v>
      </c>
      <c r="AS455" s="73">
        <v>6.2068965517241281E-2</v>
      </c>
      <c r="AT455" s="73">
        <v>0.97142857142857153</v>
      </c>
      <c r="AU455" s="24">
        <v>0.24554455445544554</v>
      </c>
      <c r="AV455" s="73">
        <v>-0.67721518987341778</v>
      </c>
      <c r="AW455" s="73">
        <v>0.53636363636363638</v>
      </c>
      <c r="AX455" s="73">
        <v>-0.25324675324675328</v>
      </c>
      <c r="AY455" s="73">
        <v>-0.54106280193236711</v>
      </c>
      <c r="AZ455" s="24">
        <v>-0.31637519872813991</v>
      </c>
    </row>
    <row r="456" spans="1:52" hidden="1">
      <c r="A456" s="69" t="s">
        <v>50</v>
      </c>
      <c r="B456" s="37">
        <v>299</v>
      </c>
      <c r="C456" s="70">
        <v>70</v>
      </c>
      <c r="D456" s="70">
        <v>52</v>
      </c>
      <c r="E456" s="70">
        <v>77</v>
      </c>
      <c r="F456" s="70">
        <f>G456-E456-D456-C456</f>
        <v>66</v>
      </c>
      <c r="G456" s="37">
        <v>265</v>
      </c>
      <c r="H456" s="70">
        <v>20</v>
      </c>
      <c r="I456" s="70">
        <v>71</v>
      </c>
      <c r="J456" s="70">
        <v>101</v>
      </c>
      <c r="K456" s="70">
        <f>L456-J456-I456-H456</f>
        <v>78</v>
      </c>
      <c r="L456" s="37">
        <v>270</v>
      </c>
      <c r="M456" s="70">
        <v>66</v>
      </c>
      <c r="N456" s="70">
        <v>79</v>
      </c>
      <c r="O456" s="70">
        <v>82</v>
      </c>
      <c r="P456" s="70">
        <f>Q456-O456-N456-M456</f>
        <v>68.427000000000021</v>
      </c>
      <c r="Q456" s="37">
        <f>235.103+60.324</f>
        <v>295.42700000000002</v>
      </c>
      <c r="R456" s="70">
        <v>79</v>
      </c>
      <c r="S456" s="70">
        <v>75</v>
      </c>
      <c r="T456" s="70">
        <v>68</v>
      </c>
      <c r="U456" s="70">
        <f>V456-T456-S456-R456</f>
        <v>69</v>
      </c>
      <c r="V456" s="37">
        <f>79+75+68+69</f>
        <v>291</v>
      </c>
      <c r="W456" s="70">
        <v>60</v>
      </c>
      <c r="X456" s="70">
        <v>88</v>
      </c>
      <c r="Y456" s="70">
        <v>102</v>
      </c>
      <c r="Z456" s="70">
        <f>AA456-Y456-X456-W456</f>
        <v>74</v>
      </c>
      <c r="AA456" s="37">
        <v>324</v>
      </c>
      <c r="AB456" s="70">
        <v>71</v>
      </c>
      <c r="AC456" s="70">
        <v>76</v>
      </c>
      <c r="AD456" s="70">
        <v>98</v>
      </c>
      <c r="AE456" s="70">
        <f>AF456-AD456-AC456-AB456</f>
        <v>82</v>
      </c>
      <c r="AF456" s="37">
        <v>327</v>
      </c>
      <c r="AG456" s="70">
        <v>87</v>
      </c>
      <c r="AH456" s="70">
        <v>70</v>
      </c>
      <c r="AI456" s="70">
        <v>78</v>
      </c>
      <c r="AJ456" s="70">
        <f>AK456-AI456-AH456-AG456</f>
        <v>97</v>
      </c>
      <c r="AK456" s="37">
        <v>332</v>
      </c>
      <c r="AL456" s="70">
        <v>80</v>
      </c>
      <c r="AM456" s="70">
        <v>61</v>
      </c>
      <c r="AN456" s="70">
        <v>73</v>
      </c>
      <c r="AO456" s="70">
        <v>67</v>
      </c>
      <c r="AP456" s="37">
        <v>281</v>
      </c>
      <c r="AQ456" s="70">
        <v>72</v>
      </c>
      <c r="AR456" s="70">
        <v>43</v>
      </c>
      <c r="AS456" s="70">
        <v>45</v>
      </c>
      <c r="AT456" s="70"/>
      <c r="AU456" s="37"/>
      <c r="AV456" s="70">
        <v>72</v>
      </c>
      <c r="AW456" s="70">
        <v>72</v>
      </c>
      <c r="AX456" s="70">
        <v>72</v>
      </c>
      <c r="AY456" s="70"/>
      <c r="AZ456" s="37"/>
    </row>
    <row r="457" spans="1:52" hidden="1">
      <c r="A457" s="71" t="s">
        <v>7</v>
      </c>
      <c r="B457" s="24"/>
      <c r="C457" s="72"/>
      <c r="D457" s="72">
        <f>D456/C456-1</f>
        <v>-0.25714285714285712</v>
      </c>
      <c r="E457" s="72">
        <f>E456/D456-1</f>
        <v>0.48076923076923084</v>
      </c>
      <c r="F457" s="72">
        <f>F456/E456-1</f>
        <v>-0.1428571428571429</v>
      </c>
      <c r="G457" s="24"/>
      <c r="H457" s="72">
        <f>H456/F456-1</f>
        <v>-0.69696969696969702</v>
      </c>
      <c r="I457" s="72">
        <f>I456/H456-1</f>
        <v>2.5499999999999998</v>
      </c>
      <c r="J457" s="72">
        <f>J456/I456-1</f>
        <v>0.42253521126760574</v>
      </c>
      <c r="K457" s="72">
        <f>K456/J456-1</f>
        <v>-0.2277227722772277</v>
      </c>
      <c r="L457" s="24"/>
      <c r="M457" s="72">
        <f>M456/K456-1</f>
        <v>-0.15384615384615385</v>
      </c>
      <c r="N457" s="72">
        <f>N456/M456-1</f>
        <v>0.19696969696969702</v>
      </c>
      <c r="O457" s="72">
        <f>O456/N456-1</f>
        <v>3.7974683544303778E-2</v>
      </c>
      <c r="P457" s="72">
        <f>P456/O456-1</f>
        <v>-0.1655243902439022</v>
      </c>
      <c r="Q457" s="24"/>
      <c r="R457" s="72">
        <f>R456/P456-1</f>
        <v>0.15451503061656924</v>
      </c>
      <c r="S457" s="72">
        <f>S456/R456-1</f>
        <v>-5.0632911392405111E-2</v>
      </c>
      <c r="T457" s="72">
        <f>T456/S456-1</f>
        <v>-9.3333333333333379E-2</v>
      </c>
      <c r="U457" s="72">
        <f>U456/T456-1</f>
        <v>1.4705882352941124E-2</v>
      </c>
      <c r="V457" s="24"/>
      <c r="W457" s="72">
        <f>W456/U456-1</f>
        <v>-0.13043478260869568</v>
      </c>
      <c r="X457" s="72">
        <f>X456/W456-1</f>
        <v>0.46666666666666656</v>
      </c>
      <c r="Y457" s="72">
        <f>Y456/X456-1</f>
        <v>0.15909090909090917</v>
      </c>
      <c r="Z457" s="72">
        <v>-0.27450980392156865</v>
      </c>
      <c r="AA457" s="24"/>
      <c r="AB457" s="72">
        <f>AB456/Z456-1</f>
        <v>-4.0540540540540571E-2</v>
      </c>
      <c r="AC457" s="72">
        <f>AC456/AB456-1</f>
        <v>7.0422535211267512E-2</v>
      </c>
      <c r="AD457" s="72">
        <f>AD456/AC456-1</f>
        <v>0.28947368421052633</v>
      </c>
      <c r="AE457" s="72">
        <f>AE456/AD456-1</f>
        <v>-0.16326530612244894</v>
      </c>
      <c r="AF457" s="24"/>
      <c r="AG457" s="72">
        <f>AG456/AE456-1</f>
        <v>6.0975609756097615E-2</v>
      </c>
      <c r="AH457" s="72">
        <f>AH456/AG456-1</f>
        <v>-0.1954022988505747</v>
      </c>
      <c r="AI457" s="72">
        <f>AI456/AH456-1</f>
        <v>0.11428571428571432</v>
      </c>
      <c r="AJ457" s="72">
        <f>AJ456/AI456-1</f>
        <v>0.24358974358974361</v>
      </c>
      <c r="AK457" s="24"/>
      <c r="AL457" s="72">
        <v>-0.17525773195876293</v>
      </c>
      <c r="AM457" s="72">
        <v>-0.23750000000000004</v>
      </c>
      <c r="AN457" s="72">
        <v>0.19672131147540983</v>
      </c>
      <c r="AO457" s="72">
        <v>-8.2191780821917804E-2</v>
      </c>
      <c r="AP457" s="24"/>
      <c r="AQ457" s="72">
        <v>7.4626865671641784E-2</v>
      </c>
      <c r="AR457" s="72">
        <v>-0.40277777777777779</v>
      </c>
      <c r="AS457" s="72">
        <v>4.6511627906976827E-2</v>
      </c>
      <c r="AT457" s="72"/>
      <c r="AU457" s="24"/>
      <c r="AV457" s="72" t="e">
        <v>#DIV/0!</v>
      </c>
      <c r="AW457" s="72" t="e">
        <v>#DIV/0!</v>
      </c>
      <c r="AX457" s="72">
        <v>0</v>
      </c>
      <c r="AY457" s="72"/>
      <c r="AZ457" s="24"/>
    </row>
    <row r="458" spans="1:52" hidden="1">
      <c r="A458" s="71" t="s">
        <v>8</v>
      </c>
      <c r="B458" s="24"/>
      <c r="C458" s="73"/>
      <c r="D458" s="73"/>
      <c r="E458" s="73"/>
      <c r="F458" s="73"/>
      <c r="G458" s="24">
        <f t="shared" ref="G458:N458" si="458">G456/B456-1</f>
        <v>-0.11371237458193983</v>
      </c>
      <c r="H458" s="73">
        <f t="shared" si="458"/>
        <v>-0.7142857142857143</v>
      </c>
      <c r="I458" s="73">
        <f t="shared" si="458"/>
        <v>0.36538461538461542</v>
      </c>
      <c r="J458" s="73">
        <f t="shared" si="458"/>
        <v>0.31168831168831179</v>
      </c>
      <c r="K458" s="73">
        <f t="shared" si="458"/>
        <v>0.18181818181818188</v>
      </c>
      <c r="L458" s="24">
        <f t="shared" si="458"/>
        <v>1.8867924528301883E-2</v>
      </c>
      <c r="M458" s="73">
        <f t="shared" si="458"/>
        <v>2.2999999999999998</v>
      </c>
      <c r="N458" s="73">
        <f t="shared" si="458"/>
        <v>0.11267605633802824</v>
      </c>
      <c r="O458" s="73">
        <f t="shared" ref="O458:Y458" si="459">O456/J456-1</f>
        <v>-0.18811881188118806</v>
      </c>
      <c r="P458" s="73">
        <f t="shared" si="459"/>
        <v>-0.12273076923076898</v>
      </c>
      <c r="Q458" s="24">
        <f t="shared" si="459"/>
        <v>9.4174074074074188E-2</v>
      </c>
      <c r="R458" s="73">
        <f t="shared" si="459"/>
        <v>0.19696969696969702</v>
      </c>
      <c r="S458" s="73">
        <f t="shared" si="459"/>
        <v>-5.0632911392405111E-2</v>
      </c>
      <c r="T458" s="73">
        <f t="shared" si="459"/>
        <v>-0.17073170731707321</v>
      </c>
      <c r="U458" s="73">
        <f t="shared" si="459"/>
        <v>8.3738875005476832E-3</v>
      </c>
      <c r="V458" s="24">
        <f t="shared" si="459"/>
        <v>-1.4985089379102146E-2</v>
      </c>
      <c r="W458" s="73">
        <f t="shared" si="459"/>
        <v>-0.240506329113924</v>
      </c>
      <c r="X458" s="73">
        <f t="shared" si="459"/>
        <v>0.17333333333333334</v>
      </c>
      <c r="Y458" s="73">
        <f t="shared" si="459"/>
        <v>0.5</v>
      </c>
      <c r="Z458" s="73">
        <v>7.2463768115942129E-2</v>
      </c>
      <c r="AA458" s="24">
        <v>0.11340206185567014</v>
      </c>
      <c r="AB458" s="73">
        <f t="shared" ref="AB458:AI458" si="460">AB456/W456-1</f>
        <v>0.18333333333333335</v>
      </c>
      <c r="AC458" s="73">
        <f t="shared" si="460"/>
        <v>-0.13636363636363635</v>
      </c>
      <c r="AD458" s="73">
        <f t="shared" si="460"/>
        <v>-3.9215686274509776E-2</v>
      </c>
      <c r="AE458" s="73">
        <f t="shared" si="460"/>
        <v>0.10810810810810811</v>
      </c>
      <c r="AF458" s="24">
        <f t="shared" si="460"/>
        <v>9.2592592592593004E-3</v>
      </c>
      <c r="AG458" s="73">
        <f t="shared" si="460"/>
        <v>0.22535211267605626</v>
      </c>
      <c r="AH458" s="73">
        <f t="shared" si="460"/>
        <v>-7.8947368421052655E-2</v>
      </c>
      <c r="AI458" s="73">
        <f t="shared" si="460"/>
        <v>-0.20408163265306123</v>
      </c>
      <c r="AJ458" s="73">
        <f t="shared" ref="AJ458:AS458" si="461">AJ456/AE456-1</f>
        <v>0.18292682926829262</v>
      </c>
      <c r="AK458" s="24">
        <v>1.5290519877675823E-2</v>
      </c>
      <c r="AL458" s="73">
        <v>-8.0459770114942541E-2</v>
      </c>
      <c r="AM458" s="73">
        <v>-0.12857142857142856</v>
      </c>
      <c r="AN458" s="73">
        <v>-6.4102564102564097E-2</v>
      </c>
      <c r="AO458" s="73">
        <v>-0.30927835051546393</v>
      </c>
      <c r="AP458" s="24">
        <v>-0.15361445783132532</v>
      </c>
      <c r="AQ458" s="73">
        <v>-9.9999999999999978E-2</v>
      </c>
      <c r="AR458" s="73">
        <v>-0.29508196721311475</v>
      </c>
      <c r="AS458" s="73">
        <v>-0.38356164383561642</v>
      </c>
      <c r="AT458" s="73"/>
      <c r="AU458" s="24"/>
      <c r="AV458" s="73">
        <v>0</v>
      </c>
      <c r="AW458" s="73">
        <v>0.67441860465116288</v>
      </c>
      <c r="AX458" s="73">
        <v>0.60000000000000009</v>
      </c>
      <c r="AY458" s="73"/>
      <c r="AZ458" s="24"/>
    </row>
    <row r="459" spans="1:52">
      <c r="A459" s="69" t="s">
        <v>51</v>
      </c>
      <c r="B459" s="37">
        <f>223.607+11.995+18.948</f>
        <v>254.55</v>
      </c>
      <c r="C459" s="70">
        <v>79.400000000000006</v>
      </c>
      <c r="D459" s="70">
        <f>28.849+2.175+8.53</f>
        <v>39.554000000000002</v>
      </c>
      <c r="E459" s="70">
        <f>55.85</f>
        <v>55.85</v>
      </c>
      <c r="F459" s="70">
        <f>G459-E459-D459-C459</f>
        <v>62.736999999999995</v>
      </c>
      <c r="G459" s="37">
        <f>198.208+12.643+26.69</f>
        <v>237.541</v>
      </c>
      <c r="H459" s="70">
        <f>52.092+2.389+6.955</f>
        <v>61.436</v>
      </c>
      <c r="I459" s="70">
        <v>59.911999999999999</v>
      </c>
      <c r="J459" s="70">
        <f>72.635+5.449+9.304</f>
        <v>87.388000000000005</v>
      </c>
      <c r="K459" s="70">
        <f>L459-J459-I459-H459</f>
        <v>52.824999999999967</v>
      </c>
      <c r="L459" s="37">
        <f>214.368+9.262+37.931</f>
        <v>261.56099999999998</v>
      </c>
      <c r="M459" s="70">
        <f>48.421+3.632+8.981</f>
        <v>61.033999999999999</v>
      </c>
      <c r="N459" s="70">
        <f>50.599+4.089+8.547</f>
        <v>63.234999999999999</v>
      </c>
      <c r="O459" s="70">
        <f>52.441+2.5+9.771</f>
        <v>64.712000000000003</v>
      </c>
      <c r="P459" s="70">
        <f>Q459-O459-N459-M459</f>
        <v>89.399999999999977</v>
      </c>
      <c r="Q459" s="37">
        <f>226.728+14.897+36.756</f>
        <v>278.38099999999997</v>
      </c>
      <c r="R459" s="70">
        <f>57.453+3.813+9.85</f>
        <v>71.116</v>
      </c>
      <c r="S459" s="70">
        <f>47.551+7.177+9.667</f>
        <v>64.394999999999996</v>
      </c>
      <c r="T459" s="70">
        <f>51.634+6.428+9.274</f>
        <v>67.335999999999999</v>
      </c>
      <c r="U459" s="70">
        <v>62</v>
      </c>
      <c r="V459" s="37">
        <f>207.741+32.181+24.414</f>
        <v>264.33600000000001</v>
      </c>
      <c r="W459" s="70">
        <f>48.463+7.914</f>
        <v>56.377000000000002</v>
      </c>
      <c r="X459" s="70">
        <f>55.722+13.527</f>
        <v>69.248999999999995</v>
      </c>
      <c r="Y459" s="70">
        <f>75.056+11.515</f>
        <v>86.570999999999998</v>
      </c>
      <c r="Z459" s="70">
        <f>AA459-Y459-X459-W459</f>
        <v>72.019999999999982</v>
      </c>
      <c r="AA459" s="37">
        <f>240.686+43.531</f>
        <v>284.21699999999998</v>
      </c>
      <c r="AB459" s="70">
        <f>75.656+13.99</f>
        <v>89.646000000000001</v>
      </c>
      <c r="AC459" s="70">
        <f>68.451+16.277</f>
        <v>84.727999999999994</v>
      </c>
      <c r="AD459" s="70">
        <f>46.951+19.847</f>
        <v>66.798000000000002</v>
      </c>
      <c r="AE459" s="70">
        <f>AF459-AD459-AC459-AB459</f>
        <v>81.827999999999989</v>
      </c>
      <c r="AF459" s="37">
        <f>260+63</f>
        <v>323</v>
      </c>
      <c r="AG459" s="70">
        <v>78</v>
      </c>
      <c r="AH459" s="70">
        <v>68</v>
      </c>
      <c r="AI459" s="70">
        <v>64</v>
      </c>
      <c r="AJ459" s="70">
        <f>AK459-AI459-AH459-AG459</f>
        <v>95</v>
      </c>
      <c r="AK459" s="37">
        <v>305</v>
      </c>
      <c r="AL459" s="70">
        <v>65</v>
      </c>
      <c r="AM459" s="70">
        <v>82</v>
      </c>
      <c r="AN459" s="70">
        <v>75</v>
      </c>
      <c r="AO459" s="70">
        <v>43</v>
      </c>
      <c r="AP459" s="37">
        <v>265</v>
      </c>
      <c r="AQ459" s="70">
        <v>59</v>
      </c>
      <c r="AR459" s="70">
        <v>58</v>
      </c>
      <c r="AS459" s="70">
        <v>51</v>
      </c>
      <c r="AT459" s="70">
        <v>41</v>
      </c>
      <c r="AU459" s="37">
        <v>209</v>
      </c>
      <c r="AV459" s="70">
        <v>60</v>
      </c>
      <c r="AW459" s="70">
        <v>53</v>
      </c>
      <c r="AX459" s="70">
        <v>69</v>
      </c>
      <c r="AY459" s="70">
        <v>53</v>
      </c>
      <c r="AZ459" s="37">
        <v>235</v>
      </c>
    </row>
    <row r="460" spans="1:52">
      <c r="A460" s="71" t="s">
        <v>7</v>
      </c>
      <c r="B460" s="24"/>
      <c r="C460" s="72"/>
      <c r="D460" s="72">
        <f>D459/C459-1</f>
        <v>-0.50183879093198991</v>
      </c>
      <c r="E460" s="72">
        <f>E459/D459-1</f>
        <v>0.41199373009050921</v>
      </c>
      <c r="F460" s="72">
        <f>F459/E459-1</f>
        <v>0.12331244404655317</v>
      </c>
      <c r="G460" s="24"/>
      <c r="H460" s="72">
        <f>H459/F459-1</f>
        <v>-2.0737363916030316E-2</v>
      </c>
      <c r="I460" s="72">
        <f>I459/H459-1</f>
        <v>-2.4806302493651899E-2</v>
      </c>
      <c r="J460" s="72">
        <f>J459/I459-1</f>
        <v>0.45860595540125537</v>
      </c>
      <c r="K460" s="72">
        <f>K459/J459-1</f>
        <v>-0.39551196960681145</v>
      </c>
      <c r="L460" s="24"/>
      <c r="M460" s="72">
        <f>M459/K459-1</f>
        <v>0.15539990534784742</v>
      </c>
      <c r="N460" s="72">
        <f>N459/M459-1</f>
        <v>3.606186715601134E-2</v>
      </c>
      <c r="O460" s="72">
        <f>O459/N459-1</f>
        <v>2.3357317941013811E-2</v>
      </c>
      <c r="P460" s="72">
        <f>P459/O459-1</f>
        <v>0.3815057485474096</v>
      </c>
      <c r="Q460" s="24"/>
      <c r="R460" s="72">
        <f>R459/P459-1</f>
        <v>-0.20451901565995501</v>
      </c>
      <c r="S460" s="72">
        <f>S459/R459-1</f>
        <v>-9.4507565104899105E-2</v>
      </c>
      <c r="T460" s="72">
        <f>T459/S459-1</f>
        <v>4.5671247767683942E-2</v>
      </c>
      <c r="U460" s="72">
        <f>U459/T459-1</f>
        <v>-7.9244386360936225E-2</v>
      </c>
      <c r="V460" s="24"/>
      <c r="W460" s="72">
        <f>W459/U459-1</f>
        <v>-9.0693548387096756E-2</v>
      </c>
      <c r="X460" s="72">
        <f>X459/W459-1</f>
        <v>0.22832005959877244</v>
      </c>
      <c r="Y460" s="72">
        <f>Y459/X459-1</f>
        <v>0.25014079625698571</v>
      </c>
      <c r="Z460" s="72">
        <v>-0.16807013896108447</v>
      </c>
      <c r="AA460" s="24"/>
      <c r="AB460" s="72">
        <f>AB459/Z459-1</f>
        <v>0.24473757289641807</v>
      </c>
      <c r="AC460" s="72">
        <f>AC459/AB459-1</f>
        <v>-5.4860228007942435E-2</v>
      </c>
      <c r="AD460" s="72">
        <f>AD459/AC459-1</f>
        <v>-0.21161835520725136</v>
      </c>
      <c r="AE460" s="72">
        <f>AE459/AD459-1</f>
        <v>0.22500673672864435</v>
      </c>
      <c r="AF460" s="24"/>
      <c r="AG460" s="72">
        <f>AG459/AE459-1</f>
        <v>-4.678105294031365E-2</v>
      </c>
      <c r="AH460" s="72">
        <f>AH459/AG459-1</f>
        <v>-0.12820512820512819</v>
      </c>
      <c r="AI460" s="72">
        <f>AI459/AH459-1</f>
        <v>-5.8823529411764719E-2</v>
      </c>
      <c r="AJ460" s="72">
        <f>AJ459/AI459-1</f>
        <v>0.484375</v>
      </c>
      <c r="AK460" s="24"/>
      <c r="AL460" s="72">
        <v>-0.31578947368421051</v>
      </c>
      <c r="AM460" s="72">
        <v>0.2615384615384615</v>
      </c>
      <c r="AN460" s="72">
        <v>-8.536585365853655E-2</v>
      </c>
      <c r="AO460" s="72">
        <v>-0.42666666666666664</v>
      </c>
      <c r="AP460" s="24"/>
      <c r="AQ460" s="72">
        <v>0.37209302325581395</v>
      </c>
      <c r="AR460" s="72">
        <v>-1.6949152542372836E-2</v>
      </c>
      <c r="AS460" s="72">
        <v>-0.12068965517241381</v>
      </c>
      <c r="AT460" s="72">
        <v>-0.19607843137254899</v>
      </c>
      <c r="AU460" s="24"/>
      <c r="AV460" s="72">
        <v>0.46341463414634143</v>
      </c>
      <c r="AW460" s="72">
        <v>-0.1166666666666667</v>
      </c>
      <c r="AX460" s="72">
        <v>0.30188679245283012</v>
      </c>
      <c r="AY460" s="72">
        <v>-0.23188405797101452</v>
      </c>
      <c r="AZ460" s="24"/>
    </row>
    <row r="461" spans="1:52">
      <c r="A461" s="71" t="s">
        <v>8</v>
      </c>
      <c r="B461" s="24"/>
      <c r="C461" s="73"/>
      <c r="D461" s="73"/>
      <c r="E461" s="73"/>
      <c r="F461" s="73"/>
      <c r="G461" s="24">
        <f t="shared" ref="G461:N461" si="462">G459/B459-1</f>
        <v>-6.6819878216460515E-2</v>
      </c>
      <c r="H461" s="73">
        <f t="shared" si="462"/>
        <v>-0.22624685138539047</v>
      </c>
      <c r="I461" s="73">
        <f t="shared" si="462"/>
        <v>0.51468877989583839</v>
      </c>
      <c r="J461" s="73">
        <f t="shared" si="462"/>
        <v>0.56469113697403772</v>
      </c>
      <c r="K461" s="73">
        <f t="shared" si="462"/>
        <v>-0.1579928909574897</v>
      </c>
      <c r="L461" s="24">
        <f t="shared" si="462"/>
        <v>0.10111938570604639</v>
      </c>
      <c r="M461" s="73">
        <f t="shared" si="462"/>
        <v>-6.5433947522625102E-3</v>
      </c>
      <c r="N461" s="73">
        <f t="shared" si="462"/>
        <v>5.546468153291495E-2</v>
      </c>
      <c r="O461" s="73">
        <f t="shared" ref="O461:Y461" si="463">O459/J459-1</f>
        <v>-0.25948642834256419</v>
      </c>
      <c r="P461" s="73">
        <f t="shared" si="463"/>
        <v>0.69238050165641329</v>
      </c>
      <c r="Q461" s="24">
        <f t="shared" si="463"/>
        <v>6.4306223022545295E-2</v>
      </c>
      <c r="R461" s="73">
        <f t="shared" si="463"/>
        <v>0.16518661729527806</v>
      </c>
      <c r="S461" s="73">
        <f t="shared" si="463"/>
        <v>1.834427136870409E-2</v>
      </c>
      <c r="T461" s="73">
        <f t="shared" si="463"/>
        <v>4.0548893559154253E-2</v>
      </c>
      <c r="U461" s="73">
        <f t="shared" si="463"/>
        <v>-0.30648769574944057</v>
      </c>
      <c r="V461" s="24">
        <f t="shared" si="463"/>
        <v>-5.0452437486753654E-2</v>
      </c>
      <c r="W461" s="73">
        <f t="shared" si="463"/>
        <v>-0.20725293886045326</v>
      </c>
      <c r="X461" s="73">
        <f t="shared" si="463"/>
        <v>7.5378523177265233E-2</v>
      </c>
      <c r="Y461" s="73">
        <f t="shared" si="463"/>
        <v>0.28565700368302238</v>
      </c>
      <c r="Z461" s="73">
        <v>0.17128266844476148</v>
      </c>
      <c r="AA461" s="24">
        <v>7.5211094970037973E-2</v>
      </c>
      <c r="AB461" s="73">
        <f t="shared" ref="AB461:AI461" si="464">AB459/W459-1</f>
        <v>0.59011653688560939</v>
      </c>
      <c r="AC461" s="73">
        <f t="shared" si="464"/>
        <v>0.22352669352626031</v>
      </c>
      <c r="AD461" s="73">
        <f t="shared" si="464"/>
        <v>-0.22840212080257816</v>
      </c>
      <c r="AE461" s="73">
        <f t="shared" si="464"/>
        <v>0.13618439322410447</v>
      </c>
      <c r="AF461" s="24">
        <f t="shared" si="464"/>
        <v>0.13645559554847186</v>
      </c>
      <c r="AG461" s="73">
        <f t="shared" si="464"/>
        <v>-0.12991098320058903</v>
      </c>
      <c r="AH461" s="73">
        <f t="shared" si="464"/>
        <v>-0.1974317817014446</v>
      </c>
      <c r="AI461" s="73">
        <f t="shared" si="464"/>
        <v>-4.1887481661127657E-2</v>
      </c>
      <c r="AJ461" s="73">
        <f t="shared" ref="AJ461:AS461" si="465">AJ459/AE459-1</f>
        <v>0.16097179449577181</v>
      </c>
      <c r="AK461" s="24">
        <v>-5.5727554179566541E-2</v>
      </c>
      <c r="AL461" s="73">
        <v>-0.16666666666666663</v>
      </c>
      <c r="AM461" s="73">
        <v>0.20588235294117641</v>
      </c>
      <c r="AN461" s="73">
        <v>0.171875</v>
      </c>
      <c r="AO461" s="73">
        <v>-0.5473684210526315</v>
      </c>
      <c r="AP461" s="24">
        <v>-0.13114754098360659</v>
      </c>
      <c r="AQ461" s="73">
        <v>-9.2307692307692313E-2</v>
      </c>
      <c r="AR461" s="73">
        <v>-0.29268292682926833</v>
      </c>
      <c r="AS461" s="73">
        <v>-0.31999999999999995</v>
      </c>
      <c r="AT461" s="73">
        <v>-4.6511627906976716E-2</v>
      </c>
      <c r="AU461" s="24">
        <v>-0.21132075471698109</v>
      </c>
      <c r="AV461" s="73">
        <v>1.6949152542372836E-2</v>
      </c>
      <c r="AW461" s="73">
        <v>-8.6206896551724088E-2</v>
      </c>
      <c r="AX461" s="73">
        <v>0.35294117647058831</v>
      </c>
      <c r="AY461" s="73">
        <v>0.29268292682926833</v>
      </c>
      <c r="AZ461" s="24">
        <v>0.12440191387559807</v>
      </c>
    </row>
    <row r="462" spans="1:52" s="36" customFormat="1">
      <c r="A462" s="69" t="s">
        <v>52</v>
      </c>
      <c r="B462" s="37">
        <f>B459</f>
        <v>254.55</v>
      </c>
      <c r="C462" s="70">
        <v>79.400000000000006</v>
      </c>
      <c r="D462" s="70">
        <f>28.849+2.175+8.53</f>
        <v>39.554000000000002</v>
      </c>
      <c r="E462" s="70">
        <f>E459</f>
        <v>55.85</v>
      </c>
      <c r="F462" s="70">
        <f>G462-E462-D462-C462</f>
        <v>62.736999999999995</v>
      </c>
      <c r="G462" s="37">
        <f>G459</f>
        <v>237.541</v>
      </c>
      <c r="H462" s="70">
        <f>H459</f>
        <v>61.436</v>
      </c>
      <c r="I462" s="70">
        <v>59.911999999999999</v>
      </c>
      <c r="J462" s="70">
        <f>J459-0.578</f>
        <v>86.81</v>
      </c>
      <c r="K462" s="70">
        <f>L462-J462-I462-H462</f>
        <v>52.453999999999958</v>
      </c>
      <c r="L462" s="37">
        <f>L459-0.949</f>
        <v>260.61199999999997</v>
      </c>
      <c r="M462" s="70">
        <f>M459-0.184</f>
        <v>60.85</v>
      </c>
      <c r="N462" s="70">
        <f>N459-0.253</f>
        <v>62.981999999999999</v>
      </c>
      <c r="O462" s="70">
        <f>O459-1.056</f>
        <v>63.656000000000006</v>
      </c>
      <c r="P462" s="70">
        <f>Q462-O462-N462-M462</f>
        <v>89.303999999999974</v>
      </c>
      <c r="Q462" s="37">
        <f>Q459-1.589</f>
        <v>276.79199999999997</v>
      </c>
      <c r="R462" s="70">
        <f>R459-0.129</f>
        <v>70.986999999999995</v>
      </c>
      <c r="S462" s="70">
        <f>S459-0.069</f>
        <v>64.325999999999993</v>
      </c>
      <c r="T462" s="70">
        <f>T459-0.156</f>
        <v>67.179999999999993</v>
      </c>
      <c r="U462" s="70">
        <v>62</v>
      </c>
      <c r="V462" s="37">
        <f>V459-0.747</f>
        <v>263.589</v>
      </c>
      <c r="W462" s="70">
        <f>W459-0.109</f>
        <v>56.268000000000001</v>
      </c>
      <c r="X462" s="70">
        <f>X459-0.063</f>
        <v>69.185999999999993</v>
      </c>
      <c r="Y462" s="70">
        <f>Y459-0.052</f>
        <v>86.518999999999991</v>
      </c>
      <c r="Z462" s="70">
        <f>AA462-Y462-X462-W462</f>
        <v>71.772999999999996</v>
      </c>
      <c r="AA462" s="37">
        <f>AA459-0.471</f>
        <v>283.74599999999998</v>
      </c>
      <c r="AB462" s="70">
        <f>AB459-0.035</f>
        <v>89.611000000000004</v>
      </c>
      <c r="AC462" s="70">
        <f>AC459-0.082</f>
        <v>84.646000000000001</v>
      </c>
      <c r="AD462" s="70">
        <f>AD459-0.212</f>
        <v>66.585999999999999</v>
      </c>
      <c r="AE462" s="70">
        <f>AF462-AD462-AC462-AB462</f>
        <v>82.156999999999968</v>
      </c>
      <c r="AF462" s="37">
        <f>AF459</f>
        <v>323</v>
      </c>
      <c r="AG462" s="70">
        <v>78</v>
      </c>
      <c r="AH462" s="70">
        <v>68</v>
      </c>
      <c r="AI462" s="70">
        <v>64</v>
      </c>
      <c r="AJ462" s="70">
        <f>AK462-AI462-AH462-AG462</f>
        <v>95</v>
      </c>
      <c r="AK462" s="37">
        <v>305</v>
      </c>
      <c r="AL462" s="70">
        <v>65</v>
      </c>
      <c r="AM462" s="70">
        <v>82</v>
      </c>
      <c r="AN462" s="70">
        <v>75</v>
      </c>
      <c r="AO462" s="70">
        <v>43</v>
      </c>
      <c r="AP462" s="37">
        <v>265</v>
      </c>
      <c r="AQ462" s="70">
        <v>59</v>
      </c>
      <c r="AR462" s="70">
        <v>58</v>
      </c>
      <c r="AS462" s="70">
        <v>50</v>
      </c>
      <c r="AT462" s="70">
        <v>41</v>
      </c>
      <c r="AU462" s="37">
        <v>208</v>
      </c>
      <c r="AV462" s="70">
        <v>60</v>
      </c>
      <c r="AW462" s="70">
        <v>52</v>
      </c>
      <c r="AX462" s="70">
        <v>69</v>
      </c>
      <c r="AY462" s="70">
        <v>53</v>
      </c>
      <c r="AZ462" s="37">
        <v>234</v>
      </c>
    </row>
    <row r="463" spans="1:52">
      <c r="A463" s="71" t="s">
        <v>7</v>
      </c>
      <c r="B463" s="24"/>
      <c r="C463" s="72"/>
      <c r="D463" s="72">
        <f>D462/C462-1</f>
        <v>-0.50183879093198991</v>
      </c>
      <c r="E463" s="72">
        <f>E462/D462-1</f>
        <v>0.41199373009050921</v>
      </c>
      <c r="F463" s="72">
        <f>F462/E462-1</f>
        <v>0.12331244404655317</v>
      </c>
      <c r="G463" s="24"/>
      <c r="H463" s="72">
        <f>H462/F462-1</f>
        <v>-2.0737363916030316E-2</v>
      </c>
      <c r="I463" s="72">
        <f>I462/H462-1</f>
        <v>-2.4806302493651899E-2</v>
      </c>
      <c r="J463" s="72">
        <f>J462/I462-1</f>
        <v>0.44895847242622522</v>
      </c>
      <c r="K463" s="72">
        <f>K462/J462-1</f>
        <v>-0.3957608570441199</v>
      </c>
      <c r="L463" s="24"/>
      <c r="M463" s="72">
        <f>M462/K462-1</f>
        <v>0.16006405612536789</v>
      </c>
      <c r="N463" s="72">
        <f>N462/M462-1</f>
        <v>3.5036976170911949E-2</v>
      </c>
      <c r="O463" s="72">
        <f>O462/N462-1</f>
        <v>1.0701470261344603E-2</v>
      </c>
      <c r="P463" s="72">
        <f>P462/O462-1</f>
        <v>0.40291567173557818</v>
      </c>
      <c r="Q463" s="24"/>
      <c r="R463" s="72">
        <f>R462/P462-1</f>
        <v>-0.20510839380094936</v>
      </c>
      <c r="S463" s="72">
        <f>S462/R462-1</f>
        <v>-9.3834082296758603E-2</v>
      </c>
      <c r="T463" s="72">
        <f>T462/S462-1</f>
        <v>4.4367751764449848E-2</v>
      </c>
      <c r="U463" s="72">
        <f>U462/T462-1</f>
        <v>-7.7106281631437845E-2</v>
      </c>
      <c r="V463" s="24"/>
      <c r="W463" s="72">
        <f>W462/U462-1</f>
        <v>-9.2451612903225788E-2</v>
      </c>
      <c r="X463" s="72">
        <f>X462/W462-1</f>
        <v>0.22957986777564487</v>
      </c>
      <c r="Y463" s="72">
        <f>Y462/X462-1</f>
        <v>0.25052756337987447</v>
      </c>
      <c r="Z463" s="72">
        <v>-0.17042499335406114</v>
      </c>
      <c r="AA463" s="24"/>
      <c r="AB463" s="72">
        <f>AB462/Z462-1</f>
        <v>0.24853357112005914</v>
      </c>
      <c r="AC463" s="72">
        <f>AC462/AB462-1</f>
        <v>-5.540614433495894E-2</v>
      </c>
      <c r="AD463" s="72">
        <f>AD462/AC462-1</f>
        <v>-0.21335916641069874</v>
      </c>
      <c r="AE463" s="72">
        <f>AE462/AD462-1</f>
        <v>0.23384795602679187</v>
      </c>
      <c r="AF463" s="24"/>
      <c r="AG463" s="72">
        <f>AG462/AE462-1</f>
        <v>-5.0598244823934269E-2</v>
      </c>
      <c r="AH463" s="72">
        <f>AH462/AG462-1</f>
        <v>-0.12820512820512819</v>
      </c>
      <c r="AI463" s="72">
        <f>AI462/AH462-1</f>
        <v>-5.8823529411764719E-2</v>
      </c>
      <c r="AJ463" s="72">
        <f>AJ462/AI462-1</f>
        <v>0.484375</v>
      </c>
      <c r="AK463" s="24"/>
      <c r="AL463" s="72">
        <v>-0.31578947368421051</v>
      </c>
      <c r="AM463" s="72">
        <v>0.2615384615384615</v>
      </c>
      <c r="AN463" s="72">
        <v>-8.536585365853655E-2</v>
      </c>
      <c r="AO463" s="72">
        <v>-0.42666666666666664</v>
      </c>
      <c r="AP463" s="24"/>
      <c r="AQ463" s="72">
        <v>0.37209302325581395</v>
      </c>
      <c r="AR463" s="72">
        <v>-1.6949152542372836E-2</v>
      </c>
      <c r="AS463" s="72">
        <v>-0.13793103448275867</v>
      </c>
      <c r="AT463" s="72">
        <v>-0.18000000000000005</v>
      </c>
      <c r="AU463" s="24"/>
      <c r="AV463" s="72">
        <v>0.46341463414634143</v>
      </c>
      <c r="AW463" s="72">
        <v>-0.1333333333333333</v>
      </c>
      <c r="AX463" s="72">
        <v>0.32692307692307687</v>
      </c>
      <c r="AY463" s="72">
        <v>-0.23188405797101452</v>
      </c>
      <c r="AZ463" s="24"/>
    </row>
    <row r="464" spans="1:52">
      <c r="A464" s="71" t="s">
        <v>8</v>
      </c>
      <c r="B464" s="24"/>
      <c r="C464" s="73"/>
      <c r="D464" s="73"/>
      <c r="E464" s="73"/>
      <c r="F464" s="73"/>
      <c r="G464" s="24">
        <f t="shared" ref="G464:N464" si="466">G462/B462-1</f>
        <v>-6.6819878216460515E-2</v>
      </c>
      <c r="H464" s="73">
        <f t="shared" si="466"/>
        <v>-0.22624685138539047</v>
      </c>
      <c r="I464" s="73">
        <f t="shared" si="466"/>
        <v>0.51468877989583839</v>
      </c>
      <c r="J464" s="73">
        <f t="shared" si="466"/>
        <v>0.55434198746642793</v>
      </c>
      <c r="K464" s="73">
        <f t="shared" si="466"/>
        <v>-0.16390646667835629</v>
      </c>
      <c r="L464" s="24">
        <f t="shared" si="466"/>
        <v>9.7124285912747466E-2</v>
      </c>
      <c r="M464" s="73">
        <f t="shared" si="466"/>
        <v>-9.5383814050393756E-3</v>
      </c>
      <c r="N464" s="73">
        <f t="shared" si="466"/>
        <v>5.1241821337962401E-2</v>
      </c>
      <c r="O464" s="73">
        <f t="shared" ref="O464:Y464" si="467">O462/J462-1</f>
        <v>-0.26672042391429551</v>
      </c>
      <c r="P464" s="73">
        <f t="shared" si="467"/>
        <v>0.7025203035040235</v>
      </c>
      <c r="Q464" s="24">
        <f t="shared" si="467"/>
        <v>6.2084631559559789E-2</v>
      </c>
      <c r="R464" s="73">
        <f t="shared" si="467"/>
        <v>0.16658997534921927</v>
      </c>
      <c r="S464" s="73">
        <f t="shared" si="467"/>
        <v>2.1339430313422891E-2</v>
      </c>
      <c r="T464" s="73">
        <f t="shared" si="467"/>
        <v>5.5360060324242566E-2</v>
      </c>
      <c r="U464" s="73">
        <f t="shared" si="467"/>
        <v>-0.3057421840007164</v>
      </c>
      <c r="V464" s="24">
        <f t="shared" si="467"/>
        <v>-4.7700078036937432E-2</v>
      </c>
      <c r="W464" s="73">
        <f t="shared" si="467"/>
        <v>-0.20734782424951037</v>
      </c>
      <c r="X464" s="73">
        <f t="shared" si="467"/>
        <v>7.5552653670366565E-2</v>
      </c>
      <c r="Y464" s="73">
        <f t="shared" si="467"/>
        <v>0.28786841321821965</v>
      </c>
      <c r="Z464" s="73">
        <v>0.17477412596569275</v>
      </c>
      <c r="AA464" s="24">
        <v>7.6471324675915886E-2</v>
      </c>
      <c r="AB464" s="73">
        <f t="shared" ref="AB464:AI464" si="468">AB462/W462-1</f>
        <v>0.59257482050188393</v>
      </c>
      <c r="AC464" s="73">
        <f t="shared" si="468"/>
        <v>0.22345561240713452</v>
      </c>
      <c r="AD464" s="73">
        <f t="shared" si="468"/>
        <v>-0.23038870074781259</v>
      </c>
      <c r="AE464" s="73">
        <f t="shared" si="468"/>
        <v>0.14467836094352982</v>
      </c>
      <c r="AF464" s="24">
        <f t="shared" si="468"/>
        <v>0.13834203830186165</v>
      </c>
      <c r="AG464" s="73">
        <f t="shared" si="468"/>
        <v>-0.12957114639943756</v>
      </c>
      <c r="AH464" s="73">
        <f t="shared" si="468"/>
        <v>-0.19665430144365947</v>
      </c>
      <c r="AI464" s="73">
        <f t="shared" si="468"/>
        <v>-3.8836992761241085E-2</v>
      </c>
      <c r="AJ464" s="73">
        <f t="shared" ref="AJ464:AS464" si="469">AJ462/AE462-1</f>
        <v>0.15632265053495176</v>
      </c>
      <c r="AK464" s="24">
        <v>-5.5727554179566541E-2</v>
      </c>
      <c r="AL464" s="73">
        <v>-0.16666666666666663</v>
      </c>
      <c r="AM464" s="73">
        <v>0.20588235294117641</v>
      </c>
      <c r="AN464" s="73">
        <v>0.171875</v>
      </c>
      <c r="AO464" s="73">
        <v>-0.5473684210526315</v>
      </c>
      <c r="AP464" s="24">
        <v>-0.13114754098360659</v>
      </c>
      <c r="AQ464" s="73">
        <v>-9.2307692307692313E-2</v>
      </c>
      <c r="AR464" s="73">
        <v>-0.29268292682926833</v>
      </c>
      <c r="AS464" s="73">
        <v>-0.33333333333333337</v>
      </c>
      <c r="AT464" s="73">
        <v>-4.6511627906976716E-2</v>
      </c>
      <c r="AU464" s="24">
        <v>-0.21509433962264146</v>
      </c>
      <c r="AV464" s="73">
        <v>1.6949152542372836E-2</v>
      </c>
      <c r="AW464" s="73">
        <v>-0.10344827586206895</v>
      </c>
      <c r="AX464" s="73">
        <v>0.37999999999999989</v>
      </c>
      <c r="AY464" s="73">
        <v>0.29268292682926833</v>
      </c>
      <c r="AZ464" s="24">
        <v>0.125</v>
      </c>
    </row>
    <row r="465" spans="1:52" s="36" customFormat="1">
      <c r="A465" s="69" t="s">
        <v>13</v>
      </c>
      <c r="B465" s="178">
        <f>B453-B462</f>
        <v>-4.6750000000000114</v>
      </c>
      <c r="C465" s="186">
        <f>C453-C462</f>
        <v>4.6999999999999886</v>
      </c>
      <c r="D465" s="186">
        <f>D453-D462</f>
        <v>-7.1840000000000046</v>
      </c>
      <c r="E465" s="186">
        <f>E453-E462</f>
        <v>41.383000000000003</v>
      </c>
      <c r="F465" s="186">
        <f>G465-E465-D465-C465</f>
        <v>70.586999999999989</v>
      </c>
      <c r="G465" s="37">
        <f>G453-G462</f>
        <v>109.48599999999999</v>
      </c>
      <c r="H465" s="77">
        <f>H453-H462</f>
        <v>29.249000000000002</v>
      </c>
      <c r="I465" s="77">
        <f>I453-I462</f>
        <v>33.464000000000006</v>
      </c>
      <c r="J465" s="77">
        <f>J453-J462</f>
        <v>48.217999999999989</v>
      </c>
      <c r="K465" s="70">
        <f>L465-J465-I465-H465</f>
        <v>38.185000000000052</v>
      </c>
      <c r="L465" s="37">
        <f>L453-L462</f>
        <v>149.11600000000004</v>
      </c>
      <c r="M465" s="77">
        <f>M453-M462</f>
        <v>63.446000000000005</v>
      </c>
      <c r="N465" s="77">
        <f>N453-N462</f>
        <v>46.563000000000002</v>
      </c>
      <c r="O465" s="77">
        <f>O453-O462</f>
        <v>62.460999999999999</v>
      </c>
      <c r="P465" s="70">
        <f>Q465-O465-N465-M465</f>
        <v>42.252000000000017</v>
      </c>
      <c r="Q465" s="37">
        <f>Q453-Q462</f>
        <v>214.72200000000004</v>
      </c>
      <c r="R465" s="77">
        <f>R453-R462</f>
        <v>70.352000000000004</v>
      </c>
      <c r="S465" s="77">
        <f>S453-S462</f>
        <v>54.475000000000009</v>
      </c>
      <c r="T465" s="77">
        <f>T453-T462</f>
        <v>67.021000000000001</v>
      </c>
      <c r="U465" s="70">
        <v>57</v>
      </c>
      <c r="V465" s="37">
        <f>V453-V462</f>
        <v>249.56</v>
      </c>
      <c r="W465" s="186">
        <f>W453-W462</f>
        <v>59.682999999999993</v>
      </c>
      <c r="X465" s="186">
        <f>X453-X462</f>
        <v>30.89800000000001</v>
      </c>
      <c r="Y465" s="186">
        <f>Y453-Y462</f>
        <v>-4.0099999999999909</v>
      </c>
      <c r="Z465" s="186">
        <f>AA465-Y465-X465-W465</f>
        <v>47.730000000000032</v>
      </c>
      <c r="AA465" s="37">
        <v>134.30100000000004</v>
      </c>
      <c r="AB465" s="77">
        <f>AB453-AB462</f>
        <v>31.97</v>
      </c>
      <c r="AC465" s="77">
        <f>AC453-AC462</f>
        <v>25.554999999999993</v>
      </c>
      <c r="AD465" s="77">
        <f>AD453-AD462</f>
        <v>59.239999999999995</v>
      </c>
      <c r="AE465" s="70">
        <f>AF465-AD465-AC465-AB465</f>
        <v>50.235000000000014</v>
      </c>
      <c r="AF465" s="37">
        <v>167</v>
      </c>
      <c r="AG465" s="77">
        <f>AG453-AG462</f>
        <v>35</v>
      </c>
      <c r="AH465" s="77">
        <f>AH453-AH462</f>
        <v>38</v>
      </c>
      <c r="AI465" s="77">
        <f>AI453-AI462</f>
        <v>37</v>
      </c>
      <c r="AJ465" s="70">
        <f>AK465-AI465-AH465-AG465</f>
        <v>27</v>
      </c>
      <c r="AK465" s="37">
        <v>137</v>
      </c>
      <c r="AL465" s="77">
        <v>84</v>
      </c>
      <c r="AM465" s="77">
        <v>24</v>
      </c>
      <c r="AN465" s="77">
        <v>70</v>
      </c>
      <c r="AO465" s="70">
        <v>62</v>
      </c>
      <c r="AP465" s="37">
        <v>240</v>
      </c>
      <c r="AQ465" s="77">
        <v>99</v>
      </c>
      <c r="AR465" s="77">
        <v>52</v>
      </c>
      <c r="AS465" s="77">
        <v>104</v>
      </c>
      <c r="AT465" s="70">
        <v>166</v>
      </c>
      <c r="AU465" s="37">
        <v>421</v>
      </c>
      <c r="AV465" s="186">
        <v>-9</v>
      </c>
      <c r="AW465" s="77">
        <v>117</v>
      </c>
      <c r="AX465" s="77">
        <v>46</v>
      </c>
      <c r="AY465" s="70">
        <v>42</v>
      </c>
      <c r="AZ465" s="37">
        <v>196</v>
      </c>
    </row>
    <row r="466" spans="1:52">
      <c r="A466" s="71" t="s">
        <v>7</v>
      </c>
      <c r="B466" s="24"/>
      <c r="C466" s="72"/>
      <c r="D466" s="85" t="s">
        <v>49</v>
      </c>
      <c r="E466" s="85" t="s">
        <v>49</v>
      </c>
      <c r="F466" s="72">
        <f>F465/E465-1</f>
        <v>0.7057004083802525</v>
      </c>
      <c r="G466" s="24"/>
      <c r="H466" s="72">
        <f>H465/F465-1</f>
        <v>-0.58563191522518299</v>
      </c>
      <c r="I466" s="72">
        <f>I465/H465-1</f>
        <v>0.14410749085438823</v>
      </c>
      <c r="J466" s="72">
        <f>J465/I465-1</f>
        <v>0.44089170451828785</v>
      </c>
      <c r="K466" s="72">
        <f>K465/J465-1</f>
        <v>-0.20807582230702104</v>
      </c>
      <c r="L466" s="24"/>
      <c r="M466" s="72">
        <f>M465/K465-1</f>
        <v>0.6615424905067413</v>
      </c>
      <c r="N466" s="72">
        <f>N465/M465-1</f>
        <v>-0.26610030577183752</v>
      </c>
      <c r="O466" s="72">
        <f>O465/N465-1</f>
        <v>0.34142989068573759</v>
      </c>
      <c r="P466" s="72">
        <f>P465/O465-1</f>
        <v>-0.32354589263700517</v>
      </c>
      <c r="Q466" s="24"/>
      <c r="R466" s="72">
        <f>R465/P465-1</f>
        <v>0.66505727539524706</v>
      </c>
      <c r="S466" s="72">
        <f>S465/R465-1</f>
        <v>-0.22567944052763245</v>
      </c>
      <c r="T466" s="72">
        <f>T465/S465-1</f>
        <v>0.23030748049563998</v>
      </c>
      <c r="U466" s="72">
        <f>U465/T465-1</f>
        <v>-0.14952029960758573</v>
      </c>
      <c r="V466" s="24"/>
      <c r="W466" s="72">
        <f>W465/U465-1</f>
        <v>4.7070175438596262E-2</v>
      </c>
      <c r="X466" s="72">
        <f>X465/W465-1</f>
        <v>-0.48229814184943764</v>
      </c>
      <c r="Y466" s="85" t="s">
        <v>44</v>
      </c>
      <c r="Z466" s="85" t="s">
        <v>44</v>
      </c>
      <c r="AA466" s="24"/>
      <c r="AB466" s="72">
        <f>AB465/Z465-1</f>
        <v>-0.33019065577205164</v>
      </c>
      <c r="AC466" s="72">
        <f>AC465/AB465-1</f>
        <v>-0.20065686581169861</v>
      </c>
      <c r="AD466" s="72">
        <f>AD465/AC465-1</f>
        <v>1.3181373508119747</v>
      </c>
      <c r="AE466" s="72">
        <f>AE465/AD465-1</f>
        <v>-0.15200877785280187</v>
      </c>
      <c r="AF466" s="24"/>
      <c r="AG466" s="72">
        <f>AG465/AE465-1</f>
        <v>-0.30327460933612038</v>
      </c>
      <c r="AH466" s="72">
        <f>AH465/AG465-1</f>
        <v>8.5714285714285632E-2</v>
      </c>
      <c r="AI466" s="72">
        <f>AI465/AH465-1</f>
        <v>-2.6315789473684181E-2</v>
      </c>
      <c r="AJ466" s="72">
        <f>AJ465/AI465-1</f>
        <v>-0.27027027027027029</v>
      </c>
      <c r="AK466" s="24"/>
      <c r="AL466" s="72">
        <v>2.1111111111111112</v>
      </c>
      <c r="AM466" s="72">
        <v>-0.7142857142857143</v>
      </c>
      <c r="AN466" s="72">
        <v>1.9166666666666665</v>
      </c>
      <c r="AO466" s="72">
        <v>-0.11428571428571432</v>
      </c>
      <c r="AP466" s="24"/>
      <c r="AQ466" s="72">
        <v>0.59677419354838701</v>
      </c>
      <c r="AR466" s="72">
        <v>-0.4747474747474747</v>
      </c>
      <c r="AS466" s="72">
        <v>1</v>
      </c>
      <c r="AT466" s="72">
        <v>0.59615384615384626</v>
      </c>
      <c r="AU466" s="24"/>
      <c r="AV466" s="85" t="s">
        <v>44</v>
      </c>
      <c r="AW466" s="85" t="s">
        <v>44</v>
      </c>
      <c r="AX466" s="72">
        <v>-0.6068376068376069</v>
      </c>
      <c r="AY466" s="72">
        <v>-8.6956521739130488E-2</v>
      </c>
      <c r="AZ466" s="24"/>
    </row>
    <row r="467" spans="1:52">
      <c r="A467" s="71" t="s">
        <v>8</v>
      </c>
      <c r="B467" s="24"/>
      <c r="C467" s="73"/>
      <c r="D467" s="73"/>
      <c r="E467" s="73"/>
      <c r="F467" s="73"/>
      <c r="G467" s="92" t="s">
        <v>49</v>
      </c>
      <c r="H467" s="73">
        <f>H465/C465-1</f>
        <v>5.2231914893617173</v>
      </c>
      <c r="I467" s="85" t="s">
        <v>49</v>
      </c>
      <c r="J467" s="73">
        <f t="shared" ref="J467:R467" si="470">J465/E465-1</f>
        <v>0.16516443950414383</v>
      </c>
      <c r="K467" s="73">
        <f t="shared" si="470"/>
        <v>-0.45903636646974577</v>
      </c>
      <c r="L467" s="24">
        <f t="shared" si="470"/>
        <v>0.36196408673255087</v>
      </c>
      <c r="M467" s="73">
        <f t="shared" si="470"/>
        <v>1.1691681766898014</v>
      </c>
      <c r="N467" s="73">
        <f t="shared" si="470"/>
        <v>0.39143557255558203</v>
      </c>
      <c r="O467" s="73">
        <f t="shared" si="470"/>
        <v>0.29538761458376572</v>
      </c>
      <c r="P467" s="73">
        <f t="shared" si="470"/>
        <v>0.10650779101741414</v>
      </c>
      <c r="Q467" s="24">
        <f t="shared" si="470"/>
        <v>0.43996620081010751</v>
      </c>
      <c r="R467" s="73">
        <f t="shared" si="470"/>
        <v>0.1088484695646692</v>
      </c>
      <c r="S467" s="73">
        <f t="shared" ref="S467:X467" si="471">S465/N465-1</f>
        <v>0.16992032300324311</v>
      </c>
      <c r="T467" s="73">
        <f t="shared" si="471"/>
        <v>7.3005555466611138E-2</v>
      </c>
      <c r="U467" s="73">
        <f t="shared" si="471"/>
        <v>0.3490485657483664</v>
      </c>
      <c r="V467" s="24">
        <f t="shared" si="471"/>
        <v>0.16224699844450008</v>
      </c>
      <c r="W467" s="73">
        <f t="shared" si="471"/>
        <v>-0.15165169433704817</v>
      </c>
      <c r="X467" s="73">
        <f t="shared" si="471"/>
        <v>-0.43280403854979344</v>
      </c>
      <c r="Y467" s="85" t="s">
        <v>44</v>
      </c>
      <c r="Z467" s="73">
        <v>-0.17294496811754778</v>
      </c>
      <c r="AA467" s="24">
        <v>-0.4618488539830099</v>
      </c>
      <c r="AB467" s="73">
        <f>AB465/W465-1</f>
        <v>-0.46433657825511443</v>
      </c>
      <c r="AC467" s="73">
        <f>AC465/X465-1</f>
        <v>-0.17292381383908395</v>
      </c>
      <c r="AD467" s="85" t="s">
        <v>44</v>
      </c>
      <c r="AE467" s="73">
        <f>AE465/Z465-1</f>
        <v>5.2482715273412417E-2</v>
      </c>
      <c r="AF467" s="24">
        <f>AF465/AA465-1</f>
        <v>0.24347547672764858</v>
      </c>
      <c r="AG467" s="73">
        <f>AG465/AB465-1</f>
        <v>9.4776352830778787E-2</v>
      </c>
      <c r="AH467" s="73">
        <f>AH465/AC465-1</f>
        <v>0.48698884758364347</v>
      </c>
      <c r="AI467" s="73">
        <f>AI465/AD465-1</f>
        <v>-0.37542201215394999</v>
      </c>
      <c r="AJ467" s="73">
        <v>-0.47899999999999998</v>
      </c>
      <c r="AK467" s="24">
        <v>-0.17799999999999999</v>
      </c>
      <c r="AL467" s="73">
        <v>1.4</v>
      </c>
      <c r="AM467" s="73">
        <v>-0.36842105263157898</v>
      </c>
      <c r="AN467" s="73">
        <v>0.89189189189189189</v>
      </c>
      <c r="AO467" s="73">
        <v>1.2962962962962963</v>
      </c>
      <c r="AP467" s="24">
        <v>0.75182481751824826</v>
      </c>
      <c r="AQ467" s="73">
        <v>0.1785714285714286</v>
      </c>
      <c r="AR467" s="73">
        <v>1.1666666666666665</v>
      </c>
      <c r="AS467" s="73">
        <v>0.48571428571428577</v>
      </c>
      <c r="AT467" s="73">
        <v>1.6774193548387095</v>
      </c>
      <c r="AU467" s="24">
        <v>0.75416666666666665</v>
      </c>
      <c r="AV467" s="85" t="s">
        <v>44</v>
      </c>
      <c r="AW467" s="73">
        <v>1.25</v>
      </c>
      <c r="AX467" s="73">
        <v>-0.55769230769230771</v>
      </c>
      <c r="AY467" s="73">
        <v>-0.74698795180722888</v>
      </c>
      <c r="AZ467" s="24">
        <v>-0.53444180522565321</v>
      </c>
    </row>
    <row r="468" spans="1:52">
      <c r="A468" s="71"/>
      <c r="B468" s="24"/>
      <c r="C468" s="73"/>
      <c r="D468" s="73"/>
      <c r="E468" s="73"/>
      <c r="F468" s="73"/>
      <c r="G468" s="24"/>
      <c r="H468" s="73"/>
      <c r="I468" s="73"/>
      <c r="J468" s="73"/>
      <c r="K468" s="73"/>
      <c r="L468" s="24"/>
      <c r="M468" s="73"/>
      <c r="N468" s="73"/>
      <c r="O468" s="73"/>
      <c r="P468" s="73"/>
      <c r="Q468" s="24"/>
      <c r="R468" s="73"/>
      <c r="S468" s="73"/>
      <c r="T468" s="73"/>
      <c r="U468" s="73"/>
      <c r="V468" s="24"/>
      <c r="W468" s="73"/>
      <c r="X468" s="73"/>
      <c r="Y468" s="73"/>
      <c r="Z468" s="73"/>
      <c r="AA468" s="24"/>
      <c r="AB468" s="73"/>
      <c r="AC468" s="73"/>
      <c r="AD468" s="73"/>
      <c r="AE468" s="73"/>
      <c r="AF468" s="24"/>
      <c r="AG468" s="73"/>
      <c r="AH468" s="73"/>
      <c r="AI468" s="73"/>
      <c r="AJ468" s="73"/>
      <c r="AK468" s="24"/>
      <c r="AL468" s="73"/>
      <c r="AM468" s="73"/>
      <c r="AN468" s="73"/>
      <c r="AO468" s="73"/>
      <c r="AP468" s="24"/>
      <c r="AQ468" s="73"/>
      <c r="AR468" s="73"/>
      <c r="AS468" s="73"/>
      <c r="AT468" s="73"/>
      <c r="AU468" s="24"/>
      <c r="AV468" s="73"/>
      <c r="AW468" s="73"/>
      <c r="AX468" s="73"/>
      <c r="AY468" s="73"/>
      <c r="AZ468" s="24"/>
    </row>
    <row r="469" spans="1:52">
      <c r="A469" s="50" t="s">
        <v>20</v>
      </c>
      <c r="B469" s="40"/>
      <c r="C469" s="52"/>
      <c r="D469" s="52"/>
      <c r="E469" s="52"/>
      <c r="F469" s="52"/>
      <c r="G469" s="40"/>
      <c r="H469" s="52"/>
      <c r="I469" s="52"/>
      <c r="J469" s="52"/>
      <c r="K469" s="52"/>
      <c r="L469" s="40"/>
      <c r="M469" s="52"/>
      <c r="N469" s="52"/>
      <c r="O469" s="52"/>
      <c r="P469" s="52"/>
      <c r="Q469" s="40"/>
      <c r="R469" s="52"/>
      <c r="S469" s="52"/>
      <c r="T469" s="52"/>
      <c r="U469" s="52"/>
      <c r="V469" s="40"/>
      <c r="W469" s="52"/>
      <c r="X469" s="52"/>
      <c r="Y469" s="52"/>
      <c r="Z469" s="52"/>
      <c r="AA469" s="40"/>
      <c r="AB469" s="52"/>
      <c r="AC469" s="52"/>
      <c r="AD469" s="52"/>
      <c r="AE469" s="52"/>
      <c r="AF469" s="40"/>
      <c r="AG469" s="52"/>
      <c r="AH469" s="52"/>
      <c r="AI469" s="52"/>
      <c r="AJ469" s="52"/>
      <c r="AK469" s="40"/>
      <c r="AL469" s="52"/>
      <c r="AM469" s="52"/>
      <c r="AN469" s="52"/>
      <c r="AO469" s="52"/>
      <c r="AP469" s="40"/>
      <c r="AQ469" s="52"/>
      <c r="AR469" s="52"/>
      <c r="AS469" s="52"/>
      <c r="AT469" s="52"/>
      <c r="AU469" s="40"/>
      <c r="AV469" s="52"/>
      <c r="AW469" s="52"/>
      <c r="AX469" s="52"/>
      <c r="AY469" s="52"/>
      <c r="AZ469" s="40"/>
    </row>
    <row r="470" spans="1:52" s="36" customFormat="1">
      <c r="A470" s="69" t="s">
        <v>111</v>
      </c>
      <c r="B470" s="56">
        <f>B421/B415</f>
        <v>0.21043268309887528</v>
      </c>
      <c r="C470" s="80" t="s">
        <v>53</v>
      </c>
      <c r="D470" s="80" t="s">
        <v>53</v>
      </c>
      <c r="E470" s="80" t="s">
        <v>53</v>
      </c>
      <c r="F470" s="80" t="s">
        <v>53</v>
      </c>
      <c r="G470" s="56">
        <f t="shared" ref="G470:AX470" si="472">G421/G415</f>
        <v>0.27862758423727646</v>
      </c>
      <c r="H470" s="78">
        <f t="shared" si="472"/>
        <v>0.32656039105533874</v>
      </c>
      <c r="I470" s="78">
        <f t="shared" si="472"/>
        <v>0.32035001515562433</v>
      </c>
      <c r="J470" s="78">
        <f t="shared" si="472"/>
        <v>0.31177470948952685</v>
      </c>
      <c r="K470" s="78">
        <f t="shared" si="472"/>
        <v>0.3176281196809056</v>
      </c>
      <c r="L470" s="56">
        <f t="shared" si="472"/>
        <v>0.3190818296758765</v>
      </c>
      <c r="M470" s="78">
        <f t="shared" si="472"/>
        <v>0.3317774439471049</v>
      </c>
      <c r="N470" s="78">
        <f t="shared" si="472"/>
        <v>0.18647950356992224</v>
      </c>
      <c r="O470" s="78">
        <f t="shared" si="472"/>
        <v>0.34608331415187166</v>
      </c>
      <c r="P470" s="78">
        <f t="shared" si="472"/>
        <v>0.28374394083254206</v>
      </c>
      <c r="Q470" s="56">
        <f t="shared" si="472"/>
        <v>0.28686170582400988</v>
      </c>
      <c r="R470" s="78">
        <f t="shared" si="472"/>
        <v>0.32955492540993714</v>
      </c>
      <c r="S470" s="78">
        <f t="shared" si="472"/>
        <v>0.33409991088226559</v>
      </c>
      <c r="T470" s="78">
        <f t="shared" si="472"/>
        <v>0.33957796916156141</v>
      </c>
      <c r="U470" s="78">
        <f t="shared" si="472"/>
        <v>0.4564756048941267</v>
      </c>
      <c r="V470" s="56">
        <f t="shared" si="472"/>
        <v>0.36486145060967662</v>
      </c>
      <c r="W470" s="78">
        <f t="shared" si="472"/>
        <v>0.34668973659960067</v>
      </c>
      <c r="X470" s="78">
        <f t="shared" si="472"/>
        <v>0.37427458579215722</v>
      </c>
      <c r="Y470" s="78">
        <f t="shared" si="472"/>
        <v>0.32300109257052045</v>
      </c>
      <c r="Z470" s="78">
        <f t="shared" si="472"/>
        <v>0.34666460702533858</v>
      </c>
      <c r="AA470" s="56">
        <f t="shared" si="472"/>
        <v>0.34774394038119949</v>
      </c>
      <c r="AB470" s="78">
        <f t="shared" si="472"/>
        <v>0.31453309576969873</v>
      </c>
      <c r="AC470" s="78">
        <f t="shared" si="472"/>
        <v>0.3069507725832013</v>
      </c>
      <c r="AD470" s="78">
        <f t="shared" si="472"/>
        <v>0.3236671996568064</v>
      </c>
      <c r="AE470" s="78">
        <f t="shared" si="472"/>
        <v>0.2905493916004705</v>
      </c>
      <c r="AF470" s="56">
        <f t="shared" si="472"/>
        <v>0.3088277022729719</v>
      </c>
      <c r="AG470" s="78">
        <f t="shared" si="472"/>
        <v>0.31132075471698112</v>
      </c>
      <c r="AH470" s="78">
        <f t="shared" si="472"/>
        <v>0.30373831775700932</v>
      </c>
      <c r="AI470" s="78">
        <f t="shared" si="472"/>
        <v>0.30787037037037035</v>
      </c>
      <c r="AJ470" s="78">
        <f t="shared" si="472"/>
        <v>0.28636363636363638</v>
      </c>
      <c r="AK470" s="56">
        <v>0.30220417633410673</v>
      </c>
      <c r="AL470" s="78">
        <v>0.27272727272727271</v>
      </c>
      <c r="AM470" s="78">
        <v>0.28701594533029612</v>
      </c>
      <c r="AN470" s="78">
        <v>0.29596412556053814</v>
      </c>
      <c r="AO470" s="78">
        <v>0.23830734966592429</v>
      </c>
      <c r="AP470" s="56">
        <v>0.2733934611048478</v>
      </c>
      <c r="AQ470" s="78">
        <v>0.26879271070615035</v>
      </c>
      <c r="AR470" s="78">
        <v>0.28110599078341014</v>
      </c>
      <c r="AS470" s="78">
        <v>0.27649769585253459</v>
      </c>
      <c r="AT470" s="78">
        <v>0.28310502283105021</v>
      </c>
      <c r="AU470" s="56">
        <v>0.27736389684813756</v>
      </c>
      <c r="AV470" s="78">
        <v>0.25707547169811323</v>
      </c>
      <c r="AW470" s="78">
        <v>0.24759615384615385</v>
      </c>
      <c r="AX470" s="78">
        <v>0.23152709359605911</v>
      </c>
      <c r="AY470" s="78">
        <v>0.20792079207920791</v>
      </c>
      <c r="AZ470" s="56">
        <v>0.23636363636363636</v>
      </c>
    </row>
    <row r="471" spans="1:52" s="36" customFormat="1">
      <c r="A471" s="36" t="s">
        <v>31</v>
      </c>
      <c r="B471" s="56">
        <f t="shared" ref="B471:AG471" si="473">B436/B415</f>
        <v>3.9580216041158502E-2</v>
      </c>
      <c r="C471" s="78">
        <f t="shared" si="473"/>
        <v>7.0400302075193641E-2</v>
      </c>
      <c r="D471" s="191">
        <f t="shared" si="473"/>
        <v>0.11201316222441593</v>
      </c>
      <c r="E471" s="191">
        <f t="shared" si="473"/>
        <v>0.13971211515393842</v>
      </c>
      <c r="F471" s="191">
        <f t="shared" si="473"/>
        <v>0.14707437972597645</v>
      </c>
      <c r="G471" s="56">
        <f t="shared" si="473"/>
        <v>0.11711242390746725</v>
      </c>
      <c r="H471" s="78">
        <f t="shared" si="473"/>
        <v>0.17184234799964565</v>
      </c>
      <c r="I471" s="78">
        <f t="shared" si="473"/>
        <v>0.15701758584198799</v>
      </c>
      <c r="J471" s="78">
        <f t="shared" si="473"/>
        <v>0.15944497451708631</v>
      </c>
      <c r="K471" s="78">
        <f t="shared" si="473"/>
        <v>0.16034698439390524</v>
      </c>
      <c r="L471" s="56">
        <f t="shared" si="473"/>
        <v>0.16218722128022425</v>
      </c>
      <c r="M471" s="78">
        <f t="shared" si="473"/>
        <v>0.14994532671122285</v>
      </c>
      <c r="N471" s="78">
        <f t="shared" si="473"/>
        <v>1.8398927129135972E-2</v>
      </c>
      <c r="O471" s="78">
        <f t="shared" si="473"/>
        <v>0.18146590210625099</v>
      </c>
      <c r="P471" s="78">
        <f t="shared" si="473"/>
        <v>0.10144670431262799</v>
      </c>
      <c r="Q471" s="56">
        <f t="shared" si="473"/>
        <v>0.11265122273252764</v>
      </c>
      <c r="R471" s="125">
        <f t="shared" si="473"/>
        <v>0.15132536062137836</v>
      </c>
      <c r="S471" s="125">
        <f t="shared" si="473"/>
        <v>0.16168184968808794</v>
      </c>
      <c r="T471" s="125">
        <f t="shared" si="473"/>
        <v>0.15627373800151922</v>
      </c>
      <c r="U471" s="125">
        <f t="shared" si="473"/>
        <v>0.26248603995235642</v>
      </c>
      <c r="V471" s="56">
        <f t="shared" si="473"/>
        <v>0.18215119881344866</v>
      </c>
      <c r="W471" s="125">
        <f t="shared" si="473"/>
        <v>0.12384090385501458</v>
      </c>
      <c r="X471" s="125">
        <f t="shared" si="473"/>
        <v>0.18224166446473483</v>
      </c>
      <c r="Y471" s="125">
        <f t="shared" si="473"/>
        <v>0.13406336909018673</v>
      </c>
      <c r="Z471" s="125">
        <f t="shared" si="473"/>
        <v>0.17817368661086022</v>
      </c>
      <c r="AA471" s="56">
        <f t="shared" si="473"/>
        <v>0.15449262038858333</v>
      </c>
      <c r="AB471" s="125">
        <f t="shared" si="473"/>
        <v>0.16709330650417181</v>
      </c>
      <c r="AC471" s="125">
        <f t="shared" si="473"/>
        <v>0.16735340729001585</v>
      </c>
      <c r="AD471" s="125">
        <f t="shared" si="473"/>
        <v>0.17649123491215413</v>
      </c>
      <c r="AE471" s="125">
        <f t="shared" si="473"/>
        <v>0.14267992748538572</v>
      </c>
      <c r="AF471" s="56">
        <f t="shared" si="473"/>
        <v>0.1632811812017495</v>
      </c>
      <c r="AG471" s="125">
        <f t="shared" si="473"/>
        <v>0.17216981132075471</v>
      </c>
      <c r="AH471" s="125">
        <f t="shared" ref="AH471:AX471" si="474">AH436/AH415</f>
        <v>0.15654205607476634</v>
      </c>
      <c r="AI471" s="125">
        <f t="shared" si="474"/>
        <v>0.17592592592592593</v>
      </c>
      <c r="AJ471" s="125">
        <f t="shared" si="474"/>
        <v>0.12954545454545455</v>
      </c>
      <c r="AK471" s="56">
        <v>0.15835266821345709</v>
      </c>
      <c r="AL471" s="125">
        <v>0.13409090909090909</v>
      </c>
      <c r="AM471" s="125">
        <v>0.15945330296127563</v>
      </c>
      <c r="AN471" s="125">
        <v>0.16591928251121077</v>
      </c>
      <c r="AO471" s="125">
        <v>0.10467706013363029</v>
      </c>
      <c r="AP471" s="56">
        <v>0.14092446448703494</v>
      </c>
      <c r="AQ471" s="125">
        <v>0.12984054669703873</v>
      </c>
      <c r="AR471" s="125">
        <v>0.17741935483870969</v>
      </c>
      <c r="AS471" s="125">
        <v>0.14285714285714285</v>
      </c>
      <c r="AT471" s="125">
        <v>0.15525114155251141</v>
      </c>
      <c r="AU471" s="56">
        <v>0.15128939828080229</v>
      </c>
      <c r="AV471" s="125">
        <v>0.12264150943396226</v>
      </c>
      <c r="AW471" s="125">
        <v>0.11778846153846154</v>
      </c>
      <c r="AX471" s="125">
        <v>8.6206896551724144E-2</v>
      </c>
      <c r="AY471" s="125">
        <v>6.6831683168316836E-2</v>
      </c>
      <c r="AZ471" s="56">
        <v>9.8787878787878786E-2</v>
      </c>
    </row>
    <row r="472" spans="1:52" s="36" customFormat="1">
      <c r="A472" s="69" t="s">
        <v>39</v>
      </c>
      <c r="B472" s="190">
        <f t="shared" ref="B472:Y472" si="475">B445/B415</f>
        <v>-8.3127005992975789E-2</v>
      </c>
      <c r="C472" s="191">
        <f t="shared" si="475"/>
        <v>-0.17245294497092001</v>
      </c>
      <c r="D472" s="191">
        <f t="shared" si="475"/>
        <v>-0.26145969068772623</v>
      </c>
      <c r="E472" s="191">
        <f t="shared" si="475"/>
        <v>-0.21891776622684259</v>
      </c>
      <c r="F472" s="191">
        <f t="shared" si="475"/>
        <v>-4.6485667583622402E-2</v>
      </c>
      <c r="G472" s="190">
        <f t="shared" si="475"/>
        <v>-0.17499695894308728</v>
      </c>
      <c r="H472" s="191">
        <f t="shared" si="475"/>
        <v>-3.0043097383410378E-3</v>
      </c>
      <c r="I472" s="191">
        <f t="shared" si="475"/>
        <v>-0.25300320661104286</v>
      </c>
      <c r="J472" s="191">
        <f t="shared" si="475"/>
        <v>-0.23250563147422398</v>
      </c>
      <c r="K472" s="191">
        <f t="shared" si="475"/>
        <v>-9.6615261571273356E-2</v>
      </c>
      <c r="L472" s="190">
        <f t="shared" si="475"/>
        <v>-0.14535344526229471</v>
      </c>
      <c r="M472" s="191">
        <f t="shared" si="475"/>
        <v>-2.1120751323400168E-2</v>
      </c>
      <c r="N472" s="191">
        <f t="shared" si="475"/>
        <v>-0.3606139205499726</v>
      </c>
      <c r="O472" s="191">
        <f t="shared" si="475"/>
        <v>-0.1981828621438888</v>
      </c>
      <c r="P472" s="191">
        <f t="shared" si="475"/>
        <v>-0.21047673779421319</v>
      </c>
      <c r="Q472" s="190">
        <f t="shared" si="475"/>
        <v>-0.19813826258899636</v>
      </c>
      <c r="R472" s="191">
        <f t="shared" si="475"/>
        <v>-0.18093453334977191</v>
      </c>
      <c r="S472" s="191">
        <f t="shared" si="475"/>
        <v>-0.2187444301415982</v>
      </c>
      <c r="T472" s="191">
        <f t="shared" si="475"/>
        <v>-0.18715410340643404</v>
      </c>
      <c r="U472" s="191">
        <f t="shared" si="475"/>
        <v>1.9835030000173431E-2</v>
      </c>
      <c r="V472" s="190">
        <f t="shared" si="475"/>
        <v>-0.14184316988600879</v>
      </c>
      <c r="W472" s="191">
        <f t="shared" si="475"/>
        <v>-0.15325506834587621</v>
      </c>
      <c r="X472" s="191">
        <f t="shared" si="475"/>
        <v>-0.26091424209506475</v>
      </c>
      <c r="Y472" s="191">
        <f t="shared" si="475"/>
        <v>-0.29467620182757248</v>
      </c>
      <c r="Z472" s="191">
        <v>-5.1831854805094196E-2</v>
      </c>
      <c r="AA472" s="190">
        <v>-0.18968101350004954</v>
      </c>
      <c r="AB472" s="191">
        <f t="shared" ref="AB472:AX472" si="476">AB445/AB415</f>
        <v>-0.15042089899167618</v>
      </c>
      <c r="AC472" s="191">
        <f t="shared" si="476"/>
        <v>-0.24994552297939782</v>
      </c>
      <c r="AD472" s="191">
        <f t="shared" si="476"/>
        <v>-0.33169861357564884</v>
      </c>
      <c r="AE472" s="191">
        <f t="shared" si="476"/>
        <v>-0.19869914337920991</v>
      </c>
      <c r="AF472" s="190">
        <f t="shared" si="476"/>
        <v>-0.23280961047347876</v>
      </c>
      <c r="AG472" s="191">
        <f t="shared" si="476"/>
        <v>-8.0188679245283015E-2</v>
      </c>
      <c r="AH472" s="191">
        <f t="shared" si="476"/>
        <v>-0.26869158878504673</v>
      </c>
      <c r="AI472" s="191">
        <f t="shared" si="476"/>
        <v>-0.19907407407407407</v>
      </c>
      <c r="AJ472" s="191">
        <f t="shared" si="476"/>
        <v>-0.19772727272727272</v>
      </c>
      <c r="AK472" s="190">
        <v>-0.18677494199535963</v>
      </c>
      <c r="AL472" s="191">
        <v>-6.8181818181818179E-3</v>
      </c>
      <c r="AM472" s="191">
        <v>-0.37813211845102507</v>
      </c>
      <c r="AN472" s="191">
        <v>-0.16816143497757849</v>
      </c>
      <c r="AO472" s="191">
        <v>-0.24498886414253898</v>
      </c>
      <c r="AP472" s="190">
        <v>-0.19954904171364149</v>
      </c>
      <c r="AQ472" s="191">
        <v>-0.16173120728929385</v>
      </c>
      <c r="AR472" s="191">
        <v>-0.26267281105990781</v>
      </c>
      <c r="AS472" s="191">
        <v>-0.32718894009216593</v>
      </c>
      <c r="AT472" s="191">
        <v>0.90182648401826482</v>
      </c>
      <c r="AU472" s="190">
        <v>3.8968481375358167E-2</v>
      </c>
      <c r="AV472" s="191">
        <v>4.4811320754716978E-2</v>
      </c>
      <c r="AW472" s="191">
        <v>-0.36298076923076922</v>
      </c>
      <c r="AX472" s="191">
        <v>-0.30295566502463056</v>
      </c>
      <c r="AY472" s="191">
        <v>2.7227722772277228E-2</v>
      </c>
      <c r="AZ472" s="190">
        <v>-0.14787878787878789</v>
      </c>
    </row>
    <row r="473" spans="1:52" s="36" customFormat="1">
      <c r="A473" s="69" t="s">
        <v>10</v>
      </c>
      <c r="B473" s="56">
        <f t="shared" ref="B473:Y473" si="477">B448/B415</f>
        <v>0.2326799889456137</v>
      </c>
      <c r="C473" s="78">
        <f t="shared" si="477"/>
        <v>0.24008160225717295</v>
      </c>
      <c r="D473" s="191">
        <f t="shared" si="477"/>
        <v>0.27152615992102663</v>
      </c>
      <c r="E473" s="191">
        <f t="shared" si="477"/>
        <v>0.29628415300546451</v>
      </c>
      <c r="F473" s="191">
        <f t="shared" si="477"/>
        <v>0.32205876490053031</v>
      </c>
      <c r="G473" s="56">
        <f t="shared" si="477"/>
        <v>0.28230792420099537</v>
      </c>
      <c r="H473" s="78">
        <f t="shared" si="477"/>
        <v>0.31917859618220762</v>
      </c>
      <c r="I473" s="78">
        <f t="shared" si="477"/>
        <v>0.3047503576195566</v>
      </c>
      <c r="J473" s="78">
        <f t="shared" si="477"/>
        <v>0.31433482892672115</v>
      </c>
      <c r="K473" s="78">
        <f t="shared" si="477"/>
        <v>0.32227303488300563</v>
      </c>
      <c r="L473" s="56">
        <f t="shared" si="477"/>
        <v>0.31521756886114083</v>
      </c>
      <c r="M473" s="78">
        <f t="shared" si="477"/>
        <v>0.31282574038874239</v>
      </c>
      <c r="N473" s="78">
        <f t="shared" si="477"/>
        <v>0.19058358820751262</v>
      </c>
      <c r="O473" s="78">
        <f t="shared" si="477"/>
        <v>0.3529102282298841</v>
      </c>
      <c r="P473" s="78">
        <f t="shared" si="477"/>
        <v>0.31388486332517118</v>
      </c>
      <c r="Q473" s="56">
        <f t="shared" si="477"/>
        <v>0.29252778076099389</v>
      </c>
      <c r="R473" s="78">
        <f t="shared" si="477"/>
        <v>0.32046110220687951</v>
      </c>
      <c r="S473" s="78">
        <f t="shared" si="477"/>
        <v>0.33776611545697599</v>
      </c>
      <c r="T473" s="78">
        <f t="shared" si="477"/>
        <v>0.3389613976935294</v>
      </c>
      <c r="U473" s="78">
        <f t="shared" si="477"/>
        <v>0.41601561049052715</v>
      </c>
      <c r="V473" s="56">
        <f t="shared" si="477"/>
        <v>0.35288968618286654</v>
      </c>
      <c r="W473" s="78">
        <f t="shared" si="477"/>
        <v>0.28317462755337119</v>
      </c>
      <c r="X473" s="78">
        <f t="shared" si="477"/>
        <v>0.3138731491539688</v>
      </c>
      <c r="Y473" s="78">
        <f t="shared" si="477"/>
        <v>0.29405542312276517</v>
      </c>
      <c r="Z473" s="78">
        <v>0.33600000000000002</v>
      </c>
      <c r="AA473" s="56">
        <f>AA448/AA415</f>
        <v>0.30654330028105242</v>
      </c>
      <c r="AB473" s="78">
        <f>AB448/AB415</f>
        <v>0.32259919066464132</v>
      </c>
      <c r="AC473" s="78">
        <f>AC448/AC415</f>
        <v>0.32609201664025361</v>
      </c>
      <c r="AD473" s="78">
        <f>AD448/AD415</f>
        <v>0.33737788350915504</v>
      </c>
      <c r="AE473" s="78">
        <v>0.313</v>
      </c>
      <c r="AF473" s="56">
        <f t="shared" ref="AF473:AX473" si="478">AF448/AF415</f>
        <v>0.32395414428430253</v>
      </c>
      <c r="AG473" s="78">
        <f t="shared" si="478"/>
        <v>0.33726415094339623</v>
      </c>
      <c r="AH473" s="78">
        <f t="shared" si="478"/>
        <v>0.32943925233644861</v>
      </c>
      <c r="AI473" s="78">
        <f t="shared" si="478"/>
        <v>0.34953703703703703</v>
      </c>
      <c r="AJ473" s="78">
        <f t="shared" si="478"/>
        <v>0.30681818181818182</v>
      </c>
      <c r="AK473" s="56">
        <v>0.33062645011600927</v>
      </c>
      <c r="AL473" s="78">
        <v>0.30681818181818182</v>
      </c>
      <c r="AM473" s="78">
        <v>0.34168564920273348</v>
      </c>
      <c r="AN473" s="78">
        <v>0.34080717488789236</v>
      </c>
      <c r="AO473" s="78">
        <v>0.30066815144766146</v>
      </c>
      <c r="AP473" s="56">
        <v>0.32243517474633598</v>
      </c>
      <c r="AQ473" s="78">
        <v>0.30296127562642367</v>
      </c>
      <c r="AR473" s="78">
        <v>0.34792626728110598</v>
      </c>
      <c r="AS473" s="78">
        <v>0.31566820276497698</v>
      </c>
      <c r="AT473" s="78">
        <v>0.31735159817351599</v>
      </c>
      <c r="AU473" s="56">
        <v>0.3209169054441261</v>
      </c>
      <c r="AV473" s="78">
        <v>0.28773584905660377</v>
      </c>
      <c r="AW473" s="78">
        <v>0.28846153846153844</v>
      </c>
      <c r="AX473" s="78">
        <v>0.26354679802955666</v>
      </c>
      <c r="AY473" s="78">
        <v>0.24504950495049505</v>
      </c>
      <c r="AZ473" s="56">
        <v>0.27151515151515154</v>
      </c>
    </row>
    <row r="474" spans="1:52" s="36" customFormat="1">
      <c r="A474" s="69" t="s">
        <v>19</v>
      </c>
      <c r="B474" s="56">
        <f t="shared" ref="B474:AG474" si="479">B459/B415</f>
        <v>0.17991649838884441</v>
      </c>
      <c r="C474" s="78">
        <f t="shared" si="479"/>
        <v>0.20820113173310398</v>
      </c>
      <c r="D474" s="191">
        <f t="shared" si="479"/>
        <v>0.10412372490950972</v>
      </c>
      <c r="E474" s="191">
        <f t="shared" si="479"/>
        <v>0.14887378381980543</v>
      </c>
      <c r="F474" s="191">
        <f t="shared" si="479"/>
        <v>0.16674507302422625</v>
      </c>
      <c r="G474" s="56">
        <f t="shared" si="479"/>
        <v>0.15703819567482374</v>
      </c>
      <c r="H474" s="78">
        <f t="shared" si="479"/>
        <v>0.16008046234581091</v>
      </c>
      <c r="I474" s="191">
        <f t="shared" si="479"/>
        <v>0.15929890613616662</v>
      </c>
      <c r="J474" s="191">
        <f t="shared" si="479"/>
        <v>0.22969580839582496</v>
      </c>
      <c r="K474" s="191">
        <f t="shared" si="479"/>
        <v>0.13541260791993923</v>
      </c>
      <c r="L474" s="56">
        <f t="shared" si="479"/>
        <v>0.1709063109508081</v>
      </c>
      <c r="M474" s="78">
        <f t="shared" si="479"/>
        <v>0.15593128538434811</v>
      </c>
      <c r="N474" s="191">
        <f t="shared" si="479"/>
        <v>0.15970571818955567</v>
      </c>
      <c r="O474" s="191">
        <f t="shared" si="479"/>
        <v>0.16368405476707806</v>
      </c>
      <c r="P474" s="191">
        <f t="shared" si="479"/>
        <v>0.22337714257158553</v>
      </c>
      <c r="Q474" s="56">
        <f t="shared" si="479"/>
        <v>0.17586437808368025</v>
      </c>
      <c r="R474" s="78">
        <f t="shared" si="479"/>
        <v>0.17535692269757119</v>
      </c>
      <c r="S474" s="191">
        <f t="shared" si="479"/>
        <v>0.15940934746014457</v>
      </c>
      <c r="T474" s="191">
        <f t="shared" si="479"/>
        <v>0.16606982548561167</v>
      </c>
      <c r="U474" s="191">
        <f t="shared" si="479"/>
        <v>0.15352957053817073</v>
      </c>
      <c r="V474" s="56">
        <f t="shared" si="479"/>
        <v>0.16329041906735137</v>
      </c>
      <c r="W474" s="78">
        <f t="shared" si="479"/>
        <v>0.13529267777607126</v>
      </c>
      <c r="X474" s="191">
        <f t="shared" si="479"/>
        <v>0.16942397463374531</v>
      </c>
      <c r="Y474" s="191">
        <f t="shared" si="479"/>
        <v>0.21496573301549463</v>
      </c>
      <c r="Z474" s="191">
        <f t="shared" si="479"/>
        <v>0.17658972435133558</v>
      </c>
      <c r="AA474" s="56">
        <f t="shared" si="479"/>
        <v>0.17372740975822651</v>
      </c>
      <c r="AB474" s="78">
        <f t="shared" si="479"/>
        <v>0.22214843101444462</v>
      </c>
      <c r="AC474" s="191">
        <f t="shared" si="479"/>
        <v>0.20980586370839938</v>
      </c>
      <c r="AD474" s="191">
        <f t="shared" si="479"/>
        <v>0.16281711288341166</v>
      </c>
      <c r="AE474" s="191">
        <f t="shared" si="479"/>
        <v>0.19596188432625833</v>
      </c>
      <c r="AF474" s="56">
        <f t="shared" si="479"/>
        <v>0.19752742145380184</v>
      </c>
      <c r="AG474" s="78">
        <f t="shared" si="479"/>
        <v>0.18396226415094338</v>
      </c>
      <c r="AH474" s="191">
        <f t="shared" ref="AH474:AX474" si="480">AH459/AH415</f>
        <v>0.15887850467289719</v>
      </c>
      <c r="AI474" s="191">
        <f t="shared" si="480"/>
        <v>0.14814814814814814</v>
      </c>
      <c r="AJ474" s="191">
        <f t="shared" si="480"/>
        <v>0.21590909090909091</v>
      </c>
      <c r="AK474" s="56">
        <v>0.17691415313225059</v>
      </c>
      <c r="AL474" s="78">
        <v>0.14772727272727273</v>
      </c>
      <c r="AM474" s="191">
        <v>0.18678815489749431</v>
      </c>
      <c r="AN474" s="191">
        <v>0.16816143497757849</v>
      </c>
      <c r="AO474" s="191">
        <v>9.5768374164810696E-2</v>
      </c>
      <c r="AP474" s="56">
        <v>0.14937993235625704</v>
      </c>
      <c r="AQ474" s="78">
        <v>0.13439635535307518</v>
      </c>
      <c r="AR474" s="191">
        <v>0.13364055299539171</v>
      </c>
      <c r="AS474" s="191">
        <v>0.11751152073732719</v>
      </c>
      <c r="AT474" s="191">
        <v>9.3607305936073054E-2</v>
      </c>
      <c r="AU474" s="56">
        <v>0.11977077363896849</v>
      </c>
      <c r="AV474" s="78">
        <v>0.14150943396226415</v>
      </c>
      <c r="AW474" s="78">
        <v>0.12740384615384615</v>
      </c>
      <c r="AX474" s="78">
        <v>0.16995073891625614</v>
      </c>
      <c r="AY474" s="191">
        <v>0.13118811881188119</v>
      </c>
      <c r="AZ474" s="56">
        <v>0.14242424242424243</v>
      </c>
    </row>
    <row r="475" spans="1:52" s="36" customFormat="1" ht="6.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AZ475" s="44"/>
    </row>
    <row r="476" spans="1:52" s="36" customFormat="1" ht="20.25" customHeight="1">
      <c r="B476" s="93"/>
      <c r="C476" s="93"/>
      <c r="D476" s="93"/>
      <c r="E476" s="93"/>
      <c r="F476" s="93"/>
      <c r="G476" s="93"/>
      <c r="H476" s="93"/>
      <c r="I476" s="93"/>
      <c r="J476" s="93"/>
      <c r="K476" s="93"/>
      <c r="L476" s="93"/>
      <c r="M476" s="93"/>
      <c r="N476" s="93"/>
      <c r="O476" s="93"/>
      <c r="P476" s="93"/>
      <c r="Q476" s="93"/>
      <c r="R476" s="93"/>
      <c r="W476" s="93"/>
      <c r="X476" s="93"/>
      <c r="AB476" s="93"/>
      <c r="AC476" s="93"/>
      <c r="AD476" s="93"/>
      <c r="AG476" s="93"/>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78740157480314965" right="0.11811023622047245" top="0.11811023622047245" bottom="0.11811023622047245" header="0.11811023622047245" footer="0.11811023622047245"/>
  <pageSetup paperSize="9" scale="67" orientation="landscape" r:id="rId1"/>
  <headerFooter alignWithMargins="0">
    <oddHeader>&amp;C&amp;12Bezeq - The Israel Telecommunication Corp. Ltd.</oddHeader>
    <oddFooter>&amp;L
&amp;R&amp;P of &amp;N
Key financial metrics</oddFooter>
  </headerFooter>
  <rowBreaks count="7" manualBreakCount="7">
    <brk id="75" max="51" man="1"/>
    <brk id="116" max="51" man="1"/>
    <brk id="169" max="51" man="1"/>
    <brk id="241" max="51" man="1"/>
    <brk id="274" max="51" man="1"/>
    <brk id="343" max="51" man="1"/>
    <brk id="411" max="51"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R187"/>
  <sheetViews>
    <sheetView showGridLines="0" tabSelected="1" topLeftCell="A4" zoomScale="110" zoomScaleNormal="110" workbookViewId="0">
      <pane xSplit="2" ySplit="3" topLeftCell="H9" activePane="bottomRight" state="frozen"/>
      <selection activeCell="AZ37" sqref="AZ37"/>
      <selection pane="topRight" activeCell="AZ37" sqref="AZ37"/>
      <selection pane="bottomLeft" activeCell="AZ37" sqref="AZ37"/>
      <selection pane="bottomRight" activeCell="AZ37" sqref="AZ37"/>
    </sheetView>
  </sheetViews>
  <sheetFormatPr defaultColWidth="8.77734375" defaultRowHeight="13.2"/>
  <cols>
    <col min="1" max="1" width="46.44140625" bestFit="1" customWidth="1"/>
    <col min="2" max="2" width="0" hidden="1" customWidth="1"/>
    <col min="4" max="7" width="0" hidden="1" customWidth="1"/>
    <col min="9" max="12" width="0" hidden="1" customWidth="1"/>
  </cols>
  <sheetData>
    <row r="4" spans="1:23">
      <c r="A4" s="105"/>
      <c r="B4" s="105"/>
      <c r="C4" s="105"/>
      <c r="D4" s="105"/>
      <c r="E4" s="105"/>
      <c r="F4" s="105"/>
      <c r="G4" s="105"/>
      <c r="H4" s="105"/>
      <c r="I4" s="105"/>
    </row>
    <row r="5" spans="1:23">
      <c r="A5" s="105"/>
      <c r="B5" s="47" t="s">
        <v>2</v>
      </c>
      <c r="C5" s="47" t="s">
        <v>5</v>
      </c>
      <c r="D5" s="47" t="s">
        <v>99</v>
      </c>
      <c r="E5" s="47" t="s">
        <v>0</v>
      </c>
      <c r="F5" s="47" t="s">
        <v>1</v>
      </c>
      <c r="G5" s="47" t="s">
        <v>2</v>
      </c>
      <c r="H5" s="47" t="s">
        <v>5</v>
      </c>
      <c r="I5" s="47" t="s">
        <v>99</v>
      </c>
      <c r="J5" s="47" t="s">
        <v>0</v>
      </c>
      <c r="K5" s="47" t="s">
        <v>1</v>
      </c>
      <c r="L5" s="47" t="s">
        <v>2</v>
      </c>
      <c r="M5" s="47" t="s">
        <v>5</v>
      </c>
      <c r="N5" s="47" t="s">
        <v>99</v>
      </c>
      <c r="O5" s="47" t="s">
        <v>0</v>
      </c>
      <c r="P5" s="47" t="s">
        <v>1</v>
      </c>
      <c r="Q5" s="47" t="s">
        <v>2</v>
      </c>
      <c r="R5" s="47" t="s">
        <v>5</v>
      </c>
      <c r="S5" s="47" t="s">
        <v>99</v>
      </c>
      <c r="T5" s="47" t="s">
        <v>0</v>
      </c>
      <c r="U5" s="47" t="s">
        <v>1</v>
      </c>
      <c r="V5" s="47" t="s">
        <v>2</v>
      </c>
      <c r="W5" s="47" t="s">
        <v>5</v>
      </c>
    </row>
    <row r="6" spans="1:23">
      <c r="A6" s="58" t="s">
        <v>187</v>
      </c>
      <c r="B6" s="47">
        <v>2013</v>
      </c>
      <c r="C6" s="47">
        <v>2013</v>
      </c>
      <c r="D6" s="47">
        <v>2014</v>
      </c>
      <c r="E6" s="47">
        <v>2014</v>
      </c>
      <c r="F6" s="47">
        <v>2014</v>
      </c>
      <c r="G6" s="47">
        <v>2014</v>
      </c>
      <c r="H6" s="47">
        <v>2014</v>
      </c>
      <c r="I6" s="47">
        <v>2015</v>
      </c>
      <c r="J6" s="47">
        <v>2015</v>
      </c>
      <c r="K6" s="47">
        <v>2015</v>
      </c>
      <c r="L6" s="47">
        <v>2015</v>
      </c>
      <c r="M6" s="47">
        <v>2015</v>
      </c>
      <c r="N6" s="47">
        <v>2016</v>
      </c>
      <c r="O6" s="47">
        <v>2016</v>
      </c>
      <c r="P6" s="47">
        <v>2016</v>
      </c>
      <c r="Q6" s="47">
        <v>2016</v>
      </c>
      <c r="R6" s="47">
        <v>2016</v>
      </c>
      <c r="S6" s="47">
        <v>2017</v>
      </c>
      <c r="T6" s="47">
        <v>2017</v>
      </c>
      <c r="U6" s="47">
        <v>2017</v>
      </c>
      <c r="V6" s="47">
        <v>2017</v>
      </c>
      <c r="W6" s="47">
        <v>2017</v>
      </c>
    </row>
    <row r="7" spans="1:23" ht="6" customHeight="1">
      <c r="A7" s="44"/>
      <c r="B7" s="45"/>
      <c r="C7" s="45"/>
      <c r="D7" s="45"/>
      <c r="E7" s="45"/>
      <c r="F7" s="45"/>
      <c r="G7" s="45"/>
      <c r="H7" s="45"/>
      <c r="I7" s="45"/>
      <c r="J7" s="45"/>
      <c r="K7" s="45"/>
      <c r="L7" s="45"/>
      <c r="M7" s="45"/>
      <c r="N7" s="45"/>
      <c r="O7" s="45"/>
      <c r="P7" s="45"/>
      <c r="Q7" s="45"/>
      <c r="R7" s="45"/>
      <c r="S7" s="45"/>
      <c r="T7" s="45"/>
      <c r="U7" s="45"/>
      <c r="V7" s="45"/>
      <c r="W7" s="45"/>
    </row>
    <row r="8" spans="1:23" ht="21">
      <c r="A8" s="35" t="s">
        <v>188</v>
      </c>
      <c r="B8" s="27"/>
      <c r="C8" s="27"/>
      <c r="D8" s="27"/>
      <c r="E8" s="27"/>
      <c r="F8" s="27"/>
      <c r="G8" s="27"/>
      <c r="H8" s="27"/>
      <c r="I8" s="27"/>
      <c r="J8" s="27"/>
      <c r="K8" s="27"/>
      <c r="L8" s="27"/>
      <c r="M8" s="27"/>
      <c r="N8" s="27"/>
      <c r="O8" s="27"/>
      <c r="P8" s="27"/>
      <c r="Q8" s="27"/>
      <c r="R8" s="27"/>
      <c r="S8" s="27"/>
      <c r="T8" s="27"/>
      <c r="U8" s="27"/>
      <c r="V8" s="27"/>
      <c r="W8" s="27"/>
    </row>
    <row r="9" spans="1:23">
      <c r="A9" s="61"/>
      <c r="B9" s="62"/>
      <c r="C9" s="62"/>
      <c r="D9" s="62"/>
      <c r="E9" s="62"/>
      <c r="F9" s="62"/>
      <c r="G9" s="62"/>
      <c r="H9" s="62"/>
      <c r="I9" s="62"/>
      <c r="J9" s="62"/>
      <c r="K9" s="62"/>
      <c r="L9" s="62"/>
      <c r="M9" s="62"/>
      <c r="N9" s="62"/>
      <c r="O9" s="62"/>
      <c r="P9" s="62"/>
      <c r="Q9" s="62"/>
      <c r="R9" s="62"/>
      <c r="S9" s="62"/>
      <c r="T9" s="62"/>
      <c r="U9" s="62"/>
      <c r="V9" s="62"/>
      <c r="W9" s="62"/>
    </row>
    <row r="10" spans="1:23">
      <c r="A10" s="40" t="s">
        <v>189</v>
      </c>
      <c r="B10" s="42"/>
      <c r="C10" s="42"/>
      <c r="D10" s="42"/>
      <c r="E10" s="42"/>
      <c r="F10" s="42"/>
      <c r="G10" s="42"/>
      <c r="H10" s="42"/>
      <c r="I10" s="42"/>
      <c r="J10" s="42"/>
      <c r="K10" s="42"/>
      <c r="L10" s="42"/>
      <c r="M10" s="42"/>
      <c r="N10" s="42"/>
      <c r="O10" s="42"/>
      <c r="P10" s="42"/>
      <c r="Q10" s="42"/>
      <c r="R10" s="42"/>
      <c r="S10" s="42"/>
      <c r="T10" s="42"/>
      <c r="U10" s="42"/>
      <c r="V10" s="42"/>
      <c r="W10" s="42"/>
    </row>
    <row r="11" spans="1:23">
      <c r="C11" s="37"/>
      <c r="H11" s="37"/>
      <c r="M11" s="37"/>
      <c r="N11" s="34"/>
      <c r="R11" s="37"/>
      <c r="S11" s="34"/>
      <c r="T11" s="34"/>
      <c r="U11" s="34"/>
      <c r="W11" s="37"/>
    </row>
    <row r="12" spans="1:23">
      <c r="A12" s="177" t="s">
        <v>269</v>
      </c>
      <c r="C12" s="63" t="s">
        <v>154</v>
      </c>
      <c r="D12" s="63" t="s">
        <v>154</v>
      </c>
      <c r="E12" s="63" t="s">
        <v>154</v>
      </c>
      <c r="F12" s="63" t="s">
        <v>154</v>
      </c>
      <c r="G12" s="63" t="s">
        <v>154</v>
      </c>
      <c r="H12" s="63" t="s">
        <v>154</v>
      </c>
      <c r="I12" s="63" t="s">
        <v>154</v>
      </c>
      <c r="J12" s="63" t="s">
        <v>154</v>
      </c>
      <c r="K12" s="63" t="s">
        <v>154</v>
      </c>
      <c r="L12" s="63" t="s">
        <v>154</v>
      </c>
      <c r="M12" s="63" t="s">
        <v>154</v>
      </c>
      <c r="N12" s="186" t="s">
        <v>154</v>
      </c>
      <c r="O12" s="186" t="s">
        <v>154</v>
      </c>
      <c r="P12" s="186" t="s">
        <v>154</v>
      </c>
      <c r="Q12" s="151" t="s">
        <v>154</v>
      </c>
      <c r="R12" s="63" t="s">
        <v>154</v>
      </c>
      <c r="S12" s="186" t="s">
        <v>154</v>
      </c>
      <c r="T12" s="186" t="s">
        <v>154</v>
      </c>
      <c r="U12" s="186" t="s">
        <v>154</v>
      </c>
      <c r="V12" s="151">
        <v>87</v>
      </c>
      <c r="W12" s="37">
        <v>87</v>
      </c>
    </row>
    <row r="13" spans="1:23">
      <c r="C13" s="37"/>
      <c r="H13" s="37"/>
      <c r="M13" s="37"/>
      <c r="N13" s="34"/>
      <c r="R13" s="37"/>
      <c r="S13" s="34"/>
      <c r="T13" s="34"/>
      <c r="U13" s="34"/>
      <c r="W13" s="37"/>
    </row>
    <row r="14" spans="1:23" ht="13.05" customHeight="1">
      <c r="A14" s="177" t="s">
        <v>190</v>
      </c>
      <c r="B14" s="151" t="s">
        <v>154</v>
      </c>
      <c r="C14" s="153" t="s">
        <v>154</v>
      </c>
      <c r="D14" s="151" t="s">
        <v>154</v>
      </c>
      <c r="E14" s="151" t="s">
        <v>154</v>
      </c>
      <c r="F14" s="151" t="s">
        <v>154</v>
      </c>
      <c r="G14" s="151" t="s">
        <v>154</v>
      </c>
      <c r="H14" s="63" t="s">
        <v>154</v>
      </c>
      <c r="I14" s="151">
        <v>-12</v>
      </c>
      <c r="J14" s="151" t="s">
        <v>154</v>
      </c>
      <c r="K14" s="151" t="s">
        <v>154</v>
      </c>
      <c r="L14" s="151" t="s">
        <v>154</v>
      </c>
      <c r="M14" s="178">
        <v>-12</v>
      </c>
      <c r="N14" s="186" t="s">
        <v>154</v>
      </c>
      <c r="O14" s="186" t="s">
        <v>154</v>
      </c>
      <c r="P14" s="186" t="s">
        <v>154</v>
      </c>
      <c r="Q14" s="151" t="s">
        <v>154</v>
      </c>
      <c r="R14" s="63" t="s">
        <v>154</v>
      </c>
      <c r="S14" s="186" t="s">
        <v>154</v>
      </c>
      <c r="T14" s="186" t="s">
        <v>154</v>
      </c>
      <c r="U14" s="186" t="s">
        <v>154</v>
      </c>
      <c r="V14" s="151" t="s">
        <v>154</v>
      </c>
      <c r="W14" s="63" t="s">
        <v>154</v>
      </c>
    </row>
    <row r="15" spans="1:23" ht="13.05" customHeight="1">
      <c r="C15" s="153"/>
      <c r="H15" s="37"/>
      <c r="M15" s="37"/>
      <c r="N15" s="34"/>
      <c r="O15" s="34"/>
      <c r="P15" s="34"/>
      <c r="R15" s="37"/>
      <c r="S15" s="34"/>
      <c r="T15" s="34"/>
      <c r="U15" s="34"/>
      <c r="W15" s="37"/>
    </row>
    <row r="16" spans="1:23" ht="13.05" customHeight="1">
      <c r="A16" s="2" t="s">
        <v>191</v>
      </c>
      <c r="B16" s="151" t="s">
        <v>154</v>
      </c>
      <c r="C16" s="153" t="s">
        <v>154</v>
      </c>
      <c r="D16" s="151" t="s">
        <v>154</v>
      </c>
      <c r="E16" s="152">
        <v>-582</v>
      </c>
      <c r="F16" s="151" t="s">
        <v>154</v>
      </c>
      <c r="G16" s="151" t="s">
        <v>154</v>
      </c>
      <c r="H16" s="178">
        <v>-582</v>
      </c>
      <c r="I16" s="151" t="s">
        <v>154</v>
      </c>
      <c r="J16" s="151" t="s">
        <v>154</v>
      </c>
      <c r="K16" s="151" t="s">
        <v>154</v>
      </c>
      <c r="L16" s="151" t="s">
        <v>154</v>
      </c>
      <c r="M16" s="63" t="s">
        <v>154</v>
      </c>
      <c r="N16" s="186" t="s">
        <v>154</v>
      </c>
      <c r="O16" s="186" t="s">
        <v>154</v>
      </c>
      <c r="P16" s="186" t="s">
        <v>154</v>
      </c>
      <c r="Q16" s="151" t="s">
        <v>154</v>
      </c>
      <c r="R16" s="63" t="s">
        <v>154</v>
      </c>
      <c r="S16" s="186" t="s">
        <v>154</v>
      </c>
      <c r="T16" s="186" t="s">
        <v>154</v>
      </c>
      <c r="U16" s="186" t="s">
        <v>154</v>
      </c>
      <c r="V16" s="151" t="s">
        <v>154</v>
      </c>
      <c r="W16" s="63" t="s">
        <v>154</v>
      </c>
    </row>
    <row r="17" spans="1:23" ht="13.05" customHeight="1">
      <c r="A17" s="71"/>
      <c r="B17" s="152"/>
      <c r="C17" s="178"/>
      <c r="D17" s="152"/>
      <c r="E17" s="152"/>
      <c r="F17" s="152"/>
      <c r="G17" s="152"/>
      <c r="H17" s="37"/>
      <c r="I17" s="151"/>
      <c r="J17" s="151"/>
      <c r="K17" s="151"/>
      <c r="L17" s="152"/>
      <c r="M17" s="37"/>
      <c r="N17" s="186"/>
      <c r="O17" s="186"/>
      <c r="P17" s="186"/>
      <c r="Q17" s="152"/>
      <c r="R17" s="37"/>
      <c r="S17" s="186"/>
      <c r="T17" s="186"/>
      <c r="U17" s="186"/>
      <c r="V17" s="152"/>
      <c r="W17" s="37"/>
    </row>
    <row r="18" spans="1:23" ht="27" customHeight="1">
      <c r="A18" s="179" t="s">
        <v>192</v>
      </c>
      <c r="B18" s="152">
        <v>-29</v>
      </c>
      <c r="C18" s="178">
        <v>-120</v>
      </c>
      <c r="D18" s="152">
        <v>-12</v>
      </c>
      <c r="E18" s="152">
        <v>-102</v>
      </c>
      <c r="F18" s="151">
        <v>-27</v>
      </c>
      <c r="G18" s="152">
        <v>-26</v>
      </c>
      <c r="H18" s="178">
        <v>-167</v>
      </c>
      <c r="I18" s="151">
        <v>-11</v>
      </c>
      <c r="J18" s="151">
        <v>-148</v>
      </c>
      <c r="K18" s="151">
        <v>-13</v>
      </c>
      <c r="L18" s="152">
        <f>M18-SUM(I18:K18)</f>
        <v>-62</v>
      </c>
      <c r="M18" s="178">
        <v>-234</v>
      </c>
      <c r="N18" s="186">
        <v>-11</v>
      </c>
      <c r="O18" s="186">
        <v>-29</v>
      </c>
      <c r="P18" s="186">
        <v>-22</v>
      </c>
      <c r="Q18" s="152">
        <f>R18-P18-O18-N18</f>
        <v>-45</v>
      </c>
      <c r="R18" s="178">
        <v>-107</v>
      </c>
      <c r="S18" s="186">
        <v>-6</v>
      </c>
      <c r="T18" s="186">
        <v>-13</v>
      </c>
      <c r="U18" s="186">
        <v>-45</v>
      </c>
      <c r="V18" s="152">
        <f>W18-U18-T18-S18</f>
        <v>-2</v>
      </c>
      <c r="W18" s="178">
        <v>-66</v>
      </c>
    </row>
    <row r="19" spans="1:23" ht="13.05" customHeight="1">
      <c r="A19" s="71"/>
      <c r="B19" s="152"/>
      <c r="C19" s="178"/>
      <c r="D19" s="152"/>
      <c r="E19" s="152"/>
      <c r="F19" s="152"/>
      <c r="G19" s="152"/>
      <c r="H19" s="178"/>
      <c r="I19" s="151"/>
      <c r="J19" s="151"/>
      <c r="K19" s="151"/>
      <c r="L19" s="152"/>
      <c r="M19" s="178"/>
      <c r="N19" s="186"/>
      <c r="O19" s="186"/>
      <c r="P19" s="186"/>
      <c r="Q19" s="152"/>
      <c r="R19" s="178"/>
      <c r="S19" s="186"/>
      <c r="T19" s="186"/>
      <c r="U19" s="186"/>
      <c r="V19" s="152"/>
      <c r="W19" s="178"/>
    </row>
    <row r="20" spans="1:23" ht="13.05" customHeight="1">
      <c r="A20" s="2" t="s">
        <v>193</v>
      </c>
      <c r="B20" s="152">
        <v>-7</v>
      </c>
      <c r="C20" s="178">
        <v>-47</v>
      </c>
      <c r="D20" s="152">
        <v>-5</v>
      </c>
      <c r="E20" s="151">
        <v>-2</v>
      </c>
      <c r="F20" s="151">
        <v>-1</v>
      </c>
      <c r="G20" s="151" t="s">
        <v>154</v>
      </c>
      <c r="H20" s="178">
        <v>-8</v>
      </c>
      <c r="I20" s="151" t="s">
        <v>154</v>
      </c>
      <c r="J20" s="151" t="s">
        <v>154</v>
      </c>
      <c r="K20" s="151" t="s">
        <v>154</v>
      </c>
      <c r="L20" s="151" t="s">
        <v>154</v>
      </c>
      <c r="M20" s="63" t="s">
        <v>154</v>
      </c>
      <c r="N20" s="186" t="s">
        <v>154</v>
      </c>
      <c r="O20" s="186" t="s">
        <v>154</v>
      </c>
      <c r="P20" s="186" t="s">
        <v>154</v>
      </c>
      <c r="Q20" s="151" t="s">
        <v>154</v>
      </c>
      <c r="R20" s="63" t="s">
        <v>154</v>
      </c>
      <c r="S20" s="186" t="s">
        <v>154</v>
      </c>
      <c r="T20" s="186" t="s">
        <v>154</v>
      </c>
      <c r="U20" s="186" t="s">
        <v>154</v>
      </c>
      <c r="V20" s="151" t="s">
        <v>154</v>
      </c>
      <c r="W20" s="63" t="s">
        <v>154</v>
      </c>
    </row>
    <row r="21" spans="1:23" ht="13.05" customHeight="1">
      <c r="A21" s="71"/>
      <c r="B21" s="152"/>
      <c r="C21" s="178"/>
      <c r="D21" s="152"/>
      <c r="E21" s="152"/>
      <c r="F21" s="152"/>
      <c r="G21" s="152"/>
      <c r="H21" s="178"/>
      <c r="I21" s="152"/>
      <c r="J21" s="152"/>
      <c r="K21" s="152"/>
      <c r="L21" s="152"/>
      <c r="M21" s="178"/>
      <c r="N21" s="187"/>
      <c r="O21" s="187"/>
      <c r="P21" s="187"/>
      <c r="Q21" s="152"/>
      <c r="R21" s="178"/>
      <c r="S21" s="187"/>
      <c r="T21" s="187"/>
      <c r="U21" s="187"/>
      <c r="V21" s="152"/>
      <c r="W21" s="178"/>
    </row>
    <row r="22" spans="1:23" ht="13.05" customHeight="1">
      <c r="A22" s="2" t="s">
        <v>194</v>
      </c>
      <c r="B22" s="152">
        <v>2</v>
      </c>
      <c r="C22" s="153" t="s">
        <v>154</v>
      </c>
      <c r="D22" s="151" t="s">
        <v>154</v>
      </c>
      <c r="E22" s="151" t="s">
        <v>154</v>
      </c>
      <c r="F22" s="151">
        <v>-5</v>
      </c>
      <c r="G22" s="152">
        <f>H22-F22</f>
        <v>-18</v>
      </c>
      <c r="H22" s="178">
        <v>-23</v>
      </c>
      <c r="I22" s="152">
        <v>6</v>
      </c>
      <c r="J22" s="152">
        <v>6</v>
      </c>
      <c r="K22" s="151" t="s">
        <v>154</v>
      </c>
      <c r="L22" s="152">
        <f>M22-SUM(I22:K22)</f>
        <v>22</v>
      </c>
      <c r="M22" s="178">
        <v>34</v>
      </c>
      <c r="N22" s="186" t="s">
        <v>154</v>
      </c>
      <c r="O22" s="186" t="s">
        <v>154</v>
      </c>
      <c r="P22" s="186" t="s">
        <v>154</v>
      </c>
      <c r="Q22" s="152"/>
      <c r="R22" s="178"/>
      <c r="S22" s="186" t="s">
        <v>154</v>
      </c>
      <c r="T22" s="186" t="s">
        <v>154</v>
      </c>
      <c r="U22" s="186" t="s">
        <v>154</v>
      </c>
      <c r="V22" s="151" t="s">
        <v>154</v>
      </c>
      <c r="W22" s="178"/>
    </row>
    <row r="23" spans="1:23" ht="13.05" customHeight="1">
      <c r="A23" s="71"/>
      <c r="B23" s="152"/>
      <c r="C23" s="178"/>
      <c r="D23" s="152"/>
      <c r="E23" s="152"/>
      <c r="F23" s="152"/>
      <c r="G23" s="152"/>
      <c r="H23" s="37"/>
      <c r="I23" s="152"/>
      <c r="J23" s="152"/>
      <c r="K23" s="152"/>
      <c r="L23" s="152"/>
      <c r="M23" s="37"/>
      <c r="N23" s="187"/>
      <c r="O23" s="187"/>
      <c r="P23" s="187"/>
      <c r="Q23" s="152"/>
      <c r="R23" s="37"/>
      <c r="S23" s="187"/>
      <c r="T23" s="187"/>
      <c r="U23" s="187"/>
      <c r="V23" s="152"/>
      <c r="W23" s="37"/>
    </row>
    <row r="24" spans="1:23" ht="13.05" customHeight="1">
      <c r="A24" s="2" t="s">
        <v>195</v>
      </c>
      <c r="B24" s="152">
        <v>53</v>
      </c>
      <c r="C24" s="178">
        <v>90</v>
      </c>
      <c r="D24" s="152">
        <v>8</v>
      </c>
      <c r="E24" s="152">
        <v>117</v>
      </c>
      <c r="F24" s="152">
        <v>8</v>
      </c>
      <c r="G24" s="152">
        <v>43</v>
      </c>
      <c r="H24" s="63">
        <v>176</v>
      </c>
      <c r="I24" s="151" t="s">
        <v>154</v>
      </c>
      <c r="J24" s="151">
        <v>1</v>
      </c>
      <c r="K24" s="151" t="s">
        <v>154</v>
      </c>
      <c r="L24" s="152">
        <f>M24-SUM(I24:K24)</f>
        <v>116</v>
      </c>
      <c r="M24" s="178">
        <v>117</v>
      </c>
      <c r="N24" s="186">
        <v>1</v>
      </c>
      <c r="O24" s="186">
        <v>14</v>
      </c>
      <c r="P24" s="186">
        <v>3</v>
      </c>
      <c r="Q24" s="152">
        <f>R24-P24-O24-N24</f>
        <v>78</v>
      </c>
      <c r="R24" s="178">
        <v>96</v>
      </c>
      <c r="S24" s="186" t="s">
        <v>154</v>
      </c>
      <c r="T24" s="186" t="s">
        <v>154</v>
      </c>
      <c r="U24" s="186">
        <v>3</v>
      </c>
      <c r="V24" s="152">
        <f>W24-U24</f>
        <v>20</v>
      </c>
      <c r="W24" s="178">
        <v>23</v>
      </c>
    </row>
    <row r="25" spans="1:23" ht="13.05" customHeight="1">
      <c r="A25" s="71"/>
      <c r="B25" s="152"/>
      <c r="C25" s="178"/>
      <c r="D25" s="152"/>
      <c r="E25" s="152"/>
      <c r="F25" s="152"/>
      <c r="G25" s="152"/>
      <c r="H25" s="37"/>
      <c r="I25" s="152"/>
      <c r="J25" s="152"/>
      <c r="K25" s="152"/>
      <c r="L25" s="152"/>
      <c r="M25" s="37"/>
      <c r="N25" s="187"/>
      <c r="O25" s="187"/>
      <c r="P25" s="187"/>
      <c r="Q25" s="152"/>
      <c r="R25" s="37"/>
      <c r="S25" s="187"/>
      <c r="T25" s="187"/>
      <c r="U25" s="187"/>
      <c r="V25" s="152"/>
      <c r="W25" s="37"/>
    </row>
    <row r="26" spans="1:23" ht="13.05" customHeight="1">
      <c r="A26" s="179" t="s">
        <v>196</v>
      </c>
      <c r="B26" s="152">
        <v>61</v>
      </c>
      <c r="C26" s="178">
        <v>61</v>
      </c>
      <c r="D26" s="151" t="s">
        <v>154</v>
      </c>
      <c r="E26" s="151" t="s">
        <v>154</v>
      </c>
      <c r="F26" s="151" t="s">
        <v>154</v>
      </c>
      <c r="G26" s="152">
        <v>18</v>
      </c>
      <c r="H26" s="178">
        <v>18</v>
      </c>
      <c r="I26" s="151" t="s">
        <v>154</v>
      </c>
      <c r="J26" s="151" t="s">
        <v>154</v>
      </c>
      <c r="K26" s="151" t="s">
        <v>154</v>
      </c>
      <c r="L26" s="151" t="s">
        <v>154</v>
      </c>
      <c r="M26" s="63" t="s">
        <v>154</v>
      </c>
      <c r="N26" s="186" t="s">
        <v>154</v>
      </c>
      <c r="O26" s="186" t="s">
        <v>154</v>
      </c>
      <c r="P26" s="186" t="s">
        <v>154</v>
      </c>
      <c r="Q26" s="151" t="s">
        <v>154</v>
      </c>
      <c r="R26" s="63" t="s">
        <v>154</v>
      </c>
      <c r="S26" s="186" t="s">
        <v>154</v>
      </c>
      <c r="T26" s="186" t="s">
        <v>154</v>
      </c>
      <c r="U26" s="186" t="s">
        <v>154</v>
      </c>
      <c r="V26" s="151" t="s">
        <v>154</v>
      </c>
      <c r="W26" s="63" t="s">
        <v>154</v>
      </c>
    </row>
    <row r="27" spans="1:23" ht="13.05" customHeight="1">
      <c r="A27" s="71"/>
      <c r="B27" s="152"/>
      <c r="C27" s="178"/>
      <c r="D27" s="152"/>
      <c r="E27" s="152"/>
      <c r="F27" s="152"/>
      <c r="G27" s="152"/>
      <c r="H27" s="37"/>
      <c r="I27" s="152"/>
      <c r="J27" s="152"/>
      <c r="K27" s="152"/>
      <c r="L27" s="152"/>
      <c r="M27" s="37"/>
      <c r="N27" s="187"/>
      <c r="O27" s="187"/>
      <c r="P27" s="187"/>
      <c r="Q27" s="152"/>
      <c r="R27" s="37"/>
      <c r="S27" s="187"/>
      <c r="T27" s="187"/>
      <c r="U27" s="187"/>
      <c r="V27" s="152"/>
      <c r="W27" s="37"/>
    </row>
    <row r="28" spans="1:23" ht="27" customHeight="1">
      <c r="A28" s="179" t="s">
        <v>197</v>
      </c>
      <c r="B28" s="151">
        <v>1</v>
      </c>
      <c r="C28" s="178">
        <v>1</v>
      </c>
      <c r="D28" s="151" t="s">
        <v>154</v>
      </c>
      <c r="E28" s="151" t="s">
        <v>154</v>
      </c>
      <c r="F28" s="151" t="s">
        <v>154</v>
      </c>
      <c r="G28" s="151" t="s">
        <v>154</v>
      </c>
      <c r="H28" s="63" t="s">
        <v>154</v>
      </c>
      <c r="I28" s="151" t="s">
        <v>154</v>
      </c>
      <c r="J28" s="151" t="s">
        <v>154</v>
      </c>
      <c r="K28" s="151" t="s">
        <v>154</v>
      </c>
      <c r="L28" s="151" t="s">
        <v>154</v>
      </c>
      <c r="M28" s="63" t="s">
        <v>154</v>
      </c>
      <c r="N28" s="186" t="s">
        <v>154</v>
      </c>
      <c r="O28" s="186" t="s">
        <v>154</v>
      </c>
      <c r="P28" s="186" t="s">
        <v>154</v>
      </c>
      <c r="Q28" s="151" t="s">
        <v>154</v>
      </c>
      <c r="R28" s="63" t="s">
        <v>154</v>
      </c>
      <c r="S28" s="186" t="s">
        <v>154</v>
      </c>
      <c r="T28" s="186" t="s">
        <v>154</v>
      </c>
      <c r="U28" s="186" t="s">
        <v>154</v>
      </c>
      <c r="V28" s="151" t="s">
        <v>154</v>
      </c>
      <c r="W28" s="63" t="s">
        <v>154</v>
      </c>
    </row>
    <row r="29" spans="1:23" ht="13.05" customHeight="1">
      <c r="A29" s="71"/>
      <c r="B29" s="151"/>
      <c r="C29" s="178"/>
      <c r="D29" s="151"/>
      <c r="E29" s="151"/>
      <c r="F29" s="151"/>
      <c r="G29" s="151"/>
      <c r="H29" s="63"/>
      <c r="I29" s="151"/>
      <c r="J29" s="151"/>
      <c r="K29" s="151"/>
      <c r="L29" s="151"/>
      <c r="M29" s="63"/>
      <c r="N29" s="186"/>
      <c r="O29" s="186"/>
      <c r="P29" s="186"/>
      <c r="Q29" s="151"/>
      <c r="R29" s="63"/>
      <c r="S29" s="186"/>
      <c r="T29" s="186"/>
      <c r="U29" s="186"/>
      <c r="V29" s="151"/>
      <c r="W29" s="63"/>
    </row>
    <row r="30" spans="1:23" ht="13.05" customHeight="1">
      <c r="A30" s="179" t="s">
        <v>198</v>
      </c>
      <c r="B30" s="151" t="s">
        <v>154</v>
      </c>
      <c r="C30" s="153" t="s">
        <v>154</v>
      </c>
      <c r="D30" s="152">
        <v>1</v>
      </c>
      <c r="E30" s="152">
        <v>1</v>
      </c>
      <c r="F30" s="151" t="s">
        <v>154</v>
      </c>
      <c r="G30" s="151">
        <v>-2</v>
      </c>
      <c r="H30" s="63" t="s">
        <v>154</v>
      </c>
      <c r="I30" s="151" t="s">
        <v>154</v>
      </c>
      <c r="J30" s="151" t="s">
        <v>154</v>
      </c>
      <c r="K30" s="151" t="s">
        <v>154</v>
      </c>
      <c r="L30" s="151" t="s">
        <v>154</v>
      </c>
      <c r="M30" s="63" t="s">
        <v>154</v>
      </c>
      <c r="N30" s="186">
        <v>15</v>
      </c>
      <c r="O30" s="186">
        <v>3</v>
      </c>
      <c r="P30" s="186">
        <v>-7</v>
      </c>
      <c r="Q30" s="151" t="s">
        <v>154</v>
      </c>
      <c r="R30" s="63">
        <v>11</v>
      </c>
      <c r="S30" s="186">
        <v>2</v>
      </c>
      <c r="T30" s="186">
        <v>12</v>
      </c>
      <c r="U30" s="186">
        <v>19</v>
      </c>
      <c r="V30" s="152">
        <f>W30-U30-T30-S30</f>
        <v>-9</v>
      </c>
      <c r="W30" s="63">
        <v>24</v>
      </c>
    </row>
    <row r="31" spans="1:23" ht="13.05" customHeight="1">
      <c r="A31" s="180"/>
      <c r="B31" s="152"/>
      <c r="C31" s="178"/>
      <c r="D31" s="152"/>
      <c r="E31" s="152"/>
      <c r="F31" s="152"/>
      <c r="G31" s="152"/>
      <c r="H31" s="178"/>
      <c r="I31" s="152"/>
      <c r="J31" s="152"/>
      <c r="K31" s="152"/>
      <c r="L31" s="152"/>
      <c r="M31" s="178"/>
      <c r="N31" s="187"/>
      <c r="O31" s="187"/>
      <c r="P31" s="187"/>
      <c r="Q31" s="152"/>
      <c r="R31" s="178"/>
      <c r="S31" s="187"/>
      <c r="T31" s="187"/>
      <c r="U31" s="187"/>
      <c r="V31" s="152"/>
      <c r="W31" s="178"/>
    </row>
    <row r="32" spans="1:23" ht="13.05" customHeight="1">
      <c r="A32" s="181" t="s">
        <v>199</v>
      </c>
      <c r="B32" s="182">
        <f t="shared" ref="B32:M32" si="0">SUM(B14:B30)</f>
        <v>81</v>
      </c>
      <c r="C32" s="183">
        <f t="shared" si="0"/>
        <v>-15</v>
      </c>
      <c r="D32" s="182">
        <f t="shared" si="0"/>
        <v>-8</v>
      </c>
      <c r="E32" s="182">
        <f t="shared" si="0"/>
        <v>-568</v>
      </c>
      <c r="F32" s="182">
        <f t="shared" si="0"/>
        <v>-25</v>
      </c>
      <c r="G32" s="182">
        <f t="shared" si="0"/>
        <v>15</v>
      </c>
      <c r="H32" s="183">
        <f t="shared" si="0"/>
        <v>-586</v>
      </c>
      <c r="I32" s="182">
        <f t="shared" si="0"/>
        <v>-17</v>
      </c>
      <c r="J32" s="182">
        <f t="shared" si="0"/>
        <v>-141</v>
      </c>
      <c r="K32" s="182">
        <f t="shared" si="0"/>
        <v>-13</v>
      </c>
      <c r="L32" s="182">
        <f t="shared" si="0"/>
        <v>76</v>
      </c>
      <c r="M32" s="183">
        <f t="shared" si="0"/>
        <v>-95</v>
      </c>
      <c r="N32" s="188">
        <f t="shared" ref="N32:O32" si="1">SUM(N14:N30)</f>
        <v>5</v>
      </c>
      <c r="O32" s="188">
        <f t="shared" si="1"/>
        <v>-12</v>
      </c>
      <c r="P32" s="188">
        <f t="shared" ref="P32" si="2">SUM(P14:P30)</f>
        <v>-26</v>
      </c>
      <c r="Q32" s="182">
        <f t="shared" ref="Q32:S32" si="3">SUM(Q14:Q30)</f>
        <v>33</v>
      </c>
      <c r="R32" s="183">
        <f t="shared" si="3"/>
        <v>0</v>
      </c>
      <c r="S32" s="188">
        <f t="shared" si="3"/>
        <v>-4</v>
      </c>
      <c r="T32" s="188">
        <f t="shared" ref="T32:U32" si="4">SUM(T14:T30)</f>
        <v>-1</v>
      </c>
      <c r="U32" s="188">
        <f t="shared" si="4"/>
        <v>-23</v>
      </c>
      <c r="V32" s="182">
        <f>SUM(V12:V30)</f>
        <v>96</v>
      </c>
      <c r="W32" s="183">
        <f>SUM(W12:W31)</f>
        <v>68</v>
      </c>
    </row>
    <row r="33" spans="1:23" ht="6" customHeight="1">
      <c r="A33" s="46"/>
      <c r="B33" s="46"/>
      <c r="C33" s="46"/>
      <c r="D33" s="46"/>
      <c r="E33" s="46"/>
      <c r="F33" s="46"/>
      <c r="G33" s="46"/>
      <c r="H33" s="46"/>
      <c r="I33" s="46"/>
      <c r="J33" s="46"/>
      <c r="K33" s="46"/>
      <c r="L33" s="46"/>
      <c r="M33" s="46"/>
      <c r="N33" s="46"/>
      <c r="O33" s="46"/>
      <c r="P33" s="46"/>
      <c r="Q33" s="46"/>
      <c r="R33" s="46"/>
      <c r="S33" s="46"/>
      <c r="T33" s="46"/>
      <c r="U33" s="46"/>
      <c r="V33" s="46"/>
      <c r="W33" s="46"/>
    </row>
    <row r="34" spans="1:23">
      <c r="A34" s="184" t="s">
        <v>200</v>
      </c>
      <c r="H34" s="185"/>
      <c r="M34" s="185"/>
      <c r="N34" s="34"/>
      <c r="R34" s="185"/>
      <c r="S34" s="34"/>
      <c r="T34" s="34"/>
      <c r="U34" s="34"/>
      <c r="W34" s="185"/>
    </row>
    <row r="35" spans="1:23">
      <c r="N35" s="34"/>
    </row>
    <row r="187" spans="44:44">
      <c r="AR187">
        <v>59</v>
      </c>
    </row>
  </sheetData>
  <pageMargins left="0.70866141732283472" right="0.70866141732283472" top="0.74803149606299213" bottom="0.74803149606299213" header="0.31496062992125984" footer="0.19685039370078741"/>
  <pageSetup paperSize="9" scale="83"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4"/>
  <sheetViews>
    <sheetView showGridLines="0" tabSelected="1" zoomScaleNormal="100" zoomScalePageLayoutView="90" workbookViewId="0">
      <pane xSplit="1" ySplit="4" topLeftCell="B5" activePane="bottomRight" state="frozen"/>
      <selection activeCell="AZ37" sqref="AZ37"/>
      <selection pane="topRight" activeCell="AZ37" sqref="AZ37"/>
      <selection pane="bottomLeft" activeCell="AZ37" sqref="AZ37"/>
      <selection pane="bottomRight" activeCell="AZ37" sqref="AZ37"/>
    </sheetView>
  </sheetViews>
  <sheetFormatPr defaultColWidth="8.77734375" defaultRowHeight="13.2"/>
  <cols>
    <col min="1" max="1" width="43" customWidth="1"/>
    <col min="2" max="2" width="10.44140625" customWidth="1"/>
    <col min="3" max="6" width="10.44140625" style="1" hidden="1" customWidth="1"/>
    <col min="7" max="7" width="10.44140625" style="1" customWidth="1"/>
    <col min="8" max="10" width="9.44140625" style="1" hidden="1" customWidth="1"/>
    <col min="11" max="11" width="8.77734375" style="1" hidden="1" customWidth="1"/>
    <col min="12" max="12" width="8.21875" style="1" customWidth="1"/>
    <col min="13" max="15" width="8.77734375" style="1" hidden="1" customWidth="1"/>
    <col min="16" max="16" width="8.21875" style="1" hidden="1" customWidth="1"/>
    <col min="17" max="17" width="8.77734375" style="1" customWidth="1"/>
    <col min="18" max="18" width="8.77734375" style="1" hidden="1" customWidth="1"/>
    <col min="19" max="21" width="8.44140625" style="1" hidden="1" customWidth="1"/>
    <col min="22" max="22" width="8.77734375" style="1" customWidth="1"/>
    <col min="23" max="23" width="8.44140625" style="1" hidden="1" customWidth="1"/>
    <col min="24" max="24" width="8.77734375" style="1" hidden="1" customWidth="1"/>
    <col min="25" max="26" width="9.21875" style="1" hidden="1" customWidth="1"/>
    <col min="27" max="27" width="9.21875" style="1" customWidth="1"/>
    <col min="28" max="31" width="9.21875" style="1" hidden="1" customWidth="1"/>
    <col min="32" max="32" width="9.21875" style="1" customWidth="1"/>
    <col min="33" max="36" width="9.21875" style="1" hidden="1" customWidth="1"/>
    <col min="37" max="37" width="9.21875" style="1" customWidth="1"/>
    <col min="38" max="41" width="8.77734375" style="1" hidden="1" customWidth="1"/>
    <col min="42" max="60" width="8.77734375" style="1"/>
    <col min="61" max="16384" width="8.77734375" style="4"/>
  </cols>
  <sheetData>
    <row r="1" spans="1:202" ht="15.6">
      <c r="A1" s="30"/>
      <c r="B1" s="30"/>
      <c r="C1" s="67"/>
      <c r="D1" s="67"/>
      <c r="E1" s="67"/>
      <c r="F1" s="67"/>
      <c r="G1" s="67"/>
      <c r="H1" s="67"/>
      <c r="I1" s="67"/>
      <c r="J1" s="67"/>
      <c r="K1" s="67"/>
      <c r="L1" s="67"/>
      <c r="M1" s="67"/>
      <c r="N1" s="32"/>
      <c r="O1" s="32"/>
    </row>
    <row r="2" spans="1:202">
      <c r="A2" s="30"/>
      <c r="B2" s="30"/>
      <c r="C2" s="30"/>
      <c r="D2" s="30"/>
      <c r="E2" s="30"/>
      <c r="F2" s="30"/>
      <c r="G2" s="30"/>
      <c r="H2" s="30"/>
      <c r="I2" s="30"/>
      <c r="J2" s="30"/>
      <c r="K2" s="30"/>
      <c r="L2" s="30"/>
      <c r="M2" s="30"/>
      <c r="N2" s="32"/>
      <c r="O2" s="32"/>
    </row>
    <row r="3" spans="1:202">
      <c r="A3" s="31"/>
      <c r="B3" s="47" t="s">
        <v>5</v>
      </c>
      <c r="C3" s="47" t="s">
        <v>6</v>
      </c>
      <c r="D3" s="47" t="s">
        <v>0</v>
      </c>
      <c r="E3" s="47" t="s">
        <v>1</v>
      </c>
      <c r="F3" s="47" t="s">
        <v>2</v>
      </c>
      <c r="G3" s="47" t="s">
        <v>5</v>
      </c>
      <c r="H3" s="47" t="s">
        <v>6</v>
      </c>
      <c r="I3" s="47" t="s">
        <v>0</v>
      </c>
      <c r="J3" s="47" t="s">
        <v>1</v>
      </c>
      <c r="K3" s="47" t="s">
        <v>2</v>
      </c>
      <c r="L3" s="47" t="s">
        <v>5</v>
      </c>
      <c r="M3" s="47" t="s">
        <v>6</v>
      </c>
      <c r="N3" s="47" t="s">
        <v>57</v>
      </c>
      <c r="O3" s="47" t="s">
        <v>1</v>
      </c>
      <c r="P3" s="47" t="s">
        <v>2</v>
      </c>
      <c r="Q3" s="47" t="s">
        <v>5</v>
      </c>
      <c r="R3" s="47" t="s">
        <v>6</v>
      </c>
      <c r="S3" s="47" t="s">
        <v>0</v>
      </c>
      <c r="T3" s="47" t="s">
        <v>1</v>
      </c>
      <c r="U3" s="47" t="s">
        <v>2</v>
      </c>
      <c r="V3" s="47" t="s">
        <v>5</v>
      </c>
      <c r="W3" s="47" t="s">
        <v>6</v>
      </c>
      <c r="X3" s="47" t="s">
        <v>0</v>
      </c>
      <c r="Y3" s="47" t="s">
        <v>1</v>
      </c>
      <c r="Z3" s="47" t="s">
        <v>2</v>
      </c>
      <c r="AA3" s="47" t="s">
        <v>5</v>
      </c>
      <c r="AB3" s="47" t="s">
        <v>6</v>
      </c>
      <c r="AC3" s="47" t="s">
        <v>0</v>
      </c>
      <c r="AD3" s="47" t="s">
        <v>1</v>
      </c>
      <c r="AE3" s="47" t="s">
        <v>2</v>
      </c>
      <c r="AF3" s="47" t="s">
        <v>5</v>
      </c>
      <c r="AG3" s="47" t="s">
        <v>6</v>
      </c>
      <c r="AH3" s="47" t="s">
        <v>0</v>
      </c>
      <c r="AI3" s="47" t="s">
        <v>1</v>
      </c>
      <c r="AJ3" s="47" t="s">
        <v>2</v>
      </c>
      <c r="AK3" s="47" t="s">
        <v>5</v>
      </c>
      <c r="AL3" s="47" t="s">
        <v>6</v>
      </c>
      <c r="AM3" s="47" t="s">
        <v>0</v>
      </c>
      <c r="AN3" s="47" t="s">
        <v>1</v>
      </c>
      <c r="AO3" s="47" t="s">
        <v>2</v>
      </c>
      <c r="AP3" s="47" t="s">
        <v>5</v>
      </c>
      <c r="AQ3" s="47" t="s">
        <v>6</v>
      </c>
      <c r="AR3" s="47" t="s">
        <v>0</v>
      </c>
      <c r="AS3" s="47" t="s">
        <v>1</v>
      </c>
      <c r="AT3" s="47" t="s">
        <v>2</v>
      </c>
      <c r="AU3" s="47" t="s">
        <v>5</v>
      </c>
      <c r="AV3" s="47" t="s">
        <v>6</v>
      </c>
      <c r="AW3" s="47" t="s">
        <v>0</v>
      </c>
      <c r="AX3" s="47" t="s">
        <v>1</v>
      </c>
      <c r="AY3" s="47" t="s">
        <v>2</v>
      </c>
      <c r="AZ3" s="47" t="s">
        <v>5</v>
      </c>
    </row>
    <row r="4" spans="1:202">
      <c r="A4" s="48"/>
      <c r="B4" s="31">
        <v>2007</v>
      </c>
      <c r="C4" s="31">
        <v>2008</v>
      </c>
      <c r="D4" s="31">
        <v>2008</v>
      </c>
      <c r="E4" s="31">
        <v>2008</v>
      </c>
      <c r="F4" s="31">
        <v>2008</v>
      </c>
      <c r="G4" s="31">
        <v>2008</v>
      </c>
      <c r="H4" s="31">
        <v>2009</v>
      </c>
      <c r="I4" s="31">
        <v>2009</v>
      </c>
      <c r="J4" s="31">
        <v>2009</v>
      </c>
      <c r="K4" s="47">
        <v>2009</v>
      </c>
      <c r="L4" s="47">
        <v>2009</v>
      </c>
      <c r="M4" s="31">
        <v>2010</v>
      </c>
      <c r="N4" s="31">
        <v>2010</v>
      </c>
      <c r="O4" s="31">
        <v>2010</v>
      </c>
      <c r="P4" s="47">
        <v>2010</v>
      </c>
      <c r="Q4" s="47">
        <v>2010</v>
      </c>
      <c r="R4" s="31">
        <v>2011</v>
      </c>
      <c r="S4" s="31">
        <v>2011</v>
      </c>
      <c r="T4" s="31">
        <v>2011</v>
      </c>
      <c r="U4" s="47">
        <v>2011</v>
      </c>
      <c r="V4" s="47">
        <v>2011</v>
      </c>
      <c r="W4" s="31">
        <v>2012</v>
      </c>
      <c r="X4" s="31">
        <v>2012</v>
      </c>
      <c r="Y4" s="31">
        <v>2012</v>
      </c>
      <c r="Z4" s="47">
        <v>2012</v>
      </c>
      <c r="AA4" s="47">
        <v>2012</v>
      </c>
      <c r="AB4" s="31">
        <v>2013</v>
      </c>
      <c r="AC4" s="31">
        <v>2013</v>
      </c>
      <c r="AD4" s="31">
        <v>2013</v>
      </c>
      <c r="AE4" s="47">
        <v>2013</v>
      </c>
      <c r="AF4" s="47">
        <v>2013</v>
      </c>
      <c r="AG4" s="31">
        <v>2014</v>
      </c>
      <c r="AH4" s="31">
        <v>2014</v>
      </c>
      <c r="AI4" s="31">
        <v>2014</v>
      </c>
      <c r="AJ4" s="47">
        <v>2014</v>
      </c>
      <c r="AK4" s="47">
        <v>2014</v>
      </c>
      <c r="AL4" s="31">
        <v>2015</v>
      </c>
      <c r="AM4" s="31">
        <v>2015</v>
      </c>
      <c r="AN4" s="31">
        <v>2015</v>
      </c>
      <c r="AO4" s="47">
        <v>2015</v>
      </c>
      <c r="AP4" s="47">
        <v>2015</v>
      </c>
      <c r="AQ4" s="31">
        <v>2016</v>
      </c>
      <c r="AR4" s="31">
        <v>2016</v>
      </c>
      <c r="AS4" s="31">
        <v>2016</v>
      </c>
      <c r="AT4" s="47">
        <v>2016</v>
      </c>
      <c r="AU4" s="47">
        <v>2016</v>
      </c>
      <c r="AV4" s="31">
        <v>2017</v>
      </c>
      <c r="AW4" s="31">
        <v>2017</v>
      </c>
      <c r="AX4" s="31">
        <v>2017</v>
      </c>
      <c r="AY4" s="47">
        <v>2017</v>
      </c>
      <c r="AZ4" s="47">
        <v>2017</v>
      </c>
    </row>
    <row r="5" spans="1:202" s="46" customFormat="1" ht="6.75" customHeight="1">
      <c r="A5" s="44"/>
      <c r="B5" s="44"/>
      <c r="K5" s="45"/>
      <c r="L5" s="45"/>
      <c r="P5" s="45"/>
      <c r="Q5" s="45"/>
      <c r="U5" s="45"/>
      <c r="V5" s="45"/>
      <c r="Z5" s="45"/>
      <c r="AA5" s="45"/>
      <c r="AE5" s="45"/>
      <c r="AF5" s="45"/>
      <c r="AJ5" s="45"/>
      <c r="AK5" s="45"/>
      <c r="AO5" s="45"/>
      <c r="AP5" s="45"/>
      <c r="AT5" s="45"/>
      <c r="AU5" s="45"/>
      <c r="AY5" s="45"/>
      <c r="AZ5" s="4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row>
    <row r="6" spans="1:202" s="26" customFormat="1" ht="6" customHeight="1">
      <c r="A6" s="59"/>
      <c r="B6" s="59"/>
      <c r="C6" s="59"/>
      <c r="D6" s="59"/>
      <c r="E6" s="59"/>
      <c r="F6" s="59"/>
      <c r="G6" s="59"/>
      <c r="H6" s="59"/>
      <c r="I6" s="59"/>
      <c r="J6" s="59"/>
      <c r="K6" s="60"/>
      <c r="L6" s="60"/>
      <c r="M6" s="59"/>
      <c r="N6" s="59"/>
      <c r="O6" s="59"/>
      <c r="P6" s="60"/>
      <c r="Q6" s="60"/>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row>
    <row r="7" spans="1:202" ht="18.600000000000001" customHeight="1">
      <c r="A7" s="35" t="s">
        <v>56</v>
      </c>
      <c r="B7" s="35"/>
      <c r="C7" s="21"/>
      <c r="D7" s="21"/>
      <c r="E7" s="21"/>
      <c r="F7" s="21"/>
      <c r="G7" s="21"/>
      <c r="H7" s="21"/>
      <c r="I7" s="21"/>
      <c r="J7" s="21"/>
      <c r="K7" s="27"/>
      <c r="L7" s="27"/>
      <c r="M7" s="21"/>
      <c r="N7" s="21"/>
      <c r="O7" s="21"/>
      <c r="P7" s="27"/>
      <c r="Q7" s="27"/>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4"/>
      <c r="BB7" s="4"/>
      <c r="BC7" s="4"/>
      <c r="BD7" s="4"/>
      <c r="BE7" s="4"/>
      <c r="BF7" s="4"/>
      <c r="BG7" s="4"/>
      <c r="BH7" s="4"/>
    </row>
    <row r="8" spans="1:202" ht="5.0999999999999996" customHeight="1">
      <c r="A8" s="61"/>
      <c r="B8" s="61"/>
      <c r="C8" s="61"/>
      <c r="D8" s="61"/>
      <c r="E8" s="61"/>
      <c r="F8" s="61"/>
      <c r="G8" s="61"/>
      <c r="H8" s="61"/>
      <c r="I8" s="61"/>
      <c r="J8" s="61"/>
      <c r="K8" s="62"/>
      <c r="L8" s="62"/>
      <c r="M8" s="61"/>
      <c r="N8" s="61"/>
      <c r="O8" s="61"/>
      <c r="P8" s="62"/>
      <c r="Q8" s="62"/>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row>
    <row r="9" spans="1:202" s="43" customFormat="1">
      <c r="A9" s="40" t="s">
        <v>27</v>
      </c>
      <c r="B9" s="40"/>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
      <c r="BB9" s="1"/>
      <c r="BC9" s="1"/>
      <c r="BD9" s="1"/>
      <c r="BE9" s="1"/>
      <c r="BF9" s="1"/>
      <c r="BG9" s="1"/>
      <c r="BH9" s="1"/>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row>
    <row r="10" spans="1:202">
      <c r="A10" s="86"/>
      <c r="B10" s="24"/>
      <c r="C10" s="87"/>
      <c r="D10" s="87"/>
      <c r="E10" s="87"/>
      <c r="F10" s="87"/>
      <c r="G10" s="22"/>
      <c r="H10" s="87"/>
      <c r="I10" s="87"/>
      <c r="J10" s="87"/>
      <c r="L10" s="24"/>
      <c r="M10" s="87"/>
      <c r="N10" s="87"/>
      <c r="O10" s="87"/>
      <c r="Q10" s="24"/>
      <c r="R10" s="87"/>
      <c r="S10" s="87"/>
      <c r="T10" s="87"/>
      <c r="V10" s="27"/>
      <c r="W10" s="87"/>
      <c r="X10" s="87"/>
      <c r="Y10" s="87"/>
      <c r="AA10" s="27"/>
      <c r="AB10" s="87"/>
      <c r="AC10" s="87"/>
      <c r="AD10" s="87"/>
      <c r="AF10" s="27"/>
      <c r="AG10" s="87"/>
      <c r="AH10" s="87"/>
      <c r="AI10" s="87"/>
      <c r="AK10" s="27"/>
      <c r="AL10" s="87"/>
      <c r="AM10" s="87"/>
      <c r="AN10" s="87"/>
      <c r="AP10" s="27"/>
      <c r="AQ10" s="87"/>
      <c r="AR10" s="87"/>
      <c r="AS10" s="87"/>
      <c r="AU10" s="27"/>
      <c r="AV10" s="87"/>
      <c r="AW10" s="87"/>
      <c r="AX10" s="87"/>
      <c r="AZ10" s="27"/>
    </row>
    <row r="11" spans="1:202">
      <c r="A11" s="69" t="s">
        <v>83</v>
      </c>
      <c r="B11" s="37">
        <v>14711</v>
      </c>
      <c r="C11" s="70">
        <v>3473</v>
      </c>
      <c r="D11" s="70">
        <v>3306</v>
      </c>
      <c r="E11" s="70">
        <v>3379</v>
      </c>
      <c r="F11" s="70">
        <v>3103</v>
      </c>
      <c r="G11" s="37">
        <v>13260</v>
      </c>
      <c r="H11" s="70">
        <v>3077</v>
      </c>
      <c r="I11" s="70">
        <v>2972</v>
      </c>
      <c r="J11" s="70">
        <v>3051</v>
      </c>
      <c r="K11" s="70">
        <v>2917</v>
      </c>
      <c r="L11" s="37">
        <v>12017</v>
      </c>
      <c r="M11" s="70">
        <v>2732</v>
      </c>
      <c r="N11" s="70">
        <v>2717</v>
      </c>
      <c r="O11" s="70">
        <v>2629</v>
      </c>
      <c r="P11" s="70">
        <v>2621</v>
      </c>
      <c r="Q11" s="37">
        <v>10699</v>
      </c>
      <c r="R11" s="70">
        <v>2521</v>
      </c>
      <c r="S11" s="70">
        <v>2415</v>
      </c>
      <c r="T11" s="70">
        <v>2482</v>
      </c>
      <c r="U11" s="70">
        <v>2339</v>
      </c>
      <c r="V11" s="37">
        <v>9758</v>
      </c>
      <c r="W11" s="70">
        <v>2360</v>
      </c>
      <c r="X11" s="70">
        <v>2228</v>
      </c>
      <c r="Y11" s="70">
        <v>2127</v>
      </c>
      <c r="Z11" s="70">
        <v>1979</v>
      </c>
      <c r="AA11" s="37">
        <v>8694</v>
      </c>
      <c r="AB11" s="70">
        <v>1788</v>
      </c>
      <c r="AC11" s="70">
        <v>1805</v>
      </c>
      <c r="AD11" s="70">
        <v>1712</v>
      </c>
      <c r="AE11" s="70">
        <v>1742</v>
      </c>
      <c r="AF11" s="37">
        <v>7047</v>
      </c>
      <c r="AG11" s="70">
        <v>1608</v>
      </c>
      <c r="AH11" s="70">
        <v>1522</v>
      </c>
      <c r="AI11" s="70">
        <v>1588</v>
      </c>
      <c r="AJ11" s="70">
        <v>1482</v>
      </c>
      <c r="AK11" s="37">
        <v>6200</v>
      </c>
      <c r="AL11" s="70">
        <v>1459</v>
      </c>
      <c r="AM11" s="70">
        <v>1396</v>
      </c>
      <c r="AN11" s="70">
        <v>1373</v>
      </c>
      <c r="AO11" s="70">
        <v>1379</v>
      </c>
      <c r="AP11" s="37">
        <v>5607</v>
      </c>
      <c r="AQ11" s="70">
        <v>1316</v>
      </c>
      <c r="AR11" s="70">
        <v>1257</v>
      </c>
      <c r="AS11" s="70">
        <v>1297</v>
      </c>
      <c r="AT11" s="70">
        <v>1136</v>
      </c>
      <c r="AU11" s="37">
        <v>5006</v>
      </c>
      <c r="AV11" s="70">
        <v>1177</v>
      </c>
      <c r="AW11" s="70">
        <v>1098</v>
      </c>
      <c r="AX11" s="70">
        <v>1132</v>
      </c>
      <c r="AY11" s="70">
        <v>1068</v>
      </c>
      <c r="AZ11" s="37">
        <v>4475</v>
      </c>
    </row>
    <row r="12" spans="1:202">
      <c r="A12" s="71" t="s">
        <v>7</v>
      </c>
      <c r="B12" s="24"/>
      <c r="C12" s="72"/>
      <c r="D12" s="72">
        <v>-4.8085228908724464E-2</v>
      </c>
      <c r="E12" s="72">
        <v>2.2081064730792521E-2</v>
      </c>
      <c r="F12" s="72">
        <v>-8.1680970701390909E-2</v>
      </c>
      <c r="G12" s="24"/>
      <c r="H12" s="72">
        <v>-8.3789880760554158E-3</v>
      </c>
      <c r="I12" s="72">
        <v>-3.412414689632759E-2</v>
      </c>
      <c r="J12" s="72">
        <v>2.6581426648721429E-2</v>
      </c>
      <c r="K12" s="72">
        <v>-4.3920026220911179E-2</v>
      </c>
      <c r="L12" s="27"/>
      <c r="M12" s="72">
        <v>-6.3421323277339736E-2</v>
      </c>
      <c r="N12" s="72">
        <v>-5.4904831625183226E-3</v>
      </c>
      <c r="O12" s="72">
        <v>-3.2388663967611309E-2</v>
      </c>
      <c r="P12" s="72">
        <v>-3.042982122479998E-3</v>
      </c>
      <c r="Q12" s="27"/>
      <c r="R12" s="72">
        <v>-3.815337657382678E-2</v>
      </c>
      <c r="S12" s="72">
        <v>-4.2046806822689464E-2</v>
      </c>
      <c r="T12" s="72">
        <v>2.7743271221532195E-2</v>
      </c>
      <c r="U12" s="72">
        <v>-5.7614826752618864E-2</v>
      </c>
      <c r="V12" s="27"/>
      <c r="W12" s="72">
        <v>8.9781958101753379E-3</v>
      </c>
      <c r="X12" s="72">
        <v>-5.5932203389830515E-2</v>
      </c>
      <c r="Y12" s="72">
        <v>-4.5332136445242366E-2</v>
      </c>
      <c r="Z12" s="72">
        <v>-6.9581570286788907E-2</v>
      </c>
      <c r="AA12" s="27"/>
      <c r="AB12" s="72">
        <v>-9.6513390601313809E-2</v>
      </c>
      <c r="AC12" s="72">
        <v>9.5078299776285569E-3</v>
      </c>
      <c r="AD12" s="72">
        <v>-5.1523545706371188E-2</v>
      </c>
      <c r="AE12" s="72">
        <v>1.7523364485981352E-2</v>
      </c>
      <c r="AF12" s="27"/>
      <c r="AG12" s="72">
        <v>-7.6923076923076872E-2</v>
      </c>
      <c r="AH12" s="72">
        <v>-5.3482587064676568E-2</v>
      </c>
      <c r="AI12" s="72">
        <v>4.3363994743758294E-2</v>
      </c>
      <c r="AJ12" s="72">
        <v>-6.6750629722921895E-2</v>
      </c>
      <c r="AK12" s="27"/>
      <c r="AL12" s="72">
        <v>-1.5519568151147078E-2</v>
      </c>
      <c r="AM12" s="72">
        <v>-4.3180260452364672E-2</v>
      </c>
      <c r="AN12" s="72">
        <v>-1.6475644699140424E-2</v>
      </c>
      <c r="AO12" s="72">
        <v>4.3699927166787056E-3</v>
      </c>
      <c r="AP12" s="27"/>
      <c r="AQ12" s="72">
        <v>-4.5685279187817285E-2</v>
      </c>
      <c r="AR12" s="72">
        <v>-4.4832826747720378E-2</v>
      </c>
      <c r="AS12" s="72">
        <v>3.1821797931583129E-2</v>
      </c>
      <c r="AT12" s="72">
        <v>-0.12413261372397844</v>
      </c>
      <c r="AU12" s="27"/>
      <c r="AV12" s="72">
        <v>3.6091549295774739E-2</v>
      </c>
      <c r="AW12" s="72">
        <v>-6.7119796091758666E-2</v>
      </c>
      <c r="AX12" s="72">
        <v>3.0965391621129434E-2</v>
      </c>
      <c r="AY12" s="72">
        <v>-5.6537102473498191E-2</v>
      </c>
      <c r="AZ12" s="27"/>
    </row>
    <row r="13" spans="1:202">
      <c r="A13" s="71" t="s">
        <v>8</v>
      </c>
      <c r="B13" s="24"/>
      <c r="C13" s="73"/>
      <c r="D13" s="73"/>
      <c r="E13" s="73"/>
      <c r="F13" s="73"/>
      <c r="G13" s="24">
        <v>-9.8633675480932603E-2</v>
      </c>
      <c r="H13" s="73">
        <v>-0.11402245896919094</v>
      </c>
      <c r="I13" s="73">
        <v>-0.10102843315184518</v>
      </c>
      <c r="J13" s="73">
        <v>-9.7070139094406649E-2</v>
      </c>
      <c r="K13" s="72">
        <v>-5.9941991621011881E-2</v>
      </c>
      <c r="L13" s="24">
        <v>-9.3740573152337858E-2</v>
      </c>
      <c r="M13" s="73">
        <v>-0.11212219694507641</v>
      </c>
      <c r="N13" s="73">
        <v>-8.5800807537012136E-2</v>
      </c>
      <c r="O13" s="73">
        <v>-0.13831530645689938</v>
      </c>
      <c r="P13" s="72">
        <v>-0.10147411724374356</v>
      </c>
      <c r="Q13" s="24">
        <v>-0.10967795622867604</v>
      </c>
      <c r="R13" s="73">
        <v>-7.7232796486090827E-2</v>
      </c>
      <c r="S13" s="73">
        <v>-0.11115200588884799</v>
      </c>
      <c r="T13" s="73">
        <v>-5.5914796500570518E-2</v>
      </c>
      <c r="U13" s="72">
        <v>-0.10759252193819158</v>
      </c>
      <c r="V13" s="24">
        <v>-8.7952145060286036E-2</v>
      </c>
      <c r="W13" s="73">
        <v>-6.3863546211820665E-2</v>
      </c>
      <c r="X13" s="73">
        <v>-7.7432712215320887E-2</v>
      </c>
      <c r="Y13" s="73">
        <v>-0.14302981466559228</v>
      </c>
      <c r="Z13" s="72">
        <v>-0.15391192817443355</v>
      </c>
      <c r="AA13" s="24">
        <v>-0.10903873744619796</v>
      </c>
      <c r="AB13" s="73">
        <v>-0.24237288135593216</v>
      </c>
      <c r="AC13" s="73">
        <v>-0.18985637342908435</v>
      </c>
      <c r="AD13" s="73">
        <v>-0.19511048425011757</v>
      </c>
      <c r="AE13" s="72">
        <v>-0.11975745325922182</v>
      </c>
      <c r="AF13" s="24">
        <v>-0.18944099378881984</v>
      </c>
      <c r="AG13" s="73">
        <v>-0.10067114093959728</v>
      </c>
      <c r="AH13" s="73">
        <v>-0.15678670360110802</v>
      </c>
      <c r="AI13" s="73">
        <v>-7.2429906542056055E-2</v>
      </c>
      <c r="AJ13" s="72">
        <v>-0.14925373134328357</v>
      </c>
      <c r="AK13" s="24">
        <v>-0.12019298992479066</v>
      </c>
      <c r="AL13" s="73">
        <v>-9.2661691542288538E-2</v>
      </c>
      <c r="AM13" s="73">
        <v>-8.2785808147174733E-2</v>
      </c>
      <c r="AN13" s="73">
        <v>-0.13539042821158687</v>
      </c>
      <c r="AO13" s="72">
        <v>-6.9500674763832704E-2</v>
      </c>
      <c r="AP13" s="24">
        <v>-9.5645161290322633E-2</v>
      </c>
      <c r="AQ13" s="73">
        <v>-9.8012337217272094E-2</v>
      </c>
      <c r="AR13" s="73">
        <v>-9.957020057306587E-2</v>
      </c>
      <c r="AS13" s="73">
        <v>-5.5353241077931492E-2</v>
      </c>
      <c r="AT13" s="72">
        <v>-0.17621464829586653</v>
      </c>
      <c r="AU13" s="24">
        <v>-0.10718744426609594</v>
      </c>
      <c r="AV13" s="73">
        <v>-0.10562310030395139</v>
      </c>
      <c r="AW13" s="73">
        <v>-0.12649164677804292</v>
      </c>
      <c r="AX13" s="73">
        <v>-0.1272166538164996</v>
      </c>
      <c r="AY13" s="72">
        <v>-5.9859154929577496E-2</v>
      </c>
      <c r="AZ13" s="24">
        <v>-0.10607271274470631</v>
      </c>
    </row>
    <row r="14" spans="1:202">
      <c r="A14" s="71"/>
      <c r="B14" s="24"/>
      <c r="C14" s="73"/>
      <c r="D14" s="73"/>
      <c r="E14" s="73"/>
      <c r="F14" s="73"/>
      <c r="G14" s="24"/>
      <c r="H14" s="73"/>
      <c r="I14" s="73"/>
      <c r="J14" s="73"/>
      <c r="K14" s="72"/>
      <c r="L14" s="24"/>
      <c r="M14" s="73"/>
      <c r="N14" s="73"/>
      <c r="O14" s="73"/>
      <c r="P14" s="72"/>
      <c r="Q14" s="24"/>
      <c r="R14" s="73"/>
      <c r="S14" s="73"/>
      <c r="T14" s="73"/>
      <c r="U14" s="72"/>
      <c r="V14" s="24"/>
      <c r="W14" s="73"/>
      <c r="X14" s="73"/>
      <c r="Y14" s="73"/>
      <c r="Z14" s="72"/>
      <c r="AA14" s="24"/>
      <c r="AB14" s="73"/>
      <c r="AC14" s="73"/>
      <c r="AD14" s="73"/>
      <c r="AE14" s="72"/>
      <c r="AF14" s="24"/>
      <c r="AG14" s="73"/>
      <c r="AH14" s="73"/>
      <c r="AI14" s="73"/>
      <c r="AJ14" s="72"/>
      <c r="AK14" s="24"/>
      <c r="AL14" s="73"/>
      <c r="AM14" s="73"/>
      <c r="AN14" s="73"/>
      <c r="AO14" s="72"/>
      <c r="AP14" s="24"/>
      <c r="AQ14" s="73"/>
      <c r="AR14" s="73"/>
      <c r="AS14" s="73"/>
      <c r="AT14" s="72"/>
      <c r="AU14" s="24"/>
      <c r="AV14" s="73"/>
      <c r="AW14" s="73"/>
      <c r="AX14" s="73"/>
      <c r="AY14" s="72"/>
      <c r="AZ14" s="24"/>
    </row>
    <row r="15" spans="1:202">
      <c r="A15" s="69" t="s">
        <v>48</v>
      </c>
      <c r="B15" s="38">
        <v>6411</v>
      </c>
      <c r="C15" s="88">
        <v>1673</v>
      </c>
      <c r="D15" s="88">
        <v>1651</v>
      </c>
      <c r="E15" s="88">
        <v>1719</v>
      </c>
      <c r="F15" s="70">
        <v>1648</v>
      </c>
      <c r="G15" s="38">
        <v>6691</v>
      </c>
      <c r="H15" s="88">
        <v>1654</v>
      </c>
      <c r="I15" s="88">
        <v>1659</v>
      </c>
      <c r="J15" s="88">
        <v>1731</v>
      </c>
      <c r="K15" s="70">
        <v>1674</v>
      </c>
      <c r="L15" s="37">
        <v>6718</v>
      </c>
      <c r="M15" s="88">
        <v>1623</v>
      </c>
      <c r="N15" s="88">
        <v>1634</v>
      </c>
      <c r="O15" s="88">
        <v>1646</v>
      </c>
      <c r="P15" s="70">
        <v>1644</v>
      </c>
      <c r="Q15" s="37">
        <v>6547</v>
      </c>
      <c r="R15" s="88">
        <v>1577</v>
      </c>
      <c r="S15" s="88">
        <v>1535</v>
      </c>
      <c r="T15" s="88">
        <v>1602</v>
      </c>
      <c r="U15" s="70">
        <v>1526</v>
      </c>
      <c r="V15" s="37">
        <v>6240</v>
      </c>
      <c r="W15" s="88">
        <v>1543</v>
      </c>
      <c r="X15" s="88">
        <v>1516</v>
      </c>
      <c r="Y15" s="88">
        <v>1595</v>
      </c>
      <c r="Z15" s="70">
        <v>1571</v>
      </c>
      <c r="AA15" s="37">
        <v>6225</v>
      </c>
      <c r="AB15" s="88">
        <v>1503</v>
      </c>
      <c r="AC15" s="88">
        <v>1550</v>
      </c>
      <c r="AD15" s="88">
        <v>1521</v>
      </c>
      <c r="AE15" s="70">
        <v>1541</v>
      </c>
      <c r="AF15" s="37">
        <v>6115</v>
      </c>
      <c r="AG15" s="88">
        <v>1467</v>
      </c>
      <c r="AH15" s="88">
        <v>1424</v>
      </c>
      <c r="AI15" s="88">
        <v>1498</v>
      </c>
      <c r="AJ15" s="70">
        <v>1440</v>
      </c>
      <c r="AK15" s="37">
        <v>5829</v>
      </c>
      <c r="AL15" s="88">
        <v>1429</v>
      </c>
      <c r="AM15" s="88">
        <v>1386</v>
      </c>
      <c r="AN15" s="88">
        <v>1410</v>
      </c>
      <c r="AO15" s="70">
        <v>1403</v>
      </c>
      <c r="AP15" s="37">
        <v>5628</v>
      </c>
      <c r="AQ15" s="88">
        <v>1348</v>
      </c>
      <c r="AR15" s="88">
        <v>1314</v>
      </c>
      <c r="AS15" s="88">
        <v>1383</v>
      </c>
      <c r="AT15" s="70">
        <v>1252</v>
      </c>
      <c r="AU15" s="37">
        <v>5297</v>
      </c>
      <c r="AV15" s="88">
        <v>1281</v>
      </c>
      <c r="AW15" s="88">
        <v>1220</v>
      </c>
      <c r="AX15" s="88">
        <v>1266</v>
      </c>
      <c r="AY15" s="70">
        <v>1205</v>
      </c>
      <c r="AZ15" s="37">
        <v>4972</v>
      </c>
    </row>
    <row r="16" spans="1:202">
      <c r="A16" s="71" t="s">
        <v>7</v>
      </c>
      <c r="B16" s="24"/>
      <c r="C16" s="72"/>
      <c r="D16" s="72">
        <v>-1.3150029886431547E-2</v>
      </c>
      <c r="E16" s="72">
        <v>4.1187159297395581E-2</v>
      </c>
      <c r="F16" s="72">
        <v>-4.1303083187899992E-2</v>
      </c>
      <c r="G16" s="24"/>
      <c r="H16" s="72">
        <v>3.6407766990291801E-3</v>
      </c>
      <c r="I16" s="72">
        <v>3.0229746070133956E-3</v>
      </c>
      <c r="J16" s="72">
        <v>4.3399638336347302E-2</v>
      </c>
      <c r="K16" s="72">
        <v>-3.2928942807625705E-2</v>
      </c>
      <c r="L16" s="27"/>
      <c r="M16" s="72">
        <v>-3.046594982078854E-2</v>
      </c>
      <c r="N16" s="72">
        <v>6.7775723967959944E-3</v>
      </c>
      <c r="O16" s="72">
        <v>7.3439412484699318E-3</v>
      </c>
      <c r="P16" s="72">
        <v>-1.2150668286755595E-3</v>
      </c>
      <c r="Q16" s="27"/>
      <c r="R16" s="72">
        <v>-4.0754257907542613E-2</v>
      </c>
      <c r="S16" s="72">
        <v>-2.6632847178186481E-2</v>
      </c>
      <c r="T16" s="72">
        <v>4.3648208469055483E-2</v>
      </c>
      <c r="U16" s="72">
        <v>-4.7440699126092389E-2</v>
      </c>
      <c r="V16" s="27"/>
      <c r="W16" s="72">
        <v>1.1140235910878094E-2</v>
      </c>
      <c r="X16" s="72">
        <v>-1.7498379779650075E-2</v>
      </c>
      <c r="Y16" s="72">
        <v>5.2110817941952492E-2</v>
      </c>
      <c r="Z16" s="72">
        <v>-1.5047021943573657E-2</v>
      </c>
      <c r="AA16" s="27"/>
      <c r="AB16" s="72">
        <v>-4.3284532145130505E-2</v>
      </c>
      <c r="AC16" s="72">
        <v>3.1270791749833604E-2</v>
      </c>
      <c r="AD16" s="72">
        <v>-1.8709677419354809E-2</v>
      </c>
      <c r="AE16" s="72">
        <v>1.3149243918474607E-2</v>
      </c>
      <c r="AF16" s="27"/>
      <c r="AG16" s="72">
        <v>-4.8020765736534687E-2</v>
      </c>
      <c r="AH16" s="72">
        <v>-2.9311520109066125E-2</v>
      </c>
      <c r="AI16" s="72">
        <v>5.1966292134831393E-2</v>
      </c>
      <c r="AJ16" s="72">
        <v>-3.8718291054739673E-2</v>
      </c>
      <c r="AK16" s="27"/>
      <c r="AL16" s="72">
        <v>-7.6388888888888618E-3</v>
      </c>
      <c r="AM16" s="72">
        <v>-3.0090972708187502E-2</v>
      </c>
      <c r="AN16" s="72">
        <v>1.7316017316017396E-2</v>
      </c>
      <c r="AO16" s="72">
        <v>-4.9645390070921502E-3</v>
      </c>
      <c r="AP16" s="27"/>
      <c r="AQ16" s="72">
        <v>-3.9201710620099806E-2</v>
      </c>
      <c r="AR16" s="72">
        <v>-2.5222551928783421E-2</v>
      </c>
      <c r="AS16" s="72">
        <v>5.2511415525114069E-2</v>
      </c>
      <c r="AT16" s="72">
        <v>-9.4721619667389678E-2</v>
      </c>
      <c r="AU16" s="27"/>
      <c r="AV16" s="72">
        <v>2.3162939297124652E-2</v>
      </c>
      <c r="AW16" s="72">
        <v>-4.7619047619047672E-2</v>
      </c>
      <c r="AX16" s="72">
        <v>3.770491803278686E-2</v>
      </c>
      <c r="AY16" s="72">
        <v>-4.8183254344391746E-2</v>
      </c>
      <c r="AZ16" s="27"/>
    </row>
    <row r="17" spans="1:52">
      <c r="A17" s="71" t="s">
        <v>8</v>
      </c>
      <c r="B17" s="24"/>
      <c r="C17" s="73"/>
      <c r="D17" s="73"/>
      <c r="E17" s="73"/>
      <c r="F17" s="73"/>
      <c r="G17" s="24">
        <v>4.3674933707689823E-2</v>
      </c>
      <c r="H17" s="73">
        <v>-1.1356843992827215E-2</v>
      </c>
      <c r="I17" s="73">
        <v>4.8455481526348265E-3</v>
      </c>
      <c r="J17" s="73">
        <v>6.9808027923210503E-3</v>
      </c>
      <c r="K17" s="72">
        <v>1.5776699029126151E-2</v>
      </c>
      <c r="L17" s="24">
        <v>4.0352712599014406E-3</v>
      </c>
      <c r="M17" s="73">
        <v>-1.8742442563482453E-2</v>
      </c>
      <c r="N17" s="73">
        <v>-1.5069318866787196E-2</v>
      </c>
      <c r="O17" s="73">
        <v>-4.9104563835932979E-2</v>
      </c>
      <c r="P17" s="72">
        <v>-1.7921146953404965E-2</v>
      </c>
      <c r="Q17" s="24">
        <v>-2.5454004167907107E-2</v>
      </c>
      <c r="R17" s="73">
        <v>-2.8342575477510734E-2</v>
      </c>
      <c r="S17" s="73">
        <v>-6.0587515299877603E-2</v>
      </c>
      <c r="T17" s="73">
        <v>-2.6731470230862753E-2</v>
      </c>
      <c r="U17" s="72">
        <v>-7.1776155717761525E-2</v>
      </c>
      <c r="V17" s="24">
        <v>-4.6891706124942756E-2</v>
      </c>
      <c r="W17" s="73">
        <v>-2.1559923906150913E-2</v>
      </c>
      <c r="X17" s="73">
        <v>-1.2377850162866411E-2</v>
      </c>
      <c r="Y17" s="73">
        <v>-4.3695380774032566E-3</v>
      </c>
      <c r="Z17" s="72">
        <v>2.9488859764089215E-2</v>
      </c>
      <c r="AA17" s="24">
        <v>-2.4038461538461453E-3</v>
      </c>
      <c r="AB17" s="73">
        <v>-2.5923525599481523E-2</v>
      </c>
      <c r="AC17" s="73">
        <v>2.2427440633245421E-2</v>
      </c>
      <c r="AD17" s="73">
        <v>-4.6394984326018851E-2</v>
      </c>
      <c r="AE17" s="72">
        <v>-1.9096117122851641E-2</v>
      </c>
      <c r="AF17" s="24">
        <v>-1.7670682730923648E-2</v>
      </c>
      <c r="AG17" s="73">
        <v>-2.39520958083832E-2</v>
      </c>
      <c r="AH17" s="73">
        <v>-8.1290322580645169E-2</v>
      </c>
      <c r="AI17" s="73">
        <v>-1.5121630506245931E-2</v>
      </c>
      <c r="AJ17" s="72">
        <v>-6.5541855937702787E-2</v>
      </c>
      <c r="AK17" s="24">
        <v>-4.6770237121831593E-2</v>
      </c>
      <c r="AL17" s="73">
        <v>-2.5903203817314258E-2</v>
      </c>
      <c r="AM17" s="73">
        <v>-2.6685393258427004E-2</v>
      </c>
      <c r="AN17" s="73">
        <v>-5.8744993324432615E-2</v>
      </c>
      <c r="AO17" s="72">
        <v>-2.5694444444444464E-2</v>
      </c>
      <c r="AP17" s="24">
        <v>-3.4482758620689613E-2</v>
      </c>
      <c r="AQ17" s="73">
        <v>-5.6682995101469569E-2</v>
      </c>
      <c r="AR17" s="73">
        <v>-5.1948051948051965E-2</v>
      </c>
      <c r="AS17" s="73">
        <v>-1.9148936170212738E-2</v>
      </c>
      <c r="AT17" s="72">
        <v>-0.10762651461154671</v>
      </c>
      <c r="AU17" s="24">
        <v>-5.8813077469793917E-2</v>
      </c>
      <c r="AV17" s="73">
        <v>-4.9703264094955513E-2</v>
      </c>
      <c r="AW17" s="73">
        <v>-7.1537290715372959E-2</v>
      </c>
      <c r="AX17" s="73">
        <v>-8.4598698481561874E-2</v>
      </c>
      <c r="AY17" s="72">
        <v>-3.7539936102236382E-2</v>
      </c>
      <c r="AZ17" s="24">
        <v>-6.1355484236360169E-2</v>
      </c>
    </row>
    <row r="18" spans="1:52">
      <c r="A18" s="71"/>
      <c r="B18" s="24"/>
      <c r="C18" s="73"/>
      <c r="D18" s="73"/>
      <c r="E18" s="73"/>
      <c r="F18" s="73"/>
      <c r="G18" s="24"/>
      <c r="H18" s="73"/>
      <c r="I18" s="73"/>
      <c r="J18" s="73"/>
      <c r="K18" s="72"/>
      <c r="L18" s="24"/>
      <c r="M18" s="73"/>
      <c r="N18" s="73"/>
      <c r="O18" s="73"/>
      <c r="P18" s="72"/>
      <c r="Q18" s="24"/>
      <c r="R18" s="73"/>
      <c r="S18" s="73"/>
      <c r="T18" s="73"/>
      <c r="U18" s="72"/>
      <c r="V18" s="24"/>
      <c r="W18" s="73"/>
      <c r="X18" s="73"/>
      <c r="Y18" s="73"/>
      <c r="Z18" s="72"/>
      <c r="AA18" s="24"/>
      <c r="AB18" s="73"/>
      <c r="AC18" s="73"/>
      <c r="AD18" s="73"/>
      <c r="AE18" s="72"/>
      <c r="AF18" s="24"/>
      <c r="AG18" s="73"/>
      <c r="AH18" s="73"/>
      <c r="AI18" s="73"/>
      <c r="AJ18" s="72"/>
      <c r="AK18" s="24"/>
      <c r="AL18" s="73"/>
      <c r="AM18" s="73"/>
      <c r="AN18" s="73"/>
      <c r="AO18" s="72"/>
      <c r="AP18" s="24"/>
      <c r="AQ18" s="73"/>
      <c r="AR18" s="73"/>
      <c r="AS18" s="73"/>
      <c r="AT18" s="72"/>
      <c r="AU18" s="24"/>
      <c r="AV18" s="73"/>
      <c r="AW18" s="73"/>
      <c r="AX18" s="73"/>
      <c r="AY18" s="72"/>
      <c r="AZ18" s="24"/>
    </row>
    <row r="19" spans="1:52">
      <c r="A19" s="89" t="s">
        <v>84</v>
      </c>
      <c r="B19" s="38">
        <v>2749</v>
      </c>
      <c r="C19" s="76">
        <v>2701</v>
      </c>
      <c r="D19" s="76">
        <v>2670</v>
      </c>
      <c r="E19" s="76">
        <v>2634</v>
      </c>
      <c r="F19" s="76">
        <v>2604</v>
      </c>
      <c r="G19" s="38">
        <v>2604</v>
      </c>
      <c r="H19" s="76">
        <v>2571</v>
      </c>
      <c r="I19" s="76">
        <v>2540</v>
      </c>
      <c r="J19" s="76">
        <v>2513</v>
      </c>
      <c r="K19" s="70">
        <v>2483</v>
      </c>
      <c r="L19" s="37">
        <v>2483</v>
      </c>
      <c r="M19" s="76">
        <v>2454</v>
      </c>
      <c r="N19" s="76">
        <v>2422</v>
      </c>
      <c r="O19" s="76">
        <v>2394</v>
      </c>
      <c r="P19" s="70">
        <v>2366</v>
      </c>
      <c r="Q19" s="37">
        <v>2366</v>
      </c>
      <c r="R19" s="76">
        <v>2358</v>
      </c>
      <c r="S19" s="76">
        <v>2356</v>
      </c>
      <c r="T19" s="76">
        <v>2363</v>
      </c>
      <c r="U19" s="70">
        <v>2367</v>
      </c>
      <c r="V19" s="37">
        <v>2367</v>
      </c>
      <c r="W19" s="76">
        <v>2368</v>
      </c>
      <c r="X19" s="76">
        <v>2335</v>
      </c>
      <c r="Y19" s="76">
        <v>2299</v>
      </c>
      <c r="Z19" s="70">
        <v>2268</v>
      </c>
      <c r="AA19" s="37">
        <v>2268</v>
      </c>
      <c r="AB19" s="76">
        <v>2242</v>
      </c>
      <c r="AC19" s="76">
        <v>2224</v>
      </c>
      <c r="AD19" s="76">
        <v>2223</v>
      </c>
      <c r="AE19" s="70">
        <v>2216</v>
      </c>
      <c r="AF19" s="37">
        <v>2216</v>
      </c>
      <c r="AG19" s="76">
        <v>2214</v>
      </c>
      <c r="AH19" s="76">
        <v>2205</v>
      </c>
      <c r="AI19" s="76">
        <v>2205</v>
      </c>
      <c r="AJ19" s="70">
        <v>2205</v>
      </c>
      <c r="AK19" s="37">
        <v>2205</v>
      </c>
      <c r="AL19" s="76">
        <v>2125</v>
      </c>
      <c r="AM19" s="76">
        <v>2117</v>
      </c>
      <c r="AN19" s="76">
        <v>2103</v>
      </c>
      <c r="AO19" s="70">
        <v>2087</v>
      </c>
      <c r="AP19" s="37">
        <v>2087</v>
      </c>
      <c r="AQ19" s="76">
        <v>2068</v>
      </c>
      <c r="AR19" s="76">
        <v>2050</v>
      </c>
      <c r="AS19" s="76">
        <v>2031</v>
      </c>
      <c r="AT19" s="70">
        <v>2010</v>
      </c>
      <c r="AU19" s="37">
        <v>2010</v>
      </c>
      <c r="AV19" s="76">
        <v>1986</v>
      </c>
      <c r="AW19" s="76">
        <v>1961</v>
      </c>
      <c r="AX19" s="76">
        <v>1942</v>
      </c>
      <c r="AY19" s="70">
        <v>1916</v>
      </c>
      <c r="AZ19" s="37">
        <v>1916</v>
      </c>
    </row>
    <row r="20" spans="1:52">
      <c r="A20" s="71" t="s">
        <v>7</v>
      </c>
      <c r="B20" s="24"/>
      <c r="C20" s="72"/>
      <c r="D20" s="72">
        <v>-1.1477230655312809E-2</v>
      </c>
      <c r="E20" s="72">
        <v>-1.3483146067415741E-2</v>
      </c>
      <c r="F20" s="72">
        <v>-1.1389521640091105E-2</v>
      </c>
      <c r="G20" s="24"/>
      <c r="H20" s="72">
        <v>-1.2672811059907807E-2</v>
      </c>
      <c r="I20" s="72">
        <v>-1.2057565149747207E-2</v>
      </c>
      <c r="J20" s="72">
        <v>-1.0629921259842523E-2</v>
      </c>
      <c r="K20" s="72">
        <v>-1.1937922801432577E-2</v>
      </c>
      <c r="L20" s="27"/>
      <c r="M20" s="72">
        <v>-1.1679420056383449E-2</v>
      </c>
      <c r="N20" s="72">
        <v>-1.3039934800325947E-2</v>
      </c>
      <c r="O20" s="72">
        <v>-1.1560693641618491E-2</v>
      </c>
      <c r="P20" s="72">
        <v>-1.1695906432748537E-2</v>
      </c>
      <c r="Q20" s="27"/>
      <c r="R20" s="72">
        <v>-3.3812341504648735E-3</v>
      </c>
      <c r="S20" s="72">
        <v>-8.4817642069545673E-4</v>
      </c>
      <c r="T20" s="72">
        <v>2.9711375212224667E-3</v>
      </c>
      <c r="U20" s="72">
        <v>1.6927634363097521E-3</v>
      </c>
      <c r="V20" s="27"/>
      <c r="W20" s="72">
        <v>4.2247570764675224E-4</v>
      </c>
      <c r="X20" s="72">
        <v>-1.3935810810810856E-2</v>
      </c>
      <c r="Y20" s="72">
        <v>-1.5417558886509641E-2</v>
      </c>
      <c r="Z20" s="72">
        <v>-1.3484123531970371E-2</v>
      </c>
      <c r="AA20" s="27"/>
      <c r="AB20" s="72">
        <v>-1.1463844797178102E-2</v>
      </c>
      <c r="AC20" s="72">
        <v>-8.0285459411240101E-3</v>
      </c>
      <c r="AD20" s="72">
        <v>-4.4964028776983689E-4</v>
      </c>
      <c r="AE20" s="72">
        <v>-3.1488978857400207E-3</v>
      </c>
      <c r="AF20" s="27"/>
      <c r="AG20" s="72">
        <v>-9.0252707581228719E-4</v>
      </c>
      <c r="AH20" s="72">
        <v>-4.0650406504064707E-3</v>
      </c>
      <c r="AI20" s="72">
        <v>0</v>
      </c>
      <c r="AJ20" s="72">
        <v>0</v>
      </c>
      <c r="AK20" s="27"/>
      <c r="AL20" s="72">
        <v>-3.6281179138321962E-2</v>
      </c>
      <c r="AM20" s="72">
        <v>-3.7647058823528923E-3</v>
      </c>
      <c r="AN20" s="72">
        <v>-6.6131317902692333E-3</v>
      </c>
      <c r="AO20" s="72">
        <v>-7.6081787922016586E-3</v>
      </c>
      <c r="AP20" s="27"/>
      <c r="AQ20" s="72">
        <v>-9.1039770004791576E-3</v>
      </c>
      <c r="AR20" s="72">
        <v>-8.704061895551285E-3</v>
      </c>
      <c r="AS20" s="72">
        <v>-9.2682926829268375E-3</v>
      </c>
      <c r="AT20" s="72">
        <v>-1.0339734121122546E-2</v>
      </c>
      <c r="AU20" s="27"/>
      <c r="AV20" s="72">
        <v>-1.1940298507462699E-2</v>
      </c>
      <c r="AW20" s="72">
        <v>-1.2588116817724093E-2</v>
      </c>
      <c r="AX20" s="72">
        <v>-9.6889342172361559E-3</v>
      </c>
      <c r="AY20" s="72">
        <v>-1.3388259526261548E-2</v>
      </c>
      <c r="AZ20" s="27"/>
    </row>
    <row r="21" spans="1:52">
      <c r="A21" s="71" t="s">
        <v>8</v>
      </c>
      <c r="B21" s="24"/>
      <c r="C21" s="73"/>
      <c r="D21" s="73"/>
      <c r="E21" s="73"/>
      <c r="F21" s="73"/>
      <c r="G21" s="24">
        <v>-5.2746453255729353E-2</v>
      </c>
      <c r="H21" s="73">
        <v>-4.8130322102924894E-2</v>
      </c>
      <c r="I21" s="73">
        <v>-4.8689138576779034E-2</v>
      </c>
      <c r="J21" s="73">
        <v>-4.5937737281700808E-2</v>
      </c>
      <c r="K21" s="72">
        <v>-4.64669738863287E-2</v>
      </c>
      <c r="L21" s="24">
        <v>-4.64669738863287E-2</v>
      </c>
      <c r="M21" s="73">
        <v>-4.5507584597432871E-2</v>
      </c>
      <c r="N21" s="73">
        <v>-4.6456692913385833E-2</v>
      </c>
      <c r="O21" s="73">
        <v>-4.7353760445682402E-2</v>
      </c>
      <c r="P21" s="72">
        <v>-4.7120418848167533E-2</v>
      </c>
      <c r="Q21" s="24">
        <v>-4.7120418848167533E-2</v>
      </c>
      <c r="R21" s="73">
        <v>0.15</v>
      </c>
      <c r="S21" s="73">
        <v>-2.725020644095788E-2</v>
      </c>
      <c r="T21" s="73">
        <v>-1.294903926482871E-2</v>
      </c>
      <c r="U21" s="72">
        <v>4.226542688081647E-4</v>
      </c>
      <c r="V21" s="24">
        <v>4.226542688081647E-4</v>
      </c>
      <c r="W21" s="73">
        <v>4.2408821034776167E-3</v>
      </c>
      <c r="X21" s="73">
        <v>-8.9134125636671779E-3</v>
      </c>
      <c r="Y21" s="73">
        <v>-2.7084214980956367E-2</v>
      </c>
      <c r="Z21" s="72">
        <v>-4.1825095057034245E-2</v>
      </c>
      <c r="AA21" s="24">
        <v>-4.1825095057034245E-2</v>
      </c>
      <c r="AB21" s="73">
        <v>-5.3209459459459429E-2</v>
      </c>
      <c r="AC21" s="73">
        <v>-4.7537473233404737E-2</v>
      </c>
      <c r="AD21" s="73">
        <v>-3.3057851239669422E-2</v>
      </c>
      <c r="AE21" s="72">
        <v>-2.2927689594356315E-2</v>
      </c>
      <c r="AF21" s="24">
        <v>-2.2927689594356315E-2</v>
      </c>
      <c r="AG21" s="73">
        <v>-1.2488849241748423E-2</v>
      </c>
      <c r="AH21" s="73">
        <v>-8.5431654676259017E-3</v>
      </c>
      <c r="AI21" s="73">
        <v>-8.0971659919027994E-3</v>
      </c>
      <c r="AJ21" s="72">
        <v>-4.9638989169674685E-3</v>
      </c>
      <c r="AK21" s="24">
        <v>-4.9638989169674685E-3</v>
      </c>
      <c r="AL21" s="73">
        <v>-4.0198735320686518E-2</v>
      </c>
      <c r="AM21" s="73">
        <v>-3.990929705215418E-2</v>
      </c>
      <c r="AN21" s="73">
        <v>-4.6258503401360507E-2</v>
      </c>
      <c r="AO21" s="72">
        <v>-5.3514739229024944E-2</v>
      </c>
      <c r="AP21" s="24">
        <v>-5.3514739229024944E-2</v>
      </c>
      <c r="AQ21" s="73">
        <v>-2.6823529411764691E-2</v>
      </c>
      <c r="AR21" s="73">
        <v>-3.1648559282002831E-2</v>
      </c>
      <c r="AS21" s="73">
        <v>-3.4236804564907297E-2</v>
      </c>
      <c r="AT21" s="72">
        <v>-3.6895064686152335E-2</v>
      </c>
      <c r="AU21" s="24">
        <v>-3.6895064686152335E-2</v>
      </c>
      <c r="AV21" s="73">
        <v>-3.9651837524178002E-2</v>
      </c>
      <c r="AW21" s="73">
        <v>-4.3414634146341502E-2</v>
      </c>
      <c r="AX21" s="73">
        <v>-4.3820777941900535E-2</v>
      </c>
      <c r="AY21" s="72">
        <v>-4.676616915422882E-2</v>
      </c>
      <c r="AZ21" s="24">
        <v>-4.676616915422882E-2</v>
      </c>
    </row>
    <row r="22" spans="1:52">
      <c r="A22" s="71" t="s">
        <v>225</v>
      </c>
      <c r="B22" s="24"/>
      <c r="C22" s="73"/>
      <c r="D22" s="73"/>
      <c r="E22" s="73"/>
      <c r="F22" s="73"/>
      <c r="G22" s="200">
        <v>-145</v>
      </c>
      <c r="H22" s="73"/>
      <c r="I22" s="73"/>
      <c r="J22" s="73"/>
      <c r="K22" s="72"/>
      <c r="L22" s="200">
        <v>-121</v>
      </c>
      <c r="M22" s="73"/>
      <c r="N22" s="73"/>
      <c r="O22" s="73"/>
      <c r="P22" s="72"/>
      <c r="Q22" s="200">
        <v>-117</v>
      </c>
      <c r="R22" s="73"/>
      <c r="S22" s="73"/>
      <c r="T22" s="73"/>
      <c r="U22" s="72"/>
      <c r="V22" s="200">
        <v>1</v>
      </c>
      <c r="W22" s="73"/>
      <c r="X22" s="73"/>
      <c r="Y22" s="73"/>
      <c r="Z22" s="72"/>
      <c r="AA22" s="200">
        <v>-99</v>
      </c>
      <c r="AB22" s="73"/>
      <c r="AC22" s="73"/>
      <c r="AD22" s="73"/>
      <c r="AE22" s="72"/>
      <c r="AF22" s="200">
        <v>-52</v>
      </c>
      <c r="AG22" s="73"/>
      <c r="AH22" s="73"/>
      <c r="AI22" s="73"/>
      <c r="AJ22" s="72"/>
      <c r="AK22" s="200">
        <v>-11</v>
      </c>
      <c r="AL22" s="197"/>
      <c r="AM22" s="197">
        <v>-8</v>
      </c>
      <c r="AN22" s="197">
        <v>-14</v>
      </c>
      <c r="AO22" s="197">
        <v>-16</v>
      </c>
      <c r="AP22" s="200">
        <v>-118</v>
      </c>
      <c r="AQ22" s="199">
        <v>-19</v>
      </c>
      <c r="AR22" s="199">
        <v>-18</v>
      </c>
      <c r="AS22" s="199">
        <v>-19</v>
      </c>
      <c r="AT22" s="199">
        <v>-21</v>
      </c>
      <c r="AU22" s="200">
        <v>-77</v>
      </c>
      <c r="AV22" s="199">
        <v>-24</v>
      </c>
      <c r="AW22" s="199">
        <v>-25</v>
      </c>
      <c r="AX22" s="199">
        <v>-19</v>
      </c>
      <c r="AY22" s="199">
        <v>-26</v>
      </c>
      <c r="AZ22" s="200">
        <v>-94</v>
      </c>
    </row>
    <row r="23" spans="1:52">
      <c r="A23" s="71"/>
      <c r="B23" s="24"/>
      <c r="C23" s="73"/>
      <c r="D23" s="73"/>
      <c r="E23" s="73"/>
      <c r="F23" s="73"/>
      <c r="G23" s="24"/>
      <c r="H23" s="73"/>
      <c r="I23" s="73"/>
      <c r="J23" s="73"/>
      <c r="K23" s="72"/>
      <c r="L23" s="24"/>
      <c r="M23" s="73"/>
      <c r="N23" s="73"/>
      <c r="O23" s="73"/>
      <c r="P23" s="72"/>
      <c r="Q23" s="24"/>
      <c r="R23" s="73"/>
      <c r="S23" s="73"/>
      <c r="T23" s="73"/>
      <c r="U23" s="72"/>
      <c r="V23" s="24"/>
      <c r="W23" s="73"/>
      <c r="X23" s="73"/>
      <c r="Y23" s="73"/>
      <c r="Z23" s="72"/>
      <c r="AA23" s="24"/>
      <c r="AB23" s="73"/>
      <c r="AC23" s="73"/>
      <c r="AD23" s="73"/>
      <c r="AE23" s="72"/>
      <c r="AF23" s="24"/>
      <c r="AG23" s="73"/>
      <c r="AH23" s="73"/>
      <c r="AI23" s="73"/>
      <c r="AJ23" s="72"/>
      <c r="AK23" s="24"/>
      <c r="AL23" s="73"/>
      <c r="AM23" s="73"/>
      <c r="AN23" s="73"/>
      <c r="AO23" s="72"/>
      <c r="AP23" s="24"/>
      <c r="AQ23" s="73"/>
      <c r="AR23" s="73"/>
      <c r="AS23" s="73"/>
      <c r="AT23" s="72"/>
      <c r="AU23" s="24"/>
      <c r="AV23" s="73"/>
      <c r="AW23" s="73"/>
      <c r="AX23" s="73"/>
      <c r="AY23" s="72"/>
      <c r="AZ23" s="24"/>
    </row>
    <row r="24" spans="1:52">
      <c r="A24" s="194" t="s">
        <v>224</v>
      </c>
      <c r="B24" s="102" t="s">
        <v>53</v>
      </c>
      <c r="C24" s="76">
        <v>114</v>
      </c>
      <c r="D24" s="76">
        <v>109</v>
      </c>
      <c r="E24" s="76">
        <v>113</v>
      </c>
      <c r="F24" s="76">
        <v>109</v>
      </c>
      <c r="G24" s="63">
        <v>111</v>
      </c>
      <c r="H24" s="76">
        <v>108</v>
      </c>
      <c r="I24" s="76">
        <v>108</v>
      </c>
      <c r="J24" s="76">
        <v>111</v>
      </c>
      <c r="K24" s="70">
        <v>110</v>
      </c>
      <c r="L24" s="28">
        <v>109</v>
      </c>
      <c r="M24" s="76">
        <v>106</v>
      </c>
      <c r="N24" s="76">
        <v>109</v>
      </c>
      <c r="O24" s="76">
        <v>109</v>
      </c>
      <c r="P24" s="70">
        <v>111</v>
      </c>
      <c r="Q24" s="28">
        <v>109</v>
      </c>
      <c r="R24" s="76">
        <v>87</v>
      </c>
      <c r="S24" s="76">
        <v>86</v>
      </c>
      <c r="T24" s="76">
        <v>87</v>
      </c>
      <c r="U24" s="70">
        <v>78</v>
      </c>
      <c r="V24" s="28">
        <v>85</v>
      </c>
      <c r="W24" s="76">
        <v>83</v>
      </c>
      <c r="X24" s="76">
        <v>81</v>
      </c>
      <c r="Y24" s="76">
        <v>80</v>
      </c>
      <c r="Z24" s="70">
        <v>78</v>
      </c>
      <c r="AA24" s="28">
        <v>81</v>
      </c>
      <c r="AB24" s="76">
        <v>75</v>
      </c>
      <c r="AC24" s="76">
        <v>75</v>
      </c>
      <c r="AD24" s="76">
        <v>73</v>
      </c>
      <c r="AE24" s="70">
        <v>70</v>
      </c>
      <c r="AF24" s="28">
        <v>74</v>
      </c>
      <c r="AG24" s="76">
        <v>64</v>
      </c>
      <c r="AH24" s="76">
        <v>63</v>
      </c>
      <c r="AI24" s="76">
        <v>63</v>
      </c>
      <c r="AJ24" s="70">
        <v>62</v>
      </c>
      <c r="AK24" s="28">
        <v>63</v>
      </c>
      <c r="AL24" s="76">
        <v>60</v>
      </c>
      <c r="AM24" s="76">
        <v>59</v>
      </c>
      <c r="AN24" s="76">
        <v>59</v>
      </c>
      <c r="AO24" s="70">
        <v>59</v>
      </c>
      <c r="AP24" s="28">
        <v>59</v>
      </c>
      <c r="AQ24" s="76">
        <v>58</v>
      </c>
      <c r="AR24" s="76">
        <v>57</v>
      </c>
      <c r="AS24" s="76">
        <v>57</v>
      </c>
      <c r="AT24" s="70">
        <v>55</v>
      </c>
      <c r="AU24" s="28">
        <v>57</v>
      </c>
      <c r="AV24" s="76">
        <v>56</v>
      </c>
      <c r="AW24" s="76">
        <v>54</v>
      </c>
      <c r="AX24" s="76">
        <v>54</v>
      </c>
      <c r="AY24" s="70">
        <v>53</v>
      </c>
      <c r="AZ24" s="28">
        <v>54</v>
      </c>
    </row>
    <row r="25" spans="1:52">
      <c r="A25" s="71" t="s">
        <v>7</v>
      </c>
      <c r="B25" s="24"/>
      <c r="C25" s="72"/>
      <c r="D25" s="72">
        <v>-4.3859649122807043E-2</v>
      </c>
      <c r="E25" s="72">
        <v>3.669724770642202E-2</v>
      </c>
      <c r="F25" s="72">
        <v>-3.539823008849563E-2</v>
      </c>
      <c r="G25" s="24"/>
      <c r="H25" s="72">
        <v>-9.1743119266054496E-3</v>
      </c>
      <c r="I25" s="72">
        <v>0</v>
      </c>
      <c r="J25" s="72">
        <v>2.7777777777777679E-2</v>
      </c>
      <c r="K25" s="72">
        <v>-9.009009009009028E-3</v>
      </c>
      <c r="L25" s="27"/>
      <c r="M25" s="72">
        <v>-3.6363636363636376E-2</v>
      </c>
      <c r="N25" s="72">
        <v>2.8301886792452935E-2</v>
      </c>
      <c r="O25" s="72">
        <v>0</v>
      </c>
      <c r="P25" s="72">
        <v>1.8348623853210899E-2</v>
      </c>
      <c r="Q25" s="27"/>
      <c r="R25" s="72">
        <v>-0.21621621621621623</v>
      </c>
      <c r="S25" s="72">
        <v>-1.1494252873563204E-2</v>
      </c>
      <c r="T25" s="72">
        <v>1.1627906976744207E-2</v>
      </c>
      <c r="U25" s="72">
        <v>-0.10344827586206895</v>
      </c>
      <c r="V25" s="27"/>
      <c r="W25" s="72">
        <v>6.4102564102564097E-2</v>
      </c>
      <c r="X25" s="72">
        <v>-2.4096385542168641E-2</v>
      </c>
      <c r="Y25" s="72">
        <v>-1.2345679012345734E-2</v>
      </c>
      <c r="Z25" s="72">
        <v>-2.5000000000000022E-2</v>
      </c>
      <c r="AA25" s="27"/>
      <c r="AB25" s="72">
        <v>-3.8461538461538436E-2</v>
      </c>
      <c r="AC25" s="72">
        <v>0</v>
      </c>
      <c r="AD25" s="72">
        <v>-2.6666666666666616E-2</v>
      </c>
      <c r="AE25" s="72">
        <v>-4.1095890410958957E-2</v>
      </c>
      <c r="AF25" s="27"/>
      <c r="AG25" s="72">
        <v>-8.5714285714285743E-2</v>
      </c>
      <c r="AH25" s="72">
        <v>-1.5625E-2</v>
      </c>
      <c r="AI25" s="72">
        <v>0</v>
      </c>
      <c r="AJ25" s="72">
        <v>-1.5873015873015928E-2</v>
      </c>
      <c r="AK25" s="27"/>
      <c r="AL25" s="72">
        <v>-3.2258064516129004E-2</v>
      </c>
      <c r="AM25" s="72">
        <v>-1.6666666666666718E-2</v>
      </c>
      <c r="AN25" s="72">
        <v>0</v>
      </c>
      <c r="AO25" s="72">
        <v>0</v>
      </c>
      <c r="AP25" s="27"/>
      <c r="AQ25" s="72">
        <v>-1.6949152542372836E-2</v>
      </c>
      <c r="AR25" s="72">
        <v>-1.7241379310344862E-2</v>
      </c>
      <c r="AS25" s="72">
        <v>0</v>
      </c>
      <c r="AT25" s="72">
        <v>-3.5087719298245612E-2</v>
      </c>
      <c r="AU25" s="27"/>
      <c r="AV25" s="72">
        <v>1.8181818181818077E-2</v>
      </c>
      <c r="AW25" s="72">
        <v>-3.5714285714285698E-2</v>
      </c>
      <c r="AX25" s="72">
        <v>0</v>
      </c>
      <c r="AY25" s="72">
        <v>-1.851851851851849E-2</v>
      </c>
      <c r="AZ25" s="27"/>
    </row>
    <row r="26" spans="1:52">
      <c r="A26" s="71" t="s">
        <v>8</v>
      </c>
      <c r="B26" s="24"/>
      <c r="C26" s="73"/>
      <c r="D26" s="73"/>
      <c r="E26" s="73"/>
      <c r="F26" s="73"/>
      <c r="G26" s="24"/>
      <c r="H26" s="73">
        <v>-5.2631578947368474E-2</v>
      </c>
      <c r="I26" s="73">
        <v>-9.1743119266054496E-3</v>
      </c>
      <c r="J26" s="73">
        <v>-1.7699115044247815E-2</v>
      </c>
      <c r="K26" s="72">
        <v>9.1743119266054496E-3</v>
      </c>
      <c r="L26" s="24">
        <v>-1.8018018018018056E-2</v>
      </c>
      <c r="M26" s="73">
        <v>-1.851851851851849E-2</v>
      </c>
      <c r="N26" s="73">
        <v>9.2592592592593004E-3</v>
      </c>
      <c r="O26" s="73">
        <v>-1.8018018018018056E-2</v>
      </c>
      <c r="P26" s="72">
        <v>9.0909090909090384E-3</v>
      </c>
      <c r="Q26" s="24">
        <v>0</v>
      </c>
      <c r="R26" s="73">
        <v>-0.17924528301886788</v>
      </c>
      <c r="S26" s="73">
        <v>-0.21100917431192656</v>
      </c>
      <c r="T26" s="73">
        <v>-0.20183486238532111</v>
      </c>
      <c r="U26" s="72">
        <v>-0.29729729729729726</v>
      </c>
      <c r="V26" s="24">
        <v>-0.22018348623853212</v>
      </c>
      <c r="W26" s="73">
        <v>-4.5977011494252928E-2</v>
      </c>
      <c r="X26" s="73">
        <v>-5.8139534883720922E-2</v>
      </c>
      <c r="Y26" s="73">
        <v>-8.0459770114942541E-2</v>
      </c>
      <c r="Z26" s="72">
        <v>0</v>
      </c>
      <c r="AA26" s="24">
        <v>-4.705882352941182E-2</v>
      </c>
      <c r="AB26" s="73">
        <v>-9.6385542168674676E-2</v>
      </c>
      <c r="AC26" s="73">
        <v>-7.407407407407407E-2</v>
      </c>
      <c r="AD26" s="73">
        <v>-8.7500000000000022E-2</v>
      </c>
      <c r="AE26" s="72">
        <v>-0.10256410256410253</v>
      </c>
      <c r="AF26" s="24">
        <v>-8.6419753086419804E-2</v>
      </c>
      <c r="AG26" s="73">
        <v>-0.14666666666666661</v>
      </c>
      <c r="AH26" s="73">
        <v>-0.16000000000000003</v>
      </c>
      <c r="AI26" s="73">
        <v>-0.13698630136986301</v>
      </c>
      <c r="AJ26" s="72">
        <v>-0.11428571428571432</v>
      </c>
      <c r="AK26" s="24">
        <v>-0.14864864864864868</v>
      </c>
      <c r="AL26" s="73">
        <v>-6.25E-2</v>
      </c>
      <c r="AM26" s="73">
        <v>-6.3492063492063489E-2</v>
      </c>
      <c r="AN26" s="73">
        <v>-6.3492063492063489E-2</v>
      </c>
      <c r="AO26" s="72">
        <v>-4.8387096774193505E-2</v>
      </c>
      <c r="AP26" s="24">
        <v>-6.3492063492063489E-2</v>
      </c>
      <c r="AQ26" s="73">
        <v>-3.3333333333333326E-2</v>
      </c>
      <c r="AR26" s="73">
        <v>-3.3898305084745783E-2</v>
      </c>
      <c r="AS26" s="73">
        <v>-3.3898305084745783E-2</v>
      </c>
      <c r="AT26" s="72">
        <v>-6.7796610169491567E-2</v>
      </c>
      <c r="AU26" s="24">
        <v>-3.3898305084745783E-2</v>
      </c>
      <c r="AV26" s="73">
        <v>-3.4482758620689613E-2</v>
      </c>
      <c r="AW26" s="73">
        <v>-5.2631578947368474E-2</v>
      </c>
      <c r="AX26" s="73">
        <v>-5.2631578947368474E-2</v>
      </c>
      <c r="AY26" s="72">
        <v>-3.6363636363636376E-2</v>
      </c>
      <c r="AZ26" s="24">
        <v>-5.2631578947368474E-2</v>
      </c>
    </row>
    <row r="27" spans="1:52">
      <c r="A27" s="71"/>
      <c r="B27" s="24"/>
      <c r="C27" s="73"/>
      <c r="D27" s="73"/>
      <c r="E27" s="73"/>
      <c r="F27" s="73"/>
      <c r="G27" s="24"/>
      <c r="H27" s="73"/>
      <c r="I27" s="73"/>
      <c r="J27" s="73"/>
      <c r="K27" s="72"/>
      <c r="L27" s="24"/>
      <c r="M27" s="73"/>
      <c r="N27" s="73"/>
      <c r="O27" s="73"/>
      <c r="P27" s="72"/>
      <c r="Q27" s="24"/>
      <c r="R27" s="73"/>
      <c r="S27" s="73"/>
      <c r="T27" s="73"/>
      <c r="U27" s="72"/>
      <c r="V27" s="24"/>
      <c r="W27" s="73"/>
      <c r="X27" s="73"/>
      <c r="Y27" s="73"/>
      <c r="Z27" s="72"/>
      <c r="AA27" s="24"/>
      <c r="AB27" s="73"/>
      <c r="AC27" s="73"/>
      <c r="AD27" s="73"/>
      <c r="AE27" s="72"/>
      <c r="AF27" s="24"/>
      <c r="AG27" s="73"/>
      <c r="AH27" s="73"/>
      <c r="AI27" s="73"/>
      <c r="AJ27" s="72"/>
      <c r="AK27" s="24"/>
      <c r="AL27" s="73"/>
      <c r="AM27" s="73"/>
      <c r="AN27" s="73"/>
      <c r="AO27" s="72"/>
      <c r="AP27" s="24"/>
      <c r="AQ27" s="73"/>
      <c r="AR27" s="73"/>
      <c r="AS27" s="73"/>
      <c r="AT27" s="72"/>
      <c r="AU27" s="24"/>
      <c r="AV27" s="73"/>
      <c r="AW27" s="73"/>
      <c r="AX27" s="73"/>
      <c r="AY27" s="72"/>
      <c r="AZ27" s="24"/>
    </row>
    <row r="28" spans="1:52" hidden="1">
      <c r="A28" s="69" t="s">
        <v>85</v>
      </c>
      <c r="B28" s="38">
        <v>87</v>
      </c>
      <c r="C28" s="76">
        <v>85</v>
      </c>
      <c r="D28" s="76">
        <v>82</v>
      </c>
      <c r="E28" s="76">
        <v>85</v>
      </c>
      <c r="F28" s="76">
        <v>82</v>
      </c>
      <c r="G28" s="63">
        <v>83</v>
      </c>
      <c r="H28" s="76">
        <v>82</v>
      </c>
      <c r="I28" s="76">
        <v>81</v>
      </c>
      <c r="J28" s="76">
        <v>83</v>
      </c>
      <c r="K28" s="70">
        <v>83</v>
      </c>
      <c r="L28" s="28">
        <v>82</v>
      </c>
      <c r="M28" s="76">
        <v>80</v>
      </c>
      <c r="N28" s="76">
        <v>81</v>
      </c>
      <c r="O28" s="76">
        <v>82</v>
      </c>
      <c r="P28" s="70">
        <v>83</v>
      </c>
      <c r="Q28" s="28">
        <v>81</v>
      </c>
      <c r="R28" s="76">
        <v>79</v>
      </c>
      <c r="S28" s="76">
        <v>77</v>
      </c>
      <c r="T28" s="76">
        <v>78</v>
      </c>
      <c r="U28" s="70">
        <v>70</v>
      </c>
      <c r="V28" s="28">
        <v>76</v>
      </c>
      <c r="W28" s="76">
        <v>74</v>
      </c>
      <c r="X28" s="76">
        <v>73</v>
      </c>
      <c r="Y28" s="76">
        <v>73</v>
      </c>
      <c r="Z28" s="70">
        <v>71</v>
      </c>
      <c r="AA28" s="28">
        <v>73</v>
      </c>
      <c r="AB28" s="76">
        <v>69</v>
      </c>
      <c r="AC28" s="76">
        <v>68</v>
      </c>
      <c r="AD28" s="76">
        <v>67</v>
      </c>
      <c r="AE28" s="70">
        <v>64</v>
      </c>
      <c r="AF28" s="28">
        <v>67</v>
      </c>
      <c r="AG28" s="76">
        <v>69</v>
      </c>
      <c r="AH28" s="76">
        <v>68</v>
      </c>
      <c r="AI28" s="76">
        <v>68</v>
      </c>
      <c r="AJ28" s="70">
        <v>64</v>
      </c>
      <c r="AK28" s="28">
        <v>-586</v>
      </c>
      <c r="AL28" s="76">
        <v>69</v>
      </c>
      <c r="AM28" s="76">
        <v>68</v>
      </c>
      <c r="AN28" s="76">
        <v>68</v>
      </c>
      <c r="AO28" s="70">
        <v>64</v>
      </c>
      <c r="AP28" s="28">
        <v>-586</v>
      </c>
      <c r="AQ28" s="76">
        <v>69</v>
      </c>
      <c r="AR28" s="76">
        <v>68</v>
      </c>
      <c r="AS28" s="76">
        <v>68</v>
      </c>
      <c r="AT28" s="70">
        <v>64</v>
      </c>
      <c r="AU28" s="28">
        <v>-586</v>
      </c>
      <c r="AV28" s="76">
        <v>69</v>
      </c>
      <c r="AW28" s="76">
        <v>69</v>
      </c>
      <c r="AX28" s="76">
        <v>69</v>
      </c>
      <c r="AY28" s="70">
        <v>64</v>
      </c>
      <c r="AZ28" s="28">
        <v>-586</v>
      </c>
    </row>
    <row r="29" spans="1:52" hidden="1">
      <c r="A29" s="71" t="s">
        <v>7</v>
      </c>
      <c r="B29" s="24"/>
      <c r="C29" s="72"/>
      <c r="D29" s="72">
        <v>-3.5294117647058809E-2</v>
      </c>
      <c r="E29" s="72">
        <v>3.6585365853658569E-2</v>
      </c>
      <c r="F29" s="72">
        <v>-3.5294117647058809E-2</v>
      </c>
      <c r="G29" s="24"/>
      <c r="H29" s="72">
        <v>0</v>
      </c>
      <c r="I29" s="72">
        <v>-1.2195121951219523E-2</v>
      </c>
      <c r="J29" s="72">
        <v>2.4691358024691468E-2</v>
      </c>
      <c r="K29" s="72">
        <v>0</v>
      </c>
      <c r="L29" s="27"/>
      <c r="M29" s="72">
        <v>-3.6144578313253017E-2</v>
      </c>
      <c r="N29" s="72">
        <v>1.2499999999999956E-2</v>
      </c>
      <c r="O29" s="72">
        <v>1.2345679012345734E-2</v>
      </c>
      <c r="P29" s="72">
        <v>1.2195121951219523E-2</v>
      </c>
      <c r="Q29" s="27"/>
      <c r="R29" s="72">
        <v>-4.8192771084337394E-2</v>
      </c>
      <c r="S29" s="72">
        <v>-2.5316455696202556E-2</v>
      </c>
      <c r="T29" s="72">
        <v>1.298701298701288E-2</v>
      </c>
      <c r="U29" s="72">
        <v>-0.10256410256410253</v>
      </c>
      <c r="V29" s="27"/>
      <c r="W29" s="72">
        <v>5.7142857142857162E-2</v>
      </c>
      <c r="X29" s="72">
        <v>-1.3513513513513487E-2</v>
      </c>
      <c r="Y29" s="72">
        <v>0</v>
      </c>
      <c r="Z29" s="72">
        <v>-2.7397260273972601E-2</v>
      </c>
      <c r="AA29" s="27"/>
      <c r="AB29" s="72">
        <v>-2.8169014084507005E-2</v>
      </c>
      <c r="AC29" s="72">
        <v>-1.4492753623188359E-2</v>
      </c>
      <c r="AD29" s="72">
        <v>-1.4705882352941124E-2</v>
      </c>
      <c r="AE29" s="72">
        <v>-4.4776119402985093E-2</v>
      </c>
      <c r="AF29" s="27"/>
      <c r="AG29" s="72">
        <v>7.8125E-2</v>
      </c>
      <c r="AH29" s="72">
        <v>-1.4492753623188359E-2</v>
      </c>
      <c r="AI29" s="72">
        <v>0</v>
      </c>
      <c r="AJ29" s="72">
        <v>-5.8823529411764719E-2</v>
      </c>
      <c r="AK29" s="27"/>
      <c r="AL29" s="72">
        <v>7.8125E-2</v>
      </c>
      <c r="AM29" s="72">
        <v>-1.4492753623188359E-2</v>
      </c>
      <c r="AN29" s="72">
        <v>0</v>
      </c>
      <c r="AO29" s="72">
        <v>-5.8823529411764719E-2</v>
      </c>
      <c r="AP29" s="27"/>
      <c r="AQ29" s="72">
        <v>7.8125E-2</v>
      </c>
      <c r="AR29" s="72">
        <v>-1.4492753623188359E-2</v>
      </c>
      <c r="AS29" s="72">
        <v>0</v>
      </c>
      <c r="AT29" s="72">
        <v>-5.8823529411764719E-2</v>
      </c>
      <c r="AU29" s="27"/>
      <c r="AV29" s="72">
        <v>7.8125E-2</v>
      </c>
      <c r="AW29" s="72">
        <v>-1.1177474402730376</v>
      </c>
      <c r="AX29" s="72">
        <v>0</v>
      </c>
      <c r="AY29" s="72">
        <v>-7.2463768115942018E-2</v>
      </c>
      <c r="AZ29" s="27"/>
    </row>
    <row r="30" spans="1:52" hidden="1">
      <c r="A30" s="71" t="s">
        <v>8</v>
      </c>
      <c r="B30" s="24"/>
      <c r="C30" s="73"/>
      <c r="D30" s="73"/>
      <c r="E30" s="73"/>
      <c r="F30" s="73"/>
      <c r="G30" s="24">
        <v>-4.5977011494252928E-2</v>
      </c>
      <c r="H30" s="73">
        <v>-3.5294117647058809E-2</v>
      </c>
      <c r="I30" s="73">
        <v>-1.2195121951219523E-2</v>
      </c>
      <c r="J30" s="73">
        <v>-2.352941176470591E-2</v>
      </c>
      <c r="K30" s="72">
        <v>1.2195121951219523E-2</v>
      </c>
      <c r="L30" s="24">
        <v>-1.2048192771084376E-2</v>
      </c>
      <c r="M30" s="73">
        <v>-2.4390243902439046E-2</v>
      </c>
      <c r="N30" s="73">
        <v>0</v>
      </c>
      <c r="O30" s="73">
        <v>-1.2048192771084376E-2</v>
      </c>
      <c r="P30" s="72">
        <v>0</v>
      </c>
      <c r="Q30" s="24">
        <v>-1.2195121951219523E-2</v>
      </c>
      <c r="R30" s="73">
        <v>-1.2499999999999956E-2</v>
      </c>
      <c r="S30" s="73">
        <v>-4.9382716049382713E-2</v>
      </c>
      <c r="T30" s="73">
        <v>-4.8780487804878092E-2</v>
      </c>
      <c r="U30" s="72">
        <v>-0.15662650602409633</v>
      </c>
      <c r="V30" s="24">
        <v>-6.1728395061728447E-2</v>
      </c>
      <c r="W30" s="73">
        <v>-6.3291139240506333E-2</v>
      </c>
      <c r="X30" s="73">
        <v>-5.1948051948051965E-2</v>
      </c>
      <c r="Y30" s="73">
        <v>-6.4102564102564097E-2</v>
      </c>
      <c r="Z30" s="72">
        <v>1.4285714285714235E-2</v>
      </c>
      <c r="AA30" s="24">
        <v>-3.9473684210526327E-2</v>
      </c>
      <c r="AB30" s="73">
        <v>-6.7567567567567544E-2</v>
      </c>
      <c r="AC30" s="73">
        <v>-6.8493150684931559E-2</v>
      </c>
      <c r="AD30" s="73">
        <v>-8.2191780821917804E-2</v>
      </c>
      <c r="AE30" s="72">
        <v>-9.8591549295774628E-2</v>
      </c>
      <c r="AF30" s="24">
        <v>-8.2191780821917804E-2</v>
      </c>
      <c r="AG30" s="73">
        <v>0</v>
      </c>
      <c r="AH30" s="73">
        <v>0</v>
      </c>
      <c r="AI30" s="73">
        <v>1.4925373134328401E-2</v>
      </c>
      <c r="AJ30" s="72">
        <v>0</v>
      </c>
      <c r="AK30" s="24">
        <v>-9.7462686567164187</v>
      </c>
      <c r="AL30" s="73">
        <v>0</v>
      </c>
      <c r="AM30" s="73">
        <v>0</v>
      </c>
      <c r="AN30" s="73">
        <v>0</v>
      </c>
      <c r="AO30" s="72">
        <v>0</v>
      </c>
      <c r="AP30" s="24">
        <v>0</v>
      </c>
      <c r="AQ30" s="73">
        <v>0</v>
      </c>
      <c r="AR30" s="73">
        <v>0</v>
      </c>
      <c r="AS30" s="73">
        <v>0</v>
      </c>
      <c r="AT30" s="72">
        <v>0</v>
      </c>
      <c r="AU30" s="24">
        <v>0</v>
      </c>
      <c r="AV30" s="73">
        <v>0</v>
      </c>
      <c r="AW30" s="73">
        <v>1.4705882352941124E-2</v>
      </c>
      <c r="AX30" s="73">
        <v>1.4705882352941124E-2</v>
      </c>
      <c r="AY30" s="72">
        <v>0</v>
      </c>
      <c r="AZ30" s="24">
        <v>0</v>
      </c>
    </row>
    <row r="31" spans="1:52" hidden="1">
      <c r="A31" s="71"/>
      <c r="B31" s="24"/>
      <c r="C31" s="73"/>
      <c r="D31" s="73"/>
      <c r="E31" s="73"/>
      <c r="F31" s="73"/>
      <c r="G31" s="24"/>
      <c r="H31" s="73"/>
      <c r="I31" s="73"/>
      <c r="J31" s="73"/>
      <c r="K31" s="72"/>
      <c r="L31" s="24"/>
      <c r="M31" s="73"/>
      <c r="N31" s="73"/>
      <c r="O31" s="73"/>
      <c r="P31" s="72"/>
      <c r="Q31" s="24"/>
      <c r="R31" s="73"/>
      <c r="S31" s="73"/>
      <c r="T31" s="73"/>
      <c r="U31" s="72"/>
      <c r="V31" s="24"/>
      <c r="W31" s="73"/>
      <c r="X31" s="73"/>
      <c r="Y31" s="73"/>
      <c r="Z31" s="72"/>
      <c r="AA31" s="24"/>
      <c r="AB31" s="73"/>
      <c r="AC31" s="73"/>
      <c r="AD31" s="73"/>
      <c r="AE31" s="72"/>
      <c r="AF31" s="24"/>
      <c r="AG31" s="73"/>
      <c r="AH31" s="73"/>
      <c r="AI31" s="73"/>
      <c r="AJ31" s="72"/>
      <c r="AK31" s="24"/>
      <c r="AL31" s="73"/>
      <c r="AM31" s="73"/>
      <c r="AN31" s="73"/>
      <c r="AO31" s="72"/>
      <c r="AP31" s="24"/>
      <c r="AQ31" s="73"/>
      <c r="AR31" s="73"/>
      <c r="AS31" s="73"/>
      <c r="AT31" s="72"/>
      <c r="AU31" s="24"/>
      <c r="AV31" s="73"/>
      <c r="AW31" s="73"/>
      <c r="AX31" s="73"/>
      <c r="AY31" s="72"/>
      <c r="AZ31" s="24"/>
    </row>
    <row r="32" spans="1:52">
      <c r="A32" s="69" t="s">
        <v>176</v>
      </c>
      <c r="B32" s="39">
        <v>9.5000000000000001E-2</v>
      </c>
      <c r="C32" s="90">
        <v>3.6999999999999998E-2</v>
      </c>
      <c r="D32" s="90">
        <v>2.8000000000000001E-2</v>
      </c>
      <c r="E32" s="90">
        <v>3.1E-2</v>
      </c>
      <c r="F32" s="90">
        <v>2.9000000000000001E-2</v>
      </c>
      <c r="G32" s="102" t="s">
        <v>53</v>
      </c>
      <c r="H32" s="120" t="s">
        <v>45</v>
      </c>
      <c r="I32" s="120" t="s">
        <v>45</v>
      </c>
      <c r="J32" s="120" t="s">
        <v>45</v>
      </c>
      <c r="K32" s="120" t="s">
        <v>45</v>
      </c>
      <c r="L32" s="102" t="s">
        <v>53</v>
      </c>
      <c r="M32" s="120" t="s">
        <v>45</v>
      </c>
      <c r="N32" s="120" t="s">
        <v>45</v>
      </c>
      <c r="O32" s="120" t="s">
        <v>45</v>
      </c>
      <c r="P32" s="120" t="s">
        <v>45</v>
      </c>
      <c r="Q32" s="102" t="s">
        <v>53</v>
      </c>
      <c r="R32" s="90">
        <v>3.3000000000000002E-2</v>
      </c>
      <c r="S32" s="90">
        <v>2.8000000000000001E-2</v>
      </c>
      <c r="T32" s="90">
        <v>2.8000000000000001E-2</v>
      </c>
      <c r="U32" s="90">
        <v>2.8000000000000001E-2</v>
      </c>
      <c r="V32" s="39">
        <v>0.11600000000000001</v>
      </c>
      <c r="W32" s="90">
        <v>3.2000000000000001E-2</v>
      </c>
      <c r="X32" s="90">
        <v>3.9E-2</v>
      </c>
      <c r="Y32" s="90">
        <v>4.2000000000000003E-2</v>
      </c>
      <c r="Z32" s="90">
        <v>0.04</v>
      </c>
      <c r="AA32" s="39">
        <v>0.153</v>
      </c>
      <c r="AB32" s="90">
        <v>3.6999999999999998E-2</v>
      </c>
      <c r="AC32" s="90">
        <v>3.5000000000000003E-2</v>
      </c>
      <c r="AD32" s="90">
        <v>2.8000000000000001E-2</v>
      </c>
      <c r="AE32" s="90">
        <v>3.1000000000000007E-2</v>
      </c>
      <c r="AF32" s="39">
        <v>0.13100000000000001</v>
      </c>
      <c r="AG32" s="90">
        <v>0.03</v>
      </c>
      <c r="AH32" s="90">
        <v>2.8000000000000001E-2</v>
      </c>
      <c r="AI32" s="90">
        <v>2.8000000000000001E-2</v>
      </c>
      <c r="AJ32" s="90">
        <v>2.5000000000000001E-2</v>
      </c>
      <c r="AK32" s="39">
        <v>0.111</v>
      </c>
      <c r="AL32" s="90">
        <v>2.4E-2</v>
      </c>
      <c r="AM32" s="90">
        <v>2.4E-2</v>
      </c>
      <c r="AN32" s="90">
        <v>2.5999999999999999E-2</v>
      </c>
      <c r="AO32" s="90">
        <v>2.7E-2</v>
      </c>
      <c r="AP32" s="39">
        <v>0.10100000000000001</v>
      </c>
      <c r="AQ32" s="90">
        <v>2.8000000000000001E-2</v>
      </c>
      <c r="AR32" s="90">
        <v>2.4E-2</v>
      </c>
      <c r="AS32" s="90">
        <v>2.5999999999999999E-2</v>
      </c>
      <c r="AT32" s="90">
        <v>2.4E-2</v>
      </c>
      <c r="AU32" s="39">
        <v>0.10199999999999999</v>
      </c>
      <c r="AV32" s="90">
        <v>2.7E-2</v>
      </c>
      <c r="AW32" s="90">
        <v>2.4E-2</v>
      </c>
      <c r="AX32" s="90">
        <v>2.3E-2</v>
      </c>
      <c r="AY32" s="90">
        <v>2.4E-2</v>
      </c>
      <c r="AZ32" s="39">
        <v>9.8000000000000004E-2</v>
      </c>
    </row>
    <row r="33" spans="1:52">
      <c r="A33" s="71"/>
      <c r="B33" s="24"/>
      <c r="C33" s="73"/>
      <c r="D33" s="73"/>
      <c r="E33" s="73"/>
      <c r="F33" s="73"/>
      <c r="G33" s="24"/>
      <c r="H33" s="73"/>
      <c r="I33" s="73"/>
      <c r="J33" s="73"/>
      <c r="K33" s="72"/>
      <c r="L33" s="24"/>
      <c r="M33" s="73"/>
      <c r="N33" s="73"/>
      <c r="O33" s="73"/>
      <c r="P33" s="72"/>
      <c r="Q33" s="24"/>
      <c r="R33" s="73"/>
      <c r="S33" s="73"/>
      <c r="T33" s="73"/>
      <c r="U33" s="72"/>
      <c r="V33" s="24"/>
      <c r="W33" s="73"/>
      <c r="X33" s="73"/>
      <c r="Y33" s="73"/>
      <c r="Z33" s="72"/>
      <c r="AA33" s="24"/>
      <c r="AB33" s="73"/>
      <c r="AC33" s="73"/>
      <c r="AD33" s="73"/>
      <c r="AE33" s="72"/>
      <c r="AF33" s="24"/>
      <c r="AG33" s="73"/>
      <c r="AH33" s="73"/>
      <c r="AI33" s="73"/>
      <c r="AJ33" s="72"/>
      <c r="AK33" s="24"/>
      <c r="AL33" s="73"/>
      <c r="AM33" s="73"/>
      <c r="AN33" s="73"/>
      <c r="AO33" s="72"/>
      <c r="AP33" s="24"/>
      <c r="AQ33" s="73"/>
      <c r="AR33" s="73"/>
      <c r="AS33" s="73"/>
      <c r="AT33" s="72"/>
      <c r="AU33" s="24"/>
      <c r="AV33" s="73"/>
      <c r="AW33" s="73"/>
      <c r="AX33" s="73"/>
      <c r="AY33" s="72"/>
      <c r="AZ33" s="24"/>
    </row>
    <row r="34" spans="1:52">
      <c r="A34" s="69" t="s">
        <v>158</v>
      </c>
      <c r="B34" s="38">
        <v>963</v>
      </c>
      <c r="C34" s="69">
        <v>970</v>
      </c>
      <c r="D34" s="69">
        <v>982</v>
      </c>
      <c r="E34" s="69">
        <v>994</v>
      </c>
      <c r="F34" s="70">
        <v>1005</v>
      </c>
      <c r="G34" s="38">
        <v>1005</v>
      </c>
      <c r="H34" s="70">
        <v>1011</v>
      </c>
      <c r="I34" s="70">
        <v>1016</v>
      </c>
      <c r="J34" s="70">
        <v>1026</v>
      </c>
      <c r="K34" s="70">
        <v>1035</v>
      </c>
      <c r="L34" s="37">
        <v>1035</v>
      </c>
      <c r="M34" s="70">
        <v>1045</v>
      </c>
      <c r="N34" s="70">
        <v>1051</v>
      </c>
      <c r="O34" s="70">
        <v>1056</v>
      </c>
      <c r="P34" s="70">
        <v>1066</v>
      </c>
      <c r="Q34" s="37">
        <v>1066</v>
      </c>
      <c r="R34" s="70">
        <v>1079</v>
      </c>
      <c r="S34" s="70">
        <v>1088</v>
      </c>
      <c r="T34" s="70">
        <v>1100</v>
      </c>
      <c r="U34" s="70">
        <v>1111</v>
      </c>
      <c r="V34" s="37">
        <v>1111</v>
      </c>
      <c r="W34" s="70">
        <v>1121</v>
      </c>
      <c r="X34" s="70">
        <v>1136</v>
      </c>
      <c r="Y34" s="70">
        <v>1153</v>
      </c>
      <c r="Z34" s="70">
        <v>1169</v>
      </c>
      <c r="AA34" s="37">
        <v>1169</v>
      </c>
      <c r="AB34" s="70">
        <v>1185</v>
      </c>
      <c r="AC34" s="70">
        <v>1202</v>
      </c>
      <c r="AD34" s="70">
        <v>1230</v>
      </c>
      <c r="AE34" s="70">
        <v>1263</v>
      </c>
      <c r="AF34" s="37">
        <v>1263</v>
      </c>
      <c r="AG34" s="70">
        <v>1289</v>
      </c>
      <c r="AH34" s="70">
        <v>1308</v>
      </c>
      <c r="AI34" s="70">
        <v>1335</v>
      </c>
      <c r="AJ34" s="70">
        <v>1364</v>
      </c>
      <c r="AK34" s="37">
        <v>1364</v>
      </c>
      <c r="AL34" s="70">
        <v>1390</v>
      </c>
      <c r="AM34" s="70">
        <v>1418</v>
      </c>
      <c r="AN34" s="70">
        <v>1448</v>
      </c>
      <c r="AO34" s="70">
        <v>1479</v>
      </c>
      <c r="AP34" s="37">
        <v>1479</v>
      </c>
      <c r="AQ34" s="70">
        <v>1503</v>
      </c>
      <c r="AR34" s="70">
        <v>1521</v>
      </c>
      <c r="AS34" s="70">
        <v>1539</v>
      </c>
      <c r="AT34" s="70">
        <v>1558</v>
      </c>
      <c r="AU34" s="37">
        <v>1558</v>
      </c>
      <c r="AV34" s="70">
        <v>1580</v>
      </c>
      <c r="AW34" s="70">
        <v>1593</v>
      </c>
      <c r="AX34" s="70">
        <v>1608</v>
      </c>
      <c r="AY34" s="70">
        <v>1635</v>
      </c>
      <c r="AZ34" s="37">
        <v>1635</v>
      </c>
    </row>
    <row r="35" spans="1:52">
      <c r="A35" s="71" t="s">
        <v>7</v>
      </c>
      <c r="B35" s="24"/>
      <c r="C35" s="72"/>
      <c r="D35" s="72">
        <v>1.2371134020618513E-2</v>
      </c>
      <c r="E35" s="72">
        <v>1.2219959266802416E-2</v>
      </c>
      <c r="F35" s="72">
        <v>1.1066398390342069E-2</v>
      </c>
      <c r="G35" s="24"/>
      <c r="H35" s="72">
        <v>5.9701492537314049E-3</v>
      </c>
      <c r="I35" s="72">
        <v>4.9455984174084922E-3</v>
      </c>
      <c r="J35" s="72">
        <v>9.8425196850393526E-3</v>
      </c>
      <c r="K35" s="72">
        <v>8.7719298245614308E-3</v>
      </c>
      <c r="L35" s="27"/>
      <c r="M35" s="72">
        <v>9.6618357487923134E-3</v>
      </c>
      <c r="N35" s="72">
        <v>5.7416267942582699E-3</v>
      </c>
      <c r="O35" s="72">
        <v>4.7573739295909689E-3</v>
      </c>
      <c r="P35" s="72">
        <v>9.4696969696970168E-3</v>
      </c>
      <c r="Q35" s="27"/>
      <c r="R35" s="72">
        <v>1.2195121951219523E-2</v>
      </c>
      <c r="S35" s="72">
        <v>8.3410565338275511E-3</v>
      </c>
      <c r="T35" s="72">
        <v>1.1029411764705843E-2</v>
      </c>
      <c r="U35" s="72">
        <v>1.0000000000000009E-2</v>
      </c>
      <c r="V35" s="27"/>
      <c r="W35" s="72">
        <v>9.0009000900090896E-3</v>
      </c>
      <c r="X35" s="72">
        <v>1.338090990187335E-2</v>
      </c>
      <c r="Y35" s="72">
        <v>1.4964788732394263E-2</v>
      </c>
      <c r="Z35" s="72">
        <v>1.3876843018213458E-2</v>
      </c>
      <c r="AA35" s="27"/>
      <c r="AB35" s="72">
        <v>1.3686911890504749E-2</v>
      </c>
      <c r="AC35" s="72">
        <v>1.4345991561181437E-2</v>
      </c>
      <c r="AD35" s="72">
        <v>2.3294509151414289E-2</v>
      </c>
      <c r="AE35" s="72">
        <v>2.6829268292682951E-2</v>
      </c>
      <c r="AF35" s="27"/>
      <c r="AG35" s="72">
        <v>2.0585906571654711E-2</v>
      </c>
      <c r="AH35" s="72">
        <v>1.4740108611326574E-2</v>
      </c>
      <c r="AI35" s="72">
        <v>2.0642201834862428E-2</v>
      </c>
      <c r="AJ35" s="72">
        <v>2.1722846441947663E-2</v>
      </c>
      <c r="AK35" s="27"/>
      <c r="AL35" s="72">
        <v>1.9061583577712593E-2</v>
      </c>
      <c r="AM35" s="72">
        <v>2.0143884892086295E-2</v>
      </c>
      <c r="AN35" s="72">
        <v>2.1156558533145242E-2</v>
      </c>
      <c r="AO35" s="72">
        <v>2.140883977900554E-2</v>
      </c>
      <c r="AP35" s="27"/>
      <c r="AQ35" s="72">
        <v>1.6227180527383478E-2</v>
      </c>
      <c r="AR35" s="72">
        <v>1.1976047904191711E-2</v>
      </c>
      <c r="AS35" s="72">
        <v>1.1834319526627279E-2</v>
      </c>
      <c r="AT35" s="72">
        <v>1.2345679012345734E-2</v>
      </c>
      <c r="AU35" s="27"/>
      <c r="AV35" s="72">
        <v>1.4120667522464769E-2</v>
      </c>
      <c r="AW35" s="72">
        <v>8.2278481012658666E-3</v>
      </c>
      <c r="AX35" s="72">
        <v>9.4161958568739212E-3</v>
      </c>
      <c r="AY35" s="72">
        <v>1.6791044776119479E-2</v>
      </c>
      <c r="AZ35" s="27"/>
    </row>
    <row r="36" spans="1:52">
      <c r="A36" s="71" t="s">
        <v>8</v>
      </c>
      <c r="B36" s="24"/>
      <c r="C36" s="73"/>
      <c r="D36" s="73"/>
      <c r="E36" s="73"/>
      <c r="F36" s="73"/>
      <c r="G36" s="24">
        <v>4.3613707165109039E-2</v>
      </c>
      <c r="H36" s="73">
        <v>4.2268041237113474E-2</v>
      </c>
      <c r="I36" s="73">
        <v>3.4623217922606919E-2</v>
      </c>
      <c r="J36" s="73">
        <v>3.2193158953722323E-2</v>
      </c>
      <c r="K36" s="72">
        <v>2.9850746268656803E-2</v>
      </c>
      <c r="L36" s="24">
        <v>2.9850746268656803E-2</v>
      </c>
      <c r="M36" s="73">
        <v>3.3630069238377747E-2</v>
      </c>
      <c r="N36" s="73">
        <v>3.4448818897637734E-2</v>
      </c>
      <c r="O36" s="73">
        <v>2.9239766081871288E-2</v>
      </c>
      <c r="P36" s="72">
        <v>2.9951690821256038E-2</v>
      </c>
      <c r="Q36" s="24">
        <v>2.9951690821256038E-2</v>
      </c>
      <c r="R36" s="73">
        <v>3.2535885167464196E-2</v>
      </c>
      <c r="S36" s="73">
        <v>3.520456707897246E-2</v>
      </c>
      <c r="T36" s="73">
        <v>4.1666666666666741E-2</v>
      </c>
      <c r="U36" s="72">
        <v>4.2213883677298281E-2</v>
      </c>
      <c r="V36" s="24">
        <v>4.2213883677298281E-2</v>
      </c>
      <c r="W36" s="73">
        <v>3.8924930491195608E-2</v>
      </c>
      <c r="X36" s="73">
        <v>4.4117647058823595E-2</v>
      </c>
      <c r="Y36" s="73">
        <v>4.8181818181818103E-2</v>
      </c>
      <c r="Z36" s="72">
        <v>5.2205220522052231E-2</v>
      </c>
      <c r="AA36" s="24">
        <v>5.2205220522052231E-2</v>
      </c>
      <c r="AB36" s="73">
        <v>5.7091882247992887E-2</v>
      </c>
      <c r="AC36" s="73">
        <v>5.8098591549295753E-2</v>
      </c>
      <c r="AD36" s="73">
        <v>6.6782307025151866E-2</v>
      </c>
      <c r="AE36" s="72">
        <v>8.0410607356715236E-2</v>
      </c>
      <c r="AF36" s="24">
        <v>8.0410607356715236E-2</v>
      </c>
      <c r="AG36" s="73">
        <v>8.7763713080168726E-2</v>
      </c>
      <c r="AH36" s="73">
        <v>8.8186356073211236E-2</v>
      </c>
      <c r="AI36" s="73">
        <v>8.5365853658536661E-2</v>
      </c>
      <c r="AJ36" s="72">
        <v>7.9968329374505043E-2</v>
      </c>
      <c r="AK36" s="24">
        <v>7.9968329374505043E-2</v>
      </c>
      <c r="AL36" s="73">
        <v>7.8355314197051884E-2</v>
      </c>
      <c r="AM36" s="73">
        <v>8.4097859327217028E-2</v>
      </c>
      <c r="AN36" s="73">
        <v>8.4644194756554381E-2</v>
      </c>
      <c r="AO36" s="72">
        <v>8.4310850439882623E-2</v>
      </c>
      <c r="AP36" s="24">
        <v>8.4310850439882623E-2</v>
      </c>
      <c r="AQ36" s="73">
        <v>8.1294964028777006E-2</v>
      </c>
      <c r="AR36" s="73">
        <v>7.2637517630465442E-2</v>
      </c>
      <c r="AS36" s="73">
        <v>6.2845303867403279E-2</v>
      </c>
      <c r="AT36" s="72">
        <v>5.3414469235970152E-2</v>
      </c>
      <c r="AU36" s="24">
        <v>5.3414469235970152E-2</v>
      </c>
      <c r="AV36" s="73">
        <v>5.1230871590153049E-2</v>
      </c>
      <c r="AW36" s="73">
        <v>4.7337278106508895E-2</v>
      </c>
      <c r="AX36" s="73">
        <v>4.4834307992202671E-2</v>
      </c>
      <c r="AY36" s="72">
        <v>4.942233632862636E-2</v>
      </c>
      <c r="AZ36" s="24">
        <v>4.942233632862636E-2</v>
      </c>
    </row>
    <row r="37" spans="1:52">
      <c r="A37" s="71" t="s">
        <v>225</v>
      </c>
      <c r="B37" s="24"/>
      <c r="C37" s="73"/>
      <c r="D37" s="73"/>
      <c r="E37" s="73"/>
      <c r="F37" s="73"/>
      <c r="G37" s="200">
        <v>42</v>
      </c>
      <c r="H37" s="73"/>
      <c r="I37" s="73"/>
      <c r="J37" s="73"/>
      <c r="K37" s="72"/>
      <c r="L37" s="200">
        <v>30</v>
      </c>
      <c r="M37" s="73"/>
      <c r="N37" s="73"/>
      <c r="O37" s="73"/>
      <c r="P37" s="72"/>
      <c r="Q37" s="200">
        <v>31</v>
      </c>
      <c r="R37" s="73"/>
      <c r="S37" s="73"/>
      <c r="T37" s="73"/>
      <c r="U37" s="72"/>
      <c r="V37" s="200">
        <v>45</v>
      </c>
      <c r="W37" s="73"/>
      <c r="X37" s="73"/>
      <c r="Y37" s="73"/>
      <c r="Z37" s="72"/>
      <c r="AA37" s="200">
        <v>58</v>
      </c>
      <c r="AB37" s="73"/>
      <c r="AC37" s="73"/>
      <c r="AD37" s="73"/>
      <c r="AE37" s="72"/>
      <c r="AF37" s="200">
        <v>94</v>
      </c>
      <c r="AG37" s="73"/>
      <c r="AH37" s="73"/>
      <c r="AI37" s="73"/>
      <c r="AJ37" s="72"/>
      <c r="AK37" s="200">
        <v>101</v>
      </c>
      <c r="AL37" s="73"/>
      <c r="AM37" s="197">
        <v>28</v>
      </c>
      <c r="AN37" s="197">
        <v>30</v>
      </c>
      <c r="AO37" s="197">
        <v>31</v>
      </c>
      <c r="AP37" s="200">
        <v>115</v>
      </c>
      <c r="AQ37" s="199">
        <v>24</v>
      </c>
      <c r="AR37" s="199">
        <v>18</v>
      </c>
      <c r="AS37" s="199">
        <v>18</v>
      </c>
      <c r="AT37" s="199">
        <v>19</v>
      </c>
      <c r="AU37" s="200">
        <v>79</v>
      </c>
      <c r="AV37" s="199">
        <v>22</v>
      </c>
      <c r="AW37" s="199">
        <v>13</v>
      </c>
      <c r="AX37" s="199">
        <v>15</v>
      </c>
      <c r="AY37" s="199">
        <v>27</v>
      </c>
      <c r="AZ37" s="200">
        <v>77</v>
      </c>
    </row>
    <row r="38" spans="1:52" ht="8.25" customHeight="1">
      <c r="A38" s="71"/>
      <c r="B38" s="24"/>
      <c r="C38" s="73"/>
      <c r="D38" s="73"/>
      <c r="E38" s="73"/>
      <c r="F38" s="73"/>
      <c r="G38" s="24"/>
      <c r="H38" s="73"/>
      <c r="I38" s="73"/>
      <c r="J38" s="73"/>
      <c r="K38" s="72"/>
      <c r="L38" s="24"/>
      <c r="M38" s="73"/>
      <c r="N38" s="73"/>
      <c r="O38" s="73"/>
      <c r="P38" s="72"/>
      <c r="Q38" s="24"/>
      <c r="R38" s="73"/>
      <c r="S38" s="73"/>
      <c r="T38" s="73"/>
      <c r="U38" s="72"/>
      <c r="V38" s="24"/>
      <c r="W38" s="73"/>
      <c r="X38" s="73"/>
      <c r="Y38" s="73"/>
      <c r="Z38" s="72"/>
      <c r="AA38" s="24"/>
      <c r="AB38" s="73"/>
      <c r="AC38" s="73"/>
      <c r="AD38" s="73"/>
      <c r="AE38" s="72"/>
      <c r="AF38" s="24"/>
      <c r="AG38" s="73"/>
      <c r="AH38" s="73"/>
      <c r="AI38" s="73"/>
      <c r="AJ38" s="72"/>
      <c r="AK38" s="24"/>
      <c r="AL38" s="73"/>
      <c r="AM38" s="73"/>
      <c r="AN38" s="73"/>
      <c r="AO38" s="72"/>
      <c r="AP38" s="24"/>
      <c r="AQ38" s="73"/>
      <c r="AR38" s="73"/>
      <c r="AS38" s="73"/>
      <c r="AT38" s="72"/>
      <c r="AU38" s="24"/>
      <c r="AV38" s="73"/>
      <c r="AW38" s="73"/>
      <c r="AX38" s="73"/>
      <c r="AY38" s="72"/>
      <c r="AZ38" s="24"/>
    </row>
    <row r="39" spans="1:52" ht="15.6">
      <c r="A39" s="69" t="s">
        <v>155</v>
      </c>
      <c r="B39" s="150" t="s">
        <v>154</v>
      </c>
      <c r="C39" s="83" t="s">
        <v>154</v>
      </c>
      <c r="D39" s="83" t="s">
        <v>154</v>
      </c>
      <c r="E39" s="83" t="s">
        <v>154</v>
      </c>
      <c r="F39" s="83" t="s">
        <v>154</v>
      </c>
      <c r="G39" s="150" t="s">
        <v>154</v>
      </c>
      <c r="H39" s="83" t="s">
        <v>154</v>
      </c>
      <c r="I39" s="83" t="s">
        <v>154</v>
      </c>
      <c r="J39" s="83" t="s">
        <v>154</v>
      </c>
      <c r="K39" s="83" t="s">
        <v>154</v>
      </c>
      <c r="L39" s="150" t="s">
        <v>154</v>
      </c>
      <c r="M39" s="83" t="s">
        <v>154</v>
      </c>
      <c r="N39" s="83" t="s">
        <v>154</v>
      </c>
      <c r="O39" s="83" t="s">
        <v>154</v>
      </c>
      <c r="P39" s="83" t="s">
        <v>154</v>
      </c>
      <c r="Q39" s="150" t="s">
        <v>154</v>
      </c>
      <c r="R39" s="83" t="s">
        <v>154</v>
      </c>
      <c r="S39" s="83" t="s">
        <v>154</v>
      </c>
      <c r="T39" s="83" t="s">
        <v>154</v>
      </c>
      <c r="U39" s="83" t="s">
        <v>154</v>
      </c>
      <c r="V39" s="150" t="s">
        <v>154</v>
      </c>
      <c r="W39" s="83" t="s">
        <v>154</v>
      </c>
      <c r="X39" s="83" t="s">
        <v>154</v>
      </c>
      <c r="Y39" s="83" t="s">
        <v>154</v>
      </c>
      <c r="Z39" s="83" t="s">
        <v>154</v>
      </c>
      <c r="AA39" s="150" t="s">
        <v>154</v>
      </c>
      <c r="AB39" s="149" t="s">
        <v>154</v>
      </c>
      <c r="AC39" s="149" t="s">
        <v>154</v>
      </c>
      <c r="AD39" s="149" t="s">
        <v>154</v>
      </c>
      <c r="AE39" s="149" t="s">
        <v>154</v>
      </c>
      <c r="AF39" s="150" t="s">
        <v>154</v>
      </c>
      <c r="AG39" s="149" t="s">
        <v>154</v>
      </c>
      <c r="AH39" s="149" t="s">
        <v>154</v>
      </c>
      <c r="AI39" s="149" t="s">
        <v>154</v>
      </c>
      <c r="AJ39" s="149" t="s">
        <v>154</v>
      </c>
      <c r="AK39" s="150" t="s">
        <v>154</v>
      </c>
      <c r="AL39" s="70">
        <v>11</v>
      </c>
      <c r="AM39" s="70">
        <v>78</v>
      </c>
      <c r="AN39" s="70">
        <v>177</v>
      </c>
      <c r="AO39" s="70">
        <v>244</v>
      </c>
      <c r="AP39" s="37">
        <v>244</v>
      </c>
      <c r="AQ39" s="70">
        <v>290</v>
      </c>
      <c r="AR39" s="70">
        <v>323</v>
      </c>
      <c r="AS39" s="70">
        <v>347</v>
      </c>
      <c r="AT39" s="70">
        <v>377</v>
      </c>
      <c r="AU39" s="37">
        <v>377</v>
      </c>
      <c r="AV39" s="70">
        <v>414</v>
      </c>
      <c r="AW39" s="70">
        <v>444</v>
      </c>
      <c r="AX39" s="70">
        <v>484</v>
      </c>
      <c r="AY39" s="70">
        <v>532</v>
      </c>
      <c r="AZ39" s="37">
        <v>532</v>
      </c>
    </row>
    <row r="40" spans="1:52">
      <c r="A40" s="71" t="s">
        <v>7</v>
      </c>
      <c r="B40" s="24"/>
      <c r="C40" s="73"/>
      <c r="D40" s="73"/>
      <c r="E40" s="73"/>
      <c r="F40" s="73"/>
      <c r="G40" s="24"/>
      <c r="H40" s="73"/>
      <c r="I40" s="73"/>
      <c r="J40" s="73"/>
      <c r="K40" s="72"/>
      <c r="L40" s="24"/>
      <c r="M40" s="73"/>
      <c r="N40" s="73"/>
      <c r="O40" s="73"/>
      <c r="P40" s="72"/>
      <c r="Q40" s="24"/>
      <c r="R40" s="73"/>
      <c r="S40" s="73"/>
      <c r="T40" s="73"/>
      <c r="U40" s="72"/>
      <c r="V40" s="24"/>
      <c r="W40" s="73"/>
      <c r="X40" s="73"/>
      <c r="Y40" s="73"/>
      <c r="Z40" s="72"/>
      <c r="AA40" s="24"/>
      <c r="AB40" s="73"/>
      <c r="AC40" s="73"/>
      <c r="AD40" s="73"/>
      <c r="AE40" s="72"/>
      <c r="AF40" s="24"/>
      <c r="AG40" s="73"/>
      <c r="AH40" s="73"/>
      <c r="AI40" s="73"/>
      <c r="AJ40" s="72"/>
      <c r="AK40" s="24"/>
      <c r="AL40" s="73"/>
      <c r="AM40" s="72">
        <v>6.0909090909090908</v>
      </c>
      <c r="AN40" s="72">
        <v>1.2692307692307692</v>
      </c>
      <c r="AO40" s="72">
        <v>0.37853107344632764</v>
      </c>
      <c r="AP40" s="24"/>
      <c r="AQ40" s="72">
        <v>0.18852459016393452</v>
      </c>
      <c r="AR40" s="72">
        <v>0.11379310344827576</v>
      </c>
      <c r="AS40" s="72">
        <v>7.4303405572755388E-2</v>
      </c>
      <c r="AT40" s="72">
        <v>8.6455331412103709E-2</v>
      </c>
      <c r="AU40" s="24"/>
      <c r="AV40" s="72">
        <v>9.8143236074270668E-2</v>
      </c>
      <c r="AW40" s="72">
        <v>7.2463768115942129E-2</v>
      </c>
      <c r="AX40" s="72">
        <v>9.0090090090090058E-2</v>
      </c>
      <c r="AY40" s="72">
        <v>9.9173553719008156E-2</v>
      </c>
      <c r="AZ40" s="24"/>
    </row>
    <row r="41" spans="1:52">
      <c r="A41" s="71" t="s">
        <v>8</v>
      </c>
      <c r="B41" s="24"/>
      <c r="C41" s="73"/>
      <c r="D41" s="73"/>
      <c r="E41" s="73"/>
      <c r="F41" s="73"/>
      <c r="G41" s="24"/>
      <c r="H41" s="73"/>
      <c r="I41" s="73"/>
      <c r="J41" s="73"/>
      <c r="K41" s="72"/>
      <c r="L41" s="24"/>
      <c r="M41" s="73"/>
      <c r="N41" s="73"/>
      <c r="O41" s="73"/>
      <c r="P41" s="72"/>
      <c r="Q41" s="24"/>
      <c r="R41" s="73"/>
      <c r="S41" s="73"/>
      <c r="T41" s="73"/>
      <c r="U41" s="72"/>
      <c r="V41" s="24"/>
      <c r="W41" s="73"/>
      <c r="X41" s="73"/>
      <c r="Y41" s="73"/>
      <c r="Z41" s="72"/>
      <c r="AA41" s="24"/>
      <c r="AB41" s="73"/>
      <c r="AC41" s="73"/>
      <c r="AD41" s="73"/>
      <c r="AE41" s="72"/>
      <c r="AF41" s="24"/>
      <c r="AG41" s="73"/>
      <c r="AH41" s="73"/>
      <c r="AI41" s="73"/>
      <c r="AJ41" s="72"/>
      <c r="AK41" s="24"/>
      <c r="AL41" s="73"/>
      <c r="AM41" s="73"/>
      <c r="AN41" s="73"/>
      <c r="AO41" s="72"/>
      <c r="AP41" s="24"/>
      <c r="AQ41" s="73">
        <v>25.363636363636363</v>
      </c>
      <c r="AR41" s="73">
        <v>3.1410256410256414</v>
      </c>
      <c r="AS41" s="73">
        <v>0.96045197740112997</v>
      </c>
      <c r="AT41" s="72"/>
      <c r="AU41" s="24">
        <v>0.54508196721311486</v>
      </c>
      <c r="AV41" s="73">
        <v>0.42758620689655169</v>
      </c>
      <c r="AW41" s="73">
        <v>0.37461300309597534</v>
      </c>
      <c r="AX41" s="73">
        <v>0.39481268011527382</v>
      </c>
      <c r="AY41" s="72">
        <v>0.41114058355437666</v>
      </c>
      <c r="AZ41" s="24">
        <v>0.41114058355437666</v>
      </c>
    </row>
    <row r="42" spans="1:52">
      <c r="A42" s="71" t="s">
        <v>225</v>
      </c>
      <c r="B42" s="24"/>
      <c r="C42" s="73"/>
      <c r="D42" s="73"/>
      <c r="E42" s="73"/>
      <c r="F42" s="73"/>
      <c r="G42" s="24"/>
      <c r="H42" s="73"/>
      <c r="I42" s="73"/>
      <c r="J42" s="73"/>
      <c r="K42" s="72"/>
      <c r="L42" s="24"/>
      <c r="M42" s="73"/>
      <c r="N42" s="73"/>
      <c r="O42" s="73"/>
      <c r="P42" s="72"/>
      <c r="Q42" s="24"/>
      <c r="R42" s="73"/>
      <c r="S42" s="73"/>
      <c r="T42" s="73"/>
      <c r="U42" s="72"/>
      <c r="V42" s="24"/>
      <c r="W42" s="73"/>
      <c r="X42" s="73"/>
      <c r="Y42" s="73"/>
      <c r="Z42" s="72"/>
      <c r="AA42" s="24"/>
      <c r="AB42" s="73"/>
      <c r="AC42" s="73"/>
      <c r="AD42" s="73"/>
      <c r="AE42" s="72"/>
      <c r="AF42" s="24"/>
      <c r="AG42" s="73"/>
      <c r="AH42" s="73"/>
      <c r="AI42" s="73"/>
      <c r="AJ42" s="72"/>
      <c r="AK42" s="24"/>
      <c r="AL42" s="73"/>
      <c r="AM42" s="197">
        <v>67</v>
      </c>
      <c r="AN42" s="197">
        <v>99</v>
      </c>
      <c r="AO42" s="197">
        <v>67</v>
      </c>
      <c r="AP42" s="198"/>
      <c r="AQ42" s="199">
        <v>46</v>
      </c>
      <c r="AR42" s="199">
        <v>33</v>
      </c>
      <c r="AS42" s="199">
        <v>24</v>
      </c>
      <c r="AT42" s="199">
        <v>30</v>
      </c>
      <c r="AU42" s="200">
        <v>133</v>
      </c>
      <c r="AV42" s="199">
        <v>37</v>
      </c>
      <c r="AW42" s="199">
        <v>30</v>
      </c>
      <c r="AX42" s="199">
        <v>40</v>
      </c>
      <c r="AY42" s="199">
        <v>48</v>
      </c>
      <c r="AZ42" s="200">
        <v>155</v>
      </c>
    </row>
    <row r="43" spans="1:52">
      <c r="A43" s="71" t="s">
        <v>228</v>
      </c>
      <c r="B43" s="24"/>
      <c r="C43" s="73"/>
      <c r="D43" s="73"/>
      <c r="E43" s="73"/>
      <c r="F43" s="73"/>
      <c r="G43" s="24"/>
      <c r="H43" s="73"/>
      <c r="I43" s="73"/>
      <c r="J43" s="73"/>
      <c r="K43" s="72"/>
      <c r="L43" s="24"/>
      <c r="M43" s="73"/>
      <c r="N43" s="73"/>
      <c r="O43" s="73"/>
      <c r="P43" s="72"/>
      <c r="Q43" s="24"/>
      <c r="R43" s="73"/>
      <c r="S43" s="73"/>
      <c r="T43" s="73"/>
      <c r="U43" s="72"/>
      <c r="V43" s="24"/>
      <c r="W43" s="73"/>
      <c r="X43" s="73"/>
      <c r="Y43" s="73"/>
      <c r="Z43" s="72"/>
      <c r="AA43" s="24"/>
      <c r="AB43" s="73"/>
      <c r="AC43" s="73"/>
      <c r="AD43" s="73"/>
      <c r="AE43" s="72"/>
      <c r="AF43" s="24"/>
      <c r="AG43" s="73"/>
      <c r="AH43" s="73"/>
      <c r="AI43" s="73"/>
      <c r="AJ43" s="72"/>
      <c r="AK43" s="24"/>
      <c r="AL43" s="201">
        <v>7.9136690647482015E-3</v>
      </c>
      <c r="AM43" s="201">
        <v>5.5007052186177713E-2</v>
      </c>
      <c r="AN43" s="201">
        <v>0.12223756906077347</v>
      </c>
      <c r="AO43" s="201">
        <v>0.1649763353617309</v>
      </c>
      <c r="AP43" s="202">
        <v>0.1649763353617309</v>
      </c>
      <c r="AQ43" s="201">
        <v>0.19294743845642048</v>
      </c>
      <c r="AR43" s="201">
        <v>0.2123602892833662</v>
      </c>
      <c r="AS43" s="201">
        <v>0.22547108512020791</v>
      </c>
      <c r="AT43" s="201">
        <v>0.24197689345314505</v>
      </c>
      <c r="AU43" s="202">
        <v>0.24197689345314505</v>
      </c>
      <c r="AV43" s="201">
        <v>0.26202531645569621</v>
      </c>
      <c r="AW43" s="201">
        <v>0.27871939736346518</v>
      </c>
      <c r="AX43" s="201">
        <v>0.30099502487562191</v>
      </c>
      <c r="AY43" s="201">
        <v>0.3253822629969419</v>
      </c>
      <c r="AZ43" s="202">
        <v>0.3253822629969419</v>
      </c>
    </row>
    <row r="44" spans="1:52" ht="6" customHeight="1">
      <c r="A44" s="71"/>
      <c r="B44" s="24"/>
      <c r="C44" s="73"/>
      <c r="D44" s="73"/>
      <c r="E44" s="73"/>
      <c r="F44" s="73"/>
      <c r="G44" s="24"/>
      <c r="H44" s="73"/>
      <c r="I44" s="73"/>
      <c r="J44" s="73"/>
      <c r="K44" s="72"/>
      <c r="L44" s="24"/>
      <c r="M44" s="73"/>
      <c r="N44" s="73"/>
      <c r="O44" s="73"/>
      <c r="P44" s="72"/>
      <c r="Q44" s="24"/>
      <c r="R44" s="73"/>
      <c r="S44" s="73"/>
      <c r="T44" s="73"/>
      <c r="U44" s="72"/>
      <c r="V44" s="24"/>
      <c r="W44" s="73"/>
      <c r="X44" s="73"/>
      <c r="Y44" s="73"/>
      <c r="Z44" s="72"/>
      <c r="AA44" s="24"/>
      <c r="AB44" s="73"/>
      <c r="AC44" s="73"/>
      <c r="AD44" s="73"/>
      <c r="AE44" s="72"/>
      <c r="AF44" s="24"/>
      <c r="AG44" s="73"/>
      <c r="AH44" s="73"/>
      <c r="AI44" s="73"/>
      <c r="AJ44" s="72"/>
      <c r="AK44" s="24"/>
      <c r="AL44" s="73"/>
      <c r="AM44" s="73"/>
      <c r="AN44" s="73"/>
      <c r="AO44" s="72"/>
      <c r="AP44" s="24"/>
      <c r="AQ44" s="73"/>
      <c r="AR44" s="73"/>
      <c r="AS44" s="73"/>
      <c r="AT44" s="72"/>
      <c r="AU44" s="24"/>
      <c r="AV44" s="73"/>
      <c r="AW44" s="73"/>
      <c r="AX44" s="73"/>
      <c r="AY44" s="72"/>
      <c r="AZ44" s="24"/>
    </row>
    <row r="45" spans="1:52">
      <c r="A45" s="69" t="s">
        <v>218</v>
      </c>
      <c r="B45" s="38">
        <v>963</v>
      </c>
      <c r="C45" s="69">
        <v>970</v>
      </c>
      <c r="D45" s="69">
        <v>982</v>
      </c>
      <c r="E45" s="69">
        <v>994</v>
      </c>
      <c r="F45" s="70">
        <v>1005</v>
      </c>
      <c r="G45" s="38">
        <v>1005</v>
      </c>
      <c r="H45" s="70">
        <v>1011</v>
      </c>
      <c r="I45" s="70">
        <v>1016</v>
      </c>
      <c r="J45" s="70">
        <v>1026</v>
      </c>
      <c r="K45" s="70">
        <v>1035</v>
      </c>
      <c r="L45" s="37">
        <v>1035</v>
      </c>
      <c r="M45" s="70">
        <v>1045</v>
      </c>
      <c r="N45" s="70">
        <v>1051</v>
      </c>
      <c r="O45" s="70">
        <v>1056</v>
      </c>
      <c r="P45" s="70">
        <v>1066</v>
      </c>
      <c r="Q45" s="37">
        <v>1066</v>
      </c>
      <c r="R45" s="70">
        <v>1079</v>
      </c>
      <c r="S45" s="70">
        <v>1088</v>
      </c>
      <c r="T45" s="70">
        <v>1100</v>
      </c>
      <c r="U45" s="70">
        <v>1111</v>
      </c>
      <c r="V45" s="37">
        <v>1111</v>
      </c>
      <c r="W45" s="70">
        <v>1121</v>
      </c>
      <c r="X45" s="70">
        <v>1136</v>
      </c>
      <c r="Y45" s="70">
        <v>1153</v>
      </c>
      <c r="Z45" s="70">
        <v>1169</v>
      </c>
      <c r="AA45" s="37">
        <v>1169</v>
      </c>
      <c r="AB45" s="70">
        <v>1185</v>
      </c>
      <c r="AC45" s="70">
        <v>1202</v>
      </c>
      <c r="AD45" s="70">
        <v>1230</v>
      </c>
      <c r="AE45" s="70">
        <v>1263</v>
      </c>
      <c r="AF45" s="37">
        <v>1263</v>
      </c>
      <c r="AG45" s="70">
        <v>1289</v>
      </c>
      <c r="AH45" s="70">
        <v>1308</v>
      </c>
      <c r="AI45" s="70">
        <v>1335</v>
      </c>
      <c r="AJ45" s="70">
        <v>1364</v>
      </c>
      <c r="AK45" s="37">
        <v>1364</v>
      </c>
      <c r="AL45" s="70">
        <v>1379</v>
      </c>
      <c r="AM45" s="70">
        <v>1340</v>
      </c>
      <c r="AN45" s="70">
        <v>1271</v>
      </c>
      <c r="AO45" s="70">
        <v>1235</v>
      </c>
      <c r="AP45" s="37">
        <v>1235</v>
      </c>
      <c r="AQ45" s="70">
        <v>1213</v>
      </c>
      <c r="AR45" s="70">
        <v>1198</v>
      </c>
      <c r="AS45" s="70">
        <v>1192</v>
      </c>
      <c r="AT45" s="70">
        <v>1181</v>
      </c>
      <c r="AU45" s="37">
        <v>1181</v>
      </c>
      <c r="AV45" s="70">
        <v>1166</v>
      </c>
      <c r="AW45" s="70">
        <v>1149</v>
      </c>
      <c r="AX45" s="70">
        <v>1124</v>
      </c>
      <c r="AY45" s="70">
        <v>1103</v>
      </c>
      <c r="AZ45" s="37">
        <v>1103</v>
      </c>
    </row>
    <row r="46" spans="1:52">
      <c r="A46" s="71" t="s">
        <v>7</v>
      </c>
      <c r="B46" s="24"/>
      <c r="C46" s="72"/>
      <c r="D46" s="72">
        <v>1.2371134020618513E-2</v>
      </c>
      <c r="E46" s="72">
        <v>1.2219959266802416E-2</v>
      </c>
      <c r="F46" s="72">
        <v>1.1066398390342069E-2</v>
      </c>
      <c r="G46" s="24"/>
      <c r="H46" s="72">
        <v>5.9701492537314049E-3</v>
      </c>
      <c r="I46" s="72">
        <v>4.9455984174084922E-3</v>
      </c>
      <c r="J46" s="72">
        <v>9.8425196850393526E-3</v>
      </c>
      <c r="K46" s="72">
        <v>8.7719298245614308E-3</v>
      </c>
      <c r="L46" s="24"/>
      <c r="M46" s="72">
        <v>9.6618357487923134E-3</v>
      </c>
      <c r="N46" s="72">
        <v>5.7416267942582699E-3</v>
      </c>
      <c r="O46" s="72">
        <v>4.7573739295909689E-3</v>
      </c>
      <c r="P46" s="72">
        <v>9.4696969696970168E-3</v>
      </c>
      <c r="Q46" s="24"/>
      <c r="R46" s="72">
        <v>1.2195121951219523E-2</v>
      </c>
      <c r="S46" s="72">
        <v>8.3410565338275511E-3</v>
      </c>
      <c r="T46" s="72">
        <v>1.1029411764705843E-2</v>
      </c>
      <c r="U46" s="72">
        <v>1.0000000000000009E-2</v>
      </c>
      <c r="V46" s="24"/>
      <c r="W46" s="72">
        <v>9.0009000900090896E-3</v>
      </c>
      <c r="X46" s="72">
        <v>1.338090990187335E-2</v>
      </c>
      <c r="Y46" s="72">
        <v>1.4964788732394263E-2</v>
      </c>
      <c r="Z46" s="72">
        <v>1.3876843018213458E-2</v>
      </c>
      <c r="AA46" s="24"/>
      <c r="AB46" s="72">
        <v>1.3686911890504749E-2</v>
      </c>
      <c r="AC46" s="72">
        <v>1.4345991561181437E-2</v>
      </c>
      <c r="AD46" s="72">
        <v>2.3294509151414289E-2</v>
      </c>
      <c r="AE46" s="72">
        <v>2.6829268292682951E-2</v>
      </c>
      <c r="AF46" s="24"/>
      <c r="AG46" s="72">
        <v>2.0585906571654711E-2</v>
      </c>
      <c r="AH46" s="72">
        <v>1.4740108611326574E-2</v>
      </c>
      <c r="AI46" s="72">
        <v>2.0642201834862428E-2</v>
      </c>
      <c r="AJ46" s="72">
        <v>2.1722846441947663E-2</v>
      </c>
      <c r="AK46" s="24"/>
      <c r="AL46" s="72">
        <v>1.0997067448680342E-2</v>
      </c>
      <c r="AM46" s="72">
        <v>-2.8281363306744023E-2</v>
      </c>
      <c r="AN46" s="72">
        <v>-5.149253731343284E-2</v>
      </c>
      <c r="AO46" s="72">
        <v>-2.8324154209284025E-2</v>
      </c>
      <c r="AP46" s="24"/>
      <c r="AQ46" s="72">
        <v>-1.7813765182186247E-2</v>
      </c>
      <c r="AR46" s="72">
        <v>-1.2366034624896938E-2</v>
      </c>
      <c r="AS46" s="72">
        <v>-5.008347245408995E-3</v>
      </c>
      <c r="AT46" s="72">
        <v>-9.2281879194631156E-3</v>
      </c>
      <c r="AU46" s="24"/>
      <c r="AV46" s="72">
        <v>-1.2701100762066098E-2</v>
      </c>
      <c r="AW46" s="72">
        <v>-1.4579759862778707E-2</v>
      </c>
      <c r="AX46" s="72">
        <v>-2.1758050478677071E-2</v>
      </c>
      <c r="AY46" s="72">
        <v>-1.8683274021352281E-2</v>
      </c>
      <c r="AZ46" s="24"/>
    </row>
    <row r="47" spans="1:52">
      <c r="A47" s="71" t="s">
        <v>8</v>
      </c>
      <c r="B47" s="24"/>
      <c r="C47" s="73"/>
      <c r="D47" s="73"/>
      <c r="E47" s="73"/>
      <c r="F47" s="73"/>
      <c r="G47" s="24">
        <v>4.3613707165109039E-2</v>
      </c>
      <c r="H47" s="73">
        <v>4.2268041237113474E-2</v>
      </c>
      <c r="I47" s="73">
        <v>3.4623217922606919E-2</v>
      </c>
      <c r="J47" s="73">
        <v>3.2193158953722323E-2</v>
      </c>
      <c r="K47" s="72">
        <v>2.9850746268656803E-2</v>
      </c>
      <c r="L47" s="24">
        <v>2.9850746268656803E-2</v>
      </c>
      <c r="M47" s="73">
        <v>3.3630069238377747E-2</v>
      </c>
      <c r="N47" s="73">
        <v>3.4448818897637734E-2</v>
      </c>
      <c r="O47" s="73">
        <v>2.9239766081871288E-2</v>
      </c>
      <c r="P47" s="72">
        <v>2.9951690821256038E-2</v>
      </c>
      <c r="Q47" s="24">
        <v>2.9951690821256038E-2</v>
      </c>
      <c r="R47" s="73">
        <v>3.2535885167464196E-2</v>
      </c>
      <c r="S47" s="73">
        <v>3.520456707897246E-2</v>
      </c>
      <c r="T47" s="73">
        <v>4.1666666666666741E-2</v>
      </c>
      <c r="U47" s="72">
        <v>4.2213883677298281E-2</v>
      </c>
      <c r="V47" s="24">
        <v>4.2213883677298281E-2</v>
      </c>
      <c r="W47" s="73">
        <v>3.8924930491195608E-2</v>
      </c>
      <c r="X47" s="73">
        <v>4.4117647058823595E-2</v>
      </c>
      <c r="Y47" s="73">
        <v>4.8181818181818103E-2</v>
      </c>
      <c r="Z47" s="72">
        <v>5.2205220522052231E-2</v>
      </c>
      <c r="AA47" s="24">
        <v>5.2205220522052231E-2</v>
      </c>
      <c r="AB47" s="73">
        <v>5.7091882247992887E-2</v>
      </c>
      <c r="AC47" s="73">
        <v>5.8098591549295753E-2</v>
      </c>
      <c r="AD47" s="73">
        <v>6.6782307025151866E-2</v>
      </c>
      <c r="AE47" s="72">
        <v>8.0410607356715236E-2</v>
      </c>
      <c r="AF47" s="24">
        <v>8.0410607356715236E-2</v>
      </c>
      <c r="AG47" s="73">
        <v>8.7763713080168726E-2</v>
      </c>
      <c r="AH47" s="73">
        <v>8.8186356073211236E-2</v>
      </c>
      <c r="AI47" s="73">
        <v>8.5365853658536661E-2</v>
      </c>
      <c r="AJ47" s="72">
        <v>7.9968329374505043E-2</v>
      </c>
      <c r="AK47" s="24">
        <v>7.9968329374505043E-2</v>
      </c>
      <c r="AL47" s="73">
        <v>6.9821567106283844E-2</v>
      </c>
      <c r="AM47" s="73">
        <v>2.4464831804281273E-2</v>
      </c>
      <c r="AN47" s="73">
        <v>-4.7940074906367092E-2</v>
      </c>
      <c r="AO47" s="72">
        <v>-9.4574780058651053E-2</v>
      </c>
      <c r="AP47" s="24">
        <v>-9.4574780058651053E-2</v>
      </c>
      <c r="AQ47" s="73">
        <v>-0.12037708484408993</v>
      </c>
      <c r="AR47" s="73">
        <v>-0.10597014925373138</v>
      </c>
      <c r="AS47" s="73">
        <v>-6.2155782848151042E-2</v>
      </c>
      <c r="AT47" s="72">
        <v>-4.3724696356275294E-2</v>
      </c>
      <c r="AU47" s="24">
        <v>-4.3724696356275294E-2</v>
      </c>
      <c r="AV47" s="73">
        <v>-3.8746908491343768E-2</v>
      </c>
      <c r="AW47" s="73">
        <v>-4.090150250417357E-2</v>
      </c>
      <c r="AX47" s="73">
        <v>-5.7046979865771785E-2</v>
      </c>
      <c r="AY47" s="72">
        <v>-6.6045723962743441E-2</v>
      </c>
      <c r="AZ47" s="24">
        <v>-6.6045723962743441E-2</v>
      </c>
    </row>
    <row r="48" spans="1:52">
      <c r="A48" s="71" t="s">
        <v>225</v>
      </c>
      <c r="B48" s="24"/>
      <c r="C48" s="73"/>
      <c r="D48" s="73"/>
      <c r="E48" s="73"/>
      <c r="F48" s="73"/>
      <c r="G48" s="200">
        <v>42</v>
      </c>
      <c r="H48" s="73"/>
      <c r="I48" s="73"/>
      <c r="J48" s="73"/>
      <c r="K48" s="72"/>
      <c r="L48" s="200">
        <v>30</v>
      </c>
      <c r="M48" s="73"/>
      <c r="N48" s="73"/>
      <c r="O48" s="73"/>
      <c r="P48" s="72"/>
      <c r="Q48" s="200">
        <v>31</v>
      </c>
      <c r="R48" s="73"/>
      <c r="S48" s="73"/>
      <c r="T48" s="73"/>
      <c r="U48" s="72"/>
      <c r="V48" s="200">
        <v>45</v>
      </c>
      <c r="W48" s="73"/>
      <c r="X48" s="73"/>
      <c r="Y48" s="73"/>
      <c r="Z48" s="72"/>
      <c r="AA48" s="200">
        <v>58</v>
      </c>
      <c r="AB48" s="73"/>
      <c r="AC48" s="73"/>
      <c r="AD48" s="73"/>
      <c r="AE48" s="72"/>
      <c r="AF48" s="200">
        <v>94</v>
      </c>
      <c r="AG48" s="73"/>
      <c r="AH48" s="73"/>
      <c r="AI48" s="73"/>
      <c r="AJ48" s="72"/>
      <c r="AK48" s="200">
        <v>101</v>
      </c>
      <c r="AL48" s="73"/>
      <c r="AM48" s="197">
        <v>-39</v>
      </c>
      <c r="AN48" s="197">
        <v>-69</v>
      </c>
      <c r="AO48" s="197">
        <v>-36</v>
      </c>
      <c r="AP48" s="200">
        <v>-129</v>
      </c>
      <c r="AQ48" s="199">
        <v>-22</v>
      </c>
      <c r="AR48" s="199">
        <v>-15</v>
      </c>
      <c r="AS48" s="199">
        <v>-6</v>
      </c>
      <c r="AT48" s="199">
        <v>-11</v>
      </c>
      <c r="AU48" s="200">
        <v>-54</v>
      </c>
      <c r="AV48" s="199">
        <v>-15</v>
      </c>
      <c r="AW48" s="199">
        <v>-17</v>
      </c>
      <c r="AX48" s="199">
        <v>-25</v>
      </c>
      <c r="AY48" s="199">
        <v>-21</v>
      </c>
      <c r="AZ48" s="200">
        <v>-78</v>
      </c>
    </row>
    <row r="49" spans="1:202" ht="8.25" customHeight="1">
      <c r="A49" s="71"/>
      <c r="B49" s="24"/>
      <c r="C49" s="73"/>
      <c r="D49" s="73"/>
      <c r="E49" s="73"/>
      <c r="F49" s="73"/>
      <c r="G49" s="24"/>
      <c r="H49" s="73"/>
      <c r="I49" s="73"/>
      <c r="J49" s="73"/>
      <c r="K49" s="72"/>
      <c r="L49" s="24"/>
      <c r="M49" s="73"/>
      <c r="N49" s="73"/>
      <c r="O49" s="73"/>
      <c r="P49" s="72"/>
      <c r="Q49" s="24"/>
      <c r="R49" s="73"/>
      <c r="S49" s="73"/>
      <c r="T49" s="73"/>
      <c r="U49" s="72"/>
      <c r="V49" s="24"/>
      <c r="W49" s="73"/>
      <c r="X49" s="73"/>
      <c r="Y49" s="73"/>
      <c r="Z49" s="72"/>
      <c r="AA49" s="24"/>
      <c r="AB49" s="73"/>
      <c r="AC49" s="73"/>
      <c r="AD49" s="73"/>
      <c r="AE49" s="72"/>
      <c r="AF49" s="24"/>
      <c r="AG49" s="73"/>
      <c r="AH49" s="73"/>
      <c r="AI49" s="73"/>
      <c r="AJ49" s="72"/>
      <c r="AK49" s="24"/>
      <c r="AL49" s="73"/>
      <c r="AM49" s="73"/>
      <c r="AN49" s="73"/>
      <c r="AO49" s="72"/>
      <c r="AP49" s="24"/>
      <c r="AQ49" s="73"/>
      <c r="AR49" s="73"/>
      <c r="AS49" s="73"/>
      <c r="AT49" s="72"/>
      <c r="AU49" s="24"/>
      <c r="AV49" s="73"/>
      <c r="AW49" s="73"/>
      <c r="AX49" s="73"/>
      <c r="AY49" s="72"/>
      <c r="AZ49" s="24"/>
    </row>
    <row r="50" spans="1:202" s="2" customFormat="1">
      <c r="A50" s="69" t="s">
        <v>159</v>
      </c>
      <c r="B50" s="63">
        <v>64</v>
      </c>
      <c r="C50" s="76">
        <v>68</v>
      </c>
      <c r="D50" s="76">
        <v>66</v>
      </c>
      <c r="E50" s="76">
        <v>67</v>
      </c>
      <c r="F50" s="76">
        <v>66</v>
      </c>
      <c r="G50" s="63">
        <v>67</v>
      </c>
      <c r="H50" s="76">
        <v>67</v>
      </c>
      <c r="I50" s="76">
        <v>67</v>
      </c>
      <c r="J50" s="76">
        <v>70</v>
      </c>
      <c r="K50" s="70">
        <v>70</v>
      </c>
      <c r="L50" s="28">
        <v>69</v>
      </c>
      <c r="M50" s="76">
        <v>73</v>
      </c>
      <c r="N50" s="76">
        <v>72</v>
      </c>
      <c r="O50" s="76">
        <v>76</v>
      </c>
      <c r="P50" s="70">
        <v>78</v>
      </c>
      <c r="Q50" s="28">
        <v>75</v>
      </c>
      <c r="R50" s="76">
        <v>79</v>
      </c>
      <c r="S50" s="76">
        <v>80</v>
      </c>
      <c r="T50" s="76">
        <v>81</v>
      </c>
      <c r="U50" s="70">
        <v>81</v>
      </c>
      <c r="V50" s="28">
        <v>80</v>
      </c>
      <c r="W50" s="76">
        <v>84</v>
      </c>
      <c r="X50" s="76">
        <v>80</v>
      </c>
      <c r="Y50" s="76">
        <v>80</v>
      </c>
      <c r="Z50" s="70">
        <v>80</v>
      </c>
      <c r="AA50" s="28">
        <v>81</v>
      </c>
      <c r="AB50" s="76">
        <v>83</v>
      </c>
      <c r="AC50" s="76">
        <v>85</v>
      </c>
      <c r="AD50" s="76">
        <v>86</v>
      </c>
      <c r="AE50" s="70">
        <v>82</v>
      </c>
      <c r="AF50" s="28">
        <v>84</v>
      </c>
      <c r="AG50" s="76">
        <v>82</v>
      </c>
      <c r="AH50" s="76">
        <v>84</v>
      </c>
      <c r="AI50" s="76">
        <v>85</v>
      </c>
      <c r="AJ50" s="70">
        <v>85</v>
      </c>
      <c r="AK50" s="28">
        <v>84</v>
      </c>
      <c r="AL50" s="76">
        <v>87</v>
      </c>
      <c r="AM50" s="76">
        <v>88</v>
      </c>
      <c r="AN50" s="76">
        <v>88</v>
      </c>
      <c r="AO50" s="70">
        <v>88</v>
      </c>
      <c r="AP50" s="28">
        <v>88</v>
      </c>
      <c r="AQ50" s="76">
        <v>90</v>
      </c>
      <c r="AR50" s="76">
        <v>90</v>
      </c>
      <c r="AS50" s="76">
        <v>88</v>
      </c>
      <c r="AT50" s="70">
        <v>90</v>
      </c>
      <c r="AU50" s="28">
        <v>89</v>
      </c>
      <c r="AV50" s="76">
        <v>90</v>
      </c>
      <c r="AW50" s="76">
        <v>90</v>
      </c>
      <c r="AX50" s="76">
        <v>90</v>
      </c>
      <c r="AY50" s="70">
        <v>92</v>
      </c>
      <c r="AZ50" s="28">
        <v>90</v>
      </c>
      <c r="BA50" s="3"/>
      <c r="BB50" s="3"/>
      <c r="BC50" s="3"/>
      <c r="BD50" s="3"/>
      <c r="BE50" s="3"/>
      <c r="BF50" s="3"/>
      <c r="BG50" s="3"/>
      <c r="BH50" s="3"/>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1:202">
      <c r="A51" s="71" t="s">
        <v>7</v>
      </c>
      <c r="B51" s="24"/>
      <c r="C51" s="72"/>
      <c r="D51" s="72">
        <v>-2.9411764705882359E-2</v>
      </c>
      <c r="E51" s="72">
        <v>1.5151515151515138E-2</v>
      </c>
      <c r="F51" s="72">
        <v>-1.4925373134328401E-2</v>
      </c>
      <c r="G51" s="24"/>
      <c r="H51" s="72">
        <v>1.5151515151515138E-2</v>
      </c>
      <c r="I51" s="72">
        <v>0</v>
      </c>
      <c r="J51" s="72">
        <v>4.4776119402984982E-2</v>
      </c>
      <c r="K51" s="72">
        <v>0</v>
      </c>
      <c r="L51" s="27"/>
      <c r="M51" s="72">
        <v>4.2857142857142927E-2</v>
      </c>
      <c r="N51" s="72">
        <v>-1.3698630136986356E-2</v>
      </c>
      <c r="O51" s="72">
        <v>5.555555555555558E-2</v>
      </c>
      <c r="P51" s="72">
        <v>2.6315789473684292E-2</v>
      </c>
      <c r="Q51" s="27"/>
      <c r="R51" s="72">
        <v>1.2820512820512775E-2</v>
      </c>
      <c r="S51" s="72">
        <v>1.2658227848101333E-2</v>
      </c>
      <c r="T51" s="72">
        <v>1.2499999999999956E-2</v>
      </c>
      <c r="U51" s="72">
        <v>0</v>
      </c>
      <c r="V51" s="27"/>
      <c r="W51" s="72">
        <v>3.7037037037036979E-2</v>
      </c>
      <c r="X51" s="72">
        <v>-4.7619047619047672E-2</v>
      </c>
      <c r="Y51" s="72">
        <v>0</v>
      </c>
      <c r="Z51" s="72">
        <v>0</v>
      </c>
      <c r="AA51" s="27"/>
      <c r="AB51" s="72">
        <v>3.7500000000000089E-2</v>
      </c>
      <c r="AC51" s="72">
        <v>2.4096385542168752E-2</v>
      </c>
      <c r="AD51" s="72">
        <v>1.1764705882352899E-2</v>
      </c>
      <c r="AE51" s="72">
        <v>-4.6511627906976716E-2</v>
      </c>
      <c r="AF51" s="27"/>
      <c r="AG51" s="72">
        <v>0</v>
      </c>
      <c r="AH51" s="72">
        <v>2.4390243902439046E-2</v>
      </c>
      <c r="AI51" s="72">
        <v>1.1904761904761862E-2</v>
      </c>
      <c r="AJ51" s="72">
        <v>0</v>
      </c>
      <c r="AK51" s="27"/>
      <c r="AL51" s="72">
        <v>2.3529411764705799E-2</v>
      </c>
      <c r="AM51" s="72">
        <v>1.1494252873563315E-2</v>
      </c>
      <c r="AN51" s="72">
        <v>0</v>
      </c>
      <c r="AO51" s="72">
        <v>0</v>
      </c>
      <c r="AP51" s="27"/>
      <c r="AQ51" s="72">
        <v>2.2727272727272707E-2</v>
      </c>
      <c r="AR51" s="72">
        <v>0</v>
      </c>
      <c r="AS51" s="72">
        <v>-2.2222222222222254E-2</v>
      </c>
      <c r="AT51" s="72">
        <v>2.2727272727272707E-2</v>
      </c>
      <c r="AU51" s="27"/>
      <c r="AV51" s="72">
        <v>0</v>
      </c>
      <c r="AW51" s="72">
        <v>0</v>
      </c>
      <c r="AX51" s="72">
        <v>0</v>
      </c>
      <c r="AY51" s="72">
        <v>2.2222222222222143E-2</v>
      </c>
      <c r="AZ51" s="27"/>
    </row>
    <row r="52" spans="1:202">
      <c r="A52" s="71" t="s">
        <v>8</v>
      </c>
      <c r="B52" s="24"/>
      <c r="C52" s="73"/>
      <c r="D52" s="73"/>
      <c r="E52" s="73"/>
      <c r="F52" s="73"/>
      <c r="G52" s="24">
        <v>4.6875E-2</v>
      </c>
      <c r="H52" s="73">
        <v>-1.4705882352941124E-2</v>
      </c>
      <c r="I52" s="73">
        <v>1.5151515151515138E-2</v>
      </c>
      <c r="J52" s="73">
        <v>4.4776119402984982E-2</v>
      </c>
      <c r="K52" s="72">
        <v>6.0606060606060552E-2</v>
      </c>
      <c r="L52" s="24">
        <v>2.9850746268656803E-2</v>
      </c>
      <c r="M52" s="72">
        <v>8.9552238805970186E-2</v>
      </c>
      <c r="N52" s="73">
        <v>7.4626865671641784E-2</v>
      </c>
      <c r="O52" s="73">
        <v>8.5714285714285632E-2</v>
      </c>
      <c r="P52" s="72">
        <v>0.11428571428571432</v>
      </c>
      <c r="Q52" s="24">
        <v>8.6956521739130377E-2</v>
      </c>
      <c r="R52" s="72">
        <v>8.2191780821917915E-2</v>
      </c>
      <c r="S52" s="73">
        <v>0.11111111111111116</v>
      </c>
      <c r="T52" s="73">
        <v>6.578947368421062E-2</v>
      </c>
      <c r="U52" s="72">
        <v>3.8461538461538547E-2</v>
      </c>
      <c r="V52" s="24">
        <v>6.6666666666666652E-2</v>
      </c>
      <c r="W52" s="72">
        <v>6.3291139240506222E-2</v>
      </c>
      <c r="X52" s="73">
        <v>0</v>
      </c>
      <c r="Y52" s="73">
        <v>-1.2345679012345734E-2</v>
      </c>
      <c r="Z52" s="72">
        <v>-1.2345679012345734E-2</v>
      </c>
      <c r="AA52" s="24">
        <v>1.2499999999999956E-2</v>
      </c>
      <c r="AB52" s="72">
        <v>-1.1904761904761862E-2</v>
      </c>
      <c r="AC52" s="73">
        <v>6.25E-2</v>
      </c>
      <c r="AD52" s="73">
        <v>7.4999999999999956E-2</v>
      </c>
      <c r="AE52" s="72">
        <v>2.4999999999999911E-2</v>
      </c>
      <c r="AF52" s="24">
        <v>3.7037037037036979E-2</v>
      </c>
      <c r="AG52" s="72">
        <v>-1.2048192771084376E-2</v>
      </c>
      <c r="AH52" s="73">
        <v>-1.1764705882352899E-2</v>
      </c>
      <c r="AI52" s="73">
        <v>-1.1627906976744207E-2</v>
      </c>
      <c r="AJ52" s="72">
        <v>3.6585365853658569E-2</v>
      </c>
      <c r="AK52" s="24">
        <v>0</v>
      </c>
      <c r="AL52" s="72">
        <v>6.0975609756097615E-2</v>
      </c>
      <c r="AM52" s="73">
        <v>4.7619047619047672E-2</v>
      </c>
      <c r="AN52" s="73">
        <v>3.529411764705892E-2</v>
      </c>
      <c r="AO52" s="72">
        <v>3.529411764705892E-2</v>
      </c>
      <c r="AP52" s="24">
        <v>4.7619047619047672E-2</v>
      </c>
      <c r="AQ52" s="72">
        <v>3.4482758620689724E-2</v>
      </c>
      <c r="AR52" s="73">
        <v>2.2727272727272707E-2</v>
      </c>
      <c r="AS52" s="73">
        <v>0</v>
      </c>
      <c r="AT52" s="72">
        <v>2.2727272727272707E-2</v>
      </c>
      <c r="AU52" s="24">
        <v>1.1363636363636465E-2</v>
      </c>
      <c r="AV52" s="72">
        <v>0</v>
      </c>
      <c r="AW52" s="73">
        <v>0</v>
      </c>
      <c r="AX52" s="73">
        <v>2.2727272727272707E-2</v>
      </c>
      <c r="AY52" s="72">
        <v>2.2222222222222143E-2</v>
      </c>
      <c r="AZ52" s="24">
        <v>1.1235955056179803E-2</v>
      </c>
    </row>
    <row r="53" spans="1:202" ht="26.4">
      <c r="A53" s="103" t="s">
        <v>74</v>
      </c>
      <c r="B53" s="100">
        <v>1.7</v>
      </c>
      <c r="C53" s="81">
        <v>1.9</v>
      </c>
      <c r="D53" s="81">
        <v>2</v>
      </c>
      <c r="E53" s="81">
        <v>2.1</v>
      </c>
      <c r="F53" s="81">
        <v>2.2000000000000002</v>
      </c>
      <c r="G53" s="100">
        <v>2.2000000000000002</v>
      </c>
      <c r="H53" s="81">
        <v>2.2999999999999998</v>
      </c>
      <c r="I53" s="81">
        <v>2.4</v>
      </c>
      <c r="J53" s="81">
        <v>2.5</v>
      </c>
      <c r="K53" s="81">
        <v>2.7</v>
      </c>
      <c r="L53" s="101">
        <v>2.7</v>
      </c>
      <c r="M53" s="81">
        <v>3</v>
      </c>
      <c r="N53" s="81">
        <v>3.4</v>
      </c>
      <c r="O53" s="81">
        <v>3.8</v>
      </c>
      <c r="P53" s="81">
        <v>4.3</v>
      </c>
      <c r="Q53" s="101">
        <v>4.3</v>
      </c>
      <c r="R53" s="81">
        <v>4.8</v>
      </c>
      <c r="S53" s="81">
        <v>5.3</v>
      </c>
      <c r="T53" s="81">
        <v>6</v>
      </c>
      <c r="U53" s="81">
        <v>6.7</v>
      </c>
      <c r="V53" s="101">
        <v>6.7</v>
      </c>
      <c r="W53" s="81">
        <v>7.5</v>
      </c>
      <c r="X53" s="81">
        <v>8.3000000000000007</v>
      </c>
      <c r="Y53" s="81">
        <v>9</v>
      </c>
      <c r="Z53" s="81">
        <v>9.6</v>
      </c>
      <c r="AA53" s="101">
        <v>9.6</v>
      </c>
      <c r="AB53" s="81">
        <v>10.4</v>
      </c>
      <c r="AC53" s="81">
        <v>15.2</v>
      </c>
      <c r="AD53" s="81">
        <v>17.3</v>
      </c>
      <c r="AE53" s="81">
        <v>18.100000000000001</v>
      </c>
      <c r="AF53" s="101">
        <v>18.100000000000001</v>
      </c>
      <c r="AG53" s="81">
        <v>20</v>
      </c>
      <c r="AH53" s="148">
        <v>21.9</v>
      </c>
      <c r="AI53" s="148">
        <v>24</v>
      </c>
      <c r="AJ53" s="81">
        <v>32.5</v>
      </c>
      <c r="AK53" s="101">
        <v>32.5</v>
      </c>
      <c r="AL53" s="81">
        <v>33.200000000000003</v>
      </c>
      <c r="AM53" s="148">
        <v>34.9</v>
      </c>
      <c r="AN53" s="148">
        <v>36.700000000000003</v>
      </c>
      <c r="AO53" s="81">
        <v>37.799999999999997</v>
      </c>
      <c r="AP53" s="101">
        <v>37.799999999999997</v>
      </c>
      <c r="AQ53" s="81">
        <v>38.9</v>
      </c>
      <c r="AR53" s="148">
        <v>40.200000000000003</v>
      </c>
      <c r="AS53" s="148">
        <v>41.8</v>
      </c>
      <c r="AT53" s="81">
        <v>43.4</v>
      </c>
      <c r="AU53" s="101">
        <v>43.4</v>
      </c>
      <c r="AV53" s="81">
        <v>45.1</v>
      </c>
      <c r="AW53" s="81">
        <v>47.2</v>
      </c>
      <c r="AX53" s="81">
        <v>49.5</v>
      </c>
      <c r="AY53" s="81">
        <v>51.5</v>
      </c>
      <c r="AZ53" s="101">
        <v>51.5</v>
      </c>
    </row>
    <row r="54" spans="1:202">
      <c r="A54" s="71" t="s">
        <v>7</v>
      </c>
      <c r="B54" s="24"/>
      <c r="C54" s="72"/>
      <c r="D54" s="72">
        <v>5.2631578947368363E-2</v>
      </c>
      <c r="E54" s="72">
        <v>5.0000000000000044E-2</v>
      </c>
      <c r="F54" s="72">
        <v>4.7619047619047672E-2</v>
      </c>
      <c r="G54" s="24"/>
      <c r="H54" s="72">
        <v>4.5454545454545192E-2</v>
      </c>
      <c r="I54" s="72">
        <v>4.3478260869565188E-2</v>
      </c>
      <c r="J54" s="72">
        <v>4.1666666666666741E-2</v>
      </c>
      <c r="K54" s="72">
        <v>8.0000000000000071E-2</v>
      </c>
      <c r="L54" s="27"/>
      <c r="M54" s="72">
        <v>0.11111111111111094</v>
      </c>
      <c r="N54" s="72">
        <v>0.1333333333333333</v>
      </c>
      <c r="O54" s="72">
        <v>0.11764705882352944</v>
      </c>
      <c r="P54" s="72">
        <v>0.13157894736842102</v>
      </c>
      <c r="Q54" s="27"/>
      <c r="R54" s="72">
        <v>0.11627906976744184</v>
      </c>
      <c r="S54" s="72">
        <v>0.10416666666666674</v>
      </c>
      <c r="T54" s="72">
        <v>0.13207547169811318</v>
      </c>
      <c r="U54" s="72">
        <v>0.1166666666666667</v>
      </c>
      <c r="V54" s="27"/>
      <c r="W54" s="72">
        <v>0.11940298507462677</v>
      </c>
      <c r="X54" s="72">
        <v>0.10666666666666669</v>
      </c>
      <c r="Y54" s="72">
        <v>8.43373493975903E-2</v>
      </c>
      <c r="Z54" s="72">
        <v>6.6666666666666652E-2</v>
      </c>
      <c r="AA54" s="27"/>
      <c r="AB54" s="72">
        <v>8.3333333333333481E-2</v>
      </c>
      <c r="AC54" s="72">
        <v>0.46153846153846145</v>
      </c>
      <c r="AD54" s="72">
        <v>0.13815789473684226</v>
      </c>
      <c r="AE54" s="72">
        <v>4.6242774566473965E-2</v>
      </c>
      <c r="AF54" s="27"/>
      <c r="AG54" s="72">
        <v>0.10497237569060758</v>
      </c>
      <c r="AH54" s="72">
        <v>9.4999999999999973E-2</v>
      </c>
      <c r="AI54" s="72">
        <v>9.5890410958904271E-2</v>
      </c>
      <c r="AJ54" s="72">
        <v>0.35416666666666674</v>
      </c>
      <c r="AK54" s="27"/>
      <c r="AL54" s="72">
        <v>2.1538461538461728E-2</v>
      </c>
      <c r="AM54" s="72">
        <v>5.1204819277108404E-2</v>
      </c>
      <c r="AN54" s="72">
        <v>5.157593123209181E-2</v>
      </c>
      <c r="AO54" s="72">
        <v>2.9972752043596618E-2</v>
      </c>
      <c r="AP54" s="27"/>
      <c r="AQ54" s="72">
        <v>2.9100529100529071E-2</v>
      </c>
      <c r="AR54" s="72">
        <v>3.3419023136247006E-2</v>
      </c>
      <c r="AS54" s="72">
        <v>3.9800995024875441E-2</v>
      </c>
      <c r="AT54" s="72">
        <v>3.8277511961722466E-2</v>
      </c>
      <c r="AU54" s="27"/>
      <c r="AV54" s="72">
        <v>3.9170506912442393E-2</v>
      </c>
      <c r="AW54" s="72">
        <v>4.6563192904656381E-2</v>
      </c>
      <c r="AX54" s="72">
        <v>4.8728813559322015E-2</v>
      </c>
      <c r="AY54" s="72">
        <v>4.0404040404040442E-2</v>
      </c>
      <c r="AZ54" s="27"/>
    </row>
    <row r="55" spans="1:202">
      <c r="A55" s="71" t="s">
        <v>8</v>
      </c>
      <c r="B55" s="24"/>
      <c r="C55" s="73"/>
      <c r="D55" s="73"/>
      <c r="E55" s="73"/>
      <c r="F55" s="73"/>
      <c r="G55" s="24">
        <v>0.29411764705882359</v>
      </c>
      <c r="H55" s="73">
        <v>0.21052631578947367</v>
      </c>
      <c r="I55" s="73">
        <v>0.19999999999999996</v>
      </c>
      <c r="J55" s="73">
        <v>0.19047619047619047</v>
      </c>
      <c r="K55" s="72">
        <v>0.22727272727272729</v>
      </c>
      <c r="L55" s="24">
        <v>0.22727272727272729</v>
      </c>
      <c r="M55" s="73">
        <v>0.30434782608695654</v>
      </c>
      <c r="N55" s="73">
        <v>0.41666666666666674</v>
      </c>
      <c r="O55" s="73">
        <v>0.52</v>
      </c>
      <c r="P55" s="72">
        <v>0.59259259259259234</v>
      </c>
      <c r="Q55" s="24">
        <v>0.59259259259259234</v>
      </c>
      <c r="R55" s="73">
        <v>0.59999999999999987</v>
      </c>
      <c r="S55" s="73">
        <v>0.55882352941176472</v>
      </c>
      <c r="T55" s="73">
        <v>0.57894736842105265</v>
      </c>
      <c r="U55" s="72">
        <v>0.55813953488372103</v>
      </c>
      <c r="V55" s="24">
        <v>0.55813953488372103</v>
      </c>
      <c r="W55" s="73">
        <v>0.5625</v>
      </c>
      <c r="X55" s="73">
        <v>0.5660377358490567</v>
      </c>
      <c r="Y55" s="73">
        <v>0.5</v>
      </c>
      <c r="Z55" s="72">
        <v>0.43283582089552231</v>
      </c>
      <c r="AA55" s="24">
        <v>0.43283582089552231</v>
      </c>
      <c r="AB55" s="73">
        <v>0.38666666666666671</v>
      </c>
      <c r="AC55" s="73">
        <v>0.83132530120481896</v>
      </c>
      <c r="AD55" s="73">
        <v>0.92222222222222228</v>
      </c>
      <c r="AE55" s="72">
        <v>0.88541666666666696</v>
      </c>
      <c r="AF55" s="24">
        <v>0.88541666666666696</v>
      </c>
      <c r="AG55" s="73">
        <v>0.92307692307692291</v>
      </c>
      <c r="AH55" s="73">
        <v>0.4407894736842104</v>
      </c>
      <c r="AI55" s="73">
        <v>0.38728323699421963</v>
      </c>
      <c r="AJ55" s="72">
        <v>0.79558011049723754</v>
      </c>
      <c r="AK55" s="24">
        <v>0.79558011049723754</v>
      </c>
      <c r="AL55" s="73">
        <v>0.66000000000000014</v>
      </c>
      <c r="AM55" s="73">
        <v>0.59360730593607314</v>
      </c>
      <c r="AN55" s="73">
        <v>0.52916666666666679</v>
      </c>
      <c r="AO55" s="72">
        <v>0.1630769230769229</v>
      </c>
      <c r="AP55" s="24">
        <v>0.1630769230769229</v>
      </c>
      <c r="AQ55" s="73">
        <v>0.17168674698795172</v>
      </c>
      <c r="AR55" s="73">
        <v>0.15186246418338123</v>
      </c>
      <c r="AS55" s="73">
        <v>0.13896457765667569</v>
      </c>
      <c r="AT55" s="72">
        <v>0.14814814814814814</v>
      </c>
      <c r="AU55" s="24">
        <v>0.14814814814814814</v>
      </c>
      <c r="AV55" s="73">
        <v>0.15938303341902316</v>
      </c>
      <c r="AW55" s="73">
        <v>0.17412935323383083</v>
      </c>
      <c r="AX55" s="73">
        <v>0.1842105263157896</v>
      </c>
      <c r="AY55" s="72">
        <v>0.18663594470046085</v>
      </c>
      <c r="AZ55" s="24">
        <v>0.18663594470046085</v>
      </c>
    </row>
    <row r="56" spans="1:202" ht="7.5" customHeight="1">
      <c r="A56" s="71"/>
      <c r="B56" s="24"/>
      <c r="C56" s="73"/>
      <c r="D56" s="73"/>
      <c r="E56" s="73"/>
      <c r="F56" s="73"/>
      <c r="G56" s="24"/>
      <c r="H56" s="73"/>
      <c r="I56" s="73"/>
      <c r="J56" s="73"/>
      <c r="K56" s="72"/>
      <c r="L56" s="24"/>
      <c r="M56" s="73"/>
      <c r="N56" s="73"/>
      <c r="O56" s="73"/>
      <c r="P56" s="72"/>
      <c r="Q56" s="24"/>
      <c r="R56" s="73"/>
      <c r="S56" s="73"/>
      <c r="T56" s="73"/>
      <c r="U56" s="72"/>
      <c r="V56" s="24"/>
      <c r="W56" s="73"/>
      <c r="X56" s="73"/>
      <c r="Y56" s="73"/>
      <c r="Z56" s="72"/>
      <c r="AA56" s="24"/>
      <c r="AB56" s="73"/>
      <c r="AC56" s="73"/>
      <c r="AD56" s="73"/>
      <c r="AE56" s="72"/>
      <c r="AF56" s="24"/>
      <c r="AG56" s="73"/>
      <c r="AH56" s="73"/>
      <c r="AI56" s="73"/>
      <c r="AJ56" s="72"/>
      <c r="AK56" s="24"/>
      <c r="AL56" s="73"/>
      <c r="AM56" s="73"/>
      <c r="AN56" s="73"/>
      <c r="AO56" s="72"/>
      <c r="AP56" s="24"/>
      <c r="AQ56" s="73"/>
      <c r="AR56" s="73"/>
      <c r="AS56" s="73"/>
      <c r="AT56" s="72"/>
      <c r="AU56" s="24"/>
      <c r="AV56" s="73"/>
      <c r="AW56" s="73"/>
      <c r="AX56" s="73"/>
      <c r="AY56" s="72"/>
      <c r="AZ56" s="24"/>
    </row>
    <row r="57" spans="1:202" s="2" customFormat="1">
      <c r="A57" s="69" t="s">
        <v>18</v>
      </c>
      <c r="B57" s="38">
        <v>7614</v>
      </c>
      <c r="C57" s="80" t="s">
        <v>53</v>
      </c>
      <c r="D57" s="80" t="s">
        <v>53</v>
      </c>
      <c r="E57" s="80" t="s">
        <v>53</v>
      </c>
      <c r="F57" s="80" t="s">
        <v>53</v>
      </c>
      <c r="G57" s="38">
        <v>7530</v>
      </c>
      <c r="H57" s="120" t="s">
        <v>45</v>
      </c>
      <c r="I57" s="120" t="s">
        <v>45</v>
      </c>
      <c r="J57" s="120" t="s">
        <v>45</v>
      </c>
      <c r="K57" s="120" t="s">
        <v>45</v>
      </c>
      <c r="L57" s="38">
        <v>7364</v>
      </c>
      <c r="M57" s="120" t="s">
        <v>45</v>
      </c>
      <c r="N57" s="120" t="s">
        <v>45</v>
      </c>
      <c r="O57" s="120" t="s">
        <v>45</v>
      </c>
      <c r="P57" s="120" t="s">
        <v>45</v>
      </c>
      <c r="Q57" s="38">
        <v>7216</v>
      </c>
      <c r="R57" s="120" t="s">
        <v>45</v>
      </c>
      <c r="S57" s="120" t="s">
        <v>45</v>
      </c>
      <c r="T57" s="120" t="s">
        <v>45</v>
      </c>
      <c r="U57" s="120" t="s">
        <v>45</v>
      </c>
      <c r="V57" s="37">
        <v>7076</v>
      </c>
      <c r="W57" s="120" t="s">
        <v>45</v>
      </c>
      <c r="X57" s="120" t="s">
        <v>45</v>
      </c>
      <c r="Y57" s="120" t="s">
        <v>45</v>
      </c>
      <c r="Z57" s="120" t="s">
        <v>45</v>
      </c>
      <c r="AA57" s="37">
        <v>7422</v>
      </c>
      <c r="AB57" s="138" t="s">
        <v>45</v>
      </c>
      <c r="AC57" s="138" t="s">
        <v>45</v>
      </c>
      <c r="AD57" s="70">
        <v>6576</v>
      </c>
      <c r="AE57" s="70">
        <v>6479</v>
      </c>
      <c r="AF57" s="37">
        <v>6479</v>
      </c>
      <c r="AG57" s="138" t="s">
        <v>45</v>
      </c>
      <c r="AH57" s="138" t="s">
        <v>45</v>
      </c>
      <c r="AI57" s="138" t="s">
        <v>45</v>
      </c>
      <c r="AJ57" s="70">
        <v>5964</v>
      </c>
      <c r="AK57" s="37">
        <v>5964</v>
      </c>
      <c r="AL57" s="138" t="s">
        <v>45</v>
      </c>
      <c r="AM57" s="138" t="s">
        <v>45</v>
      </c>
      <c r="AN57" s="138" t="s">
        <v>45</v>
      </c>
      <c r="AO57" s="70">
        <v>5896</v>
      </c>
      <c r="AP57" s="37">
        <v>5896</v>
      </c>
      <c r="AQ57" s="138" t="s">
        <v>45</v>
      </c>
      <c r="AR57" s="138" t="s">
        <v>45</v>
      </c>
      <c r="AS57" s="138" t="s">
        <v>45</v>
      </c>
      <c r="AT57" s="70">
        <v>5649</v>
      </c>
      <c r="AU57" s="37">
        <v>5649</v>
      </c>
      <c r="AV57" s="138" t="s">
        <v>45</v>
      </c>
      <c r="AW57" s="138" t="s">
        <v>45</v>
      </c>
      <c r="AX57" s="138" t="s">
        <v>45</v>
      </c>
      <c r="AY57" s="70">
        <v>5582</v>
      </c>
      <c r="AZ57" s="37">
        <v>5582</v>
      </c>
      <c r="BA57" s="3"/>
      <c r="BB57" s="3"/>
      <c r="BC57" s="3"/>
      <c r="BD57" s="3"/>
      <c r="BE57" s="3"/>
      <c r="BF57" s="3"/>
      <c r="BG57" s="3"/>
      <c r="BH57" s="3"/>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ht="13.5" customHeight="1">
      <c r="A58" s="71" t="s">
        <v>8</v>
      </c>
      <c r="B58" s="24"/>
      <c r="C58" s="73"/>
      <c r="D58" s="73"/>
      <c r="E58" s="73"/>
      <c r="F58" s="73"/>
      <c r="G58" s="24">
        <v>-1.1032308904649346E-2</v>
      </c>
      <c r="H58" s="73"/>
      <c r="I58" s="73"/>
      <c r="J58" s="73"/>
      <c r="K58" s="72"/>
      <c r="L58" s="24">
        <v>-2.2045152722443562E-2</v>
      </c>
      <c r="M58" s="73"/>
      <c r="N58" s="73"/>
      <c r="O58" s="73"/>
      <c r="P58" s="72"/>
      <c r="Q58" s="24">
        <v>-2.0097772949484005E-2</v>
      </c>
      <c r="R58" s="73"/>
      <c r="S58" s="73"/>
      <c r="T58" s="73"/>
      <c r="U58" s="72"/>
      <c r="V58" s="24">
        <v>-1.940133037694014E-2</v>
      </c>
      <c r="W58" s="73"/>
      <c r="X58" s="73"/>
      <c r="Y58" s="73"/>
      <c r="Z58" s="72"/>
      <c r="AA58" s="24">
        <v>4.8897682306387802E-2</v>
      </c>
      <c r="AB58" s="73"/>
      <c r="AC58" s="73"/>
      <c r="AD58" s="73"/>
      <c r="AE58" s="72"/>
      <c r="AF58" s="24">
        <v>-0.12705470223659387</v>
      </c>
      <c r="AG58" s="73"/>
      <c r="AH58" s="73"/>
      <c r="AI58" s="73"/>
      <c r="AJ58" s="72"/>
      <c r="AK58" s="24">
        <v>-7.9487575243093023E-2</v>
      </c>
      <c r="AL58" s="73"/>
      <c r="AM58" s="73"/>
      <c r="AN58" s="73"/>
      <c r="AO58" s="72"/>
      <c r="AP58" s="24">
        <v>-1.1401743796110031E-2</v>
      </c>
      <c r="AQ58" s="73"/>
      <c r="AR58" s="73"/>
      <c r="AS58" s="73"/>
      <c r="AT58" s="72"/>
      <c r="AU58" s="24">
        <v>-4.1892808683853477E-2</v>
      </c>
      <c r="AV58" s="73"/>
      <c r="AW58" s="73"/>
      <c r="AX58" s="73"/>
      <c r="AY58" s="72"/>
      <c r="AZ58" s="24">
        <v>-1.1860506284298133E-2</v>
      </c>
    </row>
    <row r="59" spans="1:202" ht="2.25" customHeight="1">
      <c r="A59" s="71"/>
      <c r="B59" s="24"/>
      <c r="C59" s="73"/>
      <c r="D59" s="73"/>
      <c r="E59" s="73"/>
      <c r="F59" s="73"/>
      <c r="G59" s="24"/>
      <c r="H59" s="73"/>
      <c r="I59" s="73"/>
      <c r="J59" s="73"/>
      <c r="K59" s="72"/>
      <c r="L59" s="24"/>
      <c r="M59" s="73"/>
      <c r="N59" s="73"/>
      <c r="O59" s="73"/>
      <c r="P59" s="72"/>
      <c r="Q59" s="24"/>
      <c r="R59" s="73"/>
      <c r="S59" s="73"/>
      <c r="T59" s="73"/>
      <c r="U59" s="72"/>
      <c r="V59" s="24"/>
      <c r="W59" s="73"/>
      <c r="X59" s="73"/>
      <c r="Y59" s="73"/>
      <c r="Z59" s="72"/>
      <c r="AA59" s="24"/>
      <c r="AB59" s="73"/>
      <c r="AC59" s="73"/>
      <c r="AD59" s="73"/>
      <c r="AE59" s="72"/>
      <c r="AF59" s="24"/>
      <c r="AG59" s="73"/>
      <c r="AH59" s="73"/>
      <c r="AI59" s="73"/>
      <c r="AJ59" s="72"/>
      <c r="AK59" s="24"/>
      <c r="AL59" s="73"/>
      <c r="AM59" s="73"/>
      <c r="AN59" s="73"/>
      <c r="AO59" s="72"/>
      <c r="AP59" s="24" t="s">
        <v>173</v>
      </c>
      <c r="AQ59" s="73"/>
      <c r="AR59" s="73"/>
      <c r="AS59" s="73"/>
      <c r="AT59" s="72"/>
      <c r="AU59" s="24" t="s">
        <v>173</v>
      </c>
      <c r="AV59" s="73"/>
      <c r="AW59" s="73"/>
      <c r="AX59" s="73"/>
      <c r="AY59" s="72"/>
      <c r="AZ59" s="24" t="s">
        <v>173</v>
      </c>
    </row>
    <row r="60" spans="1:202" s="46" customFormat="1" ht="13.8" customHeight="1">
      <c r="A60" s="69" t="s">
        <v>164</v>
      </c>
      <c r="B60" s="169" t="s">
        <v>45</v>
      </c>
      <c r="C60" s="39"/>
      <c r="D60" s="39"/>
      <c r="E60" s="39"/>
      <c r="F60" s="39"/>
      <c r="G60" s="169" t="s">
        <v>45</v>
      </c>
      <c r="H60" s="39"/>
      <c r="I60" s="39"/>
      <c r="J60" s="39"/>
      <c r="K60" s="39"/>
      <c r="L60" s="170">
        <v>0.59</v>
      </c>
      <c r="M60" s="170"/>
      <c r="N60" s="170"/>
      <c r="O60" s="170"/>
      <c r="P60" s="170"/>
      <c r="Q60" s="170">
        <v>0.59</v>
      </c>
      <c r="R60" s="170"/>
      <c r="S60" s="170"/>
      <c r="T60" s="170"/>
      <c r="U60" s="170"/>
      <c r="V60" s="170">
        <v>0.59</v>
      </c>
      <c r="W60" s="170"/>
      <c r="X60" s="170"/>
      <c r="Y60" s="170"/>
      <c r="Z60" s="170"/>
      <c r="AA60" s="170">
        <v>0.6</v>
      </c>
      <c r="AB60" s="170"/>
      <c r="AC60" s="170"/>
      <c r="AD60" s="170"/>
      <c r="AE60" s="170"/>
      <c r="AF60" s="170">
        <v>0.63</v>
      </c>
      <c r="AG60" s="138" t="s">
        <v>45</v>
      </c>
      <c r="AH60" s="138" t="s">
        <v>45</v>
      </c>
      <c r="AI60" s="138" t="s">
        <v>45</v>
      </c>
      <c r="AJ60" s="138" t="s">
        <v>45</v>
      </c>
      <c r="AK60" s="170">
        <v>0.66</v>
      </c>
      <c r="AL60" s="138" t="s">
        <v>45</v>
      </c>
      <c r="AM60" s="138" t="s">
        <v>45</v>
      </c>
      <c r="AN60" s="138" t="s">
        <v>45</v>
      </c>
      <c r="AO60" s="138" t="s">
        <v>45</v>
      </c>
      <c r="AP60" s="170">
        <v>0.68</v>
      </c>
      <c r="AQ60" s="138" t="s">
        <v>45</v>
      </c>
      <c r="AR60" s="138" t="s">
        <v>45</v>
      </c>
      <c r="AS60" s="138" t="s">
        <v>45</v>
      </c>
      <c r="AT60" s="138" t="s">
        <v>45</v>
      </c>
      <c r="AU60" s="170">
        <v>0.69</v>
      </c>
      <c r="AV60" s="138" t="s">
        <v>45</v>
      </c>
      <c r="AW60" s="138" t="s">
        <v>45</v>
      </c>
      <c r="AX60" s="138" t="s">
        <v>45</v>
      </c>
      <c r="AY60" s="138" t="s">
        <v>45</v>
      </c>
      <c r="AZ60" s="170">
        <v>0.7</v>
      </c>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row>
    <row r="61" spans="1:202" s="46" customFormat="1" ht="13.5" customHeight="1">
      <c r="A61" s="69" t="s">
        <v>168</v>
      </c>
      <c r="B61" s="169" t="s">
        <v>45</v>
      </c>
      <c r="C61" s="39"/>
      <c r="D61" s="39"/>
      <c r="E61" s="39"/>
      <c r="F61" s="39"/>
      <c r="G61" s="169" t="s">
        <v>45</v>
      </c>
      <c r="H61" s="39"/>
      <c r="I61" s="39"/>
      <c r="J61" s="39"/>
      <c r="K61" s="39"/>
      <c r="L61" s="170">
        <v>0.72</v>
      </c>
      <c r="M61" s="170"/>
      <c r="N61" s="170"/>
      <c r="O61" s="170"/>
      <c r="P61" s="170"/>
      <c r="Q61" s="170">
        <v>0.65</v>
      </c>
      <c r="R61" s="170"/>
      <c r="S61" s="170"/>
      <c r="T61" s="170"/>
      <c r="U61" s="170"/>
      <c r="V61" s="170">
        <v>0.63</v>
      </c>
      <c r="W61" s="170"/>
      <c r="X61" s="170"/>
      <c r="Y61" s="170"/>
      <c r="Z61" s="170"/>
      <c r="AA61" s="170">
        <v>0.59</v>
      </c>
      <c r="AB61" s="170"/>
      <c r="AC61" s="170"/>
      <c r="AD61" s="170"/>
      <c r="AE61" s="170"/>
      <c r="AF61" s="170">
        <v>0.56999999999999995</v>
      </c>
      <c r="AG61" s="138" t="s">
        <v>45</v>
      </c>
      <c r="AH61" s="138" t="s">
        <v>45</v>
      </c>
      <c r="AI61" s="138" t="s">
        <v>45</v>
      </c>
      <c r="AJ61" s="138" t="s">
        <v>45</v>
      </c>
      <c r="AK61" s="170">
        <v>0.56000000000000005</v>
      </c>
      <c r="AL61" s="138" t="s">
        <v>45</v>
      </c>
      <c r="AM61" s="138" t="s">
        <v>45</v>
      </c>
      <c r="AN61" s="138" t="s">
        <v>45</v>
      </c>
      <c r="AO61" s="138" t="s">
        <v>45</v>
      </c>
      <c r="AP61" s="170">
        <v>0.56000000000000005</v>
      </c>
      <c r="AQ61" s="138" t="s">
        <v>45</v>
      </c>
      <c r="AR61" s="138" t="s">
        <v>45</v>
      </c>
      <c r="AS61" s="138" t="s">
        <v>45</v>
      </c>
      <c r="AT61" s="138" t="s">
        <v>45</v>
      </c>
      <c r="AU61" s="170">
        <v>0.55000000000000004</v>
      </c>
      <c r="AV61" s="138" t="s">
        <v>45</v>
      </c>
      <c r="AW61" s="138" t="s">
        <v>45</v>
      </c>
      <c r="AX61" s="138" t="s">
        <v>45</v>
      </c>
      <c r="AY61" s="138" t="s">
        <v>45</v>
      </c>
      <c r="AZ61" s="170">
        <v>0.53</v>
      </c>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row>
    <row r="62" spans="1:202" s="46" customFormat="1" ht="14.25" customHeight="1">
      <c r="A62" s="69" t="s">
        <v>171</v>
      </c>
      <c r="B62" s="169" t="s">
        <v>45</v>
      </c>
      <c r="C62" s="39"/>
      <c r="D62" s="39"/>
      <c r="E62" s="39"/>
      <c r="F62" s="39"/>
      <c r="G62" s="169" t="s">
        <v>45</v>
      </c>
      <c r="H62" s="39"/>
      <c r="I62" s="39"/>
      <c r="J62" s="39"/>
      <c r="K62" s="39"/>
      <c r="L62" s="170">
        <v>0.82</v>
      </c>
      <c r="M62" s="170"/>
      <c r="N62" s="170"/>
      <c r="O62" s="170"/>
      <c r="P62" s="170"/>
      <c r="Q62" s="170">
        <v>0.78</v>
      </c>
      <c r="R62" s="170"/>
      <c r="S62" s="170"/>
      <c r="T62" s="170"/>
      <c r="U62" s="170"/>
      <c r="V62" s="170">
        <v>0.76</v>
      </c>
      <c r="W62" s="170"/>
      <c r="X62" s="170"/>
      <c r="Y62" s="170"/>
      <c r="Z62" s="170"/>
      <c r="AA62" s="170">
        <v>0.75</v>
      </c>
      <c r="AB62" s="170"/>
      <c r="AC62" s="170"/>
      <c r="AD62" s="170"/>
      <c r="AE62" s="170"/>
      <c r="AF62" s="170">
        <v>0.74</v>
      </c>
      <c r="AG62" s="138" t="s">
        <v>45</v>
      </c>
      <c r="AH62" s="138" t="s">
        <v>45</v>
      </c>
      <c r="AI62" s="138" t="s">
        <v>45</v>
      </c>
      <c r="AJ62" s="138" t="s">
        <v>45</v>
      </c>
      <c r="AK62" s="170">
        <v>0.74</v>
      </c>
      <c r="AL62" s="138" t="s">
        <v>45</v>
      </c>
      <c r="AM62" s="138" t="s">
        <v>45</v>
      </c>
      <c r="AN62" s="138" t="s">
        <v>45</v>
      </c>
      <c r="AO62" s="138" t="s">
        <v>45</v>
      </c>
      <c r="AP62" s="170">
        <v>0.74</v>
      </c>
      <c r="AQ62" s="138" t="s">
        <v>45</v>
      </c>
      <c r="AR62" s="138" t="s">
        <v>45</v>
      </c>
      <c r="AS62" s="138" t="s">
        <v>45</v>
      </c>
      <c r="AT62" s="138" t="s">
        <v>45</v>
      </c>
      <c r="AU62" s="170">
        <v>0.73</v>
      </c>
      <c r="AV62" s="138" t="s">
        <v>45</v>
      </c>
      <c r="AW62" s="138" t="s">
        <v>45</v>
      </c>
      <c r="AX62" s="138" t="s">
        <v>45</v>
      </c>
      <c r="AY62" s="138" t="s">
        <v>45</v>
      </c>
      <c r="AZ62" s="170">
        <v>0.72</v>
      </c>
      <c r="BA62" s="71"/>
      <c r="BB62" s="71"/>
      <c r="BC62" s="71"/>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row>
    <row r="63" spans="1:202" s="46" customFormat="1" ht="3.75" customHeight="1">
      <c r="A63" s="44"/>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row>
    <row r="64" spans="1:202" s="46" customFormat="1" ht="11.25" customHeight="1">
      <c r="A64" s="9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row>
    <row r="65" spans="1:202" s="46" customFormat="1" ht="4.5" customHeight="1">
      <c r="A65" s="44"/>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row>
    <row r="66" spans="1:202" ht="21">
      <c r="A66" s="35" t="s">
        <v>3</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4"/>
      <c r="BB66" s="4"/>
      <c r="BC66" s="4"/>
      <c r="BD66" s="4"/>
      <c r="BE66" s="4"/>
      <c r="BF66" s="4"/>
      <c r="BG66" s="4"/>
      <c r="BH66" s="4"/>
    </row>
    <row r="67" spans="1:202" s="43" customFormat="1">
      <c r="A67" s="40" t="s">
        <v>27</v>
      </c>
      <c r="B67" s="96"/>
      <c r="C67" s="42"/>
      <c r="D67" s="42"/>
      <c r="E67" s="42"/>
      <c r="F67" s="42"/>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1"/>
      <c r="BB67" s="1"/>
      <c r="BC67" s="1"/>
      <c r="BD67" s="1"/>
      <c r="BE67" s="1"/>
      <c r="BF67" s="1"/>
      <c r="BG67" s="1"/>
      <c r="BH67" s="1"/>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row>
    <row r="68" spans="1:202" s="34" customFormat="1">
      <c r="A68" s="69"/>
      <c r="B68" s="29"/>
      <c r="C68" s="69"/>
      <c r="D68" s="69"/>
      <c r="E68" s="69"/>
      <c r="F68" s="69"/>
      <c r="G68" s="29"/>
      <c r="H68" s="69"/>
      <c r="I68" s="69"/>
      <c r="J68" s="69"/>
      <c r="K68" s="69"/>
      <c r="L68" s="21"/>
      <c r="M68" s="69"/>
      <c r="N68" s="69"/>
      <c r="O68" s="69"/>
      <c r="P68" s="69"/>
      <c r="Q68" s="21"/>
      <c r="R68" s="69"/>
      <c r="S68" s="69"/>
      <c r="T68" s="69"/>
      <c r="U68" s="69"/>
      <c r="V68" s="21"/>
      <c r="W68" s="69"/>
      <c r="X68" s="69"/>
      <c r="Y68" s="69"/>
      <c r="Z68" s="69"/>
      <c r="AA68" s="21"/>
      <c r="AB68" s="69"/>
      <c r="AC68" s="69"/>
      <c r="AD68" s="69"/>
      <c r="AE68" s="69"/>
      <c r="AF68" s="21"/>
      <c r="AG68" s="69"/>
      <c r="AH68" s="69"/>
      <c r="AI68" s="69"/>
      <c r="AJ68" s="69"/>
      <c r="AK68" s="21"/>
      <c r="AL68" s="69"/>
      <c r="AM68" s="69"/>
      <c r="AN68" s="69"/>
      <c r="AO68" s="69"/>
      <c r="AP68" s="21"/>
      <c r="AQ68" s="69"/>
      <c r="AR68" s="69"/>
      <c r="AS68" s="69"/>
      <c r="AT68" s="69"/>
      <c r="AU68" s="21"/>
      <c r="AV68" s="69"/>
      <c r="AW68" s="69"/>
      <c r="AX68" s="69"/>
      <c r="AY68" s="69"/>
      <c r="AZ68" s="21"/>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row>
    <row r="69" spans="1:202" s="2" customFormat="1">
      <c r="A69" s="69" t="s">
        <v>156</v>
      </c>
      <c r="B69" s="38">
        <v>2622</v>
      </c>
      <c r="C69" s="70">
        <v>2595</v>
      </c>
      <c r="D69" s="70">
        <v>2636</v>
      </c>
      <c r="E69" s="70">
        <v>2698</v>
      </c>
      <c r="F69" s="70">
        <v>2649</v>
      </c>
      <c r="G69" s="38">
        <v>2649</v>
      </c>
      <c r="H69" s="70">
        <v>2669</v>
      </c>
      <c r="I69" s="70">
        <v>2694</v>
      </c>
      <c r="J69" s="70">
        <v>2721</v>
      </c>
      <c r="K69" s="70">
        <v>2766</v>
      </c>
      <c r="L69" s="91">
        <v>2766</v>
      </c>
      <c r="M69" s="70">
        <v>2789</v>
      </c>
      <c r="N69" s="70">
        <v>2807</v>
      </c>
      <c r="O69" s="70">
        <v>2825</v>
      </c>
      <c r="P69" s="70">
        <v>2857</v>
      </c>
      <c r="Q69" s="91">
        <v>2857</v>
      </c>
      <c r="R69" s="70">
        <v>2861</v>
      </c>
      <c r="S69" s="70">
        <v>2827</v>
      </c>
      <c r="T69" s="70">
        <v>2842</v>
      </c>
      <c r="U69" s="70">
        <v>2847</v>
      </c>
      <c r="V69" s="91">
        <v>2847</v>
      </c>
      <c r="W69" s="70">
        <v>2876</v>
      </c>
      <c r="X69" s="70">
        <v>2859</v>
      </c>
      <c r="Y69" s="70">
        <v>2839</v>
      </c>
      <c r="Z69" s="70">
        <v>2800</v>
      </c>
      <c r="AA69" s="91">
        <v>2800</v>
      </c>
      <c r="AB69" s="70">
        <v>2741</v>
      </c>
      <c r="AC69" s="70">
        <v>2702</v>
      </c>
      <c r="AD69" s="70">
        <v>2683</v>
      </c>
      <c r="AE69" s="70">
        <v>2642</v>
      </c>
      <c r="AF69" s="91">
        <v>2642</v>
      </c>
      <c r="AG69" s="70">
        <v>2631</v>
      </c>
      <c r="AH69" s="70">
        <v>2610</v>
      </c>
      <c r="AI69" s="70">
        <v>2600</v>
      </c>
      <c r="AJ69" s="70">
        <v>2586</v>
      </c>
      <c r="AK69" s="91">
        <v>2586</v>
      </c>
      <c r="AL69" s="70">
        <v>2565</v>
      </c>
      <c r="AM69" s="70">
        <v>2566</v>
      </c>
      <c r="AN69" s="70">
        <v>2569</v>
      </c>
      <c r="AO69" s="70">
        <v>2651</v>
      </c>
      <c r="AP69" s="91">
        <v>2651</v>
      </c>
      <c r="AQ69" s="70">
        <v>2692</v>
      </c>
      <c r="AR69" s="70">
        <v>2260</v>
      </c>
      <c r="AS69" s="70">
        <v>2348</v>
      </c>
      <c r="AT69" s="70">
        <v>2402</v>
      </c>
      <c r="AU69" s="91">
        <v>2402</v>
      </c>
      <c r="AV69" s="70">
        <v>2430</v>
      </c>
      <c r="AW69" s="70">
        <v>2410</v>
      </c>
      <c r="AX69" s="70">
        <v>2475</v>
      </c>
      <c r="AY69" s="70">
        <v>2525</v>
      </c>
      <c r="AZ69" s="91">
        <v>2525</v>
      </c>
      <c r="BA69" s="3"/>
      <c r="BB69" s="3"/>
      <c r="BC69" s="3"/>
      <c r="BD69" s="3"/>
      <c r="BE69" s="3"/>
      <c r="BF69" s="3"/>
      <c r="BG69" s="3"/>
      <c r="BH69" s="3"/>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c r="A70" s="71" t="s">
        <v>7</v>
      </c>
      <c r="B70" s="24"/>
      <c r="C70" s="72"/>
      <c r="D70" s="72">
        <v>1.579961464354529E-2</v>
      </c>
      <c r="E70" s="72">
        <v>2.3520485584218598E-2</v>
      </c>
      <c r="F70" s="72">
        <v>-1.8161601186063803E-2</v>
      </c>
      <c r="G70" s="24"/>
      <c r="H70" s="72">
        <v>7.5500188750472486E-3</v>
      </c>
      <c r="I70" s="72">
        <v>9.3668040464593982E-3</v>
      </c>
      <c r="J70" s="72">
        <v>1.0022271714922093E-2</v>
      </c>
      <c r="K70" s="72">
        <v>1.6538037486218293E-2</v>
      </c>
      <c r="L70" s="27"/>
      <c r="M70" s="72">
        <v>8.315256688358641E-3</v>
      </c>
      <c r="N70" s="72">
        <v>6.4539261384009006E-3</v>
      </c>
      <c r="O70" s="72">
        <v>6.4125400783754394E-3</v>
      </c>
      <c r="P70" s="72">
        <v>1.1327433628318673E-2</v>
      </c>
      <c r="Q70" s="27"/>
      <c r="R70" s="72">
        <v>1.4000700035001756E-3</v>
      </c>
      <c r="S70" s="72">
        <v>-1.1883956658511052E-2</v>
      </c>
      <c r="T70" s="72">
        <v>5.3059780686239844E-3</v>
      </c>
      <c r="U70" s="72">
        <v>1.7593244194229474E-3</v>
      </c>
      <c r="V70" s="27"/>
      <c r="W70" s="72">
        <v>1.0186160871092476E-2</v>
      </c>
      <c r="X70" s="72">
        <v>-5.9109874826147601E-3</v>
      </c>
      <c r="Y70" s="72">
        <v>-6.9954529555789069E-3</v>
      </c>
      <c r="Z70" s="72">
        <v>-1.3737231419513884E-2</v>
      </c>
      <c r="AA70" s="27"/>
      <c r="AB70" s="72">
        <v>-2.1071428571428519E-2</v>
      </c>
      <c r="AC70" s="72">
        <v>-1.4228383801532241E-2</v>
      </c>
      <c r="AD70" s="72">
        <v>-7.0318282753515371E-3</v>
      </c>
      <c r="AE70" s="72">
        <v>-1.5281401416325058E-2</v>
      </c>
      <c r="AF70" s="27"/>
      <c r="AG70" s="72">
        <v>-4.1635124905374798E-3</v>
      </c>
      <c r="AH70" s="72">
        <v>-7.9817559863170073E-3</v>
      </c>
      <c r="AI70" s="72">
        <v>-3.8314176245211051E-3</v>
      </c>
      <c r="AJ70" s="72">
        <v>-5.3846153846154321E-3</v>
      </c>
      <c r="AK70" s="27"/>
      <c r="AL70" s="72">
        <v>-8.1206496519721227E-3</v>
      </c>
      <c r="AM70" s="72">
        <v>3.898635477583845E-4</v>
      </c>
      <c r="AN70" s="72">
        <v>1.1691348402182999E-3</v>
      </c>
      <c r="AO70" s="72">
        <v>3.191903464383028E-2</v>
      </c>
      <c r="AP70" s="27"/>
      <c r="AQ70" s="72">
        <v>1.546586193889099E-2</v>
      </c>
      <c r="AR70" s="72">
        <v>-0.16047548291233282</v>
      </c>
      <c r="AS70" s="72">
        <v>3.8938053097345104E-2</v>
      </c>
      <c r="AT70" s="72">
        <v>2.2998296422487297E-2</v>
      </c>
      <c r="AU70" s="27"/>
      <c r="AV70" s="72">
        <v>1.1656952539550458E-2</v>
      </c>
      <c r="AW70" s="72">
        <v>-8.2304526748970819E-3</v>
      </c>
      <c r="AX70" s="72">
        <v>2.6970954356846377E-2</v>
      </c>
      <c r="AY70" s="72">
        <v>2.020202020202011E-2</v>
      </c>
      <c r="AZ70" s="27"/>
    </row>
    <row r="71" spans="1:202">
      <c r="A71" s="71" t="s">
        <v>8</v>
      </c>
      <c r="B71" s="24"/>
      <c r="C71" s="73"/>
      <c r="D71" s="73"/>
      <c r="E71" s="73"/>
      <c r="F71" s="73"/>
      <c r="G71" s="24">
        <v>1.0297482837528626E-2</v>
      </c>
      <c r="H71" s="73">
        <v>2.8516377649325575E-2</v>
      </c>
      <c r="I71" s="73">
        <v>2.2003034901365792E-2</v>
      </c>
      <c r="J71" s="73">
        <v>8.5248332097849211E-3</v>
      </c>
      <c r="K71" s="72">
        <v>4.416761041902606E-2</v>
      </c>
      <c r="L71" s="24">
        <v>4.416761041902606E-2</v>
      </c>
      <c r="M71" s="73">
        <v>4.4960659423004978E-2</v>
      </c>
      <c r="N71" s="73">
        <v>4.1945063103192348E-2</v>
      </c>
      <c r="O71" s="73">
        <v>3.8221242190371152E-2</v>
      </c>
      <c r="P71" s="72">
        <v>3.2899493853940642E-2</v>
      </c>
      <c r="Q71" s="24">
        <v>3.2899493853940642E-2</v>
      </c>
      <c r="R71" s="73">
        <v>2.581570455360338E-2</v>
      </c>
      <c r="S71" s="73">
        <v>7.1250445315282906E-3</v>
      </c>
      <c r="T71" s="73">
        <v>6.0176991150442394E-3</v>
      </c>
      <c r="U71" s="72">
        <v>-3.5001750087504391E-3</v>
      </c>
      <c r="V71" s="24">
        <v>-3.5001750087504391E-3</v>
      </c>
      <c r="W71" s="73">
        <v>5.2429220552254741E-3</v>
      </c>
      <c r="X71" s="73">
        <v>1.1319419879731063E-2</v>
      </c>
      <c r="Y71" s="73">
        <v>-1.055594651653724E-3</v>
      </c>
      <c r="Z71" s="72">
        <v>-1.6508605549701461E-2</v>
      </c>
      <c r="AA71" s="24">
        <v>-1.6508605549701461E-2</v>
      </c>
      <c r="AB71" s="73">
        <v>-4.6940194714881756E-2</v>
      </c>
      <c r="AC71" s="73">
        <v>-5.4914305701294186E-2</v>
      </c>
      <c r="AD71" s="73">
        <v>-5.4948925678055649E-2</v>
      </c>
      <c r="AE71" s="72">
        <v>-5.6428571428571384E-2</v>
      </c>
      <c r="AF71" s="24">
        <v>-5.6428571428571384E-2</v>
      </c>
      <c r="AG71" s="73">
        <v>-4.013133892739873E-2</v>
      </c>
      <c r="AH71" s="73">
        <v>-3.4048852701702437E-2</v>
      </c>
      <c r="AI71" s="73">
        <v>-3.0935519940365253E-2</v>
      </c>
      <c r="AJ71" s="72">
        <v>-2.1196063588190817E-2</v>
      </c>
      <c r="AK71" s="24">
        <v>-2.1196063588190817E-2</v>
      </c>
      <c r="AL71" s="73">
        <v>-2.5085518814139118E-2</v>
      </c>
      <c r="AM71" s="73">
        <v>-1.6858237547892729E-2</v>
      </c>
      <c r="AN71" s="73">
        <v>-1.1923076923076925E-2</v>
      </c>
      <c r="AO71" s="72">
        <v>2.5135344160866158E-2</v>
      </c>
      <c r="AP71" s="24">
        <v>2.5135344160866158E-2</v>
      </c>
      <c r="AQ71" s="73">
        <v>4.9512670565302175E-2</v>
      </c>
      <c r="AR71" s="73">
        <v>-0.11925175370226038</v>
      </c>
      <c r="AS71" s="73">
        <v>-8.6025690930323084E-2</v>
      </c>
      <c r="AT71" s="72">
        <v>-9.3926820067898875E-2</v>
      </c>
      <c r="AU71" s="24">
        <v>-9.3926820067898875E-2</v>
      </c>
      <c r="AV71" s="73">
        <v>-9.7325408618127773E-2</v>
      </c>
      <c r="AW71" s="73">
        <v>6.6371681415929196E-2</v>
      </c>
      <c r="AX71" s="73">
        <v>5.4088586030664354E-2</v>
      </c>
      <c r="AY71" s="72">
        <v>5.1207327227310584E-2</v>
      </c>
      <c r="AZ71" s="24">
        <v>5.1207327227310584E-2</v>
      </c>
    </row>
    <row r="72" spans="1:202">
      <c r="A72" s="71" t="s">
        <v>226</v>
      </c>
      <c r="B72" s="24"/>
      <c r="C72" s="73"/>
      <c r="D72" s="73"/>
      <c r="E72" s="73"/>
      <c r="F72" s="73"/>
      <c r="G72" s="24"/>
      <c r="H72" s="73"/>
      <c r="I72" s="73"/>
      <c r="J72" s="73"/>
      <c r="K72" s="72"/>
      <c r="L72" s="24"/>
      <c r="M72" s="73"/>
      <c r="N72" s="73"/>
      <c r="O72" s="73"/>
      <c r="P72" s="72"/>
      <c r="Q72" s="24"/>
      <c r="R72" s="73"/>
      <c r="S72" s="73"/>
      <c r="T72" s="73"/>
      <c r="U72" s="72"/>
      <c r="V72" s="24"/>
      <c r="W72" s="73"/>
      <c r="X72" s="73"/>
      <c r="Y72" s="73"/>
      <c r="Z72" s="72"/>
      <c r="AA72" s="24"/>
      <c r="AB72" s="73"/>
      <c r="AC72" s="73"/>
      <c r="AD72" s="73"/>
      <c r="AE72" s="72"/>
      <c r="AF72" s="24"/>
      <c r="AG72" s="73"/>
      <c r="AH72" s="73"/>
      <c r="AI72" s="73"/>
      <c r="AJ72" s="72"/>
      <c r="AK72" s="24"/>
      <c r="AL72" s="73"/>
      <c r="AM72" s="197">
        <v>1</v>
      </c>
      <c r="AN72" s="197">
        <v>3</v>
      </c>
      <c r="AO72" s="197">
        <v>82</v>
      </c>
      <c r="AP72" s="198"/>
      <c r="AQ72" s="199">
        <v>41</v>
      </c>
      <c r="AR72" s="199">
        <v>-432</v>
      </c>
      <c r="AS72" s="199">
        <v>88</v>
      </c>
      <c r="AT72" s="199">
        <v>54</v>
      </c>
      <c r="AU72" s="200">
        <v>-249</v>
      </c>
      <c r="AV72" s="199">
        <v>28</v>
      </c>
      <c r="AW72" s="199">
        <v>-20</v>
      </c>
      <c r="AX72" s="199">
        <v>65</v>
      </c>
      <c r="AY72" s="199">
        <v>50</v>
      </c>
      <c r="AZ72" s="200">
        <v>123</v>
      </c>
    </row>
    <row r="73" spans="1:202">
      <c r="A73" s="71"/>
      <c r="B73" s="24"/>
      <c r="C73" s="73"/>
      <c r="D73" s="73"/>
      <c r="E73" s="73"/>
      <c r="F73" s="73"/>
      <c r="G73" s="24"/>
      <c r="H73" s="73"/>
      <c r="I73" s="73"/>
      <c r="J73" s="73"/>
      <c r="K73" s="72"/>
      <c r="L73" s="24"/>
      <c r="M73" s="73"/>
      <c r="N73" s="73"/>
      <c r="O73" s="73"/>
      <c r="P73" s="72"/>
      <c r="Q73" s="24"/>
      <c r="R73" s="73"/>
      <c r="S73" s="73"/>
      <c r="T73" s="73"/>
      <c r="U73" s="72"/>
      <c r="V73" s="24"/>
      <c r="W73" s="73"/>
      <c r="X73" s="73"/>
      <c r="Y73" s="73"/>
      <c r="Z73" s="72"/>
      <c r="AA73" s="24"/>
      <c r="AB73" s="73"/>
      <c r="AC73" s="73"/>
      <c r="AD73" s="73"/>
      <c r="AE73" s="72"/>
      <c r="AF73" s="24"/>
      <c r="AG73" s="73"/>
      <c r="AH73" s="73"/>
      <c r="AI73" s="73"/>
      <c r="AJ73" s="72"/>
      <c r="AK73" s="24"/>
      <c r="AL73" s="73"/>
      <c r="AM73" s="73"/>
      <c r="AN73" s="73"/>
      <c r="AO73" s="72"/>
      <c r="AP73" s="24"/>
      <c r="AQ73" s="73"/>
      <c r="AR73" s="73"/>
      <c r="AS73" s="73"/>
      <c r="AT73" s="72"/>
      <c r="AU73" s="24"/>
      <c r="AV73" s="73"/>
      <c r="AW73" s="73"/>
      <c r="AX73" s="73"/>
      <c r="AY73" s="72"/>
      <c r="AZ73" s="24"/>
    </row>
    <row r="74" spans="1:202">
      <c r="A74" s="69" t="s">
        <v>157</v>
      </c>
      <c r="B74" s="102" t="s">
        <v>45</v>
      </c>
      <c r="C74" s="72"/>
      <c r="D74" s="72"/>
      <c r="E74" s="72"/>
      <c r="F74" s="72"/>
      <c r="G74" s="102" t="s">
        <v>45</v>
      </c>
      <c r="H74" s="102" t="s">
        <v>45</v>
      </c>
      <c r="I74" s="102" t="s">
        <v>45</v>
      </c>
      <c r="J74" s="102" t="s">
        <v>45</v>
      </c>
      <c r="K74" s="102" t="s">
        <v>45</v>
      </c>
      <c r="L74" s="102" t="s">
        <v>45</v>
      </c>
      <c r="M74" s="102" t="s">
        <v>45</v>
      </c>
      <c r="N74" s="102" t="s">
        <v>45</v>
      </c>
      <c r="O74" s="102" t="s">
        <v>45</v>
      </c>
      <c r="P74" s="102" t="s">
        <v>45</v>
      </c>
      <c r="Q74" s="102" t="s">
        <v>45</v>
      </c>
      <c r="R74" s="102" t="s">
        <v>45</v>
      </c>
      <c r="S74" s="102" t="s">
        <v>45</v>
      </c>
      <c r="T74" s="102" t="s">
        <v>45</v>
      </c>
      <c r="U74" s="102" t="s">
        <v>45</v>
      </c>
      <c r="V74" s="102" t="s">
        <v>45</v>
      </c>
      <c r="W74" s="72"/>
      <c r="X74" s="72"/>
      <c r="Y74" s="72"/>
      <c r="Z74" s="72"/>
      <c r="AA74" s="102" t="s">
        <v>45</v>
      </c>
      <c r="AB74" s="80" t="s">
        <v>53</v>
      </c>
      <c r="AC74" s="80" t="s">
        <v>53</v>
      </c>
      <c r="AD74" s="80" t="s">
        <v>53</v>
      </c>
      <c r="AE74" s="80" t="s">
        <v>53</v>
      </c>
      <c r="AF74" s="102" t="s">
        <v>45</v>
      </c>
      <c r="AG74" s="80" t="s">
        <v>53</v>
      </c>
      <c r="AH74" s="80" t="s">
        <v>53</v>
      </c>
      <c r="AI74" s="80" t="s">
        <v>53</v>
      </c>
      <c r="AJ74" s="70">
        <v>836</v>
      </c>
      <c r="AK74" s="91">
        <v>836</v>
      </c>
      <c r="AL74" s="80" t="s">
        <v>53</v>
      </c>
      <c r="AM74" s="80" t="s">
        <v>53</v>
      </c>
      <c r="AN74" s="80" t="s">
        <v>53</v>
      </c>
      <c r="AO74" s="70">
        <v>925</v>
      </c>
      <c r="AP74" s="91">
        <v>925</v>
      </c>
      <c r="AQ74" s="80" t="s">
        <v>53</v>
      </c>
      <c r="AR74" s="80" t="s">
        <v>53</v>
      </c>
      <c r="AS74" s="80" t="s">
        <v>53</v>
      </c>
      <c r="AT74" s="70">
        <v>733</v>
      </c>
      <c r="AU74" s="91">
        <v>733</v>
      </c>
      <c r="AV74" s="80" t="s">
        <v>53</v>
      </c>
      <c r="AW74" s="80" t="s">
        <v>53</v>
      </c>
      <c r="AX74" s="80" t="s">
        <v>53</v>
      </c>
      <c r="AY74" s="70">
        <v>770</v>
      </c>
      <c r="AZ74" s="91">
        <v>770</v>
      </c>
    </row>
    <row r="75" spans="1:202" hidden="1">
      <c r="A75" s="71" t="s">
        <v>7</v>
      </c>
      <c r="B75" s="38">
        <v>354</v>
      </c>
      <c r="C75" s="69">
        <v>355</v>
      </c>
      <c r="D75" s="69">
        <v>358</v>
      </c>
      <c r="E75" s="69">
        <v>359</v>
      </c>
      <c r="F75" s="69">
        <v>335</v>
      </c>
      <c r="G75" s="38">
        <v>352</v>
      </c>
      <c r="H75" s="69">
        <v>323</v>
      </c>
      <c r="I75" s="69">
        <v>329</v>
      </c>
      <c r="J75" s="69">
        <v>339</v>
      </c>
      <c r="K75" s="70">
        <v>339</v>
      </c>
      <c r="L75" s="28">
        <v>333</v>
      </c>
      <c r="M75" s="69">
        <v>336</v>
      </c>
      <c r="N75" s="69">
        <v>348</v>
      </c>
      <c r="O75" s="69">
        <v>347</v>
      </c>
      <c r="P75" s="70">
        <v>364</v>
      </c>
      <c r="Q75" s="28">
        <v>349</v>
      </c>
      <c r="R75" s="69">
        <v>359</v>
      </c>
      <c r="S75" s="69">
        <v>370</v>
      </c>
      <c r="T75" s="69">
        <v>385</v>
      </c>
      <c r="U75" s="70">
        <v>384</v>
      </c>
      <c r="V75" s="28">
        <v>375</v>
      </c>
      <c r="W75" s="69">
        <v>399</v>
      </c>
      <c r="X75" s="69">
        <v>409</v>
      </c>
      <c r="Y75" s="69">
        <v>425</v>
      </c>
      <c r="Z75" s="70">
        <v>442</v>
      </c>
      <c r="AA75" s="28">
        <v>419</v>
      </c>
      <c r="AB75" s="69">
        <v>440</v>
      </c>
      <c r="AC75" s="69">
        <v>467</v>
      </c>
      <c r="AD75" s="69">
        <v>459</v>
      </c>
      <c r="AE75" s="70">
        <v>484</v>
      </c>
      <c r="AF75" s="28">
        <v>462</v>
      </c>
      <c r="AG75" s="69"/>
      <c r="AH75" s="69">
        <v>467</v>
      </c>
      <c r="AI75" s="69">
        <v>467</v>
      </c>
      <c r="AJ75" s="70">
        <v>484</v>
      </c>
      <c r="AK75" s="28">
        <v>462</v>
      </c>
      <c r="AL75" s="69"/>
      <c r="AM75" s="69">
        <v>467</v>
      </c>
      <c r="AN75" s="69">
        <v>467</v>
      </c>
      <c r="AO75" s="70">
        <v>484</v>
      </c>
      <c r="AP75" s="28">
        <v>462</v>
      </c>
      <c r="AQ75" s="69"/>
      <c r="AR75" s="69">
        <v>467</v>
      </c>
      <c r="AS75" s="69">
        <v>467</v>
      </c>
      <c r="AT75" s="70">
        <v>484</v>
      </c>
      <c r="AU75" s="28">
        <v>462</v>
      </c>
      <c r="AV75" s="69"/>
      <c r="AW75" s="69"/>
      <c r="AX75" s="69"/>
      <c r="AY75" s="70">
        <v>484</v>
      </c>
      <c r="AZ75" s="28">
        <v>462</v>
      </c>
    </row>
    <row r="76" spans="1:202" hidden="1">
      <c r="A76" s="71" t="s">
        <v>8</v>
      </c>
      <c r="B76" s="24"/>
      <c r="C76" s="72"/>
      <c r="D76" s="72">
        <v>8.4507042253521014E-3</v>
      </c>
      <c r="E76" s="72">
        <v>2.7932960893854997E-3</v>
      </c>
      <c r="F76" s="72">
        <v>-6.6852367688022274E-2</v>
      </c>
      <c r="G76" s="24"/>
      <c r="H76" s="72">
        <v>-3.5820895522388096E-2</v>
      </c>
      <c r="I76" s="72">
        <v>1.8575851393188847E-2</v>
      </c>
      <c r="J76" s="72">
        <v>3.039513677811545E-2</v>
      </c>
      <c r="K76" s="72">
        <v>0</v>
      </c>
      <c r="L76" s="27"/>
      <c r="M76" s="72">
        <v>-8.8495575221239076E-3</v>
      </c>
      <c r="N76" s="72">
        <v>3.5714285714285809E-2</v>
      </c>
      <c r="O76" s="72">
        <v>-2.8735632183908288E-3</v>
      </c>
      <c r="P76" s="72">
        <v>4.8991354466858761E-2</v>
      </c>
      <c r="Q76" s="27"/>
      <c r="R76" s="72">
        <v>-1.3736263736263687E-2</v>
      </c>
      <c r="S76" s="72">
        <v>3.0640668523676862E-2</v>
      </c>
      <c r="T76" s="72">
        <v>4.0540540540540571E-2</v>
      </c>
      <c r="U76" s="72">
        <v>-2.5974025974025983E-3</v>
      </c>
      <c r="V76" s="27"/>
      <c r="W76" s="72">
        <v>3.90625E-2</v>
      </c>
      <c r="X76" s="72">
        <v>2.506265664160412E-2</v>
      </c>
      <c r="Y76" s="72">
        <v>3.9119804400977953E-2</v>
      </c>
      <c r="Z76" s="72">
        <v>4.0000000000000036E-2</v>
      </c>
      <c r="AA76" s="27"/>
      <c r="AB76" s="72">
        <v>-4.5248868778280382E-3</v>
      </c>
      <c r="AC76" s="72">
        <v>6.1363636363636287E-2</v>
      </c>
      <c r="AD76" s="72">
        <v>-1.7130620985010725E-2</v>
      </c>
      <c r="AE76" s="72">
        <v>5.4466230936819127E-2</v>
      </c>
      <c r="AF76" s="27"/>
      <c r="AG76" s="72">
        <v>-1</v>
      </c>
      <c r="AH76" s="72" t="e">
        <v>#DIV/0!</v>
      </c>
      <c r="AI76" s="72">
        <v>0</v>
      </c>
      <c r="AJ76" s="72">
        <v>3.6402569593147804E-2</v>
      </c>
      <c r="AK76" s="27"/>
      <c r="AL76" s="72">
        <v>-1</v>
      </c>
      <c r="AM76" s="72" t="e">
        <v>#DIV/0!</v>
      </c>
      <c r="AN76" s="72">
        <v>0</v>
      </c>
      <c r="AO76" s="72">
        <v>3.6402569593147804E-2</v>
      </c>
      <c r="AP76" s="27"/>
      <c r="AQ76" s="72">
        <v>-1</v>
      </c>
      <c r="AR76" s="72" t="e">
        <v>#DIV/0!</v>
      </c>
      <c r="AS76" s="72">
        <v>0</v>
      </c>
      <c r="AT76" s="72">
        <v>3.6402569593147804E-2</v>
      </c>
      <c r="AU76" s="27"/>
      <c r="AV76" s="72">
        <v>-1</v>
      </c>
      <c r="AW76" s="72">
        <v>-1</v>
      </c>
      <c r="AX76" s="72" t="e">
        <v>#DIV/0!</v>
      </c>
      <c r="AY76" s="72" t="e">
        <v>#DIV/0!</v>
      </c>
      <c r="AZ76" s="27"/>
    </row>
    <row r="77" spans="1:202" hidden="1">
      <c r="A77" s="71" t="s">
        <v>8</v>
      </c>
      <c r="B77" s="24"/>
      <c r="C77" s="73"/>
      <c r="D77" s="73"/>
      <c r="E77" s="73"/>
      <c r="F77" s="73"/>
      <c r="G77" s="24">
        <v>-5.6497175141242417E-3</v>
      </c>
      <c r="H77" s="73">
        <v>-9.0140845070422526E-2</v>
      </c>
      <c r="I77" s="73">
        <v>-8.1005586592178824E-2</v>
      </c>
      <c r="J77" s="73">
        <v>-5.5710306406685284E-2</v>
      </c>
      <c r="K77" s="72">
        <v>1.1940298507462588E-2</v>
      </c>
      <c r="L77" s="24">
        <v>-5.3977272727272707E-2</v>
      </c>
      <c r="M77" s="73">
        <v>4.0247678018575872E-2</v>
      </c>
      <c r="N77" s="73">
        <v>5.7750759878419489E-2</v>
      </c>
      <c r="O77" s="73">
        <v>2.3598820058997161E-2</v>
      </c>
      <c r="P77" s="72">
        <v>7.3746312684365822E-2</v>
      </c>
      <c r="Q77" s="24">
        <v>4.8048048048048075E-2</v>
      </c>
      <c r="R77" s="73">
        <v>6.8452380952380931E-2</v>
      </c>
      <c r="S77" s="73">
        <v>6.321839080459779E-2</v>
      </c>
      <c r="T77" s="73">
        <v>0.10951008645533133</v>
      </c>
      <c r="U77" s="72">
        <v>5.4945054945054972E-2</v>
      </c>
      <c r="V77" s="24">
        <v>7.4498567335243626E-2</v>
      </c>
      <c r="W77" s="73">
        <v>0.11142061281337057</v>
      </c>
      <c r="X77" s="73">
        <v>0.10540540540540544</v>
      </c>
      <c r="Y77" s="73">
        <v>0.10389610389610393</v>
      </c>
      <c r="Z77" s="72">
        <v>0.15104166666666674</v>
      </c>
      <c r="AA77" s="24">
        <v>0.11733333333333329</v>
      </c>
      <c r="AB77" s="73">
        <v>0.10275689223057638</v>
      </c>
      <c r="AC77" s="73">
        <v>0.14180929095354533</v>
      </c>
      <c r="AD77" s="73">
        <v>8.0000000000000071E-2</v>
      </c>
      <c r="AE77" s="72">
        <v>9.5022624434389247E-2</v>
      </c>
      <c r="AF77" s="24">
        <v>0.10262529832935563</v>
      </c>
      <c r="AG77" s="73">
        <v>-1</v>
      </c>
      <c r="AH77" s="73">
        <v>0</v>
      </c>
      <c r="AI77" s="73">
        <v>1.7429193899782147E-2</v>
      </c>
      <c r="AJ77" s="72">
        <v>0</v>
      </c>
      <c r="AK77" s="24">
        <v>0</v>
      </c>
      <c r="AL77" s="73" t="e">
        <v>#DIV/0!</v>
      </c>
      <c r="AM77" s="73">
        <v>0</v>
      </c>
      <c r="AN77" s="73">
        <v>0</v>
      </c>
      <c r="AO77" s="72">
        <v>0</v>
      </c>
      <c r="AP77" s="24">
        <v>0</v>
      </c>
      <c r="AQ77" s="73" t="e">
        <v>#DIV/0!</v>
      </c>
      <c r="AR77" s="73">
        <v>0</v>
      </c>
      <c r="AS77" s="73">
        <v>0</v>
      </c>
      <c r="AT77" s="72">
        <v>0</v>
      </c>
      <c r="AU77" s="24">
        <v>0</v>
      </c>
      <c r="AV77" s="73" t="e">
        <v>#DIV/0!</v>
      </c>
      <c r="AW77" s="73">
        <v>-1</v>
      </c>
      <c r="AX77" s="73">
        <v>-1</v>
      </c>
      <c r="AY77" s="72">
        <v>0</v>
      </c>
      <c r="AZ77" s="24">
        <v>0</v>
      </c>
    </row>
    <row r="78" spans="1:202" hidden="1">
      <c r="A78" s="71"/>
      <c r="B78" s="24"/>
      <c r="C78" s="73"/>
      <c r="D78" s="73"/>
      <c r="E78" s="73"/>
      <c r="F78" s="73"/>
      <c r="G78" s="24"/>
      <c r="H78" s="73"/>
      <c r="I78" s="73"/>
      <c r="J78" s="73"/>
      <c r="K78" s="72"/>
      <c r="L78" s="24"/>
      <c r="M78" s="73"/>
      <c r="N78" s="73"/>
      <c r="O78" s="73"/>
      <c r="P78" s="72"/>
      <c r="Q78" s="28"/>
      <c r="R78" s="73"/>
      <c r="S78" s="73"/>
      <c r="T78" s="73"/>
      <c r="U78" s="72"/>
      <c r="V78" s="24"/>
      <c r="W78" s="73"/>
      <c r="X78" s="73"/>
      <c r="Y78" s="73"/>
      <c r="Z78" s="72"/>
      <c r="AA78" s="24"/>
      <c r="AB78" s="73"/>
      <c r="AC78" s="73"/>
      <c r="AD78" s="73"/>
      <c r="AE78" s="72"/>
      <c r="AF78" s="24"/>
      <c r="AG78" s="73"/>
      <c r="AH78" s="73"/>
      <c r="AI78" s="73"/>
      <c r="AJ78" s="72"/>
      <c r="AK78" s="24"/>
      <c r="AL78" s="73"/>
      <c r="AM78" s="73"/>
      <c r="AN78" s="73"/>
      <c r="AO78" s="72"/>
      <c r="AP78" s="24"/>
      <c r="AQ78" s="73"/>
      <c r="AR78" s="73"/>
      <c r="AS78" s="73"/>
      <c r="AT78" s="72"/>
      <c r="AU78" s="24"/>
      <c r="AV78" s="73"/>
      <c r="AW78" s="73"/>
      <c r="AX78" s="73"/>
      <c r="AY78" s="72"/>
      <c r="AZ78" s="24"/>
    </row>
    <row r="79" spans="1:202">
      <c r="A79" s="71" t="s">
        <v>8</v>
      </c>
      <c r="B79" s="24"/>
      <c r="C79" s="73"/>
      <c r="D79" s="73"/>
      <c r="E79" s="73"/>
      <c r="F79" s="73"/>
      <c r="G79" s="24"/>
      <c r="H79" s="73"/>
      <c r="I79" s="73"/>
      <c r="J79" s="73"/>
      <c r="K79" s="72"/>
      <c r="L79" s="24"/>
      <c r="M79" s="73"/>
      <c r="N79" s="73"/>
      <c r="O79" s="73"/>
      <c r="P79" s="72"/>
      <c r="Q79" s="28"/>
      <c r="R79" s="73"/>
      <c r="S79" s="73"/>
      <c r="T79" s="73"/>
      <c r="U79" s="72"/>
      <c r="V79" s="24"/>
      <c r="W79" s="73"/>
      <c r="X79" s="73"/>
      <c r="Y79" s="73"/>
      <c r="Z79" s="72"/>
      <c r="AA79" s="24"/>
      <c r="AB79" s="73"/>
      <c r="AC79" s="73"/>
      <c r="AD79" s="73"/>
      <c r="AE79" s="72"/>
      <c r="AF79" s="24"/>
      <c r="AG79" s="73"/>
      <c r="AH79" s="73"/>
      <c r="AI79" s="73"/>
      <c r="AJ79" s="72"/>
      <c r="AK79" s="24"/>
      <c r="AL79" s="73"/>
      <c r="AM79" s="73"/>
      <c r="AN79" s="73"/>
      <c r="AO79" s="72"/>
      <c r="AP79" s="24">
        <v>0.10645933014354059</v>
      </c>
      <c r="AQ79" s="73"/>
      <c r="AR79" s="73"/>
      <c r="AS79" s="73"/>
      <c r="AT79" s="72"/>
      <c r="AU79" s="24">
        <v>-0.20756756756756756</v>
      </c>
      <c r="AV79" s="73"/>
      <c r="AW79" s="73"/>
      <c r="AX79" s="73"/>
      <c r="AY79" s="72"/>
      <c r="AZ79" s="24">
        <v>5.0477489768076422E-2</v>
      </c>
    </row>
    <row r="80" spans="1:202">
      <c r="A80" s="69" t="s">
        <v>80</v>
      </c>
      <c r="B80" s="102" t="s">
        <v>53</v>
      </c>
      <c r="C80" s="80" t="s">
        <v>53</v>
      </c>
      <c r="D80" s="80" t="s">
        <v>53</v>
      </c>
      <c r="E80" s="80" t="s">
        <v>53</v>
      </c>
      <c r="F80" s="80" t="s">
        <v>53</v>
      </c>
      <c r="G80" s="102" t="s">
        <v>53</v>
      </c>
      <c r="H80" s="80" t="s">
        <v>53</v>
      </c>
      <c r="I80" s="80" t="s">
        <v>53</v>
      </c>
      <c r="J80" s="80" t="s">
        <v>53</v>
      </c>
      <c r="K80" s="80" t="s">
        <v>53</v>
      </c>
      <c r="L80" s="102" t="s">
        <v>53</v>
      </c>
      <c r="M80" s="69">
        <v>110</v>
      </c>
      <c r="N80" s="69">
        <v>111</v>
      </c>
      <c r="O80" s="69">
        <v>113</v>
      </c>
      <c r="P80" s="70">
        <v>109</v>
      </c>
      <c r="Q80" s="28">
        <v>111</v>
      </c>
      <c r="R80" s="69">
        <v>110</v>
      </c>
      <c r="S80" s="69">
        <v>109</v>
      </c>
      <c r="T80" s="69">
        <v>107</v>
      </c>
      <c r="U80" s="70">
        <v>100</v>
      </c>
      <c r="V80" s="28">
        <v>107</v>
      </c>
      <c r="W80" s="69">
        <v>97</v>
      </c>
      <c r="X80" s="69">
        <v>99</v>
      </c>
      <c r="Y80" s="69">
        <v>95</v>
      </c>
      <c r="Z80" s="70">
        <v>89</v>
      </c>
      <c r="AA80" s="28">
        <v>95</v>
      </c>
      <c r="AB80" s="69">
        <v>86</v>
      </c>
      <c r="AC80" s="69">
        <v>85</v>
      </c>
      <c r="AD80" s="69">
        <v>88</v>
      </c>
      <c r="AE80" s="70">
        <v>86</v>
      </c>
      <c r="AF80" s="28">
        <v>86</v>
      </c>
      <c r="AG80" s="69">
        <v>80</v>
      </c>
      <c r="AH80" s="69">
        <v>79</v>
      </c>
      <c r="AI80" s="69">
        <v>78</v>
      </c>
      <c r="AJ80" s="70">
        <v>75</v>
      </c>
      <c r="AK80" s="28">
        <v>78</v>
      </c>
      <c r="AL80" s="69">
        <v>65</v>
      </c>
      <c r="AM80" s="69">
        <v>65</v>
      </c>
      <c r="AN80" s="69">
        <v>68</v>
      </c>
      <c r="AO80" s="70">
        <v>60</v>
      </c>
      <c r="AP80" s="28">
        <v>64</v>
      </c>
      <c r="AQ80" s="69">
        <v>57</v>
      </c>
      <c r="AR80" s="69">
        <v>68</v>
      </c>
      <c r="AS80" s="69">
        <v>68</v>
      </c>
      <c r="AT80" s="70">
        <v>62</v>
      </c>
      <c r="AU80" s="28">
        <v>63</v>
      </c>
      <c r="AV80" s="69">
        <v>60</v>
      </c>
      <c r="AW80" s="69">
        <v>61</v>
      </c>
      <c r="AX80" s="69">
        <v>63</v>
      </c>
      <c r="AY80" s="70">
        <v>58</v>
      </c>
      <c r="AZ80" s="28">
        <v>61</v>
      </c>
    </row>
    <row r="81" spans="1:202">
      <c r="A81" s="71" t="s">
        <v>7</v>
      </c>
      <c r="B81" s="24"/>
      <c r="C81" s="72"/>
      <c r="D81" s="72"/>
      <c r="E81" s="72"/>
      <c r="F81" s="72"/>
      <c r="G81" s="24"/>
      <c r="H81" s="72"/>
      <c r="I81" s="72"/>
      <c r="J81" s="72"/>
      <c r="K81" s="72"/>
      <c r="L81" s="27"/>
      <c r="M81" s="72"/>
      <c r="N81" s="72">
        <v>9.0909090909090384E-3</v>
      </c>
      <c r="O81" s="72">
        <v>1.8018018018018056E-2</v>
      </c>
      <c r="P81" s="72">
        <v>-3.539823008849563E-2</v>
      </c>
      <c r="Q81" s="27"/>
      <c r="R81" s="72">
        <v>9.1743119266054496E-3</v>
      </c>
      <c r="S81" s="72">
        <v>-9.0909090909090384E-3</v>
      </c>
      <c r="T81" s="72">
        <v>-1.834862385321101E-2</v>
      </c>
      <c r="U81" s="72">
        <v>-6.5420560747663559E-2</v>
      </c>
      <c r="V81" s="27"/>
      <c r="W81" s="72">
        <v>-3.0000000000000027E-2</v>
      </c>
      <c r="X81" s="72">
        <v>2.0618556701030855E-2</v>
      </c>
      <c r="Y81" s="72">
        <v>-4.0404040404040442E-2</v>
      </c>
      <c r="Z81" s="72">
        <v>-6.315789473684208E-2</v>
      </c>
      <c r="AA81" s="27"/>
      <c r="AB81" s="72">
        <v>-3.3707865168539297E-2</v>
      </c>
      <c r="AC81" s="72">
        <v>-1.1627906976744207E-2</v>
      </c>
      <c r="AD81" s="72">
        <v>3.529411764705892E-2</v>
      </c>
      <c r="AE81" s="72">
        <v>-2.2727272727272707E-2</v>
      </c>
      <c r="AF81" s="27"/>
      <c r="AG81" s="72">
        <v>-6.9767441860465129E-2</v>
      </c>
      <c r="AH81" s="72">
        <v>-1.2499999999999956E-2</v>
      </c>
      <c r="AI81" s="72">
        <v>-1.2658227848101222E-2</v>
      </c>
      <c r="AJ81" s="72">
        <v>-3.8461538461538436E-2</v>
      </c>
      <c r="AK81" s="27"/>
      <c r="AL81" s="72">
        <v>-0.1333333333333333</v>
      </c>
      <c r="AM81" s="72">
        <v>0</v>
      </c>
      <c r="AN81" s="72">
        <v>4.6153846153846212E-2</v>
      </c>
      <c r="AO81" s="72">
        <v>-0.11764705882352944</v>
      </c>
      <c r="AP81" s="27"/>
      <c r="AQ81" s="72">
        <v>-5.0000000000000044E-2</v>
      </c>
      <c r="AR81" s="72">
        <v>0.19298245614035081</v>
      </c>
      <c r="AS81" s="72">
        <v>0</v>
      </c>
      <c r="AT81" s="72">
        <v>-8.8235294117647078E-2</v>
      </c>
      <c r="AU81" s="27"/>
      <c r="AV81" s="72">
        <v>-3.2258064516129004E-2</v>
      </c>
      <c r="AW81" s="72">
        <v>1.6666666666666607E-2</v>
      </c>
      <c r="AX81" s="72">
        <v>3.2786885245901676E-2</v>
      </c>
      <c r="AY81" s="72">
        <v>-7.9365079365079416E-2</v>
      </c>
      <c r="AZ81" s="27"/>
    </row>
    <row r="82" spans="1:202">
      <c r="A82" s="71" t="s">
        <v>8</v>
      </c>
      <c r="B82" s="24"/>
      <c r="C82" s="73"/>
      <c r="D82" s="73"/>
      <c r="E82" s="73"/>
      <c r="F82" s="73"/>
      <c r="G82" s="24"/>
      <c r="H82" s="73"/>
      <c r="I82" s="73"/>
      <c r="J82" s="73"/>
      <c r="K82" s="72"/>
      <c r="L82" s="24"/>
      <c r="M82" s="73"/>
      <c r="N82" s="73"/>
      <c r="O82" s="73"/>
      <c r="P82" s="72"/>
      <c r="Q82" s="24"/>
      <c r="R82" s="73">
        <v>0</v>
      </c>
      <c r="S82" s="73">
        <v>-1.8018018018018056E-2</v>
      </c>
      <c r="T82" s="73">
        <v>-5.3097345132743334E-2</v>
      </c>
      <c r="U82" s="72">
        <v>-8.256880733944949E-2</v>
      </c>
      <c r="V82" s="24">
        <v>-3.6036036036036001E-2</v>
      </c>
      <c r="W82" s="73">
        <v>-0.11818181818181817</v>
      </c>
      <c r="X82" s="73">
        <v>-9.1743119266055051E-2</v>
      </c>
      <c r="Y82" s="73">
        <v>-0.11214953271028039</v>
      </c>
      <c r="Z82" s="72">
        <v>-0.10999999999999999</v>
      </c>
      <c r="AA82" s="24">
        <v>-0.11214953271028039</v>
      </c>
      <c r="AB82" s="73">
        <v>-0.11340206185567014</v>
      </c>
      <c r="AC82" s="73">
        <v>-0.14141414141414144</v>
      </c>
      <c r="AD82" s="73">
        <v>-7.3684210526315796E-2</v>
      </c>
      <c r="AE82" s="72">
        <v>-3.3707865168539297E-2</v>
      </c>
      <c r="AF82" s="24">
        <v>-9.4736842105263119E-2</v>
      </c>
      <c r="AG82" s="73">
        <v>-6.9767441860465129E-2</v>
      </c>
      <c r="AH82" s="73">
        <v>-7.0588235294117618E-2</v>
      </c>
      <c r="AI82" s="73">
        <v>-0.11363636363636365</v>
      </c>
      <c r="AJ82" s="72">
        <v>-0.12790697674418605</v>
      </c>
      <c r="AK82" s="24">
        <v>-9.3023255813953543E-2</v>
      </c>
      <c r="AL82" s="73">
        <v>-0.1875</v>
      </c>
      <c r="AM82" s="73">
        <v>-0.17721518987341767</v>
      </c>
      <c r="AN82" s="73">
        <v>-0.12820512820512819</v>
      </c>
      <c r="AO82" s="72">
        <v>-0.19999999999999996</v>
      </c>
      <c r="AP82" s="24">
        <v>-0.17948717948717952</v>
      </c>
      <c r="AQ82" s="73">
        <v>-0.12307692307692308</v>
      </c>
      <c r="AR82" s="73">
        <v>4.6153846153846212E-2</v>
      </c>
      <c r="AS82" s="73">
        <v>0</v>
      </c>
      <c r="AT82" s="72">
        <v>3.3333333333333437E-2</v>
      </c>
      <c r="AU82" s="24">
        <v>-1.5625E-2</v>
      </c>
      <c r="AV82" s="73">
        <v>5.2631578947368363E-2</v>
      </c>
      <c r="AW82" s="73">
        <v>-0.1029411764705882</v>
      </c>
      <c r="AX82" s="73">
        <v>-7.3529411764705843E-2</v>
      </c>
      <c r="AY82" s="72">
        <v>-6.4516129032258118E-2</v>
      </c>
      <c r="AZ82" s="24">
        <v>-3.1746031746031744E-2</v>
      </c>
    </row>
    <row r="83" spans="1:202" ht="15.6">
      <c r="A83" s="163"/>
      <c r="B83" s="24"/>
      <c r="C83" s="73"/>
      <c r="D83" s="73"/>
      <c r="E83" s="73"/>
      <c r="F83" s="73"/>
      <c r="G83" s="24"/>
      <c r="H83" s="73"/>
      <c r="I83" s="73"/>
      <c r="J83" s="73"/>
      <c r="K83" s="72"/>
      <c r="L83" s="24"/>
      <c r="M83" s="73"/>
      <c r="N83" s="73"/>
      <c r="O83" s="73"/>
      <c r="P83" s="72"/>
      <c r="Q83" s="24"/>
      <c r="R83" s="73"/>
      <c r="S83" s="73"/>
      <c r="T83" s="73"/>
      <c r="U83" s="72"/>
      <c r="V83" s="24"/>
      <c r="W83" s="73"/>
      <c r="X83" s="73"/>
      <c r="Y83" s="73"/>
      <c r="Z83" s="72"/>
      <c r="AA83" s="24"/>
      <c r="AB83" s="73"/>
      <c r="AC83" s="73"/>
      <c r="AD83" s="73"/>
      <c r="AE83" s="72"/>
      <c r="AF83" s="24"/>
      <c r="AG83" s="73"/>
      <c r="AH83" s="73"/>
      <c r="AI83" s="73"/>
      <c r="AJ83" s="72"/>
      <c r="AK83" s="24"/>
      <c r="AL83" s="73"/>
      <c r="AM83" s="73"/>
      <c r="AN83" s="73"/>
      <c r="AO83" s="72"/>
      <c r="AP83" s="24"/>
      <c r="AQ83" s="73"/>
      <c r="AR83" s="73"/>
      <c r="AS83" s="73"/>
      <c r="AT83" s="72"/>
      <c r="AU83" s="24"/>
      <c r="AV83" s="73"/>
      <c r="AW83" s="73"/>
      <c r="AX83" s="73"/>
      <c r="AY83" s="72"/>
      <c r="AZ83" s="24"/>
    </row>
    <row r="84" spans="1:202">
      <c r="A84" s="69" t="s">
        <v>169</v>
      </c>
      <c r="B84" s="99" t="s">
        <v>53</v>
      </c>
      <c r="C84" s="80" t="s">
        <v>53</v>
      </c>
      <c r="D84" s="80" t="s">
        <v>53</v>
      </c>
      <c r="E84" s="80" t="s">
        <v>53</v>
      </c>
      <c r="F84" s="80" t="s">
        <v>53</v>
      </c>
      <c r="G84" s="99" t="s">
        <v>53</v>
      </c>
      <c r="H84" s="90">
        <v>3.3000000000000002E-2</v>
      </c>
      <c r="I84" s="90">
        <v>3.3000000000000002E-2</v>
      </c>
      <c r="J84" s="90">
        <v>3.7999999999999999E-2</v>
      </c>
      <c r="K84" s="90">
        <v>3.4000000000000002E-2</v>
      </c>
      <c r="L84" s="56">
        <v>0.13800000000000001</v>
      </c>
      <c r="M84" s="90">
        <v>3.9E-2</v>
      </c>
      <c r="N84" s="90">
        <v>3.9E-2</v>
      </c>
      <c r="O84" s="90">
        <v>3.5000000000000003E-2</v>
      </c>
      <c r="P84" s="90">
        <v>3.9E-2</v>
      </c>
      <c r="Q84" s="56">
        <v>0.153</v>
      </c>
      <c r="R84" s="90">
        <v>0.05</v>
      </c>
      <c r="S84" s="90">
        <v>6.6000000000000003E-2</v>
      </c>
      <c r="T84" s="90">
        <v>6.0999999999999999E-2</v>
      </c>
      <c r="U84" s="90">
        <v>5.2999999999999999E-2</v>
      </c>
      <c r="V84" s="56">
        <v>0.22900000000000001</v>
      </c>
      <c r="W84" s="90">
        <v>3.9E-2</v>
      </c>
      <c r="X84" s="90">
        <v>0.06</v>
      </c>
      <c r="Y84" s="90">
        <v>6.7000000000000004E-2</v>
      </c>
      <c r="Z84" s="90">
        <v>5.8999999999999997E-2</v>
      </c>
      <c r="AA84" s="56">
        <v>0.224</v>
      </c>
      <c r="AB84" s="90">
        <v>7.1999999999999995E-2</v>
      </c>
      <c r="AC84" s="90">
        <v>6.9000000000000006E-2</v>
      </c>
      <c r="AD84" s="90">
        <v>6.2E-2</v>
      </c>
      <c r="AE84" s="90">
        <v>8.3000000000000004E-2</v>
      </c>
      <c r="AF84" s="56">
        <v>0.28599999999999998</v>
      </c>
      <c r="AG84" s="90">
        <v>7.5999999999999998E-2</v>
      </c>
      <c r="AH84" s="90">
        <v>6.5000000000000002E-2</v>
      </c>
      <c r="AI84" s="90">
        <v>7.2999999999999995E-2</v>
      </c>
      <c r="AJ84" s="90">
        <v>6.6000000000000003E-2</v>
      </c>
      <c r="AK84" s="56">
        <v>0.28000000000000003</v>
      </c>
      <c r="AL84" s="90">
        <v>6.5000000000000002E-2</v>
      </c>
      <c r="AM84" s="90">
        <v>6.0999999999999999E-2</v>
      </c>
      <c r="AN84" s="90">
        <v>6.4000000000000001E-2</v>
      </c>
      <c r="AO84" s="166">
        <v>6.7000000000000004E-2</v>
      </c>
      <c r="AP84" s="56">
        <v>0.25800000000000001</v>
      </c>
      <c r="AQ84" s="90">
        <v>5.1999999999999998E-2</v>
      </c>
      <c r="AR84" s="90">
        <v>6.2E-2</v>
      </c>
      <c r="AS84" s="90">
        <v>6.0999999999999999E-2</v>
      </c>
      <c r="AT84" s="90">
        <v>6.3E-2</v>
      </c>
      <c r="AU84" s="56">
        <v>0.23699999999999999</v>
      </c>
      <c r="AV84" s="90">
        <v>7.9000000000000001E-2</v>
      </c>
      <c r="AW84" s="90">
        <v>6.3E-2</v>
      </c>
      <c r="AX84" s="90">
        <v>7.0999999999999994E-2</v>
      </c>
      <c r="AY84" s="90">
        <v>6.9000000000000006E-2</v>
      </c>
      <c r="AZ84" s="56">
        <v>0.28199999999999997</v>
      </c>
    </row>
    <row r="85" spans="1:202">
      <c r="A85" s="69"/>
      <c r="B85" s="99"/>
      <c r="C85" s="80"/>
      <c r="D85" s="80"/>
      <c r="E85" s="80"/>
      <c r="F85" s="80"/>
      <c r="G85" s="99"/>
      <c r="H85" s="90"/>
      <c r="I85" s="90"/>
      <c r="J85" s="90"/>
      <c r="K85" s="90"/>
      <c r="L85" s="56"/>
      <c r="M85" s="90"/>
      <c r="N85" s="90"/>
      <c r="O85" s="90"/>
      <c r="P85" s="90"/>
      <c r="Q85" s="56"/>
      <c r="R85" s="90"/>
      <c r="S85" s="90"/>
      <c r="T85" s="90"/>
      <c r="U85" s="90"/>
      <c r="V85" s="56"/>
      <c r="W85" s="90"/>
      <c r="X85" s="90"/>
      <c r="Y85" s="90"/>
      <c r="Z85" s="90"/>
      <c r="AA85" s="56"/>
      <c r="AB85" s="90"/>
      <c r="AC85" s="90"/>
      <c r="AD85" s="90"/>
      <c r="AE85" s="90"/>
      <c r="AF85" s="56"/>
      <c r="AG85" s="90"/>
      <c r="AH85" s="90"/>
      <c r="AI85" s="90"/>
      <c r="AJ85" s="90"/>
      <c r="AK85" s="56"/>
      <c r="AL85" s="90"/>
      <c r="AM85" s="90"/>
      <c r="AN85" s="90"/>
      <c r="AO85" s="90"/>
      <c r="AP85" s="56"/>
      <c r="AQ85" s="90"/>
      <c r="AR85" s="90"/>
      <c r="AS85" s="90"/>
      <c r="AT85" s="90"/>
      <c r="AU85" s="56"/>
      <c r="AV85" s="90"/>
      <c r="AW85" s="90"/>
      <c r="AX85" s="90"/>
      <c r="AY85" s="90"/>
      <c r="AZ85" s="56"/>
    </row>
    <row r="86" spans="1:202">
      <c r="A86" s="36" t="s">
        <v>18</v>
      </c>
      <c r="B86" s="142"/>
      <c r="C86" s="80"/>
      <c r="D86" s="80"/>
      <c r="E86" s="80"/>
      <c r="F86" s="80"/>
      <c r="G86" s="99" t="s">
        <v>53</v>
      </c>
      <c r="H86" s="90"/>
      <c r="I86" s="90"/>
      <c r="J86" s="90"/>
      <c r="K86" s="90"/>
      <c r="L86" s="99" t="s">
        <v>53</v>
      </c>
      <c r="M86" s="90"/>
      <c r="N86" s="90"/>
      <c r="O86" s="90"/>
      <c r="P86" s="90"/>
      <c r="Q86" s="99" t="s">
        <v>53</v>
      </c>
      <c r="R86" s="120" t="s">
        <v>45</v>
      </c>
      <c r="S86" s="120" t="s">
        <v>45</v>
      </c>
      <c r="T86" s="120" t="s">
        <v>45</v>
      </c>
      <c r="U86" s="120" t="s">
        <v>45</v>
      </c>
      <c r="V86" s="99" t="s">
        <v>53</v>
      </c>
      <c r="W86" s="120" t="s">
        <v>45</v>
      </c>
      <c r="X86" s="120" t="s">
        <v>45</v>
      </c>
      <c r="Y86" s="120" t="s">
        <v>45</v>
      </c>
      <c r="Z86" s="120" t="s">
        <v>45</v>
      </c>
      <c r="AA86" s="91">
        <v>4072</v>
      </c>
      <c r="AB86" s="120" t="s">
        <v>45</v>
      </c>
      <c r="AC86" s="120" t="s">
        <v>45</v>
      </c>
      <c r="AD86" s="120" t="s">
        <v>45</v>
      </c>
      <c r="AE86" s="120" t="s">
        <v>45</v>
      </c>
      <c r="AF86" s="91">
        <v>3288</v>
      </c>
      <c r="AG86" s="120" t="s">
        <v>45</v>
      </c>
      <c r="AH86" s="120" t="s">
        <v>45</v>
      </c>
      <c r="AI86" s="120" t="s">
        <v>45</v>
      </c>
      <c r="AJ86" s="70">
        <v>3001</v>
      </c>
      <c r="AK86" s="91">
        <v>3001</v>
      </c>
      <c r="AL86" s="120" t="s">
        <v>45</v>
      </c>
      <c r="AM86" s="120" t="s">
        <v>45</v>
      </c>
      <c r="AN86" s="120" t="s">
        <v>45</v>
      </c>
      <c r="AO86" s="70">
        <v>2679</v>
      </c>
      <c r="AP86" s="91">
        <v>2679</v>
      </c>
      <c r="AQ86" s="120" t="s">
        <v>45</v>
      </c>
      <c r="AR86" s="120" t="s">
        <v>45</v>
      </c>
      <c r="AS86" s="120" t="s">
        <v>45</v>
      </c>
      <c r="AT86" s="70">
        <v>2594</v>
      </c>
      <c r="AU86" s="91">
        <v>2594</v>
      </c>
      <c r="AV86" s="120" t="s">
        <v>45</v>
      </c>
      <c r="AW86" s="120" t="s">
        <v>45</v>
      </c>
      <c r="AX86" s="120" t="s">
        <v>45</v>
      </c>
      <c r="AY86" s="70">
        <v>2551</v>
      </c>
      <c r="AZ86" s="91">
        <v>2551</v>
      </c>
    </row>
    <row r="87" spans="1:202">
      <c r="A87" s="71" t="s">
        <v>8</v>
      </c>
      <c r="B87" s="99"/>
      <c r="C87" s="99"/>
      <c r="D87" s="99"/>
      <c r="E87" s="99"/>
      <c r="F87" s="99"/>
      <c r="G87" s="99"/>
      <c r="H87" s="99"/>
      <c r="I87" s="99"/>
      <c r="J87" s="99"/>
      <c r="K87" s="99"/>
      <c r="L87" s="99"/>
      <c r="M87" s="99"/>
      <c r="N87" s="99"/>
      <c r="O87" s="99"/>
      <c r="P87" s="99"/>
      <c r="Q87" s="99"/>
      <c r="R87" s="99"/>
      <c r="S87" s="99"/>
      <c r="T87" s="99"/>
      <c r="U87" s="99"/>
      <c r="V87" s="99"/>
      <c r="W87" s="73"/>
      <c r="X87" s="73"/>
      <c r="Y87" s="73"/>
      <c r="Z87" s="72"/>
      <c r="AA87" s="24"/>
      <c r="AB87" s="73"/>
      <c r="AC87" s="73"/>
      <c r="AD87" s="73"/>
      <c r="AE87" s="72"/>
      <c r="AF87" s="24">
        <v>-0.19253438113948917</v>
      </c>
      <c r="AG87" s="73"/>
      <c r="AH87" s="73"/>
      <c r="AI87" s="73"/>
      <c r="AJ87" s="72"/>
      <c r="AK87" s="24">
        <v>-8.7287104622871037E-2</v>
      </c>
      <c r="AL87" s="73"/>
      <c r="AM87" s="73"/>
      <c r="AN87" s="73"/>
      <c r="AO87" s="72"/>
      <c r="AP87" s="24">
        <v>-0.10729756747750752</v>
      </c>
      <c r="AQ87" s="73"/>
      <c r="AR87" s="73"/>
      <c r="AS87" s="73"/>
      <c r="AT87" s="72"/>
      <c r="AU87" s="24">
        <v>-3.1728256812243338E-2</v>
      </c>
      <c r="AV87" s="73"/>
      <c r="AW87" s="73"/>
      <c r="AX87" s="73"/>
      <c r="AY87" s="72"/>
      <c r="AZ87" s="24">
        <v>-1.6576715497301442E-2</v>
      </c>
    </row>
    <row r="88" spans="1:202" s="2" customFormat="1" ht="6.75" hidden="1" customHeight="1">
      <c r="A88" s="94"/>
      <c r="B88" s="99"/>
      <c r="C88" s="99"/>
      <c r="D88" s="99"/>
      <c r="E88" s="99"/>
      <c r="F88" s="99"/>
      <c r="G88" s="99"/>
      <c r="H88" s="99"/>
      <c r="I88" s="99"/>
      <c r="J88" s="99"/>
      <c r="K88" s="99"/>
      <c r="L88" s="99"/>
      <c r="M88" s="99"/>
      <c r="N88" s="99"/>
      <c r="O88" s="99"/>
      <c r="P88" s="99"/>
      <c r="Q88" s="99"/>
      <c r="R88" s="99"/>
      <c r="S88" s="99"/>
      <c r="T88" s="99"/>
      <c r="U88" s="99"/>
      <c r="V88" s="99"/>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3"/>
      <c r="BB88" s="3"/>
      <c r="BC88" s="3"/>
      <c r="BD88" s="3"/>
      <c r="BE88" s="3"/>
      <c r="BF88" s="3"/>
      <c r="BG88" s="3"/>
      <c r="BH88" s="3"/>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row>
    <row r="89" spans="1:202" s="2" customFormat="1" ht="12.75" customHeight="1">
      <c r="A89" s="9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73"/>
      <c r="AH89" s="73"/>
      <c r="AI89" s="73"/>
      <c r="AJ89" s="73"/>
      <c r="AK89" s="56"/>
      <c r="AL89" s="90"/>
      <c r="AM89" s="90"/>
      <c r="AN89" s="90"/>
      <c r="AO89" s="73"/>
      <c r="AP89" s="56"/>
      <c r="AQ89" s="90"/>
      <c r="AR89" s="90"/>
      <c r="AS89" s="90"/>
      <c r="AT89" s="73"/>
      <c r="AU89" s="56"/>
      <c r="AV89" s="90"/>
      <c r="AW89" s="90"/>
      <c r="AX89" s="90"/>
      <c r="AY89" s="73"/>
      <c r="AZ89" s="56"/>
      <c r="BA89" s="90"/>
      <c r="BB89" s="3"/>
      <c r="BC89" s="3"/>
      <c r="BD89" s="3"/>
      <c r="BE89" s="3"/>
      <c r="BF89" s="3"/>
      <c r="BG89" s="3"/>
      <c r="BH89" s="3"/>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row>
    <row r="90" spans="1:202" s="2" customFormat="1" ht="15.75" customHeight="1">
      <c r="A90" s="69" t="s">
        <v>163</v>
      </c>
      <c r="B90" s="56">
        <v>0.29199999999999998</v>
      </c>
      <c r="C90" s="56"/>
      <c r="D90" s="56"/>
      <c r="E90" s="56"/>
      <c r="F90" s="56"/>
      <c r="G90" s="56">
        <v>0.28599999999999998</v>
      </c>
      <c r="H90" s="56"/>
      <c r="I90" s="56"/>
      <c r="J90" s="56"/>
      <c r="K90" s="56"/>
      <c r="L90" s="56">
        <v>0.28999999999999998</v>
      </c>
      <c r="M90" s="56"/>
      <c r="N90" s="56"/>
      <c r="O90" s="56"/>
      <c r="P90" s="56"/>
      <c r="Q90" s="56">
        <v>0.28899999999999998</v>
      </c>
      <c r="R90" s="56"/>
      <c r="S90" s="56"/>
      <c r="T90" s="56"/>
      <c r="U90" s="56"/>
      <c r="V90" s="56">
        <v>0.28999999999999998</v>
      </c>
      <c r="W90" s="56"/>
      <c r="X90" s="56"/>
      <c r="Y90" s="56"/>
      <c r="Z90" s="56"/>
      <c r="AA90" s="56">
        <v>0.28199999999999997</v>
      </c>
      <c r="AB90" s="56"/>
      <c r="AC90" s="56"/>
      <c r="AD90" s="56"/>
      <c r="AE90" s="56"/>
      <c r="AF90" s="56">
        <v>0.26300000000000001</v>
      </c>
      <c r="AG90" s="120" t="s">
        <v>45</v>
      </c>
      <c r="AH90" s="120" t="s">
        <v>45</v>
      </c>
      <c r="AI90" s="120" t="s">
        <v>45</v>
      </c>
      <c r="AJ90" s="120" t="s">
        <v>45</v>
      </c>
      <c r="AK90" s="56">
        <v>0.255</v>
      </c>
      <c r="AL90" s="120" t="s">
        <v>45</v>
      </c>
      <c r="AM90" s="120" t="s">
        <v>45</v>
      </c>
      <c r="AN90" s="120" t="s">
        <v>45</v>
      </c>
      <c r="AO90" s="120" t="s">
        <v>45</v>
      </c>
      <c r="AP90" s="56">
        <v>0.252</v>
      </c>
      <c r="AQ90" s="120" t="s">
        <v>45</v>
      </c>
      <c r="AR90" s="120" t="s">
        <v>45</v>
      </c>
      <c r="AS90" s="195">
        <v>0.22700000000000001</v>
      </c>
      <c r="AT90" s="195">
        <v>0.23100000000000001</v>
      </c>
      <c r="AU90" s="39">
        <v>0.23100000000000001</v>
      </c>
      <c r="AV90" s="120" t="s">
        <v>45</v>
      </c>
      <c r="AW90" s="120" t="s">
        <v>45</v>
      </c>
      <c r="AX90" s="90">
        <v>0.23300000000000001</v>
      </c>
      <c r="AY90" s="120" t="s">
        <v>45</v>
      </c>
      <c r="AZ90" s="169" t="s">
        <v>45</v>
      </c>
      <c r="BA90" s="3"/>
      <c r="BB90" s="3"/>
      <c r="BC90" s="3"/>
      <c r="BD90" s="3"/>
      <c r="BE90" s="3"/>
      <c r="BF90" s="3"/>
      <c r="BG90" s="3"/>
      <c r="BH90" s="3"/>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row>
    <row r="91" spans="1:202" s="2" customFormat="1" ht="3"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3"/>
      <c r="BB91" s="3"/>
      <c r="BC91" s="3"/>
      <c r="BD91" s="3"/>
      <c r="BE91" s="3"/>
      <c r="BF91" s="3"/>
      <c r="BG91" s="3"/>
      <c r="BH91" s="3"/>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row>
    <row r="92" spans="1:202" ht="21">
      <c r="A92" s="35" t="s">
        <v>15</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row>
    <row r="93" spans="1:2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row>
    <row r="94" spans="1:202">
      <c r="A94" s="40" t="s">
        <v>27</v>
      </c>
      <c r="B94" s="41"/>
      <c r="C94" s="42"/>
      <c r="D94" s="42"/>
      <c r="E94" s="42"/>
      <c r="F94" s="42"/>
      <c r="G94" s="41"/>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202" ht="3.6" customHeight="1">
      <c r="A95" s="69"/>
      <c r="B95" s="29"/>
      <c r="C95" s="69"/>
      <c r="D95" s="69"/>
      <c r="E95" s="69"/>
      <c r="F95" s="69"/>
      <c r="G95" s="29"/>
      <c r="H95" s="69"/>
      <c r="I95" s="69"/>
      <c r="J95" s="69"/>
      <c r="K95" s="69"/>
      <c r="L95" s="21"/>
      <c r="M95" s="69"/>
      <c r="N95" s="69"/>
      <c r="O95" s="69"/>
      <c r="P95" s="69"/>
      <c r="Q95" s="21"/>
      <c r="R95" s="69"/>
      <c r="S95" s="69"/>
      <c r="T95" s="69"/>
      <c r="U95" s="69"/>
      <c r="V95" s="21"/>
      <c r="W95" s="69"/>
      <c r="X95" s="69"/>
      <c r="Y95" s="69"/>
      <c r="Z95" s="69"/>
      <c r="AA95" s="21"/>
      <c r="AB95" s="69"/>
      <c r="AC95" s="69"/>
      <c r="AD95" s="69"/>
      <c r="AE95" s="69"/>
      <c r="AF95" s="21"/>
      <c r="AG95" s="69"/>
      <c r="AH95" s="69"/>
      <c r="AI95" s="69"/>
      <c r="AJ95" s="69"/>
      <c r="AK95" s="21"/>
      <c r="AL95" s="69"/>
      <c r="AM95" s="69"/>
      <c r="AN95" s="69"/>
      <c r="AO95" s="69"/>
      <c r="AP95" s="21"/>
      <c r="AQ95" s="69"/>
      <c r="AR95" s="69"/>
      <c r="AS95" s="69"/>
      <c r="AT95" s="69"/>
      <c r="AU95" s="21"/>
      <c r="AV95" s="69"/>
      <c r="AW95" s="69"/>
      <c r="AX95" s="69"/>
      <c r="AY95" s="69"/>
      <c r="AZ95" s="21"/>
    </row>
    <row r="96" spans="1:202">
      <c r="A96" s="69" t="s">
        <v>142</v>
      </c>
      <c r="B96" s="142">
        <v>2621</v>
      </c>
      <c r="C96" s="80" t="s">
        <v>53</v>
      </c>
      <c r="D96" s="80" t="s">
        <v>53</v>
      </c>
      <c r="E96" s="80" t="s">
        <v>53</v>
      </c>
      <c r="F96" s="80" t="s">
        <v>53</v>
      </c>
      <c r="G96" s="142">
        <v>2325</v>
      </c>
      <c r="H96" s="80" t="s">
        <v>53</v>
      </c>
      <c r="I96" s="80" t="s">
        <v>53</v>
      </c>
      <c r="J96" s="80" t="s">
        <v>53</v>
      </c>
      <c r="K96" s="80" t="s">
        <v>53</v>
      </c>
      <c r="L96" s="142">
        <v>2445</v>
      </c>
      <c r="M96" s="80" t="s">
        <v>53</v>
      </c>
      <c r="N96" s="80" t="s">
        <v>53</v>
      </c>
      <c r="O96" s="80" t="s">
        <v>53</v>
      </c>
      <c r="P96" s="80" t="s">
        <v>53</v>
      </c>
      <c r="Q96" s="142">
        <v>2112</v>
      </c>
      <c r="R96" s="120" t="s">
        <v>45</v>
      </c>
      <c r="S96" s="120" t="s">
        <v>45</v>
      </c>
      <c r="T96" s="120" t="s">
        <v>45</v>
      </c>
      <c r="U96" s="120" t="s">
        <v>45</v>
      </c>
      <c r="V96" s="142">
        <v>2262</v>
      </c>
      <c r="W96" s="120" t="s">
        <v>45</v>
      </c>
      <c r="X96" s="120" t="s">
        <v>45</v>
      </c>
      <c r="Y96" s="120" t="s">
        <v>45</v>
      </c>
      <c r="Z96" s="120" t="s">
        <v>45</v>
      </c>
      <c r="AA96" s="142">
        <v>2102</v>
      </c>
      <c r="AB96" s="120" t="s">
        <v>45</v>
      </c>
      <c r="AC96" s="120" t="s">
        <v>45</v>
      </c>
      <c r="AD96" s="120" t="s">
        <v>45</v>
      </c>
      <c r="AE96" s="120" t="s">
        <v>45</v>
      </c>
      <c r="AF96" s="142">
        <v>2007</v>
      </c>
      <c r="AG96" s="120" t="s">
        <v>45</v>
      </c>
      <c r="AH96" s="120" t="s">
        <v>45</v>
      </c>
      <c r="AI96" s="120" t="s">
        <v>45</v>
      </c>
      <c r="AJ96" s="70">
        <v>1932</v>
      </c>
      <c r="AK96" s="142">
        <v>1932</v>
      </c>
      <c r="AL96" s="120" t="s">
        <v>45</v>
      </c>
      <c r="AM96" s="120" t="s">
        <v>45</v>
      </c>
      <c r="AN96" s="120" t="s">
        <v>45</v>
      </c>
      <c r="AO96" s="70">
        <v>1966</v>
      </c>
      <c r="AP96" s="142">
        <v>1966</v>
      </c>
      <c r="AQ96" s="120" t="s">
        <v>45</v>
      </c>
      <c r="AR96" s="120" t="s">
        <v>45</v>
      </c>
      <c r="AS96" s="120" t="s">
        <v>45</v>
      </c>
      <c r="AT96" s="70">
        <v>1905</v>
      </c>
      <c r="AU96" s="142">
        <v>1905</v>
      </c>
      <c r="AV96" s="120" t="s">
        <v>45</v>
      </c>
      <c r="AW96" s="120" t="s">
        <v>45</v>
      </c>
      <c r="AX96" s="120" t="s">
        <v>45</v>
      </c>
      <c r="AY96" s="70">
        <v>1864</v>
      </c>
      <c r="AZ96" s="142">
        <v>1864</v>
      </c>
    </row>
    <row r="97" spans="1:202">
      <c r="A97" s="71" t="s">
        <v>7</v>
      </c>
      <c r="B97" s="24"/>
      <c r="C97" s="72"/>
      <c r="D97" s="72"/>
      <c r="E97" s="72"/>
      <c r="F97" s="72"/>
      <c r="G97" s="24"/>
      <c r="H97" s="72"/>
      <c r="I97" s="72"/>
      <c r="J97" s="72"/>
      <c r="K97" s="72"/>
      <c r="L97" s="27"/>
      <c r="M97" s="72"/>
      <c r="N97" s="72"/>
      <c r="O97" s="72"/>
      <c r="P97" s="72"/>
      <c r="Q97" s="27"/>
      <c r="R97" s="72"/>
      <c r="S97" s="72"/>
      <c r="T97" s="72"/>
      <c r="U97" s="72"/>
      <c r="V97" s="27"/>
      <c r="W97" s="72"/>
      <c r="X97" s="72"/>
      <c r="Y97" s="72"/>
      <c r="Z97" s="72"/>
      <c r="AA97" s="27"/>
      <c r="AB97" s="72"/>
      <c r="AC97" s="72"/>
      <c r="AD97" s="72"/>
      <c r="AE97" s="72"/>
      <c r="AF97" s="27"/>
      <c r="AG97" s="72"/>
      <c r="AH97" s="72"/>
      <c r="AI97" s="72"/>
      <c r="AJ97" s="70"/>
      <c r="AK97" s="27"/>
      <c r="AL97" s="72"/>
      <c r="AM97" s="72"/>
      <c r="AN97" s="72"/>
      <c r="AO97" s="72"/>
      <c r="AP97" s="27"/>
      <c r="AQ97" s="72"/>
      <c r="AR97" s="72"/>
      <c r="AS97" s="72"/>
      <c r="AT97" s="72"/>
      <c r="AU97" s="27"/>
      <c r="AV97" s="72"/>
      <c r="AW97" s="72"/>
      <c r="AX97" s="72"/>
      <c r="AY97" s="72"/>
      <c r="AZ97" s="27"/>
    </row>
    <row r="98" spans="1:202">
      <c r="A98" s="71" t="s">
        <v>8</v>
      </c>
      <c r="B98" s="24"/>
      <c r="C98" s="73"/>
      <c r="D98" s="73"/>
      <c r="E98" s="73"/>
      <c r="F98" s="73"/>
      <c r="G98" s="24">
        <v>-0.11293399465852727</v>
      </c>
      <c r="H98" s="73"/>
      <c r="I98" s="73"/>
      <c r="J98" s="73"/>
      <c r="K98" s="72"/>
      <c r="L98" s="24">
        <v>5.1612903225806361E-2</v>
      </c>
      <c r="M98" s="73"/>
      <c r="N98" s="73"/>
      <c r="O98" s="73"/>
      <c r="P98" s="72"/>
      <c r="Q98" s="24">
        <v>-0.1361963190184049</v>
      </c>
      <c r="R98" s="73"/>
      <c r="S98" s="73"/>
      <c r="T98" s="73"/>
      <c r="U98" s="72"/>
      <c r="V98" s="24">
        <v>7.1022727272727293E-2</v>
      </c>
      <c r="W98" s="73"/>
      <c r="X98" s="73"/>
      <c r="Y98" s="73"/>
      <c r="Z98" s="72"/>
      <c r="AA98" s="24">
        <v>-7.0733863837312061E-2</v>
      </c>
      <c r="AB98" s="73"/>
      <c r="AC98" s="73"/>
      <c r="AD98" s="73"/>
      <c r="AE98" s="72"/>
      <c r="AF98" s="24">
        <v>-4.5195052331113206E-2</v>
      </c>
      <c r="AG98" s="73"/>
      <c r="AH98" s="73"/>
      <c r="AI98" s="73"/>
      <c r="AJ98" s="72"/>
      <c r="AK98" s="24">
        <v>-3.7369207772795177E-2</v>
      </c>
      <c r="AL98" s="73"/>
      <c r="AM98" s="73"/>
      <c r="AN98" s="73"/>
      <c r="AO98" s="72"/>
      <c r="AP98" s="24">
        <v>1.7598343685300222E-2</v>
      </c>
      <c r="AQ98" s="73"/>
      <c r="AR98" s="73"/>
      <c r="AS98" s="73"/>
      <c r="AT98" s="72"/>
      <c r="AU98" s="24">
        <v>-3.1027466937945114E-2</v>
      </c>
      <c r="AV98" s="73"/>
      <c r="AW98" s="73"/>
      <c r="AX98" s="73"/>
      <c r="AY98" s="72"/>
      <c r="AZ98" s="24">
        <v>-2.1522309711286103E-2</v>
      </c>
    </row>
    <row r="99" spans="1:202" ht="3.75" customHeight="1">
      <c r="A99" s="71"/>
      <c r="B99" s="24"/>
      <c r="C99" s="73"/>
      <c r="D99" s="73"/>
      <c r="E99" s="73"/>
      <c r="F99" s="73"/>
      <c r="G99" s="24"/>
      <c r="H99" s="73"/>
      <c r="I99" s="73"/>
      <c r="J99" s="73"/>
      <c r="K99" s="72"/>
      <c r="L99" s="24"/>
      <c r="M99" s="73"/>
      <c r="N99" s="73"/>
      <c r="O99" s="73"/>
      <c r="P99" s="72"/>
      <c r="Q99" s="24"/>
      <c r="R99" s="73"/>
      <c r="S99" s="73"/>
      <c r="T99" s="73"/>
      <c r="U99" s="72"/>
      <c r="V99" s="24"/>
      <c r="W99" s="73"/>
      <c r="X99" s="73"/>
      <c r="Y99" s="73"/>
      <c r="Z99" s="72"/>
      <c r="AA99" s="24"/>
      <c r="AB99" s="73"/>
      <c r="AC99" s="73"/>
      <c r="AD99" s="73"/>
      <c r="AE99" s="72"/>
      <c r="AF99" s="24"/>
      <c r="AG99" s="73"/>
      <c r="AH99" s="73"/>
      <c r="AI99" s="73"/>
      <c r="AJ99" s="72"/>
      <c r="AK99" s="24"/>
      <c r="AL99" s="73"/>
      <c r="AM99" s="73"/>
      <c r="AN99" s="73"/>
      <c r="AO99" s="72"/>
      <c r="AP99" s="24"/>
      <c r="AQ99" s="73"/>
      <c r="AR99" s="73"/>
      <c r="AS99" s="73"/>
      <c r="AT99" s="72"/>
      <c r="AU99" s="24"/>
      <c r="AV99" s="73"/>
      <c r="AW99" s="73"/>
      <c r="AX99" s="73"/>
      <c r="AY99" s="72"/>
      <c r="AZ99" s="24"/>
    </row>
    <row r="100" spans="1:202" ht="3.75" customHeight="1">
      <c r="A100" s="71"/>
      <c r="B100" s="24"/>
      <c r="C100" s="73"/>
      <c r="D100" s="73"/>
      <c r="E100" s="73"/>
      <c r="F100" s="73"/>
      <c r="G100" s="24"/>
      <c r="H100" s="73"/>
      <c r="I100" s="73"/>
      <c r="J100" s="73"/>
      <c r="K100" s="72"/>
      <c r="L100" s="24"/>
      <c r="M100" s="73"/>
      <c r="N100" s="73"/>
      <c r="O100" s="73"/>
      <c r="P100" s="72"/>
      <c r="Q100" s="24"/>
      <c r="R100" s="73"/>
      <c r="S100" s="73"/>
      <c r="T100" s="73"/>
      <c r="U100" s="72"/>
      <c r="V100" s="24"/>
      <c r="W100" s="73"/>
      <c r="X100" s="73"/>
      <c r="Y100" s="73"/>
      <c r="Z100" s="72"/>
      <c r="AA100" s="24"/>
      <c r="AB100" s="73"/>
      <c r="AC100" s="73"/>
      <c r="AD100" s="73"/>
      <c r="AE100" s="72"/>
      <c r="AF100" s="24"/>
      <c r="AG100" s="73"/>
      <c r="AH100" s="73"/>
      <c r="AI100" s="73"/>
      <c r="AJ100" s="72"/>
      <c r="AK100" s="24"/>
      <c r="AL100" s="73"/>
      <c r="AM100" s="73"/>
      <c r="AN100" s="73"/>
      <c r="AO100" s="72"/>
      <c r="AP100" s="24"/>
      <c r="AQ100" s="73"/>
      <c r="AR100" s="73"/>
      <c r="AS100" s="73"/>
      <c r="AT100" s="72"/>
      <c r="AU100" s="24"/>
      <c r="AV100" s="73"/>
      <c r="AW100" s="73"/>
      <c r="AX100" s="73"/>
      <c r="AY100" s="72"/>
      <c r="AZ100" s="24"/>
    </row>
    <row r="101" spans="1:202">
      <c r="A101" s="69" t="s">
        <v>175</v>
      </c>
      <c r="B101" s="99" t="s">
        <v>53</v>
      </c>
      <c r="C101" s="80" t="s">
        <v>53</v>
      </c>
      <c r="D101" s="80" t="s">
        <v>53</v>
      </c>
      <c r="E101" s="80" t="s">
        <v>53</v>
      </c>
      <c r="F101" s="80" t="s">
        <v>53</v>
      </c>
      <c r="G101" s="99" t="s">
        <v>53</v>
      </c>
      <c r="H101" s="78">
        <v>3.9E-2</v>
      </c>
      <c r="I101" s="78">
        <v>3.5999999999999997E-2</v>
      </c>
      <c r="J101" s="78">
        <v>3.4000000000000002E-2</v>
      </c>
      <c r="K101" s="78">
        <v>3.9E-2</v>
      </c>
      <c r="L101" s="39">
        <v>0.14799999999999999</v>
      </c>
      <c r="M101" s="78">
        <v>3.2000000000000001E-2</v>
      </c>
      <c r="N101" s="78">
        <v>2.9000000000000001E-2</v>
      </c>
      <c r="O101" s="78">
        <v>3.2000000000000001E-2</v>
      </c>
      <c r="P101" s="78">
        <v>3.5000000000000003E-2</v>
      </c>
      <c r="Q101" s="39">
        <v>0.127</v>
      </c>
      <c r="R101" s="78">
        <v>2.9000000000000001E-2</v>
      </c>
      <c r="S101" s="78">
        <v>2.8000000000000001E-2</v>
      </c>
      <c r="T101" s="78">
        <v>3.2000000000000001E-2</v>
      </c>
      <c r="U101" s="78">
        <v>3.6999999999999998E-2</v>
      </c>
      <c r="V101" s="39">
        <v>0.126</v>
      </c>
      <c r="W101" s="78">
        <v>4.2999999999999997E-2</v>
      </c>
      <c r="X101" s="78">
        <v>4.1000000000000002E-2</v>
      </c>
      <c r="Y101" s="78">
        <v>4.5999999999999999E-2</v>
      </c>
      <c r="Z101" s="78">
        <v>5.5E-2</v>
      </c>
      <c r="AA101" s="39">
        <v>0.184</v>
      </c>
      <c r="AB101" s="78">
        <v>4.2000000000000003E-2</v>
      </c>
      <c r="AC101" s="78">
        <v>4.4999999999999998E-2</v>
      </c>
      <c r="AD101" s="78">
        <v>4.7E-2</v>
      </c>
      <c r="AE101" s="78">
        <v>4.5999999999999999E-2</v>
      </c>
      <c r="AF101" s="39">
        <v>0.18</v>
      </c>
      <c r="AG101" s="78">
        <v>0.04</v>
      </c>
      <c r="AH101" s="78">
        <v>3.6999999999999998E-2</v>
      </c>
      <c r="AI101" s="78">
        <v>4.4999999999999998E-2</v>
      </c>
      <c r="AJ101" s="78">
        <v>4.7E-2</v>
      </c>
      <c r="AK101" s="39">
        <v>0.17</v>
      </c>
      <c r="AL101" s="78">
        <v>4.1000000000000002E-2</v>
      </c>
      <c r="AM101" s="125">
        <v>4.2000000000000003E-2</v>
      </c>
      <c r="AN101" s="78">
        <v>4.3999999999999997E-2</v>
      </c>
      <c r="AO101" s="78">
        <v>4.5999999999999999E-2</v>
      </c>
      <c r="AP101" s="39">
        <v>0.17299999999999999</v>
      </c>
      <c r="AQ101" s="78">
        <v>5.1999999999999998E-2</v>
      </c>
      <c r="AR101" s="125">
        <v>4.4999999999999998E-2</v>
      </c>
      <c r="AS101" s="125">
        <v>5.5E-2</v>
      </c>
      <c r="AT101" s="90">
        <v>5.1999999999999998E-2</v>
      </c>
      <c r="AU101" s="39">
        <v>0.20399999999999999</v>
      </c>
      <c r="AV101" s="78">
        <v>5.2999999999999999E-2</v>
      </c>
      <c r="AW101" s="78">
        <v>0.05</v>
      </c>
      <c r="AX101" s="78">
        <v>6.3E-2</v>
      </c>
      <c r="AY101" s="90">
        <v>6.8000000000000005E-2</v>
      </c>
      <c r="AZ101" s="39">
        <v>0.23400000000000001</v>
      </c>
    </row>
    <row r="102" spans="1:202" ht="6" customHeight="1">
      <c r="A102" s="69"/>
      <c r="B102" s="99"/>
      <c r="C102" s="80"/>
      <c r="D102" s="80"/>
      <c r="E102" s="80"/>
      <c r="F102" s="80"/>
      <c r="G102" s="99"/>
      <c r="H102" s="78"/>
      <c r="I102" s="78"/>
      <c r="J102" s="78"/>
      <c r="K102" s="78"/>
      <c r="L102" s="39"/>
      <c r="M102" s="78"/>
      <c r="N102" s="78"/>
      <c r="O102" s="78"/>
      <c r="P102" s="78"/>
      <c r="Q102" s="39"/>
      <c r="R102" s="78"/>
      <c r="S102" s="78"/>
      <c r="T102" s="78"/>
      <c r="U102" s="78"/>
      <c r="V102" s="39"/>
      <c r="W102" s="78"/>
      <c r="X102" s="78"/>
      <c r="Y102" s="78"/>
      <c r="Z102" s="78"/>
      <c r="AA102" s="39"/>
      <c r="AB102" s="78"/>
      <c r="AC102" s="78"/>
      <c r="AD102" s="78"/>
      <c r="AE102" s="78"/>
      <c r="AF102" s="39"/>
      <c r="AG102" s="78"/>
      <c r="AH102" s="78"/>
      <c r="AI102" s="78"/>
      <c r="AJ102" s="78"/>
      <c r="AK102" s="39"/>
      <c r="AL102" s="78"/>
      <c r="AM102" s="78"/>
      <c r="AN102" s="78"/>
      <c r="AO102" s="78"/>
      <c r="AP102" s="39"/>
      <c r="AQ102" s="78"/>
      <c r="AR102" s="78"/>
      <c r="AS102" s="78"/>
      <c r="AT102" s="78"/>
      <c r="AU102" s="39"/>
      <c r="AV102" s="78"/>
      <c r="AW102" s="78"/>
      <c r="AX102" s="78"/>
      <c r="AY102" s="78"/>
      <c r="AZ102" s="39"/>
    </row>
    <row r="103" spans="1:202" ht="12" customHeight="1">
      <c r="A103" s="69" t="s">
        <v>165</v>
      </c>
      <c r="B103" s="143">
        <v>0.36</v>
      </c>
      <c r="C103" s="143"/>
      <c r="D103" s="143"/>
      <c r="E103" s="143"/>
      <c r="F103" s="143"/>
      <c r="G103" s="143">
        <v>0.36</v>
      </c>
      <c r="H103" s="143"/>
      <c r="I103" s="143"/>
      <c r="J103" s="143"/>
      <c r="K103" s="143"/>
      <c r="L103" s="143">
        <v>0.36</v>
      </c>
      <c r="M103" s="143"/>
      <c r="N103" s="143"/>
      <c r="O103" s="143"/>
      <c r="P103" s="143"/>
      <c r="Q103" s="143">
        <v>0.35899999999999999</v>
      </c>
      <c r="R103" s="143"/>
      <c r="S103" s="143"/>
      <c r="T103" s="143"/>
      <c r="U103" s="143"/>
      <c r="V103" s="143">
        <v>0.375</v>
      </c>
      <c r="W103" s="143"/>
      <c r="X103" s="143"/>
      <c r="Y103" s="143"/>
      <c r="Z103" s="143"/>
      <c r="AA103" s="143">
        <v>0.38800000000000001</v>
      </c>
      <c r="AB103" s="143"/>
      <c r="AC103" s="143"/>
      <c r="AD103" s="143"/>
      <c r="AE103" s="143"/>
      <c r="AF103" s="143">
        <v>0.40600000000000003</v>
      </c>
      <c r="AG103" s="120" t="s">
        <v>45</v>
      </c>
      <c r="AH103" s="120" t="s">
        <v>45</v>
      </c>
      <c r="AI103" s="120" t="s">
        <v>45</v>
      </c>
      <c r="AJ103" s="120" t="s">
        <v>45</v>
      </c>
      <c r="AK103" s="167">
        <v>0.42</v>
      </c>
      <c r="AL103" s="120" t="s">
        <v>45</v>
      </c>
      <c r="AM103" s="120" t="s">
        <v>45</v>
      </c>
      <c r="AN103" s="120" t="s">
        <v>45</v>
      </c>
      <c r="AO103" s="120" t="s">
        <v>45</v>
      </c>
      <c r="AP103" s="167">
        <v>0.44</v>
      </c>
      <c r="AQ103" s="120" t="s">
        <v>45</v>
      </c>
      <c r="AR103" s="120" t="s">
        <v>45</v>
      </c>
      <c r="AS103" s="120" t="s">
        <v>45</v>
      </c>
      <c r="AT103" s="120" t="s">
        <v>45</v>
      </c>
      <c r="AU103" s="167">
        <v>0.44</v>
      </c>
      <c r="AV103" s="120" t="s">
        <v>45</v>
      </c>
      <c r="AW103" s="120" t="s">
        <v>45</v>
      </c>
      <c r="AX103" s="78">
        <v>0.42099999999999999</v>
      </c>
      <c r="AY103" s="120" t="s">
        <v>45</v>
      </c>
      <c r="AZ103" s="222" t="s">
        <v>45</v>
      </c>
    </row>
    <row r="104" spans="1:202" ht="3.75" customHeight="1">
      <c r="A104" s="69"/>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20"/>
      <c r="AH104" s="120"/>
      <c r="AI104" s="120"/>
      <c r="AJ104" s="120"/>
      <c r="AK104" s="167"/>
      <c r="AL104" s="120"/>
      <c r="AM104" s="120"/>
      <c r="AN104" s="120"/>
      <c r="AO104" s="120"/>
      <c r="AP104" s="167"/>
      <c r="AQ104" s="120"/>
      <c r="AR104" s="120"/>
      <c r="AS104" s="120"/>
      <c r="AT104" s="120"/>
      <c r="AU104" s="167"/>
      <c r="AV104" s="120"/>
      <c r="AW104" s="120"/>
      <c r="AX104" s="120"/>
      <c r="AY104" s="120"/>
      <c r="AZ104" s="167"/>
    </row>
    <row r="105" spans="1:202">
      <c r="A105" s="69" t="s">
        <v>166</v>
      </c>
      <c r="B105" s="143">
        <v>0.36</v>
      </c>
      <c r="C105" s="143"/>
      <c r="D105" s="143"/>
      <c r="E105" s="143"/>
      <c r="F105" s="143"/>
      <c r="G105" s="143">
        <v>0.36</v>
      </c>
      <c r="H105" s="143"/>
      <c r="I105" s="143"/>
      <c r="J105" s="143"/>
      <c r="K105" s="143"/>
      <c r="L105" s="143">
        <v>0.31</v>
      </c>
      <c r="M105" s="143"/>
      <c r="N105" s="143"/>
      <c r="O105" s="143"/>
      <c r="P105" s="143"/>
      <c r="Q105" s="143">
        <v>0.307</v>
      </c>
      <c r="R105" s="143"/>
      <c r="S105" s="143"/>
      <c r="T105" s="143"/>
      <c r="U105" s="143"/>
      <c r="V105" s="143">
        <v>0.3</v>
      </c>
      <c r="W105" s="143"/>
      <c r="X105" s="143"/>
      <c r="Y105" s="143"/>
      <c r="Z105" s="143"/>
      <c r="AA105" s="143">
        <v>0.246</v>
      </c>
      <c r="AB105" s="143"/>
      <c r="AC105" s="143"/>
      <c r="AD105" s="143"/>
      <c r="AE105" s="143"/>
      <c r="AF105" s="143">
        <v>0.21199999999999999</v>
      </c>
      <c r="AG105" s="120" t="s">
        <v>45</v>
      </c>
      <c r="AH105" s="120" t="s">
        <v>45</v>
      </c>
      <c r="AI105" s="120" t="s">
        <v>45</v>
      </c>
      <c r="AJ105" s="120" t="s">
        <v>45</v>
      </c>
      <c r="AK105" s="167">
        <v>0.23</v>
      </c>
      <c r="AL105" s="120" t="s">
        <v>45</v>
      </c>
      <c r="AM105" s="120" t="s">
        <v>45</v>
      </c>
      <c r="AN105" s="120" t="s">
        <v>45</v>
      </c>
      <c r="AO105" s="120" t="s">
        <v>45</v>
      </c>
      <c r="AP105" s="167">
        <v>0.21</v>
      </c>
      <c r="AQ105" s="120" t="s">
        <v>45</v>
      </c>
      <c r="AR105" s="120" t="s">
        <v>45</v>
      </c>
      <c r="AS105" s="120" t="s">
        <v>45</v>
      </c>
      <c r="AT105" s="120" t="s">
        <v>45</v>
      </c>
      <c r="AU105" s="167">
        <v>0.21</v>
      </c>
      <c r="AV105" s="120" t="s">
        <v>45</v>
      </c>
      <c r="AW105" s="120" t="s">
        <v>45</v>
      </c>
      <c r="AX105" s="120" t="s">
        <v>45</v>
      </c>
      <c r="AY105" s="120" t="s">
        <v>45</v>
      </c>
      <c r="AZ105" s="143">
        <v>0.25600000000000001</v>
      </c>
    </row>
    <row r="106" spans="1:202" s="46" customFormat="1" ht="3.75" customHeight="1">
      <c r="A106" s="94"/>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row>
    <row r="107" spans="1:202" s="26" customFormat="1" ht="21">
      <c r="A107" s="35" t="s">
        <v>21</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row>
    <row r="108" spans="1:2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row>
    <row r="109" spans="1:202" s="43" customFormat="1" ht="12" customHeight="1">
      <c r="A109" s="40" t="s">
        <v>27</v>
      </c>
      <c r="B109" s="41"/>
      <c r="C109" s="42"/>
      <c r="D109" s="42"/>
      <c r="E109" s="42"/>
      <c r="F109" s="42"/>
      <c r="G109" s="41"/>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1"/>
      <c r="BB109" s="1"/>
      <c r="BC109" s="1"/>
      <c r="BD109" s="1"/>
      <c r="BE109" s="1"/>
      <c r="BF109" s="1"/>
      <c r="BG109" s="1"/>
      <c r="BH109" s="1"/>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row>
    <row r="110" spans="1:202" s="34" customFormat="1">
      <c r="A110" s="69"/>
      <c r="B110" s="29"/>
      <c r="C110" s="69"/>
      <c r="D110" s="69"/>
      <c r="E110" s="69"/>
      <c r="F110" s="69"/>
      <c r="G110" s="29"/>
      <c r="H110" s="69"/>
      <c r="I110" s="69"/>
      <c r="J110" s="69"/>
      <c r="K110" s="69"/>
      <c r="L110" s="21"/>
      <c r="M110" s="69"/>
      <c r="N110" s="69"/>
      <c r="O110" s="69"/>
      <c r="P110" s="69"/>
      <c r="Q110" s="21"/>
      <c r="R110" s="69"/>
      <c r="S110" s="69"/>
      <c r="T110" s="69"/>
      <c r="U110" s="69"/>
      <c r="V110" s="21"/>
      <c r="W110" s="69"/>
      <c r="X110" s="69"/>
      <c r="Y110" s="69"/>
      <c r="Z110" s="69"/>
      <c r="AA110" s="21"/>
      <c r="AB110" s="69"/>
      <c r="AC110" s="69"/>
      <c r="AD110" s="69"/>
      <c r="AE110" s="69"/>
      <c r="AF110" s="21"/>
      <c r="AG110" s="69"/>
      <c r="AH110" s="69"/>
      <c r="AI110" s="69"/>
      <c r="AJ110" s="69"/>
      <c r="AK110" s="21"/>
      <c r="AL110" s="69"/>
      <c r="AM110" s="69"/>
      <c r="AN110" s="69"/>
      <c r="AO110" s="69"/>
      <c r="AP110" s="21"/>
      <c r="AQ110" s="69"/>
      <c r="AR110" s="69"/>
      <c r="AS110" s="69"/>
      <c r="AT110" s="69"/>
      <c r="AU110" s="21"/>
      <c r="AV110" s="69"/>
      <c r="AW110" s="69"/>
      <c r="AX110" s="69"/>
      <c r="AY110" s="69"/>
      <c r="AZ110" s="21"/>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row>
    <row r="111" spans="1:202" s="2" customFormat="1">
      <c r="A111" s="69" t="s">
        <v>79</v>
      </c>
      <c r="B111" s="29">
        <v>549</v>
      </c>
      <c r="C111" s="69">
        <v>549</v>
      </c>
      <c r="D111" s="69">
        <v>551</v>
      </c>
      <c r="E111" s="69">
        <v>556</v>
      </c>
      <c r="F111" s="69">
        <v>560</v>
      </c>
      <c r="G111" s="29">
        <v>560</v>
      </c>
      <c r="H111" s="69">
        <v>560</v>
      </c>
      <c r="I111" s="69">
        <v>562</v>
      </c>
      <c r="J111" s="69">
        <v>567</v>
      </c>
      <c r="K111" s="70">
        <v>571</v>
      </c>
      <c r="L111" s="28">
        <v>571</v>
      </c>
      <c r="M111" s="69">
        <v>571</v>
      </c>
      <c r="N111" s="69">
        <v>573</v>
      </c>
      <c r="O111" s="69">
        <v>575</v>
      </c>
      <c r="P111" s="70">
        <v>578</v>
      </c>
      <c r="Q111" s="28">
        <v>578</v>
      </c>
      <c r="R111" s="69">
        <v>580</v>
      </c>
      <c r="S111" s="69">
        <v>581</v>
      </c>
      <c r="T111" s="69">
        <v>585</v>
      </c>
      <c r="U111" s="70">
        <v>586</v>
      </c>
      <c r="V111" s="28">
        <v>586</v>
      </c>
      <c r="W111" s="69">
        <v>585</v>
      </c>
      <c r="X111" s="69">
        <v>582</v>
      </c>
      <c r="Y111" s="69">
        <v>581</v>
      </c>
      <c r="Z111" s="70">
        <v>578</v>
      </c>
      <c r="AA111" s="28">
        <v>578</v>
      </c>
      <c r="AB111" s="69">
        <v>578</v>
      </c>
      <c r="AC111" s="69">
        <v>583</v>
      </c>
      <c r="AD111" s="69">
        <v>593</v>
      </c>
      <c r="AE111" s="70">
        <v>600</v>
      </c>
      <c r="AF111" s="28">
        <v>600</v>
      </c>
      <c r="AG111" s="69">
        <v>605</v>
      </c>
      <c r="AH111" s="69">
        <v>611</v>
      </c>
      <c r="AI111" s="69">
        <v>622</v>
      </c>
      <c r="AJ111" s="70">
        <v>630</v>
      </c>
      <c r="AK111" s="28">
        <v>630</v>
      </c>
      <c r="AL111" s="69">
        <v>632</v>
      </c>
      <c r="AM111" s="69">
        <v>636</v>
      </c>
      <c r="AN111" s="69">
        <v>637</v>
      </c>
      <c r="AO111" s="70">
        <v>635</v>
      </c>
      <c r="AP111" s="28">
        <v>635</v>
      </c>
      <c r="AQ111" s="69">
        <v>629</v>
      </c>
      <c r="AR111" s="69">
        <v>623</v>
      </c>
      <c r="AS111" s="69">
        <v>618</v>
      </c>
      <c r="AT111" s="70">
        <v>614</v>
      </c>
      <c r="AU111" s="28">
        <v>614</v>
      </c>
      <c r="AV111" s="69">
        <v>608</v>
      </c>
      <c r="AW111" s="69">
        <v>603</v>
      </c>
      <c r="AX111" s="69">
        <v>597</v>
      </c>
      <c r="AY111" s="70">
        <v>587</v>
      </c>
      <c r="AZ111" s="28">
        <v>587</v>
      </c>
      <c r="BA111" s="3"/>
      <c r="BB111" s="3"/>
      <c r="BC111" s="3"/>
      <c r="BD111" s="3"/>
      <c r="BE111" s="3"/>
      <c r="BF111" s="3"/>
      <c r="BG111" s="3"/>
      <c r="BH111" s="3"/>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row>
    <row r="112" spans="1:202">
      <c r="A112" s="71" t="s">
        <v>7</v>
      </c>
      <c r="B112" s="24"/>
      <c r="C112" s="72"/>
      <c r="D112" s="72">
        <v>3.6429872495447047E-3</v>
      </c>
      <c r="E112" s="72">
        <v>9.0744101633393193E-3</v>
      </c>
      <c r="F112" s="72">
        <v>7.194244604316502E-3</v>
      </c>
      <c r="G112" s="24"/>
      <c r="H112" s="72">
        <v>0</v>
      </c>
      <c r="I112" s="72">
        <v>3.5714285714285587E-3</v>
      </c>
      <c r="J112" s="72">
        <v>8.8967971530249379E-3</v>
      </c>
      <c r="K112" s="72">
        <v>7.0546737213403876E-3</v>
      </c>
      <c r="L112" s="27"/>
      <c r="M112" s="72">
        <v>0</v>
      </c>
      <c r="N112" s="72">
        <v>3.5026269702276291E-3</v>
      </c>
      <c r="O112" s="72">
        <v>3.4904013961605251E-3</v>
      </c>
      <c r="P112" s="72">
        <v>5.2173913043478404E-3</v>
      </c>
      <c r="Q112" s="27"/>
      <c r="R112" s="72">
        <v>3.4602076124568004E-3</v>
      </c>
      <c r="S112" s="72">
        <v>1.7241379310344307E-3</v>
      </c>
      <c r="T112" s="72">
        <v>6.8846815834766595E-3</v>
      </c>
      <c r="U112" s="72">
        <v>1.7094017094017033E-3</v>
      </c>
      <c r="V112" s="27"/>
      <c r="W112" s="72">
        <v>-1.7064846416382506E-3</v>
      </c>
      <c r="X112" s="72">
        <v>-5.12820512820511E-3</v>
      </c>
      <c r="Y112" s="72">
        <v>-1.7182130584192379E-3</v>
      </c>
      <c r="Z112" s="72">
        <v>-5.1635111876076056E-3</v>
      </c>
      <c r="AA112" s="27"/>
      <c r="AB112" s="72">
        <v>0</v>
      </c>
      <c r="AC112" s="72">
        <v>8.65051903114189E-3</v>
      </c>
      <c r="AD112" s="72">
        <v>1.7152658662092701E-2</v>
      </c>
      <c r="AE112" s="72">
        <v>1.180438448566612E-2</v>
      </c>
      <c r="AF112" s="27"/>
      <c r="AG112" s="72">
        <v>8.3333333333333037E-3</v>
      </c>
      <c r="AH112" s="72">
        <v>9.917355371900749E-3</v>
      </c>
      <c r="AI112" s="72">
        <v>1.8003273322422242E-2</v>
      </c>
      <c r="AJ112" s="72">
        <v>1.2861736334405238E-2</v>
      </c>
      <c r="AK112" s="27"/>
      <c r="AL112" s="72">
        <v>3.1746031746031633E-3</v>
      </c>
      <c r="AM112" s="72">
        <v>6.3291139240506666E-3</v>
      </c>
      <c r="AN112" s="72">
        <v>1.5723270440251014E-3</v>
      </c>
      <c r="AO112" s="72">
        <v>-3.1397174254317317E-3</v>
      </c>
      <c r="AP112" s="27"/>
      <c r="AQ112" s="72">
        <v>-9.4488188976378229E-3</v>
      </c>
      <c r="AR112" s="72">
        <v>-9.5389507154213238E-3</v>
      </c>
      <c r="AS112" s="72">
        <v>-8.0256821829856051E-3</v>
      </c>
      <c r="AT112" s="72">
        <v>-6.4724919093851474E-3</v>
      </c>
      <c r="AU112" s="27"/>
      <c r="AV112" s="72">
        <v>-9.7719869706840434E-3</v>
      </c>
      <c r="AW112" s="72">
        <v>-8.2236842105263275E-3</v>
      </c>
      <c r="AX112" s="72">
        <v>-9.9502487562188602E-3</v>
      </c>
      <c r="AY112" s="72">
        <v>-1.675041876046901E-2</v>
      </c>
      <c r="AZ112" s="27"/>
    </row>
    <row r="113" spans="1:202">
      <c r="A113" s="71" t="s">
        <v>8</v>
      </c>
      <c r="B113" s="24"/>
      <c r="C113" s="73"/>
      <c r="D113" s="73"/>
      <c r="E113" s="73"/>
      <c r="F113" s="73"/>
      <c r="G113" s="24">
        <v>2.0036429872495543E-2</v>
      </c>
      <c r="H113" s="73">
        <v>2.0036429872495543E-2</v>
      </c>
      <c r="I113" s="73">
        <v>1.9963702359346636E-2</v>
      </c>
      <c r="J113" s="73">
        <v>1.9784172661870603E-2</v>
      </c>
      <c r="K113" s="72">
        <v>1.9642857142857073E-2</v>
      </c>
      <c r="L113" s="24">
        <v>1.9642857142857073E-2</v>
      </c>
      <c r="M113" s="73">
        <v>1.9642857142857073E-2</v>
      </c>
      <c r="N113" s="73">
        <v>1.9572953736654908E-2</v>
      </c>
      <c r="O113" s="73">
        <v>1.4109347442680775E-2</v>
      </c>
      <c r="P113" s="72">
        <v>1.2259194395796813E-2</v>
      </c>
      <c r="Q113" s="24">
        <v>1.2259194395796813E-2</v>
      </c>
      <c r="R113" s="73">
        <v>1.5761821366024442E-2</v>
      </c>
      <c r="S113" s="73">
        <v>1.3961605584642323E-2</v>
      </c>
      <c r="T113" s="73">
        <v>1.7391304347825987E-2</v>
      </c>
      <c r="U113" s="72">
        <v>1.384083044982698E-2</v>
      </c>
      <c r="V113" s="24">
        <v>1.384083044982698E-2</v>
      </c>
      <c r="W113" s="73">
        <v>8.6206896551723755E-3</v>
      </c>
      <c r="X113" s="73">
        <v>1.7211703958692759E-3</v>
      </c>
      <c r="Y113" s="73">
        <v>-6.8376068376068133E-3</v>
      </c>
      <c r="Z113" s="72">
        <v>-1.3651877133105783E-2</v>
      </c>
      <c r="AA113" s="24">
        <v>-1.3651877133105783E-2</v>
      </c>
      <c r="AB113" s="73">
        <v>-1.1965811965811923E-2</v>
      </c>
      <c r="AC113" s="73">
        <v>1.7182130584192379E-3</v>
      </c>
      <c r="AD113" s="73">
        <v>2.06540447504302E-2</v>
      </c>
      <c r="AE113" s="72">
        <v>3.8062283737024138E-2</v>
      </c>
      <c r="AF113" s="24">
        <v>3.8062283737024138E-2</v>
      </c>
      <c r="AG113" s="73">
        <v>4.6712802768166028E-2</v>
      </c>
      <c r="AH113" s="73">
        <v>4.8027444253859297E-2</v>
      </c>
      <c r="AI113" s="73">
        <v>4.8903878583473892E-2</v>
      </c>
      <c r="AJ113" s="72">
        <v>5.0000000000000044E-2</v>
      </c>
      <c r="AK113" s="24">
        <v>5.0000000000000044E-2</v>
      </c>
      <c r="AL113" s="73">
        <v>4.4628099173553704E-2</v>
      </c>
      <c r="AM113" s="73">
        <v>4.0916530278232388E-2</v>
      </c>
      <c r="AN113" s="73">
        <v>2.4115755627009738E-2</v>
      </c>
      <c r="AO113" s="72">
        <v>7.9365079365079083E-3</v>
      </c>
      <c r="AP113" s="24">
        <v>7.9365079365079083E-3</v>
      </c>
      <c r="AQ113" s="73">
        <v>-4.746835443038E-3</v>
      </c>
      <c r="AR113" s="73">
        <v>-2.0440251572327095E-2</v>
      </c>
      <c r="AS113" s="73">
        <v>-2.9827315541601229E-2</v>
      </c>
      <c r="AT113" s="72">
        <v>-3.3070866141732269E-2</v>
      </c>
      <c r="AU113" s="24">
        <v>-3.3070866141732269E-2</v>
      </c>
      <c r="AV113" s="73">
        <v>-3.3386327503974522E-2</v>
      </c>
      <c r="AW113" s="73">
        <v>-3.2102728731942198E-2</v>
      </c>
      <c r="AX113" s="73">
        <v>-3.398058252427183E-2</v>
      </c>
      <c r="AY113" s="72">
        <v>-4.3973941368078195E-2</v>
      </c>
      <c r="AZ113" s="24">
        <v>-4.3973941368078195E-2</v>
      </c>
    </row>
    <row r="114" spans="1:202" ht="11.55" customHeight="1">
      <c r="A114" s="71" t="s">
        <v>226</v>
      </c>
      <c r="B114" s="24"/>
      <c r="C114" s="73"/>
      <c r="D114" s="73"/>
      <c r="E114" s="73"/>
      <c r="F114" s="73"/>
      <c r="G114" s="24"/>
      <c r="H114" s="73"/>
      <c r="I114" s="73"/>
      <c r="J114" s="73"/>
      <c r="K114" s="72"/>
      <c r="L114" s="24"/>
      <c r="M114" s="73"/>
      <c r="N114" s="73"/>
      <c r="O114" s="73"/>
      <c r="P114" s="72"/>
      <c r="Q114" s="24"/>
      <c r="R114" s="73"/>
      <c r="S114" s="73"/>
      <c r="T114" s="73"/>
      <c r="U114" s="72"/>
      <c r="V114" s="24"/>
      <c r="W114" s="73"/>
      <c r="X114" s="73"/>
      <c r="Y114" s="73"/>
      <c r="Z114" s="72"/>
      <c r="AA114" s="24"/>
      <c r="AB114" s="73"/>
      <c r="AC114" s="73"/>
      <c r="AD114" s="73"/>
      <c r="AE114" s="72"/>
      <c r="AF114" s="24"/>
      <c r="AG114" s="73"/>
      <c r="AH114" s="73"/>
      <c r="AI114" s="73"/>
      <c r="AJ114" s="72"/>
      <c r="AK114" s="24"/>
      <c r="AL114" s="73"/>
      <c r="AM114" s="197">
        <v>4</v>
      </c>
      <c r="AN114" s="197">
        <v>1</v>
      </c>
      <c r="AO114" s="197">
        <v>-2</v>
      </c>
      <c r="AP114" s="198"/>
      <c r="AQ114" s="199">
        <v>-6</v>
      </c>
      <c r="AR114" s="199">
        <v>-6</v>
      </c>
      <c r="AS114" s="199">
        <v>-5</v>
      </c>
      <c r="AT114" s="199">
        <v>-4</v>
      </c>
      <c r="AU114" s="200">
        <v>-21</v>
      </c>
      <c r="AV114" s="199">
        <v>-6</v>
      </c>
      <c r="AW114" s="199">
        <v>-5</v>
      </c>
      <c r="AX114" s="199">
        <v>-6</v>
      </c>
      <c r="AY114" s="199">
        <v>-10</v>
      </c>
      <c r="AZ114" s="200">
        <v>-27</v>
      </c>
    </row>
    <row r="115" spans="1:202" ht="8.25" customHeight="1">
      <c r="A115" s="71"/>
      <c r="B115" s="24"/>
      <c r="C115" s="73"/>
      <c r="D115" s="73"/>
      <c r="E115" s="73"/>
      <c r="F115" s="73"/>
      <c r="G115" s="24"/>
      <c r="H115" s="73"/>
      <c r="I115" s="73"/>
      <c r="J115" s="73"/>
      <c r="K115" s="72"/>
      <c r="L115" s="24"/>
      <c r="M115" s="73"/>
      <c r="N115" s="73"/>
      <c r="O115" s="73"/>
      <c r="P115" s="72"/>
      <c r="Q115" s="24"/>
      <c r="R115" s="73"/>
      <c r="S115" s="73"/>
      <c r="T115" s="73"/>
      <c r="U115" s="72"/>
      <c r="V115" s="24"/>
      <c r="W115" s="73"/>
      <c r="X115" s="73"/>
      <c r="Y115" s="73"/>
      <c r="Z115" s="72"/>
      <c r="AA115" s="24"/>
      <c r="AB115" s="73"/>
      <c r="AC115" s="73"/>
      <c r="AD115" s="73"/>
      <c r="AE115" s="72"/>
      <c r="AF115" s="24"/>
      <c r="AG115" s="73"/>
      <c r="AH115" s="73"/>
      <c r="AI115" s="73"/>
      <c r="AJ115" s="72"/>
      <c r="AK115" s="24"/>
      <c r="AL115" s="73"/>
      <c r="AM115" s="83"/>
      <c r="AN115" s="83"/>
      <c r="AO115" s="72"/>
      <c r="AP115" s="24"/>
      <c r="AQ115" s="73"/>
      <c r="AR115" s="83"/>
      <c r="AS115" s="83"/>
      <c r="AT115" s="72"/>
      <c r="AU115" s="24"/>
      <c r="AV115" s="73"/>
      <c r="AW115" s="73"/>
      <c r="AX115" s="73"/>
      <c r="AY115" s="72"/>
      <c r="AZ115" s="24"/>
    </row>
    <row r="116" spans="1:202">
      <c r="A116" s="69" t="s">
        <v>80</v>
      </c>
      <c r="B116" s="38">
        <v>217</v>
      </c>
      <c r="C116" s="69">
        <v>231</v>
      </c>
      <c r="D116" s="69">
        <v>230</v>
      </c>
      <c r="E116" s="69">
        <v>226</v>
      </c>
      <c r="F116" s="69">
        <v>225</v>
      </c>
      <c r="G116" s="38">
        <v>228</v>
      </c>
      <c r="H116" s="69">
        <v>228</v>
      </c>
      <c r="I116" s="69">
        <v>224</v>
      </c>
      <c r="J116" s="69">
        <v>224</v>
      </c>
      <c r="K116" s="70">
        <v>229</v>
      </c>
      <c r="L116" s="28">
        <v>226</v>
      </c>
      <c r="M116" s="69">
        <v>229</v>
      </c>
      <c r="N116" s="69">
        <v>231</v>
      </c>
      <c r="O116" s="69">
        <v>229</v>
      </c>
      <c r="P116" s="70">
        <v>231</v>
      </c>
      <c r="Q116" s="28">
        <v>230</v>
      </c>
      <c r="R116" s="69">
        <v>234</v>
      </c>
      <c r="S116" s="69">
        <v>232</v>
      </c>
      <c r="T116" s="69">
        <v>232</v>
      </c>
      <c r="U116" s="70">
        <v>229</v>
      </c>
      <c r="V116" s="28">
        <v>232</v>
      </c>
      <c r="W116" s="69">
        <v>237</v>
      </c>
      <c r="X116" s="69">
        <v>234</v>
      </c>
      <c r="Y116" s="69">
        <v>231</v>
      </c>
      <c r="Z116" s="70">
        <v>234</v>
      </c>
      <c r="AA116" s="28">
        <v>234</v>
      </c>
      <c r="AB116" s="69">
        <v>233</v>
      </c>
      <c r="AC116" s="69">
        <v>232</v>
      </c>
      <c r="AD116" s="69">
        <v>233</v>
      </c>
      <c r="AE116" s="70">
        <v>233</v>
      </c>
      <c r="AF116" s="28">
        <v>233</v>
      </c>
      <c r="AG116" s="69">
        <v>234</v>
      </c>
      <c r="AH116" s="69">
        <v>234</v>
      </c>
      <c r="AI116" s="69">
        <v>234</v>
      </c>
      <c r="AJ116" s="70">
        <v>234</v>
      </c>
      <c r="AK116" s="28">
        <v>234</v>
      </c>
      <c r="AL116" s="69">
        <v>232</v>
      </c>
      <c r="AM116" s="69">
        <v>231</v>
      </c>
      <c r="AN116" s="69">
        <v>233</v>
      </c>
      <c r="AO116" s="70">
        <v>235</v>
      </c>
      <c r="AP116" s="28">
        <v>233</v>
      </c>
      <c r="AQ116" s="69">
        <v>231</v>
      </c>
      <c r="AR116" s="69">
        <v>231</v>
      </c>
      <c r="AS116" s="69">
        <v>233</v>
      </c>
      <c r="AT116" s="70">
        <v>237</v>
      </c>
      <c r="AU116" s="28">
        <v>233</v>
      </c>
      <c r="AV116" s="69">
        <v>232</v>
      </c>
      <c r="AW116" s="69">
        <v>229</v>
      </c>
      <c r="AX116" s="69">
        <v>226</v>
      </c>
      <c r="AY116" s="70">
        <v>226</v>
      </c>
      <c r="AZ116" s="28">
        <v>228</v>
      </c>
    </row>
    <row r="117" spans="1:202" ht="10.5" customHeight="1">
      <c r="A117" s="71" t="s">
        <v>7</v>
      </c>
      <c r="B117" s="24"/>
      <c r="C117" s="72"/>
      <c r="D117" s="72">
        <v>-4.3290043290042934E-3</v>
      </c>
      <c r="E117" s="72">
        <v>-1.7391304347826098E-2</v>
      </c>
      <c r="F117" s="72">
        <v>-4.4247787610619538E-3</v>
      </c>
      <c r="G117" s="24"/>
      <c r="H117" s="72">
        <v>1.3333333333333419E-2</v>
      </c>
      <c r="I117" s="72">
        <v>-1.7543859649122862E-2</v>
      </c>
      <c r="J117" s="72">
        <v>0</v>
      </c>
      <c r="K117" s="72">
        <v>2.2321428571428603E-2</v>
      </c>
      <c r="L117" s="27"/>
      <c r="M117" s="72">
        <v>0</v>
      </c>
      <c r="N117" s="72">
        <v>8.733624454148492E-3</v>
      </c>
      <c r="O117" s="72">
        <v>-8.6580086580086979E-3</v>
      </c>
      <c r="P117" s="72">
        <v>8.733624454148492E-3</v>
      </c>
      <c r="Q117" s="27"/>
      <c r="R117" s="72">
        <v>1.298701298701288E-2</v>
      </c>
      <c r="S117" s="72">
        <v>-8.5470085470085166E-3</v>
      </c>
      <c r="T117" s="72">
        <v>0</v>
      </c>
      <c r="U117" s="72">
        <v>-1.2931034482758674E-2</v>
      </c>
      <c r="V117" s="27"/>
      <c r="W117" s="72">
        <v>3.4934497816593968E-2</v>
      </c>
      <c r="X117" s="72">
        <v>-1.2658227848101222E-2</v>
      </c>
      <c r="Y117" s="72">
        <v>-1.2820512820512775E-2</v>
      </c>
      <c r="Z117" s="72">
        <v>1.298701298701288E-2</v>
      </c>
      <c r="AA117" s="27"/>
      <c r="AB117" s="72">
        <v>-4.2735042735042583E-3</v>
      </c>
      <c r="AC117" s="72">
        <v>-4.2918454935622075E-3</v>
      </c>
      <c r="AD117" s="72">
        <v>4.3103448275862988E-3</v>
      </c>
      <c r="AE117" s="72">
        <v>0</v>
      </c>
      <c r="AF117" s="27"/>
      <c r="AG117" s="72">
        <v>4.2918454935623185E-3</v>
      </c>
      <c r="AH117" s="72">
        <v>0</v>
      </c>
      <c r="AI117" s="72">
        <v>0</v>
      </c>
      <c r="AJ117" s="72">
        <v>0</v>
      </c>
      <c r="AK117" s="27"/>
      <c r="AL117" s="72">
        <v>-8.5470085470085166E-3</v>
      </c>
      <c r="AM117" s="72">
        <v>-4.3103448275861878E-3</v>
      </c>
      <c r="AN117" s="72">
        <v>8.6580086580085869E-3</v>
      </c>
      <c r="AO117" s="72">
        <v>8.5836909871244149E-3</v>
      </c>
      <c r="AP117" s="27"/>
      <c r="AQ117" s="72">
        <v>-1.7021276595744705E-2</v>
      </c>
      <c r="AR117" s="72">
        <v>0</v>
      </c>
      <c r="AS117" s="72">
        <v>8.6580086580085869E-3</v>
      </c>
      <c r="AT117" s="72">
        <v>1.716738197424883E-2</v>
      </c>
      <c r="AU117" s="27"/>
      <c r="AV117" s="72">
        <v>-2.1097046413502074E-2</v>
      </c>
      <c r="AW117" s="72">
        <v>-1.2931034482758674E-2</v>
      </c>
      <c r="AX117" s="72">
        <v>-1.3100436681222738E-2</v>
      </c>
      <c r="AY117" s="72">
        <v>0</v>
      </c>
      <c r="AZ117" s="27"/>
    </row>
    <row r="118" spans="1:202">
      <c r="A118" s="71" t="s">
        <v>8</v>
      </c>
      <c r="B118" s="24"/>
      <c r="C118" s="73"/>
      <c r="D118" s="73"/>
      <c r="E118" s="73"/>
      <c r="F118" s="73"/>
      <c r="G118" s="24">
        <v>5.0691244239631228E-2</v>
      </c>
      <c r="H118" s="73">
        <v>-1.2987012987012991E-2</v>
      </c>
      <c r="I118" s="73">
        <v>-2.6086956521739091E-2</v>
      </c>
      <c r="J118" s="73">
        <v>-8.8495575221239076E-3</v>
      </c>
      <c r="K118" s="72">
        <v>1.777777777777767E-2</v>
      </c>
      <c r="L118" s="24">
        <v>-8.7719298245614308E-3</v>
      </c>
      <c r="M118" s="73">
        <v>4.3859649122806044E-3</v>
      </c>
      <c r="N118" s="73">
        <v>3.125E-2</v>
      </c>
      <c r="O118" s="73">
        <v>2.2321428571428603E-2</v>
      </c>
      <c r="P118" s="72">
        <v>8.733624454148492E-3</v>
      </c>
      <c r="Q118" s="24">
        <v>1.7699115044247815E-2</v>
      </c>
      <c r="R118" s="73">
        <v>2.1834061135371119E-2</v>
      </c>
      <c r="S118" s="73">
        <v>4.3290043290042934E-3</v>
      </c>
      <c r="T118" s="73">
        <v>1.3100436681222627E-2</v>
      </c>
      <c r="U118" s="72">
        <v>-8.6580086580086979E-3</v>
      </c>
      <c r="V118" s="24">
        <v>8.6956521739129933E-3</v>
      </c>
      <c r="W118" s="73">
        <v>1.2820512820512775E-2</v>
      </c>
      <c r="X118" s="73">
        <v>8.6206896551723755E-3</v>
      </c>
      <c r="Y118" s="73">
        <v>-4.3103448275861878E-3</v>
      </c>
      <c r="Z118" s="72">
        <v>2.1834061135371119E-2</v>
      </c>
      <c r="AA118" s="24">
        <v>0.01</v>
      </c>
      <c r="AB118" s="73">
        <v>-1.6877637130801704E-2</v>
      </c>
      <c r="AC118" s="73">
        <v>-8.5470085470085166E-3</v>
      </c>
      <c r="AD118" s="73">
        <v>8.6580086580085869E-3</v>
      </c>
      <c r="AE118" s="72">
        <v>-4.2735042735042583E-3</v>
      </c>
      <c r="AF118" s="24">
        <v>-4.2735042735042583E-3</v>
      </c>
      <c r="AG118" s="73">
        <v>4.2918454935623185E-3</v>
      </c>
      <c r="AH118" s="73">
        <v>8.6206896551723755E-3</v>
      </c>
      <c r="AI118" s="73">
        <v>4.2918454935623185E-3</v>
      </c>
      <c r="AJ118" s="72">
        <v>4.2918454935623185E-3</v>
      </c>
      <c r="AK118" s="24">
        <v>4.2918454935623185E-3</v>
      </c>
      <c r="AL118" s="73">
        <v>-8.5470085470085166E-3</v>
      </c>
      <c r="AM118" s="73">
        <v>-1.2820512820512775E-2</v>
      </c>
      <c r="AN118" s="73">
        <v>-4.2735042735042583E-3</v>
      </c>
      <c r="AO118" s="72">
        <v>4.2735042735042583E-3</v>
      </c>
      <c r="AP118" s="24">
        <v>-4.2735042735042583E-3</v>
      </c>
      <c r="AQ118" s="73">
        <v>-4.3103448275861878E-3</v>
      </c>
      <c r="AR118" s="73">
        <v>0</v>
      </c>
      <c r="AS118" s="73">
        <v>0</v>
      </c>
      <c r="AT118" s="72">
        <v>8.5106382978723527E-3</v>
      </c>
      <c r="AU118" s="24">
        <v>0</v>
      </c>
      <c r="AV118" s="73">
        <v>4.3290043290042934E-3</v>
      </c>
      <c r="AW118" s="73">
        <v>-8.6580086580086979E-3</v>
      </c>
      <c r="AX118" s="73">
        <v>-3.0042918454935674E-2</v>
      </c>
      <c r="AY118" s="72">
        <v>-4.641350210970463E-2</v>
      </c>
      <c r="AZ118" s="24">
        <v>-2.1459227467811148E-2</v>
      </c>
    </row>
    <row r="119" spans="1:202" ht="9.75" customHeight="1">
      <c r="A119" s="71"/>
      <c r="B119" s="24"/>
      <c r="C119" s="73"/>
      <c r="D119" s="73"/>
      <c r="E119" s="73"/>
      <c r="F119" s="73"/>
      <c r="G119" s="24"/>
      <c r="H119" s="73"/>
      <c r="I119" s="73"/>
      <c r="J119" s="73"/>
      <c r="K119" s="72"/>
      <c r="L119" s="24"/>
      <c r="M119" s="73"/>
      <c r="N119" s="73"/>
      <c r="O119" s="73"/>
      <c r="P119" s="72"/>
      <c r="Q119" s="24"/>
      <c r="R119" s="73"/>
      <c r="S119" s="73"/>
      <c r="T119" s="73"/>
      <c r="U119" s="72"/>
      <c r="V119" s="24"/>
      <c r="W119" s="73"/>
      <c r="X119" s="73"/>
      <c r="Y119" s="73"/>
      <c r="Z119" s="72"/>
      <c r="AA119" s="24"/>
      <c r="AB119" s="73"/>
      <c r="AC119" s="73"/>
      <c r="AD119" s="73"/>
      <c r="AE119" s="72"/>
      <c r="AF119" s="24"/>
      <c r="AG119" s="73"/>
      <c r="AH119" s="73"/>
      <c r="AI119" s="73"/>
      <c r="AJ119" s="72"/>
      <c r="AK119" s="24"/>
      <c r="AL119" s="73"/>
      <c r="AM119" s="73"/>
      <c r="AN119" s="73"/>
      <c r="AO119" s="72"/>
      <c r="AP119" s="24"/>
      <c r="AQ119" s="73"/>
      <c r="AR119" s="73"/>
      <c r="AS119" s="73"/>
      <c r="AT119" s="72"/>
      <c r="AU119" s="24"/>
      <c r="AV119" s="73"/>
      <c r="AW119" s="73"/>
      <c r="AX119" s="73"/>
      <c r="AY119" s="72"/>
      <c r="AZ119" s="24"/>
    </row>
    <row r="120" spans="1:202">
      <c r="A120" s="69" t="s">
        <v>170</v>
      </c>
      <c r="B120" s="99" t="s">
        <v>53</v>
      </c>
      <c r="C120" s="80" t="s">
        <v>53</v>
      </c>
      <c r="D120" s="80" t="s">
        <v>53</v>
      </c>
      <c r="E120" s="80" t="s">
        <v>53</v>
      </c>
      <c r="F120" s="80" t="s">
        <v>53</v>
      </c>
      <c r="G120" s="99" t="s">
        <v>53</v>
      </c>
      <c r="H120" s="90">
        <v>3.6999999999999998E-2</v>
      </c>
      <c r="I120" s="90">
        <v>3.1E-2</v>
      </c>
      <c r="J120" s="90">
        <v>3.3000000000000002E-2</v>
      </c>
      <c r="K120" s="90">
        <v>3.2000000000000001E-2</v>
      </c>
      <c r="L120" s="39">
        <v>0.13300000000000001</v>
      </c>
      <c r="M120" s="90">
        <v>3.5000000000000003E-2</v>
      </c>
      <c r="N120" s="90">
        <v>3.1E-2</v>
      </c>
      <c r="O120" s="90">
        <v>3.3000000000000002E-2</v>
      </c>
      <c r="P120" s="90">
        <v>3.1E-2</v>
      </c>
      <c r="Q120" s="39">
        <v>0.13</v>
      </c>
      <c r="R120" s="90">
        <v>3.3000000000000002E-2</v>
      </c>
      <c r="S120" s="90">
        <v>2.9000000000000001E-2</v>
      </c>
      <c r="T120" s="90">
        <v>2.8000000000000001E-2</v>
      </c>
      <c r="U120" s="90">
        <v>2.8000000000000001E-2</v>
      </c>
      <c r="V120" s="39">
        <v>0.11899999999999999</v>
      </c>
      <c r="W120" s="90">
        <v>3.5999999999999997E-2</v>
      </c>
      <c r="X120" s="90">
        <v>3.9E-2</v>
      </c>
      <c r="Y120" s="90">
        <v>4.1000000000000002E-2</v>
      </c>
      <c r="Z120" s="90">
        <v>3.7999999999999999E-2</v>
      </c>
      <c r="AA120" s="143">
        <v>0.154</v>
      </c>
      <c r="AB120" s="90">
        <v>3.7999999999999999E-2</v>
      </c>
      <c r="AC120" s="90">
        <v>3.2000000000000001E-2</v>
      </c>
      <c r="AD120" s="90">
        <v>3.4000000000000002E-2</v>
      </c>
      <c r="AE120" s="90">
        <v>0.03</v>
      </c>
      <c r="AF120" s="143">
        <v>0.13500000000000001</v>
      </c>
      <c r="AG120" s="90">
        <v>3.5999999999999997E-2</v>
      </c>
      <c r="AH120" s="90">
        <v>3.1E-2</v>
      </c>
      <c r="AI120" s="90">
        <v>3.2000000000000001E-2</v>
      </c>
      <c r="AJ120" s="90">
        <v>2.9000000000000001E-2</v>
      </c>
      <c r="AK120" s="143">
        <v>0.128</v>
      </c>
      <c r="AL120" s="166">
        <v>3.4000000000000002E-2</v>
      </c>
      <c r="AM120" s="90">
        <v>3.1E-2</v>
      </c>
      <c r="AN120" s="90">
        <v>3.9E-2</v>
      </c>
      <c r="AO120" s="90">
        <v>3.5000000000000003E-2</v>
      </c>
      <c r="AP120" s="143">
        <v>0.13900000000000001</v>
      </c>
      <c r="AQ120" s="166">
        <v>4.2000000000000003E-2</v>
      </c>
      <c r="AR120" s="90">
        <v>3.5999999999999997E-2</v>
      </c>
      <c r="AS120" s="90">
        <v>4.4999999999999998E-2</v>
      </c>
      <c r="AT120" s="90">
        <v>3.6000000000000011E-2</v>
      </c>
      <c r="AU120" s="143">
        <v>0.159</v>
      </c>
      <c r="AV120" s="166">
        <v>4.2999999999999997E-2</v>
      </c>
      <c r="AW120" s="166">
        <v>3.7999999999999999E-2</v>
      </c>
      <c r="AX120" s="166">
        <v>4.8000000000000001E-2</v>
      </c>
      <c r="AY120" s="90">
        <v>5.8999999999999997E-2</v>
      </c>
      <c r="AZ120" s="143">
        <v>0.188</v>
      </c>
    </row>
    <row r="121" spans="1:202" ht="8.25" customHeight="1">
      <c r="A121" s="69"/>
      <c r="B121" s="99"/>
      <c r="C121" s="80"/>
      <c r="D121" s="80"/>
      <c r="E121" s="80"/>
      <c r="F121" s="80"/>
      <c r="G121" s="99"/>
      <c r="H121" s="90"/>
      <c r="I121" s="90"/>
      <c r="J121" s="90"/>
      <c r="K121" s="90"/>
      <c r="L121" s="39"/>
      <c r="M121" s="90"/>
      <c r="N121" s="90"/>
      <c r="O121" s="90"/>
      <c r="P121" s="90"/>
      <c r="Q121" s="39"/>
      <c r="R121" s="90"/>
      <c r="S121" s="90"/>
      <c r="T121" s="90"/>
      <c r="U121" s="90"/>
      <c r="V121" s="39"/>
      <c r="W121" s="90"/>
      <c r="X121" s="90"/>
      <c r="Y121" s="90"/>
      <c r="Z121" s="90"/>
      <c r="AA121" s="27"/>
      <c r="AB121" s="90"/>
      <c r="AC121" s="90"/>
      <c r="AD121" s="90"/>
      <c r="AE121" s="90"/>
      <c r="AF121" s="27"/>
      <c r="AG121" s="90"/>
      <c r="AH121" s="90"/>
      <c r="AI121" s="90"/>
      <c r="AJ121" s="90"/>
      <c r="AK121" s="27"/>
      <c r="AL121" s="90"/>
      <c r="AM121" s="90"/>
      <c r="AN121" s="90"/>
      <c r="AO121" s="90"/>
      <c r="AP121" s="27"/>
      <c r="AQ121" s="90"/>
      <c r="AR121" s="90"/>
      <c r="AS121" s="90"/>
      <c r="AT121" s="90"/>
      <c r="AU121" s="27"/>
      <c r="AV121" s="90"/>
      <c r="AW121" s="90"/>
      <c r="AX121" s="90"/>
      <c r="AY121" s="90"/>
      <c r="AZ121" s="27"/>
    </row>
    <row r="122" spans="1:202">
      <c r="A122" s="69" t="s">
        <v>18</v>
      </c>
      <c r="B122" s="99" t="s">
        <v>53</v>
      </c>
      <c r="C122" s="80"/>
      <c r="D122" s="80"/>
      <c r="E122" s="80"/>
      <c r="F122" s="80"/>
      <c r="G122" s="142">
        <v>1999</v>
      </c>
      <c r="H122" s="90"/>
      <c r="I122" s="90"/>
      <c r="J122" s="90"/>
      <c r="K122" s="90"/>
      <c r="L122" s="142">
        <v>2158</v>
      </c>
      <c r="M122" s="90"/>
      <c r="N122" s="90"/>
      <c r="O122" s="90"/>
      <c r="P122" s="90"/>
      <c r="Q122" s="142">
        <v>2229</v>
      </c>
      <c r="R122" s="120" t="s">
        <v>45</v>
      </c>
      <c r="S122" s="120" t="s">
        <v>45</v>
      </c>
      <c r="T122" s="120" t="s">
        <v>45</v>
      </c>
      <c r="U122" s="120" t="s">
        <v>45</v>
      </c>
      <c r="V122" s="142">
        <v>2227</v>
      </c>
      <c r="W122" s="120" t="s">
        <v>45</v>
      </c>
      <c r="X122" s="120" t="s">
        <v>45</v>
      </c>
      <c r="Y122" s="120" t="s">
        <v>45</v>
      </c>
      <c r="Z122" s="120" t="s">
        <v>45</v>
      </c>
      <c r="AA122" s="142">
        <v>2276</v>
      </c>
      <c r="AB122" s="120" t="s">
        <v>45</v>
      </c>
      <c r="AC122" s="120" t="s">
        <v>45</v>
      </c>
      <c r="AD122" s="120" t="s">
        <v>45</v>
      </c>
      <c r="AE122" s="120" t="s">
        <v>45</v>
      </c>
      <c r="AF122" s="142">
        <v>2208</v>
      </c>
      <c r="AG122" s="120" t="s">
        <v>45</v>
      </c>
      <c r="AH122" s="120" t="s">
        <v>45</v>
      </c>
      <c r="AI122" s="120" t="s">
        <v>45</v>
      </c>
      <c r="AJ122" s="70">
        <v>2042</v>
      </c>
      <c r="AK122" s="142">
        <v>2042</v>
      </c>
      <c r="AL122" s="120" t="s">
        <v>45</v>
      </c>
      <c r="AM122" s="120" t="s">
        <v>45</v>
      </c>
      <c r="AN122" s="120" t="s">
        <v>45</v>
      </c>
      <c r="AO122" s="70">
        <v>1984</v>
      </c>
      <c r="AP122" s="142">
        <v>1984</v>
      </c>
      <c r="AQ122" s="120" t="s">
        <v>45</v>
      </c>
      <c r="AR122" s="120" t="s">
        <v>45</v>
      </c>
      <c r="AS122" s="120" t="s">
        <v>45</v>
      </c>
      <c r="AT122" s="70">
        <v>1753</v>
      </c>
      <c r="AU122" s="142">
        <v>1753</v>
      </c>
      <c r="AV122" s="120" t="s">
        <v>45</v>
      </c>
      <c r="AW122" s="120" t="s">
        <v>45</v>
      </c>
      <c r="AX122" s="120" t="s">
        <v>45</v>
      </c>
      <c r="AY122" s="70">
        <v>1680</v>
      </c>
      <c r="AZ122" s="142">
        <v>1680</v>
      </c>
    </row>
    <row r="123" spans="1:202" ht="9" customHeight="1">
      <c r="A123" s="71" t="s">
        <v>8</v>
      </c>
      <c r="B123" s="24"/>
      <c r="C123" s="73"/>
      <c r="D123" s="73"/>
      <c r="E123" s="73"/>
      <c r="F123" s="73"/>
      <c r="G123" s="24"/>
      <c r="H123" s="73"/>
      <c r="I123" s="73"/>
      <c r="J123" s="73"/>
      <c r="K123" s="72"/>
      <c r="L123" s="24">
        <v>7.9539769884942491E-2</v>
      </c>
      <c r="M123" s="73"/>
      <c r="N123" s="73"/>
      <c r="O123" s="73"/>
      <c r="P123" s="72"/>
      <c r="Q123" s="24">
        <v>3.2900834105653365E-2</v>
      </c>
      <c r="R123" s="73"/>
      <c r="S123" s="73"/>
      <c r="T123" s="73"/>
      <c r="U123" s="72"/>
      <c r="V123" s="24">
        <v>-8.9726334679229858E-4</v>
      </c>
      <c r="W123" s="73"/>
      <c r="X123" s="73"/>
      <c r="Y123" s="73"/>
      <c r="Z123" s="72"/>
      <c r="AA123" s="24">
        <v>2.2002694207454043E-2</v>
      </c>
      <c r="AB123" s="73"/>
      <c r="AC123" s="73"/>
      <c r="AD123" s="73"/>
      <c r="AE123" s="72"/>
      <c r="AF123" s="24">
        <v>-2.9876977152899831E-2</v>
      </c>
      <c r="AG123" s="73"/>
      <c r="AH123" s="73"/>
      <c r="AI123" s="73"/>
      <c r="AJ123" s="72"/>
      <c r="AK123" s="24">
        <v>-7.51811594202898E-2</v>
      </c>
      <c r="AL123" s="73"/>
      <c r="AM123" s="73"/>
      <c r="AN123" s="73"/>
      <c r="AO123" s="72"/>
      <c r="AP123" s="24">
        <v>-2.8403525954946107E-2</v>
      </c>
      <c r="AQ123" s="73"/>
      <c r="AR123" s="73"/>
      <c r="AS123" s="73"/>
      <c r="AT123" s="72"/>
      <c r="AU123" s="24">
        <v>-0.11643145161290325</v>
      </c>
      <c r="AV123" s="73"/>
      <c r="AW123" s="73"/>
      <c r="AX123" s="73"/>
      <c r="AY123" s="72"/>
      <c r="AZ123" s="24">
        <v>-4.164289788933262E-2</v>
      </c>
    </row>
    <row r="124" spans="1:202" s="46" customFormat="1" ht="4.5" customHeight="1">
      <c r="A124" s="90"/>
      <c r="B124" s="167"/>
      <c r="C124" s="90"/>
      <c r="D124" s="90"/>
      <c r="E124" s="90"/>
      <c r="F124" s="90"/>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90"/>
      <c r="AC124" s="90"/>
      <c r="AD124" s="90"/>
      <c r="AE124" s="90"/>
      <c r="AF124" s="167"/>
      <c r="AG124" s="90"/>
      <c r="AH124" s="90"/>
      <c r="AI124" s="90"/>
      <c r="AJ124" s="90"/>
      <c r="AK124" s="167"/>
      <c r="AL124" s="90"/>
      <c r="AM124" s="90"/>
      <c r="AN124" s="90"/>
      <c r="AO124" s="90"/>
      <c r="AP124" s="167"/>
      <c r="AQ124" s="90"/>
      <c r="AR124" s="90"/>
      <c r="AS124" s="90"/>
      <c r="AT124" s="90"/>
      <c r="AU124" s="167"/>
      <c r="AV124" s="90"/>
      <c r="AW124" s="90"/>
      <c r="AX124" s="90"/>
      <c r="AY124" s="90"/>
      <c r="AZ124" s="167"/>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row>
    <row r="125" spans="1:202" s="168" customFormat="1" ht="14.25" customHeight="1">
      <c r="A125" s="69" t="s">
        <v>167</v>
      </c>
      <c r="B125" s="167">
        <v>0.37</v>
      </c>
      <c r="C125" s="73"/>
      <c r="D125" s="73"/>
      <c r="E125" s="73"/>
      <c r="F125" s="73"/>
      <c r="G125" s="167">
        <v>0.38</v>
      </c>
      <c r="H125" s="167"/>
      <c r="I125" s="167"/>
      <c r="J125" s="167"/>
      <c r="K125" s="167"/>
      <c r="L125" s="167">
        <v>0.38</v>
      </c>
      <c r="M125" s="167"/>
      <c r="N125" s="167"/>
      <c r="O125" s="167"/>
      <c r="P125" s="167"/>
      <c r="Q125" s="167">
        <v>0.39</v>
      </c>
      <c r="R125" s="167"/>
      <c r="S125" s="167"/>
      <c r="T125" s="167"/>
      <c r="U125" s="167"/>
      <c r="V125" s="167">
        <v>0.4</v>
      </c>
      <c r="W125" s="167"/>
      <c r="X125" s="167"/>
      <c r="Y125" s="167"/>
      <c r="Z125" s="167"/>
      <c r="AA125" s="167">
        <v>0.39</v>
      </c>
      <c r="AB125" s="73"/>
      <c r="AC125" s="73"/>
      <c r="AD125" s="73"/>
      <c r="AE125" s="73"/>
      <c r="AF125" s="167">
        <v>0.4</v>
      </c>
      <c r="AG125" s="120" t="s">
        <v>45</v>
      </c>
      <c r="AH125" s="120" t="s">
        <v>45</v>
      </c>
      <c r="AI125" s="120" t="s">
        <v>45</v>
      </c>
      <c r="AJ125" s="120" t="s">
        <v>45</v>
      </c>
      <c r="AK125" s="167">
        <v>0.42</v>
      </c>
      <c r="AL125" s="120" t="s">
        <v>45</v>
      </c>
      <c r="AM125" s="120" t="s">
        <v>45</v>
      </c>
      <c r="AN125" s="120" t="s">
        <v>45</v>
      </c>
      <c r="AO125" s="120" t="s">
        <v>45</v>
      </c>
      <c r="AP125" s="167">
        <v>0.42</v>
      </c>
      <c r="AQ125" s="120" t="s">
        <v>45</v>
      </c>
      <c r="AR125" s="120" t="s">
        <v>45</v>
      </c>
      <c r="AS125" s="120" t="s">
        <v>45</v>
      </c>
      <c r="AT125" s="120" t="s">
        <v>45</v>
      </c>
      <c r="AU125" s="167">
        <v>0.4</v>
      </c>
      <c r="AV125" s="120" t="s">
        <v>45</v>
      </c>
      <c r="AW125" s="120" t="s">
        <v>45</v>
      </c>
      <c r="AX125" s="120" t="s">
        <v>45</v>
      </c>
      <c r="AY125" s="120" t="s">
        <v>45</v>
      </c>
      <c r="AZ125" s="167">
        <v>0.37</v>
      </c>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row>
    <row r="126" spans="1:202" ht="5.25" customHeight="1">
      <c r="A126" s="94"/>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row>
    <row r="157" spans="14:15">
      <c r="N157" s="1">
        <v>340</v>
      </c>
      <c r="O157" s="1">
        <v>347.37700000000001</v>
      </c>
    </row>
    <row r="163" spans="3:52" customFormat="1"/>
    <row r="164" spans="3:52" customFormat="1"/>
    <row r="165" spans="3:52" customFormat="1"/>
    <row r="166" spans="3:52">
      <c r="AK166"/>
      <c r="AL166"/>
      <c r="AM166"/>
      <c r="AN166"/>
      <c r="AO166"/>
      <c r="AP166"/>
      <c r="AQ166"/>
      <c r="AR166"/>
      <c r="AS166"/>
      <c r="AT166"/>
      <c r="AU166"/>
      <c r="AV166"/>
      <c r="AW166"/>
      <c r="AX166"/>
      <c r="AY166"/>
      <c r="AZ166"/>
    </row>
    <row r="167" spans="3:52">
      <c r="AK167"/>
      <c r="AL167"/>
      <c r="AM167"/>
      <c r="AN167"/>
      <c r="AO167"/>
      <c r="AP167"/>
      <c r="AQ167"/>
      <c r="AR167"/>
      <c r="AS167"/>
      <c r="AT167"/>
      <c r="AU167"/>
      <c r="AV167"/>
      <c r="AW167"/>
      <c r="AX167"/>
      <c r="AY167"/>
      <c r="AZ167"/>
    </row>
    <row r="168" spans="3:52">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3:52">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3:52">
      <c r="AK170" s="1">
        <v>1980</v>
      </c>
    </row>
    <row r="173" spans="3:52">
      <c r="AK173" s="1">
        <f>1793-478</f>
        <v>1315</v>
      </c>
    </row>
    <row r="182" spans="33:44">
      <c r="AK182" s="1">
        <v>-23</v>
      </c>
    </row>
    <row r="187" spans="33:44">
      <c r="AR187" s="1">
        <v>59</v>
      </c>
    </row>
    <row r="192" spans="33:44">
      <c r="AG192" s="1">
        <v>616</v>
      </c>
    </row>
    <row r="198" spans="20:33">
      <c r="AG198" s="1">
        <f>18.765+190.909</f>
        <v>209.67399999999998</v>
      </c>
    </row>
    <row r="201" spans="20:33">
      <c r="AG201" s="1">
        <f>AG198-27</f>
        <v>182.67399999999998</v>
      </c>
    </row>
    <row r="203" spans="20:33">
      <c r="T203" s="1">
        <v>405.46800000000002</v>
      </c>
    </row>
    <row r="206" spans="20:33">
      <c r="T206" s="1">
        <v>63.363999999999997</v>
      </c>
    </row>
    <row r="209" spans="15:20">
      <c r="T209" s="1">
        <v>-75.885000000000005</v>
      </c>
    </row>
    <row r="212" spans="15:20">
      <c r="T212" s="1">
        <v>74.073999999999998</v>
      </c>
    </row>
    <row r="220" spans="15:20">
      <c r="O220" s="1">
        <v>126.117</v>
      </c>
      <c r="T220" s="1">
        <v>134.20099999999999</v>
      </c>
    </row>
    <row r="225" spans="15:23">
      <c r="W225" s="1">
        <v>118</v>
      </c>
    </row>
    <row r="226" spans="15:23">
      <c r="O226" s="1">
        <f>52.441+2.5+9.771</f>
        <v>64.712000000000003</v>
      </c>
      <c r="T226" s="1">
        <f>51.634+6.428+9.274</f>
        <v>67.335999999999999</v>
      </c>
    </row>
    <row r="227" spans="15:23">
      <c r="W227" s="122">
        <v>-9.1999999999999998E-2</v>
      </c>
    </row>
    <row r="229" spans="15:23">
      <c r="T229" s="1">
        <f>T226-0.156</f>
        <v>67.179999999999993</v>
      </c>
    </row>
    <row r="399" spans="31:36">
      <c r="AE399" s="1">
        <v>131</v>
      </c>
      <c r="AJ399" s="1">
        <v>135</v>
      </c>
    </row>
    <row r="401" spans="31:37">
      <c r="AJ401" s="122">
        <v>3.5000000000000003E-2</v>
      </c>
    </row>
    <row r="404" spans="31:37">
      <c r="AE404" s="1">
        <v>134</v>
      </c>
      <c r="AF404" s="1">
        <v>491</v>
      </c>
    </row>
    <row r="406" spans="31:37">
      <c r="AJ406" s="122">
        <v>-8.7999999999999995E-2</v>
      </c>
      <c r="AK406" s="122">
        <v>-0.10100000000000001</v>
      </c>
    </row>
    <row r="416" spans="31:37">
      <c r="AF416" s="1">
        <v>167</v>
      </c>
      <c r="AJ416" s="1">
        <v>27</v>
      </c>
      <c r="AK416" s="1">
        <v>138</v>
      </c>
    </row>
    <row r="418" spans="31:37">
      <c r="AJ418" s="122">
        <v>-0.47899999999999998</v>
      </c>
      <c r="AK418" s="122">
        <v>-0.17799999999999999</v>
      </c>
    </row>
    <row r="424" spans="31:37">
      <c r="AE424" s="122">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phoneticPr fontId="4" type="noConversion"/>
  <pageMargins left="0.59055118110236227" right="0.19685039370078741" top="0.98425196850393704" bottom="0.39370078740157483" header="0.51181102362204722" footer="0.19685039370078741"/>
  <pageSetup paperSize="9" scale="65" orientation="landscape" r:id="rId1"/>
  <headerFooter alignWithMargins="0">
    <oddHeader>&amp;C&amp;12Bezeq - The Israel Telecommunication Corp. Ltd</oddHeader>
    <oddFooter>&amp;R&amp;P of &amp;N
KPIs</oddFooter>
  </headerFooter>
  <rowBreaks count="2" manualBreakCount="2">
    <brk id="63" max="51" man="1"/>
    <brk id="29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showGridLines="0" tabSelected="1" view="pageBreakPreview" zoomScaleSheetLayoutView="100" workbookViewId="0">
      <selection activeCell="AZ37" sqref="AZ37"/>
    </sheetView>
  </sheetViews>
  <sheetFormatPr defaultColWidth="8.77734375" defaultRowHeight="13.2"/>
  <cols>
    <col min="1" max="1" width="25.44140625" style="104" customWidth="1"/>
    <col min="2" max="2" width="19.21875" style="104" customWidth="1"/>
    <col min="3" max="3" width="23.21875" style="104" customWidth="1"/>
    <col min="4" max="4" width="49.33203125" style="132" customWidth="1"/>
    <col min="5" max="5" width="29.44140625" style="104" customWidth="1"/>
    <col min="6" max="9" width="10.21875" style="104" customWidth="1"/>
    <col min="10" max="10" width="10.44140625" style="104" customWidth="1"/>
    <col min="11" max="11" width="10.21875" style="104" customWidth="1"/>
    <col min="12" max="12" width="17.77734375" style="107" customWidth="1"/>
    <col min="13" max="13" width="9.21875" style="107" customWidth="1"/>
    <col min="14" max="74" width="8.77734375" style="107"/>
    <col min="75" max="16384" width="8.77734375" style="104"/>
  </cols>
  <sheetData>
    <row r="1" spans="1:74" s="105" customFormat="1" ht="15.6">
      <c r="B1" s="126"/>
      <c r="C1"/>
      <c r="D1" s="26"/>
      <c r="E1"/>
      <c r="F1"/>
      <c r="G1"/>
      <c r="H1"/>
      <c r="I1"/>
      <c r="J1"/>
      <c r="K1"/>
      <c r="L1" s="106"/>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row>
    <row r="2" spans="1:74" s="105" customFormat="1">
      <c r="D2" s="134"/>
      <c r="L2" s="106"/>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1:74" s="105" customFormat="1" ht="22.8">
      <c r="B3" s="127"/>
      <c r="C3"/>
      <c r="D3" s="26"/>
      <c r="E3"/>
      <c r="F3"/>
      <c r="G3"/>
      <c r="H3"/>
      <c r="I3"/>
      <c r="J3"/>
      <c r="K3"/>
      <c r="L3" s="106"/>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1:74" s="57" customFormat="1" ht="6" customHeight="1">
      <c r="A4" s="58"/>
      <c r="B4" s="47"/>
      <c r="C4" s="47"/>
      <c r="D4" s="47"/>
      <c r="E4" s="47"/>
      <c r="F4" s="47"/>
      <c r="G4" s="47"/>
      <c r="H4" s="47"/>
      <c r="I4" s="47"/>
      <c r="J4" s="47"/>
      <c r="K4" s="47"/>
      <c r="L4" s="47"/>
      <c r="M4" s="47"/>
      <c r="N4" s="47"/>
      <c r="O4" s="47"/>
    </row>
    <row r="5" spans="1:74" s="25" customFormat="1" ht="4.5" customHeight="1">
      <c r="A5" s="44"/>
      <c r="B5" s="45"/>
      <c r="C5" s="45"/>
      <c r="D5" s="45"/>
      <c r="E5" s="45"/>
      <c r="F5" s="45"/>
      <c r="G5" s="45"/>
      <c r="H5" s="45"/>
      <c r="I5" s="45"/>
      <c r="J5" s="45"/>
      <c r="K5" s="45"/>
      <c r="L5" s="45"/>
      <c r="M5" s="45"/>
      <c r="N5" s="45"/>
      <c r="O5" s="45"/>
    </row>
    <row r="6" spans="1:74" s="4" customFormat="1" ht="17.399999999999999">
      <c r="A6" s="162" t="s">
        <v>130</v>
      </c>
      <c r="B6" s="27"/>
      <c r="C6" s="27"/>
      <c r="D6" s="135"/>
      <c r="E6" s="27"/>
      <c r="F6" s="27"/>
      <c r="G6" s="27"/>
      <c r="H6" s="27"/>
      <c r="I6" s="27"/>
      <c r="J6" s="27"/>
      <c r="K6" s="27"/>
      <c r="L6" s="27"/>
      <c r="M6" s="27"/>
      <c r="N6" s="27"/>
      <c r="O6" s="27"/>
    </row>
    <row r="7" spans="1:74" s="4" customFormat="1" ht="7.5" customHeight="1">
      <c r="A7" s="61"/>
      <c r="B7" s="62"/>
      <c r="C7" s="62"/>
      <c r="D7" s="136"/>
      <c r="E7" s="62"/>
      <c r="F7" s="62"/>
      <c r="G7" s="62"/>
      <c r="H7" s="62"/>
      <c r="I7" s="62"/>
      <c r="J7" s="62"/>
      <c r="K7" s="62"/>
      <c r="L7" s="62"/>
      <c r="M7" s="62"/>
      <c r="N7" s="62"/>
      <c r="O7" s="62"/>
    </row>
    <row r="8" spans="1:74" s="4" customFormat="1">
      <c r="A8" s="161" t="s">
        <v>109</v>
      </c>
      <c r="B8" s="42"/>
      <c r="C8" s="42"/>
      <c r="D8" s="137"/>
      <c r="E8" s="42"/>
      <c r="F8" s="42"/>
      <c r="G8" s="42"/>
      <c r="H8" s="42"/>
      <c r="I8" s="42"/>
      <c r="J8" s="42"/>
      <c r="K8" s="42"/>
      <c r="L8" s="42"/>
      <c r="M8" s="42"/>
      <c r="N8" s="42"/>
      <c r="O8" s="42"/>
    </row>
    <row r="9" spans="1:74" s="128" customFormat="1" ht="19.5" customHeight="1">
      <c r="A9" s="154" t="s">
        <v>131</v>
      </c>
      <c r="B9" s="154" t="s">
        <v>132</v>
      </c>
      <c r="C9" s="154" t="s">
        <v>113</v>
      </c>
      <c r="D9" s="155" t="s">
        <v>133</v>
      </c>
      <c r="E9" s="156"/>
      <c r="F9" s="129"/>
      <c r="G9" s="129"/>
      <c r="H9" s="129"/>
      <c r="I9" s="129"/>
      <c r="J9" s="129"/>
      <c r="K9" s="129"/>
      <c r="L9" s="129"/>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row>
    <row r="10" spans="1:74" s="141" customFormat="1" ht="18" customHeight="1">
      <c r="A10" s="203" t="s">
        <v>270</v>
      </c>
      <c r="B10" s="204">
        <v>368</v>
      </c>
      <c r="C10" s="203">
        <v>0.13</v>
      </c>
      <c r="D10" s="214" t="s">
        <v>232</v>
      </c>
      <c r="E10" s="157"/>
      <c r="F10" s="139"/>
      <c r="G10" s="139"/>
      <c r="H10" s="139"/>
      <c r="I10" s="139"/>
      <c r="J10" s="139"/>
      <c r="K10" s="139"/>
      <c r="L10" s="139"/>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row>
    <row r="11" spans="1:74" s="141" customFormat="1" ht="18" customHeight="1">
      <c r="A11" s="203" t="s">
        <v>229</v>
      </c>
      <c r="B11" s="204">
        <v>708</v>
      </c>
      <c r="C11" s="203">
        <v>0.26</v>
      </c>
      <c r="D11" s="205" t="s">
        <v>172</v>
      </c>
      <c r="E11" s="157"/>
      <c r="F11" s="139"/>
      <c r="G11" s="139"/>
      <c r="H11" s="139"/>
      <c r="I11" s="139"/>
      <c r="J11" s="139"/>
      <c r="K11" s="139"/>
      <c r="L11" s="139"/>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row>
    <row r="12" spans="1:74" s="141" customFormat="1" ht="18" customHeight="1">
      <c r="A12" s="206" t="s">
        <v>223</v>
      </c>
      <c r="B12" s="204">
        <v>578</v>
      </c>
      <c r="C12" s="206">
        <v>0.21</v>
      </c>
      <c r="D12" s="205" t="s">
        <v>172</v>
      </c>
      <c r="E12" s="158"/>
      <c r="F12" s="196"/>
      <c r="G12" s="196"/>
      <c r="H12" s="196"/>
      <c r="I12" s="139"/>
      <c r="J12" s="139"/>
      <c r="K12" s="139"/>
      <c r="L12" s="139"/>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row>
    <row r="13" spans="1:74" s="141" customFormat="1" ht="18" customHeight="1">
      <c r="A13" s="203" t="s">
        <v>209</v>
      </c>
      <c r="B13" s="204">
        <v>665</v>
      </c>
      <c r="C13" s="207">
        <v>0.24046770000000001</v>
      </c>
      <c r="D13" s="205" t="s">
        <v>172</v>
      </c>
      <c r="E13" s="158"/>
      <c r="F13" s="139"/>
      <c r="G13" s="139"/>
      <c r="H13" s="139"/>
      <c r="I13" s="139"/>
      <c r="J13" s="139"/>
      <c r="K13" s="139"/>
      <c r="L13" s="139"/>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row>
    <row r="14" spans="1:74" s="141" customFormat="1" ht="18" customHeight="1">
      <c r="A14" s="208">
        <v>42520</v>
      </c>
      <c r="B14" s="204">
        <v>776</v>
      </c>
      <c r="C14" s="209">
        <v>0.28060590000000002</v>
      </c>
      <c r="D14" s="205" t="s">
        <v>134</v>
      </c>
      <c r="E14" s="157"/>
      <c r="F14" s="139"/>
      <c r="G14" s="139"/>
      <c r="H14" s="139"/>
      <c r="I14" s="139"/>
      <c r="J14" s="139"/>
      <c r="K14" s="139"/>
      <c r="L14" s="139"/>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row>
    <row r="15" spans="1:74" s="141" customFormat="1" ht="18" customHeight="1">
      <c r="A15" s="203" t="s">
        <v>162</v>
      </c>
      <c r="B15" s="204">
        <v>933</v>
      </c>
      <c r="C15" s="207">
        <v>0.33895799999999998</v>
      </c>
      <c r="D15" s="205" t="s">
        <v>134</v>
      </c>
      <c r="E15" s="157"/>
      <c r="F15" s="139"/>
      <c r="G15" s="139"/>
      <c r="H15" s="139"/>
      <c r="I15" s="139"/>
      <c r="J15" s="139"/>
      <c r="K15" s="139"/>
      <c r="L15" s="139"/>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row>
    <row r="16" spans="1:74" s="141" customFormat="1" ht="18" customHeight="1">
      <c r="A16" s="203" t="s">
        <v>153</v>
      </c>
      <c r="B16" s="204">
        <v>844</v>
      </c>
      <c r="C16" s="203">
        <v>0.31</v>
      </c>
      <c r="D16" s="205" t="s">
        <v>172</v>
      </c>
      <c r="E16" s="157"/>
      <c r="F16" s="139"/>
      <c r="G16" s="139"/>
      <c r="H16" s="139"/>
      <c r="I16" s="139"/>
      <c r="J16" s="139"/>
      <c r="K16" s="139"/>
      <c r="L16" s="139"/>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row>
    <row r="17" spans="1:74" s="141" customFormat="1" ht="18" customHeight="1">
      <c r="A17" s="203" t="s">
        <v>152</v>
      </c>
      <c r="B17" s="204">
        <v>1267</v>
      </c>
      <c r="C17" s="207">
        <v>0.4627</v>
      </c>
      <c r="D17" s="205" t="s">
        <v>172</v>
      </c>
      <c r="E17" s="157"/>
      <c r="F17" s="139"/>
      <c r="G17" s="139"/>
      <c r="H17" s="139"/>
      <c r="I17" s="139"/>
      <c r="J17" s="139"/>
      <c r="K17" s="139"/>
      <c r="L17" s="139"/>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row>
    <row r="18" spans="1:74" s="141" customFormat="1" ht="18" customHeight="1">
      <c r="A18" s="203" t="s">
        <v>150</v>
      </c>
      <c r="B18" s="204">
        <v>802</v>
      </c>
      <c r="C18" s="207">
        <v>0.29365089999999999</v>
      </c>
      <c r="D18" s="205" t="s">
        <v>134</v>
      </c>
      <c r="E18" s="158"/>
      <c r="F18" s="139"/>
      <c r="G18" s="139"/>
      <c r="H18" s="139"/>
      <c r="I18" s="139"/>
      <c r="J18" s="139"/>
      <c r="K18" s="139"/>
      <c r="L18" s="139"/>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row>
    <row r="19" spans="1:74" ht="18" customHeight="1">
      <c r="A19" s="210" t="s">
        <v>129</v>
      </c>
      <c r="B19" s="204">
        <v>500</v>
      </c>
      <c r="C19" s="211">
        <v>0.35539340000000003</v>
      </c>
      <c r="D19" s="205" t="s">
        <v>136</v>
      </c>
      <c r="E19" s="159"/>
    </row>
    <row r="20" spans="1:74" ht="18" customHeight="1">
      <c r="A20" s="210" t="s">
        <v>129</v>
      </c>
      <c r="B20" s="204">
        <v>969</v>
      </c>
      <c r="C20" s="211">
        <v>0.1833815</v>
      </c>
      <c r="D20" s="205" t="s">
        <v>134</v>
      </c>
      <c r="E20" s="159"/>
    </row>
    <row r="21" spans="1:74" ht="18" customHeight="1">
      <c r="A21" s="210" t="s">
        <v>128</v>
      </c>
      <c r="B21" s="204">
        <v>500</v>
      </c>
      <c r="C21" s="211">
        <v>0.18347540000000001</v>
      </c>
      <c r="D21" s="205" t="s">
        <v>137</v>
      </c>
      <c r="E21" s="159"/>
    </row>
    <row r="22" spans="1:74" ht="18" customHeight="1">
      <c r="A22" s="210" t="s">
        <v>128</v>
      </c>
      <c r="B22" s="204">
        <v>861</v>
      </c>
      <c r="C22" s="211">
        <v>0.31594460000000002</v>
      </c>
      <c r="D22" s="205" t="s">
        <v>134</v>
      </c>
      <c r="E22" s="159"/>
    </row>
    <row r="23" spans="1:74" ht="18" customHeight="1">
      <c r="A23" s="210" t="s">
        <v>127</v>
      </c>
      <c r="B23" s="204">
        <v>500</v>
      </c>
      <c r="C23" s="211">
        <v>0.18353149999999999</v>
      </c>
      <c r="D23" s="205" t="s">
        <v>138</v>
      </c>
      <c r="E23" s="159"/>
    </row>
    <row r="24" spans="1:74" ht="18" customHeight="1">
      <c r="A24" s="210" t="s">
        <v>127</v>
      </c>
      <c r="B24" s="204">
        <v>997</v>
      </c>
      <c r="C24" s="211">
        <v>0.3659618</v>
      </c>
      <c r="D24" s="205" t="s">
        <v>134</v>
      </c>
      <c r="E24" s="159"/>
    </row>
    <row r="25" spans="1:74" ht="18" customHeight="1">
      <c r="A25" s="210" t="s">
        <v>126</v>
      </c>
      <c r="B25" s="204">
        <v>500</v>
      </c>
      <c r="C25" s="211">
        <v>0.18397520000000001</v>
      </c>
      <c r="D25" s="205" t="s">
        <v>139</v>
      </c>
      <c r="E25" s="159"/>
    </row>
    <row r="26" spans="1:74" ht="18" customHeight="1">
      <c r="A26" s="210" t="s">
        <v>126</v>
      </c>
      <c r="B26" s="204">
        <v>1074</v>
      </c>
      <c r="C26" s="211">
        <v>0.3951788</v>
      </c>
      <c r="D26" s="205" t="s">
        <v>134</v>
      </c>
      <c r="E26" s="159"/>
    </row>
    <row r="27" spans="1:74" ht="18" customHeight="1">
      <c r="A27" s="210" t="s">
        <v>125</v>
      </c>
      <c r="B27" s="204">
        <v>500</v>
      </c>
      <c r="C27" s="211">
        <v>0.18459929999999999</v>
      </c>
      <c r="D27" s="205" t="s">
        <v>140</v>
      </c>
      <c r="E27" s="159"/>
    </row>
    <row r="28" spans="1:74" ht="18" customHeight="1">
      <c r="A28" s="210" t="s">
        <v>125</v>
      </c>
      <c r="B28" s="204">
        <v>992</v>
      </c>
      <c r="C28" s="211">
        <v>0.36624509999999999</v>
      </c>
      <c r="D28" s="205" t="s">
        <v>134</v>
      </c>
      <c r="E28" s="159"/>
    </row>
    <row r="29" spans="1:74" ht="18" customHeight="1">
      <c r="A29" s="210" t="s">
        <v>124</v>
      </c>
      <c r="B29" s="204">
        <v>500</v>
      </c>
      <c r="C29" s="211">
        <v>0.18511250000000001</v>
      </c>
      <c r="D29" s="205" t="s">
        <v>135</v>
      </c>
      <c r="E29" s="159"/>
    </row>
    <row r="30" spans="1:74" ht="18" customHeight="1">
      <c r="A30" s="210" t="s">
        <v>124</v>
      </c>
      <c r="B30" s="204">
        <v>1163</v>
      </c>
      <c r="C30" s="211">
        <v>0.4305716</v>
      </c>
      <c r="D30" s="205" t="s">
        <v>134</v>
      </c>
      <c r="E30" s="159"/>
    </row>
    <row r="31" spans="1:74" ht="18" customHeight="1">
      <c r="A31" s="210" t="s">
        <v>123</v>
      </c>
      <c r="B31" s="204">
        <v>1280</v>
      </c>
      <c r="C31" s="211">
        <v>0.47804590000000002</v>
      </c>
      <c r="D31" s="205" t="s">
        <v>134</v>
      </c>
      <c r="E31" s="159"/>
    </row>
    <row r="32" spans="1:74" ht="18" customHeight="1">
      <c r="A32" s="210" t="s">
        <v>122</v>
      </c>
      <c r="B32" s="204">
        <v>2453</v>
      </c>
      <c r="C32" s="211">
        <v>0.91706790000000005</v>
      </c>
      <c r="D32" s="205" t="s">
        <v>134</v>
      </c>
      <c r="E32" s="159"/>
    </row>
    <row r="33" spans="1:12" ht="18" customHeight="1">
      <c r="A33" s="210" t="s">
        <v>121</v>
      </c>
      <c r="B33" s="204">
        <v>1149</v>
      </c>
      <c r="C33" s="211">
        <v>0.43297429999999998</v>
      </c>
      <c r="D33" s="205" t="s">
        <v>134</v>
      </c>
      <c r="E33" s="159"/>
    </row>
    <row r="34" spans="1:12" ht="18" customHeight="1">
      <c r="A34" s="210" t="s">
        <v>120</v>
      </c>
      <c r="B34" s="204">
        <v>792</v>
      </c>
      <c r="C34" s="211">
        <v>0.30130249999999997</v>
      </c>
      <c r="D34" s="205" t="s">
        <v>134</v>
      </c>
      <c r="E34" s="159"/>
    </row>
    <row r="35" spans="1:12" ht="18" customHeight="1">
      <c r="A35" s="210" t="s">
        <v>119</v>
      </c>
      <c r="B35" s="204">
        <v>835</v>
      </c>
      <c r="C35" s="211">
        <v>0.32053179999999998</v>
      </c>
      <c r="D35" s="205" t="s">
        <v>134</v>
      </c>
      <c r="E35" s="159"/>
    </row>
    <row r="36" spans="1:12" ht="18" customHeight="1">
      <c r="A36" s="210" t="s">
        <v>118</v>
      </c>
      <c r="B36" s="204">
        <v>679</v>
      </c>
      <c r="C36" s="211">
        <v>0.26064799999999999</v>
      </c>
      <c r="D36" s="205" t="s">
        <v>134</v>
      </c>
      <c r="E36" s="159"/>
    </row>
    <row r="37" spans="1:12" ht="18" customHeight="1">
      <c r="A37" s="212" t="s">
        <v>117</v>
      </c>
      <c r="B37" s="213">
        <v>760</v>
      </c>
      <c r="C37" s="211">
        <v>0.29174149999999999</v>
      </c>
      <c r="D37" s="205" t="s">
        <v>134</v>
      </c>
      <c r="E37" s="160"/>
      <c r="F37" s="105"/>
      <c r="G37" s="105"/>
      <c r="H37" s="105"/>
      <c r="I37" s="105"/>
      <c r="J37" s="105"/>
      <c r="K37" s="105"/>
      <c r="L37" s="106"/>
    </row>
    <row r="38" spans="1:12" ht="18" customHeight="1">
      <c r="A38" s="212" t="s">
        <v>116</v>
      </c>
      <c r="B38" s="213">
        <v>1800</v>
      </c>
      <c r="C38" s="211">
        <v>0.69096679999999999</v>
      </c>
      <c r="D38" s="205" t="s">
        <v>141</v>
      </c>
      <c r="E38" s="160"/>
      <c r="F38" s="105"/>
      <c r="G38" s="105"/>
      <c r="H38" s="105"/>
      <c r="I38" s="105"/>
      <c r="J38" s="105"/>
      <c r="K38" s="105"/>
      <c r="L38" s="106"/>
    </row>
    <row r="39" spans="1:12" ht="18" customHeight="1">
      <c r="A39" s="212" t="s">
        <v>115</v>
      </c>
      <c r="B39" s="213">
        <v>300</v>
      </c>
      <c r="C39" s="211">
        <v>0.11516120000000001</v>
      </c>
      <c r="D39" s="205" t="s">
        <v>134</v>
      </c>
      <c r="E39" s="160"/>
      <c r="F39" s="105"/>
      <c r="G39" s="105"/>
      <c r="H39" s="105"/>
      <c r="I39" s="105"/>
      <c r="J39" s="105"/>
      <c r="K39" s="105"/>
      <c r="L39" s="106"/>
    </row>
    <row r="40" spans="1:12" ht="18" customHeight="1">
      <c r="A40" s="212" t="s">
        <v>114</v>
      </c>
      <c r="B40" s="213">
        <v>400</v>
      </c>
      <c r="C40" s="211">
        <v>0.1535482</v>
      </c>
      <c r="D40" s="205" t="s">
        <v>134</v>
      </c>
      <c r="E40" s="160"/>
      <c r="F40" s="105"/>
      <c r="G40" s="105"/>
      <c r="H40" s="105"/>
      <c r="I40" s="105"/>
      <c r="J40" s="105"/>
      <c r="K40" s="105"/>
      <c r="L40" s="106"/>
    </row>
    <row r="41" spans="1:12" ht="18" customHeight="1">
      <c r="A41" s="212" t="s">
        <v>112</v>
      </c>
      <c r="B41" s="213">
        <v>1200</v>
      </c>
      <c r="C41" s="211">
        <v>0.46064460000000002</v>
      </c>
      <c r="D41" s="205" t="s">
        <v>134</v>
      </c>
      <c r="E41" s="160"/>
      <c r="F41" s="105"/>
      <c r="G41" s="105"/>
      <c r="H41" s="105"/>
      <c r="I41" s="105"/>
      <c r="J41" s="105"/>
      <c r="K41" s="105"/>
      <c r="L41" s="106"/>
    </row>
    <row r="42" spans="1:12" ht="18" customHeight="1">
      <c r="A42" s="131"/>
      <c r="B42" s="133"/>
      <c r="C42" s="105"/>
      <c r="E42" s="105"/>
      <c r="F42" s="105"/>
      <c r="G42" s="105"/>
      <c r="H42" s="105"/>
      <c r="I42" s="105"/>
      <c r="J42" s="105"/>
      <c r="K42" s="105"/>
      <c r="L42" s="106"/>
    </row>
    <row r="43" spans="1:12" ht="18" customHeight="1">
      <c r="A43" s="131"/>
      <c r="B43" s="133"/>
      <c r="C43" s="105"/>
      <c r="E43" s="105"/>
      <c r="F43" s="105"/>
      <c r="G43" s="105"/>
      <c r="H43" s="105"/>
      <c r="I43" s="105"/>
      <c r="J43" s="105"/>
      <c r="K43" s="105"/>
      <c r="L43" s="106"/>
    </row>
    <row r="44" spans="1:12" ht="18" customHeight="1">
      <c r="A44" s="131"/>
      <c r="B44" s="133"/>
      <c r="C44" s="105"/>
      <c r="E44" s="105"/>
      <c r="F44" s="105"/>
      <c r="G44" s="105"/>
      <c r="H44" s="105"/>
      <c r="I44" s="105"/>
      <c r="J44" s="105"/>
      <c r="K44" s="105"/>
      <c r="L44" s="106"/>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19685039370078741" right="0.19685039370078741" top="0.23622047244094491" bottom="0" header="0.31496062992125984" footer="0.31496062992125984"/>
  <pageSetup paperSize="9" scale="95" orientation="landscape" r:id="rId1"/>
  <headerFooter>
    <oddHeader>&amp;CBezeq - The Israel Telecommunication Corp. Ltd</oddHeader>
    <oddFooter>&amp;R&amp;P of &amp;N
Dividends</oddFooter>
  </headerFooter>
  <rowBreaks count="1" manualBreakCount="1">
    <brk id="34" max="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1"/>
  <sheetViews>
    <sheetView showGridLines="0" tabSelected="1" workbookViewId="0">
      <selection activeCell="AZ37" sqref="AZ37"/>
    </sheetView>
  </sheetViews>
  <sheetFormatPr defaultColWidth="8.77734375" defaultRowHeight="13.2"/>
  <cols>
    <col min="1" max="1" width="34.44140625" style="104" customWidth="1"/>
    <col min="2" max="2" width="2.21875" style="104" customWidth="1"/>
    <col min="3" max="10" width="10.21875" style="104" customWidth="1"/>
    <col min="11" max="11" width="10.44140625" style="104" customWidth="1"/>
    <col min="12" max="12" width="10.21875" style="104" customWidth="1"/>
    <col min="13" max="13" width="17.77734375" style="107" customWidth="1"/>
    <col min="14" max="14" width="9.21875" style="107" customWidth="1"/>
    <col min="15" max="89" width="8.77734375" style="107"/>
    <col min="90" max="16384" width="8.77734375" style="104"/>
  </cols>
  <sheetData>
    <row r="1" spans="1:256" s="105" customFormat="1" ht="15.6">
      <c r="C1" s="225" t="s">
        <v>4</v>
      </c>
      <c r="D1" s="225"/>
      <c r="E1" s="225"/>
      <c r="F1" s="225"/>
      <c r="G1" s="225"/>
      <c r="H1" s="225"/>
      <c r="I1" s="225"/>
      <c r="J1" s="225"/>
      <c r="K1" s="225"/>
      <c r="L1" s="225"/>
      <c r="M1" s="106"/>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row>
    <row r="2" spans="1:256" s="105" customFormat="1">
      <c r="M2" s="106"/>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row>
    <row r="3" spans="1:256" s="105" customFormat="1" ht="22.8">
      <c r="C3" s="226" t="s">
        <v>54</v>
      </c>
      <c r="D3" s="226"/>
      <c r="E3" s="226"/>
      <c r="F3" s="226"/>
      <c r="G3" s="226"/>
      <c r="H3" s="226"/>
      <c r="I3" s="226"/>
      <c r="J3" s="226"/>
      <c r="K3" s="226"/>
      <c r="L3" s="226"/>
      <c r="M3" s="106"/>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row>
    <row r="4" spans="1:256" s="105" customFormat="1" ht="9.75" customHeight="1">
      <c r="M4" s="106"/>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row>
    <row r="5" spans="1:256" s="111" customFormat="1" ht="6.75"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row>
    <row r="6" spans="1:256">
      <c r="A6" s="112"/>
      <c r="B6" s="105"/>
      <c r="C6" s="105"/>
      <c r="D6" s="105"/>
      <c r="E6" s="105"/>
      <c r="F6" s="105"/>
      <c r="G6" s="105"/>
      <c r="H6" s="105"/>
      <c r="I6" s="105"/>
      <c r="J6" s="105"/>
      <c r="K6" s="105"/>
      <c r="L6" s="105"/>
      <c r="M6" s="106"/>
    </row>
    <row r="7" spans="1:256" s="114" customFormat="1">
      <c r="A7" s="113" t="s">
        <v>40</v>
      </c>
    </row>
    <row r="8" spans="1:256">
      <c r="A8" s="105"/>
      <c r="B8" s="105"/>
      <c r="C8" s="115"/>
      <c r="D8" s="105"/>
      <c r="E8" s="105"/>
      <c r="F8" s="105"/>
      <c r="G8" s="105"/>
      <c r="H8" s="105"/>
      <c r="I8" s="105"/>
      <c r="J8" s="105"/>
      <c r="K8" s="105"/>
      <c r="L8" s="105"/>
      <c r="M8" s="106"/>
    </row>
    <row r="9" spans="1:256">
      <c r="A9" s="116" t="s">
        <v>9</v>
      </c>
      <c r="B9" s="116" t="s">
        <v>37</v>
      </c>
      <c r="C9" s="116" t="s">
        <v>271</v>
      </c>
      <c r="D9" s="105"/>
      <c r="E9" s="105"/>
      <c r="F9" s="105"/>
      <c r="G9" s="105"/>
      <c r="H9" s="105"/>
      <c r="I9" s="105"/>
      <c r="J9" s="105"/>
      <c r="K9" s="105"/>
      <c r="L9" s="105"/>
      <c r="M9" s="106"/>
    </row>
    <row r="10" spans="1:256">
      <c r="A10" s="116" t="s">
        <v>217</v>
      </c>
      <c r="B10" s="116" t="s">
        <v>37</v>
      </c>
      <c r="C10" s="116" t="s">
        <v>219</v>
      </c>
      <c r="D10" s="105"/>
      <c r="E10" s="105"/>
      <c r="F10" s="105"/>
      <c r="G10" s="105"/>
      <c r="H10" s="105"/>
      <c r="I10" s="105"/>
      <c r="J10" s="105"/>
      <c r="K10" s="105"/>
      <c r="L10" s="105"/>
      <c r="M10" s="106"/>
    </row>
    <row r="11" spans="1:256">
      <c r="A11" s="116" t="s">
        <v>13</v>
      </c>
      <c r="B11" s="116" t="s">
        <v>37</v>
      </c>
      <c r="C11" s="116" t="s">
        <v>77</v>
      </c>
      <c r="D11" s="105"/>
      <c r="E11" s="105"/>
      <c r="F11" s="105"/>
      <c r="G11" s="105"/>
      <c r="H11" s="105"/>
      <c r="I11" s="105"/>
      <c r="J11" s="105"/>
      <c r="K11" s="105"/>
      <c r="L11" s="105"/>
      <c r="M11" s="106"/>
    </row>
    <row r="12" spans="1:256">
      <c r="A12" s="116" t="s">
        <v>59</v>
      </c>
      <c r="B12" s="116" t="s">
        <v>37</v>
      </c>
      <c r="C12" s="116" t="s">
        <v>78</v>
      </c>
      <c r="D12" s="105"/>
      <c r="E12" s="105"/>
      <c r="F12" s="105"/>
      <c r="G12" s="105"/>
      <c r="H12" s="105"/>
      <c r="I12" s="105"/>
      <c r="J12" s="105"/>
      <c r="K12" s="105"/>
      <c r="L12" s="105"/>
      <c r="M12" s="106"/>
    </row>
    <row r="13" spans="1:256">
      <c r="A13" s="116" t="s">
        <v>75</v>
      </c>
      <c r="B13" s="116" t="s">
        <v>37</v>
      </c>
      <c r="C13" s="116" t="s">
        <v>76</v>
      </c>
      <c r="D13" s="105"/>
      <c r="E13" s="105"/>
      <c r="F13" s="105"/>
      <c r="G13" s="105"/>
      <c r="H13" s="105"/>
      <c r="I13" s="105"/>
      <c r="J13" s="105"/>
      <c r="K13" s="105"/>
      <c r="L13" s="105"/>
      <c r="M13" s="106"/>
    </row>
    <row r="14" spans="1:256">
      <c r="A14" s="116" t="s">
        <v>36</v>
      </c>
      <c r="B14" s="116" t="s">
        <v>37</v>
      </c>
      <c r="C14" s="116" t="s">
        <v>60</v>
      </c>
      <c r="D14" s="105"/>
      <c r="E14" s="105"/>
      <c r="F14" s="105"/>
      <c r="G14" s="105"/>
      <c r="H14" s="105"/>
      <c r="I14" s="105"/>
      <c r="J14" s="105"/>
      <c r="K14" s="105"/>
      <c r="L14" s="105"/>
      <c r="M14" s="106"/>
    </row>
    <row r="15" spans="1:256">
      <c r="A15" s="116" t="s">
        <v>38</v>
      </c>
      <c r="B15" s="116" t="s">
        <v>37</v>
      </c>
      <c r="C15" s="116" t="s">
        <v>61</v>
      </c>
      <c r="D15" s="105"/>
      <c r="E15" s="105"/>
      <c r="F15" s="105"/>
      <c r="G15" s="105"/>
      <c r="H15" s="105"/>
      <c r="I15" s="105"/>
      <c r="J15" s="105"/>
      <c r="K15" s="105"/>
      <c r="L15" s="105"/>
      <c r="M15" s="106"/>
    </row>
    <row r="16" spans="1:256">
      <c r="A16" s="116" t="s">
        <v>45</v>
      </c>
      <c r="B16" s="116" t="s">
        <v>37</v>
      </c>
      <c r="C16" s="116" t="s">
        <v>62</v>
      </c>
      <c r="D16" s="105"/>
      <c r="E16" s="105"/>
      <c r="F16" s="105"/>
      <c r="G16" s="105"/>
      <c r="H16" s="105"/>
      <c r="I16" s="105"/>
      <c r="J16" s="105"/>
      <c r="K16" s="105"/>
      <c r="L16" s="105"/>
      <c r="M16" s="106"/>
    </row>
    <row r="17" spans="1:13">
      <c r="A17" s="116" t="s">
        <v>44</v>
      </c>
      <c r="B17" s="116" t="s">
        <v>37</v>
      </c>
      <c r="C17" s="116" t="s">
        <v>63</v>
      </c>
      <c r="D17" s="105"/>
      <c r="E17" s="105"/>
      <c r="F17" s="105"/>
      <c r="G17" s="105"/>
      <c r="H17" s="105"/>
      <c r="I17" s="105"/>
      <c r="J17" s="105"/>
      <c r="K17" s="105"/>
      <c r="L17" s="105"/>
      <c r="M17" s="106"/>
    </row>
    <row r="18" spans="1:13">
      <c r="A18" s="116"/>
      <c r="B18" s="116"/>
      <c r="C18" s="116"/>
      <c r="D18" s="105"/>
      <c r="E18" s="105"/>
      <c r="F18" s="105"/>
      <c r="G18" s="105"/>
      <c r="H18" s="105"/>
      <c r="I18" s="105"/>
      <c r="J18" s="105"/>
      <c r="K18" s="105"/>
      <c r="L18" s="105"/>
      <c r="M18" s="106"/>
    </row>
    <row r="19" spans="1:13">
      <c r="A19" s="117"/>
    </row>
    <row r="22" spans="1:13" ht="6" customHeight="1"/>
    <row r="24" spans="1:13">
      <c r="A24" s="118"/>
    </row>
    <row r="25" spans="1:13" ht="7.5" customHeight="1"/>
    <row r="249" spans="23:23">
      <c r="W249" s="107">
        <v>118</v>
      </c>
    </row>
    <row r="251" spans="23:23">
      <c r="W251" s="121">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mergeCells count="2">
    <mergeCell ref="C1:L1"/>
    <mergeCell ref="C3:L3"/>
  </mergeCells>
  <phoneticPr fontId="4" type="noConversion"/>
  <pageMargins left="0.51181102362204722" right="0.23622047244094491" top="0.47244094488188981" bottom="0.59055118110236227" header="0.51181102362204722" footer="0.23622047244094491"/>
  <pageSetup scale="8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13</vt:i4>
      </vt:variant>
    </vt:vector>
  </HeadingPairs>
  <TitlesOfParts>
    <vt:vector size="19" baseType="lpstr">
      <vt:lpstr>Index</vt:lpstr>
      <vt:lpstr>I - Financials</vt:lpstr>
      <vt:lpstr>II- Other income-exp</vt:lpstr>
      <vt:lpstr>III - KPIs</vt:lpstr>
      <vt:lpstr>IV - Dividends</vt:lpstr>
      <vt:lpstr>V - Glossary </vt:lpstr>
      <vt:lpstr>'III - KPIs'!_ftn1</vt:lpstr>
      <vt:lpstr>'III - KPIs'!_ftn2</vt:lpstr>
      <vt:lpstr>'III - KPIs'!_ftnref1</vt:lpstr>
      <vt:lpstr>'III - KPIs'!_ftnref2</vt:lpstr>
      <vt:lpstr>'I - Financials'!WPrint_Area_W</vt:lpstr>
      <vt:lpstr>'II- Other income-exp'!WPrint_Area_W</vt:lpstr>
      <vt:lpstr>'III - KPIs'!WPrint_Area_W</vt:lpstr>
      <vt:lpstr>Index!WPrint_Area_W</vt:lpstr>
      <vt:lpstr>'IV - Dividends'!WPrint_Area_W</vt:lpstr>
      <vt:lpstr>'V - Glossary '!WPrint_Area_W</vt:lpstr>
      <vt:lpstr>'I - Financials'!WPrint_TitlesW</vt:lpstr>
      <vt:lpstr>'III - KPIs'!WPrint_TitlesW</vt:lpstr>
      <vt:lpstr>'IV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2018-03-28T20:15:32Z</cp:lastPrinted>
  <dcterms:created xsi:type="dcterms:W3CDTF">1999-09-09T08:56:33Z</dcterms:created>
  <dcterms:modified xsi:type="dcterms:W3CDTF">2018-03-28T20:17:46Z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