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P:\merkaz\azrieli\planning_corp\נפתלי שטרנליכט\IR\Materials\2020\Q4 &amp; FY 2020\Metrics\"/>
    </mc:Choice>
  </mc:AlternateContent>
  <bookViews>
    <workbookView xWindow="0" yWindow="0" windowWidth="12240" windowHeight="9240" tabRatio="880" activeTab="4"/>
  </bookViews>
  <sheets>
    <sheet name="Index" sheetId="1" r:id="rId1"/>
    <sheet name="Group P&amp;L" sheetId="2" r:id="rId2"/>
    <sheet name="Group CF" sheetId="21" r:id="rId3"/>
    <sheet name="Group BS" sheetId="20" r:id="rId4"/>
    <sheet name="Group-Adj #s" sheetId="19" r:id="rId5"/>
    <sheet name="Group-Other" sheetId="7" r:id="rId6"/>
    <sheet name="Fixed-Line" sheetId="11" r:id="rId7"/>
    <sheet name="Pelephone" sheetId="12" r:id="rId8"/>
    <sheet name="B. Intl" sheetId="13" r:id="rId9"/>
    <sheet name="yes" sheetId="14" r:id="rId10"/>
    <sheet name="Total Subs" sheetId="15" r:id="rId11"/>
    <sheet name="KPIs" sheetId="3" r:id="rId12"/>
    <sheet name="Fixed CF Forecast" sheetId="10" r:id="rId13"/>
    <sheet name="Debt Repayments" sheetId="8" r:id="rId14"/>
    <sheet name="Debt Terms" sheetId="9" r:id="rId15"/>
    <sheet name="Glossary " sheetId="4" r:id="rId16"/>
    <sheet name="Dividends" sheetId="6" r:id="rId17"/>
  </sheets>
  <definedNames>
    <definedName name="_ftn1" localSheetId="11">KPIs!$AP$93</definedName>
    <definedName name="_ftn2" localSheetId="11">KPIs!$AP$94</definedName>
    <definedName name="_ftnref1" localSheetId="11">KPIs!$AP$87</definedName>
    <definedName name="_ftnref2" localSheetId="11">KPIs!$AP$88</definedName>
    <definedName name="ProjectName">{"Client Name or Project Name"}</definedName>
    <definedName name="_xlnm.Print_Area" localSheetId="8">'B. Intl'!$A$1:$U$67</definedName>
    <definedName name="_xlnm.Print_Area" localSheetId="13">'Debt Repayments'!$B$1:$F$59</definedName>
    <definedName name="_xlnm.Print_Area" localSheetId="16">Dividends!$A$10:$D$42</definedName>
    <definedName name="_xlnm.Print_Area" localSheetId="12">'Fixed CF Forecast'!$B$1:$D$47</definedName>
    <definedName name="_xlnm.Print_Area" localSheetId="6">'Fixed-Line'!$A$1:$V$104</definedName>
    <definedName name="_xlnm.Print_Area" localSheetId="15">'Glossary '!$A$1:$M$20</definedName>
    <definedName name="_xlnm.Print_Area" localSheetId="3">'Group BS'!$A$1:$L$51</definedName>
    <definedName name="_xlnm.Print_Area" localSheetId="1">'Group P&amp;L'!$A$1:$M$72</definedName>
    <definedName name="_xlnm.Print_Area" localSheetId="4">'Group-Adj #s'!$A$1:$M$36</definedName>
    <definedName name="_xlnm.Print_Area" localSheetId="5">'Group-Other'!$A$4:$AL$73</definedName>
    <definedName name="_xlnm.Print_Area" localSheetId="0">Index!$A$1:$L$33</definedName>
    <definedName name="_xlnm.Print_Area" localSheetId="11">KPIs!$A$1:$BO$133</definedName>
    <definedName name="_xlnm.Print_Area" localSheetId="7">Pelephone!$A$1:$V$66</definedName>
    <definedName name="_xlnm.Print_Area" localSheetId="10">'Total Subs'!$A$8:$Q$69</definedName>
    <definedName name="_xlnm.Print_Area" localSheetId="9">yes!$A$1:$V$96</definedName>
    <definedName name="_xlnm.Print_Titles" localSheetId="13">'Debt Repayments'!$1:$6</definedName>
    <definedName name="_xlnm.Print_Titles" localSheetId="16">Dividends!$1:$9</definedName>
    <definedName name="_xlnm.Print_Titles" localSheetId="6">'Fixed-Line'!$1:$4</definedName>
    <definedName name="_xlnm.Print_Titles" localSheetId="1">'Group P&amp;L'!$1:$5</definedName>
    <definedName name="_xlnm.Print_Titles" localSheetId="5">'Group-Other'!$4:$6</definedName>
    <definedName name="_xlnm.Print_Titles" localSheetId="11">KPIs!$1:$4</definedName>
    <definedName name="_xlnm.Print_Titles" localSheetId="10">'Total Subs'!$1:$7</definedName>
    <definedName name="_xlnm.Print_Titles" localSheetId="9">yes!$1:$5</definedName>
    <definedName name="Z_44BC518B_F505_4956_BE42_792973965029_.wvu.PrintArea" localSheetId="15" hidden="1">'Glossary '!$A$1:$M$21</definedName>
    <definedName name="Z_44BC518B_F505_4956_BE42_792973965029_.wvu.PrintArea" localSheetId="1" hidden="1">'Group P&amp;L'!$A$1:$A$72</definedName>
    <definedName name="Z_44BC518B_F505_4956_BE42_792973965029_.wvu.PrintArea" localSheetId="0" hidden="1">Index!$A$1:$L$32</definedName>
    <definedName name="Z_44BC518B_F505_4956_BE42_792973965029_.wvu.PrintArea" localSheetId="11" hidden="1">KPIs!$A$1:$R$130</definedName>
    <definedName name="Z_44BC518B_F505_4956_BE42_792973965029_.wvu.PrintTitles" localSheetId="1" hidden="1">'Group P&amp;L'!$1:$5</definedName>
    <definedName name="Z_44BC518B_F505_4956_BE42_792973965029_.wvu.PrintTitles" localSheetId="11" hidden="1">KPIs!$1:$4</definedName>
    <definedName name="Z_67DDFA58_7FF7_4BDB_BFFF_31DB4021D095_.wvu.Cols" localSheetId="1" hidden="1">'Group P&amp;L'!#REF!,'Group P&amp;L'!#REF!,'Group P&amp;L'!#REF!</definedName>
    <definedName name="Z_67DDFA58_7FF7_4BDB_BFFF_31DB4021D095_.wvu.Cols" localSheetId="11" hidden="1">KPIs!$B:$F,KPIs!$H:$K,KPIs!$M:$P</definedName>
    <definedName name="Z_67DDFA58_7FF7_4BDB_BFFF_31DB4021D095_.wvu.PrintArea" localSheetId="15" hidden="1">'Glossary '!$A$1:$M$21</definedName>
    <definedName name="Z_67DDFA58_7FF7_4BDB_BFFF_31DB4021D095_.wvu.PrintArea" localSheetId="1" hidden="1">'Group P&amp;L'!$A$1:$A$72</definedName>
    <definedName name="Z_67DDFA58_7FF7_4BDB_BFFF_31DB4021D095_.wvu.PrintArea" localSheetId="0" hidden="1">Index!$A$1:$L$32</definedName>
    <definedName name="Z_67DDFA58_7FF7_4BDB_BFFF_31DB4021D095_.wvu.PrintArea" localSheetId="11" hidden="1">KPIs!$A$1:$AD$130</definedName>
    <definedName name="Z_67DDFA58_7FF7_4BDB_BFFF_31DB4021D095_.wvu.PrintTitles" localSheetId="16" hidden="1">Dividends!$1:$9</definedName>
    <definedName name="Z_67DDFA58_7FF7_4BDB_BFFF_31DB4021D095_.wvu.PrintTitles" localSheetId="1" hidden="1">'Group P&amp;L'!$1:$5</definedName>
    <definedName name="Z_67DDFA58_7FF7_4BDB_BFFF_31DB4021D095_.wvu.PrintTitles" localSheetId="11" hidden="1">KPIs!$1:$4</definedName>
    <definedName name="Z_6A44E415_E6EC_4CA2_8B4C_A374F00F0261_.wvu.PrintArea" localSheetId="15" hidden="1">'Glossary '!$A$1:$M$20</definedName>
    <definedName name="Z_6A44E415_E6EC_4CA2_8B4C_A374F00F0261_.wvu.PrintArea" localSheetId="1" hidden="1">'Group P&amp;L'!$A$1:$A$72</definedName>
    <definedName name="Z_6A44E415_E6EC_4CA2_8B4C_A374F00F0261_.wvu.PrintArea" localSheetId="0" hidden="1">Index!$A$1:$L$32</definedName>
    <definedName name="Z_6A44E415_E6EC_4CA2_8B4C_A374F00F0261_.wvu.PrintArea" localSheetId="11" hidden="1">KPIs!$A$1:$I$130</definedName>
    <definedName name="Z_6A44E415_E6EC_4CA2_8B4C_A374F00F0261_.wvu.PrintTitles" localSheetId="1" hidden="1">'Group P&amp;L'!$1:$5</definedName>
    <definedName name="Z_6A44E415_E6EC_4CA2_8B4C_A374F00F0261_.wvu.PrintTitles" localSheetId="11" hidden="1">KPIs!$1:$4</definedName>
    <definedName name="Z_7DC6D345_C4C0_4162_8636_D495A245EBF8_.wvu.Cols" localSheetId="1" hidden="1">'Group P&amp;L'!#REF!,'Group P&amp;L'!#REF!,'Group P&amp;L'!#REF!</definedName>
    <definedName name="Z_7DC6D345_C4C0_4162_8636_D495A245EBF8_.wvu.Cols" localSheetId="11" hidden="1">KPIs!$B:$F,KPIs!$H:$K,KPIs!$M:$P</definedName>
    <definedName name="Z_7DC6D345_C4C0_4162_8636_D495A245EBF8_.wvu.PrintArea" localSheetId="15" hidden="1">'Glossary '!$A$1:$M$21</definedName>
    <definedName name="Z_7DC6D345_C4C0_4162_8636_D495A245EBF8_.wvu.PrintArea" localSheetId="1" hidden="1">'Group P&amp;L'!$A$1:$A$72</definedName>
    <definedName name="Z_7DC6D345_C4C0_4162_8636_D495A245EBF8_.wvu.PrintArea" localSheetId="0" hidden="1">Index!$A$1:$L$32</definedName>
    <definedName name="Z_7DC6D345_C4C0_4162_8636_D495A245EBF8_.wvu.PrintArea" localSheetId="11" hidden="1">KPIs!$A$1:$AD$130</definedName>
    <definedName name="Z_7DC6D345_C4C0_4162_8636_D495A245EBF8_.wvu.PrintTitles" localSheetId="1" hidden="1">'Group P&amp;L'!$1:$5</definedName>
    <definedName name="Z_7DC6D345_C4C0_4162_8636_D495A245EBF8_.wvu.PrintTitles" localSheetId="11" hidden="1">KPIs!$1:$4</definedName>
    <definedName name="Z_C32ED439_2914_4073_BFBF_7718D6CFE811_.wvu.PrintArea" localSheetId="15" hidden="1">'Glossary '!$A$1:$M$21</definedName>
    <definedName name="Z_C32ED439_2914_4073_BFBF_7718D6CFE811_.wvu.PrintArea" localSheetId="1" hidden="1">'Group P&amp;L'!$A$1:$A$72</definedName>
    <definedName name="Z_C32ED439_2914_4073_BFBF_7718D6CFE811_.wvu.PrintArea" localSheetId="0" hidden="1">Index!$A$1:$L$32</definedName>
    <definedName name="Z_C32ED439_2914_4073_BFBF_7718D6CFE811_.wvu.PrintArea" localSheetId="11" hidden="1">KPIs!$A$1:$R$130</definedName>
    <definedName name="Z_C32ED439_2914_4073_BFBF_7718D6CFE811_.wvu.PrintTitles" localSheetId="1" hidden="1">'Group P&amp;L'!$1:$5</definedName>
    <definedName name="Z_C32ED439_2914_4073_BFBF_7718D6CFE811_.wvu.PrintTitles" localSheetId="11" hidden="1">KPIs!$1:$4</definedName>
    <definedName name="Z_C6BBAF30_1E81_42FB_BA93_01B6813E2C8C_.wvu.PrintArea" localSheetId="15" hidden="1">'Glossary '!$A$1:$M$20</definedName>
    <definedName name="Z_C6BBAF30_1E81_42FB_BA93_01B6813E2C8C_.wvu.PrintArea" localSheetId="1" hidden="1">'Group P&amp;L'!$A$1:$A$72</definedName>
    <definedName name="Z_C6BBAF30_1E81_42FB_BA93_01B6813E2C8C_.wvu.PrintArea" localSheetId="0" hidden="1">Index!$A$1:$L$32</definedName>
    <definedName name="Z_C6BBAF30_1E81_42FB_BA93_01B6813E2C8C_.wvu.PrintArea" localSheetId="11" hidden="1">KPIs!$A$1:$O$130</definedName>
    <definedName name="Z_C6BBAF30_1E81_42FB_BA93_01B6813E2C8C_.wvu.PrintTitles" localSheetId="1" hidden="1">'Group P&amp;L'!$1:$5</definedName>
    <definedName name="Z_C6BBAF30_1E81_42FB_BA93_01B6813E2C8C_.wvu.PrintTitles" localSheetId="11" hidden="1">KPIs!$1:$4</definedName>
    <definedName name="Z_F07085DA_2B2D_4BE1_891D_F25D604A092E_.wvu.PrintArea" localSheetId="15" hidden="1">'Glossary '!$A$1:$M$20</definedName>
    <definedName name="Z_F07085DA_2B2D_4BE1_891D_F25D604A092E_.wvu.PrintArea" localSheetId="1" hidden="1">'Group P&amp;L'!$A$1:$A$72</definedName>
    <definedName name="Z_F07085DA_2B2D_4BE1_891D_F25D604A092E_.wvu.PrintArea" localSheetId="0" hidden="1">Index!$A$1:$L$32</definedName>
    <definedName name="Z_F07085DA_2B2D_4BE1_891D_F25D604A092E_.wvu.PrintArea" localSheetId="11" hidden="1">KPIs!$A$1:$M$130</definedName>
    <definedName name="Z_F07085DA_2B2D_4BE1_891D_F25D604A092E_.wvu.PrintTitles" localSheetId="1" hidden="1">'Group P&amp;L'!$1:$5</definedName>
    <definedName name="Z_F07085DA_2B2D_4BE1_891D_F25D604A092E_.wvu.PrintTitles" localSheetId="11" hidden="1">KPIs!$1:$4</definedName>
  </definedNames>
  <calcPr calcId="162913"/>
  <customWorkbookViews>
    <customWorkbookView name="Administrator - Personal View" guid="{C6BBAF30-1E81-42FB-BA93-01B6813E2C8C}" mergeInterval="0" personalView="1" maximized="1" windowWidth="1020" windowHeight="569" tabRatio="597" activeSheetId="1"/>
    <customWorkbookView name="Administrator - תצוגה אישית" guid="{F07085DA-2B2D-4BE1-891D-F25D604A092E}" mergeInterval="0" personalView="1" maximized="1" windowWidth="796" windowHeight="371" activeSheetId="2"/>
    <customWorkbookView name="30703826 - תצוגה אישית" guid="{6A44E415-E6EC-4CA2-8B4C-A374F00F0261}" mergeInterval="0" personalView="1" maximized="1" windowWidth="1276" windowHeight="661" activeSheetId="2"/>
    <customWorkbookView name="Erik Knettel - Personal View" guid="{C32ED439-2914-4073-BFBF-7718D6CFE811}" mergeInterval="0" personalView="1" maximized="1" xWindow="1" yWindow="1" windowWidth="1276" windowHeight="559" activeSheetId="4"/>
    <customWorkbookView name="30210485 - תצוגה אישית" guid="{44BC518B-F505-4956-BE42-792973965029}" mergeInterval="0" personalView="1" maximized="1" xWindow="1" yWindow="1" windowWidth="1024" windowHeight="548" activeSheetId="2"/>
    <customWorkbookView name="נפתלי שטרנליכט - חטיבת כספים - Naftali Shternlicht - תצוגה אישית" guid="{7DC6D345-C4C0-4162-8636-D495A245EBF8}" mergeInterval="0" personalView="1" maximized="1" windowWidth="1280" windowHeight="743" tabRatio="675" activeSheetId="2"/>
    <customWorkbookView name="eknettel - Personal View" guid="{67DDFA58-7FF7-4BDB-BFFF-31DB4021D095}" mergeInterval="0" personalView="1" maximized="1" xWindow="1" yWindow="1" windowWidth="1362" windowHeight="538" tabRatio="675" activeSheetId="6"/>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P68" i="15" l="1"/>
  <c r="P67" i="15"/>
  <c r="U35" i="12"/>
  <c r="U39" i="12"/>
  <c r="U38" i="12"/>
  <c r="U36" i="14" l="1"/>
  <c r="U30" i="14"/>
  <c r="T38" i="13" l="1"/>
  <c r="U38" i="13"/>
  <c r="U35" i="13"/>
  <c r="T35" i="13"/>
  <c r="M12" i="21" l="1"/>
  <c r="B17" i="19" l="1"/>
  <c r="C17" i="19"/>
  <c r="H17" i="19"/>
  <c r="G17" i="19"/>
  <c r="F17" i="19"/>
  <c r="E17" i="19"/>
  <c r="D17" i="19"/>
  <c r="I17" i="19"/>
  <c r="J17" i="19"/>
  <c r="K17" i="19"/>
  <c r="L17" i="19"/>
  <c r="M17" i="19"/>
  <c r="AJ62" i="7" l="1"/>
  <c r="AK65" i="7"/>
  <c r="AJ65" i="7"/>
  <c r="AI65" i="7"/>
  <c r="AH65" i="7"/>
  <c r="AE65" i="7"/>
  <c r="AD65" i="7"/>
  <c r="AC65" i="7"/>
  <c r="AF61" i="7"/>
  <c r="AF65" i="7" s="1"/>
  <c r="AK52" i="7"/>
  <c r="AK53" i="7"/>
  <c r="AK54" i="7"/>
  <c r="AK51" i="7"/>
  <c r="AK43" i="7"/>
  <c r="AK44" i="7"/>
  <c r="AK45" i="7"/>
  <c r="AK46" i="7"/>
  <c r="AK47" i="7"/>
  <c r="AK48" i="7"/>
  <c r="AK49" i="7"/>
  <c r="AK42" i="7"/>
  <c r="AF54" i="7"/>
  <c r="AF53" i="7"/>
  <c r="AF52" i="7"/>
  <c r="AF51" i="7"/>
  <c r="AF43" i="7"/>
  <c r="AF44" i="7"/>
  <c r="AF45" i="7"/>
  <c r="AF46" i="7"/>
  <c r="AF47" i="7"/>
  <c r="AF48" i="7"/>
  <c r="AF49" i="7"/>
  <c r="AF42" i="7"/>
  <c r="AJ55" i="7"/>
  <c r="AI55" i="7"/>
  <c r="AH55" i="7"/>
  <c r="AE55" i="7"/>
  <c r="AD55" i="7"/>
  <c r="AC55" i="7"/>
  <c r="AJ50" i="7"/>
  <c r="AI50" i="7"/>
  <c r="AH50" i="7"/>
  <c r="AE50" i="7"/>
  <c r="AD50" i="7"/>
  <c r="AC50" i="7"/>
  <c r="AL55" i="7"/>
  <c r="AG55" i="7"/>
  <c r="AL50" i="7"/>
  <c r="AG50" i="7"/>
  <c r="AB55" i="7"/>
  <c r="AB50" i="7"/>
  <c r="AH56" i="7" l="1"/>
  <c r="AF55" i="7"/>
  <c r="AK55" i="7"/>
  <c r="AF50" i="7"/>
  <c r="AF56" i="7" s="1"/>
  <c r="AB56" i="7"/>
  <c r="AK50" i="7"/>
  <c r="AJ56" i="7"/>
  <c r="AE56" i="7"/>
  <c r="AC56" i="7"/>
  <c r="AI56" i="7"/>
  <c r="AD56" i="7"/>
  <c r="AL56" i="7"/>
  <c r="AG56" i="7"/>
  <c r="AB65" i="7"/>
  <c r="AG65" i="7"/>
  <c r="AL65" i="7"/>
  <c r="AB72" i="7"/>
  <c r="AG72" i="7"/>
  <c r="AL72" i="7"/>
  <c r="AK56" i="7" l="1"/>
  <c r="L27" i="19"/>
  <c r="J26" i="19"/>
  <c r="K26" i="19"/>
  <c r="L26" i="19"/>
  <c r="I26" i="19"/>
  <c r="J25" i="19"/>
  <c r="I25" i="19"/>
  <c r="L24" i="19"/>
  <c r="J24" i="19"/>
  <c r="K24" i="19"/>
  <c r="I24" i="19"/>
  <c r="J23" i="19"/>
  <c r="K23" i="19"/>
  <c r="I23" i="19"/>
  <c r="L22" i="19"/>
  <c r="M26" i="19"/>
  <c r="M24" i="19"/>
  <c r="M23" i="19"/>
  <c r="L30" i="19"/>
  <c r="V48" i="11"/>
  <c r="U32" i="12" l="1"/>
  <c r="U52" i="13"/>
  <c r="V43" i="14"/>
  <c r="BK71" i="3" l="1"/>
  <c r="BN81" i="3"/>
  <c r="BN76" i="3"/>
  <c r="U70" i="11" l="1"/>
  <c r="U69" i="11"/>
  <c r="V63" i="11" l="1"/>
  <c r="AK32" i="7"/>
  <c r="AK30" i="7"/>
  <c r="AK16" i="7"/>
  <c r="K68" i="15" l="1"/>
  <c r="I68" i="15"/>
  <c r="H68" i="15"/>
  <c r="K58" i="15"/>
  <c r="J58" i="15"/>
  <c r="I58" i="15"/>
  <c r="H58" i="15"/>
  <c r="L20" i="2" l="1"/>
  <c r="L18" i="20" l="1"/>
  <c r="M21" i="19"/>
  <c r="U39" i="13"/>
  <c r="V54" i="12" l="1"/>
  <c r="U37" i="12"/>
  <c r="BN34" i="3" l="1"/>
  <c r="K71" i="2" l="1"/>
  <c r="J71" i="2"/>
  <c r="I71" i="2"/>
  <c r="F71" i="2"/>
  <c r="G71" i="2"/>
  <c r="E71" i="2"/>
  <c r="D71" i="2"/>
  <c r="M71" i="2"/>
  <c r="H71" i="2"/>
  <c r="C71" i="2"/>
  <c r="B71" i="2"/>
  <c r="K42" i="21"/>
  <c r="J42" i="21"/>
  <c r="I42" i="21"/>
  <c r="F42" i="21"/>
  <c r="E42" i="21"/>
  <c r="D42" i="21"/>
  <c r="C42" i="21"/>
  <c r="L41" i="21"/>
  <c r="G41" i="21"/>
  <c r="L39" i="21"/>
  <c r="G39" i="21"/>
  <c r="M37" i="21"/>
  <c r="L37" i="21" s="1"/>
  <c r="K37" i="21"/>
  <c r="J37" i="21"/>
  <c r="I37" i="21"/>
  <c r="H37" i="21"/>
  <c r="H42" i="21" s="1"/>
  <c r="G42" i="21" s="1"/>
  <c r="G37" i="21"/>
  <c r="F37" i="21"/>
  <c r="E37" i="21"/>
  <c r="D37" i="21"/>
  <c r="C37" i="21"/>
  <c r="B37" i="21"/>
  <c r="B42" i="21" s="1"/>
  <c r="G36" i="21"/>
  <c r="L34" i="21"/>
  <c r="G34" i="21"/>
  <c r="L32" i="21"/>
  <c r="G32" i="21"/>
  <c r="L30" i="21"/>
  <c r="G30" i="21"/>
  <c r="L28" i="21"/>
  <c r="G28" i="21"/>
  <c r="L26" i="21"/>
  <c r="G26" i="21"/>
  <c r="I22" i="21"/>
  <c r="H22" i="21"/>
  <c r="C22" i="21"/>
  <c r="C24" i="21" s="1"/>
  <c r="B22" i="21"/>
  <c r="L21" i="21"/>
  <c r="G21" i="21"/>
  <c r="C21" i="21"/>
  <c r="M18" i="21"/>
  <c r="M20" i="21" s="1"/>
  <c r="I18" i="21"/>
  <c r="H18" i="21"/>
  <c r="H20" i="21" s="1"/>
  <c r="C18" i="21"/>
  <c r="C20" i="21" s="1"/>
  <c r="B18" i="21"/>
  <c r="M17" i="21"/>
  <c r="K17" i="21"/>
  <c r="H17" i="21"/>
  <c r="C17" i="21"/>
  <c r="K16" i="21"/>
  <c r="J16" i="21"/>
  <c r="F16" i="21"/>
  <c r="L15" i="21"/>
  <c r="H15" i="21"/>
  <c r="E15" i="21"/>
  <c r="J17" i="21" s="1"/>
  <c r="D15" i="21"/>
  <c r="I17" i="21" s="1"/>
  <c r="C15" i="21"/>
  <c r="K12" i="21"/>
  <c r="K14" i="21" s="1"/>
  <c r="J12" i="21"/>
  <c r="J18" i="21" s="1"/>
  <c r="I12" i="21"/>
  <c r="H12" i="21"/>
  <c r="M14" i="21" s="1"/>
  <c r="F12" i="21"/>
  <c r="F18" i="21" s="1"/>
  <c r="E12" i="21"/>
  <c r="E13" i="21" s="1"/>
  <c r="D12" i="21"/>
  <c r="I14" i="21" s="1"/>
  <c r="C12" i="21"/>
  <c r="B12" i="21"/>
  <c r="C14" i="21" s="1"/>
  <c r="M11" i="21"/>
  <c r="K11" i="21"/>
  <c r="J11" i="21"/>
  <c r="I11" i="21"/>
  <c r="H11" i="21"/>
  <c r="C11" i="21"/>
  <c r="K10" i="21"/>
  <c r="J10" i="21"/>
  <c r="F10" i="21"/>
  <c r="E10" i="21"/>
  <c r="L9" i="21"/>
  <c r="L10" i="21" s="1"/>
  <c r="G9" i="21"/>
  <c r="I10" i="21" s="1"/>
  <c r="BN47" i="3"/>
  <c r="BN30" i="3"/>
  <c r="BN32" i="3"/>
  <c r="L28" i="19"/>
  <c r="J12" i="19"/>
  <c r="I12" i="19"/>
  <c r="J19" i="21" l="1"/>
  <c r="J22" i="21"/>
  <c r="L17" i="21"/>
  <c r="F22" i="21"/>
  <c r="J14" i="21"/>
  <c r="L11" i="21"/>
  <c r="L12" i="21"/>
  <c r="G15" i="21"/>
  <c r="H24" i="21"/>
  <c r="G12" i="21"/>
  <c r="D18" i="21"/>
  <c r="D22" i="21" s="1"/>
  <c r="I24" i="21" s="1"/>
  <c r="G10" i="21"/>
  <c r="F13" i="21"/>
  <c r="E18" i="21"/>
  <c r="K18" i="21"/>
  <c r="M42" i="21"/>
  <c r="L42" i="21" s="1"/>
  <c r="H14" i="21"/>
  <c r="E16" i="21"/>
  <c r="L16" i="21"/>
  <c r="L18" i="21"/>
  <c r="M22" i="21"/>
  <c r="J13" i="21"/>
  <c r="K13" i="21"/>
  <c r="BN107" i="3"/>
  <c r="BO71" i="3"/>
  <c r="BN71" i="3" s="1"/>
  <c r="BO36" i="3"/>
  <c r="BO38" i="3" s="1"/>
  <c r="BO129" i="3"/>
  <c r="BN128" i="3"/>
  <c r="BN126" i="3"/>
  <c r="BO124" i="3"/>
  <c r="BN124" i="3"/>
  <c r="BN123" i="3"/>
  <c r="BO120" i="3"/>
  <c r="BN120" i="3"/>
  <c r="BO119" i="3"/>
  <c r="BN119" i="3"/>
  <c r="BN118" i="3"/>
  <c r="BO104" i="3"/>
  <c r="BO93" i="3"/>
  <c r="BN90" i="3"/>
  <c r="BO88" i="3"/>
  <c r="BN88" i="3"/>
  <c r="BN87" i="3"/>
  <c r="BO84" i="3"/>
  <c r="BO83" i="3"/>
  <c r="BN83" i="3"/>
  <c r="BO79" i="3"/>
  <c r="BN79" i="3"/>
  <c r="BO60" i="3"/>
  <c r="BO57" i="3"/>
  <c r="BN57" i="3"/>
  <c r="BO54" i="3"/>
  <c r="BN54" i="3"/>
  <c r="BN53" i="3"/>
  <c r="BO50" i="3"/>
  <c r="BN50" i="3"/>
  <c r="BO49" i="3"/>
  <c r="BN49" i="3"/>
  <c r="BN48" i="3"/>
  <c r="BO44" i="3"/>
  <c r="BO43" i="3"/>
  <c r="BN41" i="3"/>
  <c r="BN43" i="3" s="1"/>
  <c r="BO39" i="3"/>
  <c r="BN29" i="3"/>
  <c r="BO26" i="3"/>
  <c r="BN26" i="3"/>
  <c r="BN25" i="3"/>
  <c r="BO22" i="3"/>
  <c r="BO21" i="3"/>
  <c r="BN19" i="3"/>
  <c r="BN20" i="3" s="1"/>
  <c r="BO17" i="3"/>
  <c r="BN15" i="3"/>
  <c r="BN17" i="3" s="1"/>
  <c r="BO13" i="3"/>
  <c r="BN11" i="3"/>
  <c r="BN13" i="3" s="1"/>
  <c r="AK22" i="7"/>
  <c r="AK20" i="7"/>
  <c r="AK18" i="7"/>
  <c r="AK26" i="7"/>
  <c r="AK34" i="7"/>
  <c r="AL36" i="7"/>
  <c r="AK24" i="7"/>
  <c r="T78" i="14"/>
  <c r="S78" i="14"/>
  <c r="R78" i="14"/>
  <c r="O78" i="14"/>
  <c r="N78" i="14"/>
  <c r="M78" i="14"/>
  <c r="V78" i="14"/>
  <c r="V90" i="14" s="1"/>
  <c r="V93" i="14" s="1"/>
  <c r="Q78" i="14"/>
  <c r="L78" i="14"/>
  <c r="G78" i="14"/>
  <c r="V25" i="14"/>
  <c r="Q25" i="14"/>
  <c r="G25" i="14"/>
  <c r="L25" i="14"/>
  <c r="V87" i="14"/>
  <c r="U87" i="14" s="1"/>
  <c r="V86" i="14"/>
  <c r="U84" i="14"/>
  <c r="U86" i="14" s="1"/>
  <c r="U81" i="14"/>
  <c r="U82" i="14" s="1"/>
  <c r="V77" i="14"/>
  <c r="U75" i="14"/>
  <c r="V74" i="14"/>
  <c r="U72" i="14"/>
  <c r="U74" i="14" s="1"/>
  <c r="V71" i="14"/>
  <c r="U70" i="14"/>
  <c r="U69" i="14"/>
  <c r="U71" i="14" s="1"/>
  <c r="V68" i="14"/>
  <c r="U66" i="14"/>
  <c r="U68" i="14" s="1"/>
  <c r="V65" i="14"/>
  <c r="U63" i="14"/>
  <c r="U65" i="14" s="1"/>
  <c r="V57" i="14"/>
  <c r="V55" i="14"/>
  <c r="U49" i="14"/>
  <c r="V46" i="14"/>
  <c r="V51" i="14" s="1"/>
  <c r="V45" i="14"/>
  <c r="U43" i="14"/>
  <c r="V42" i="14"/>
  <c r="U40" i="14"/>
  <c r="V33" i="14"/>
  <c r="U31" i="14"/>
  <c r="U28" i="14"/>
  <c r="U29" i="14" s="1"/>
  <c r="U23" i="14"/>
  <c r="V20" i="14"/>
  <c r="U18" i="14"/>
  <c r="U20" i="14" s="1"/>
  <c r="V17" i="14"/>
  <c r="U15" i="14"/>
  <c r="U16" i="14" s="1"/>
  <c r="V14" i="14"/>
  <c r="U12" i="14"/>
  <c r="U14" i="14" s="1"/>
  <c r="V11" i="14"/>
  <c r="U9" i="14"/>
  <c r="U11" i="14" s="1"/>
  <c r="T25" i="14"/>
  <c r="S25" i="14"/>
  <c r="R25" i="14"/>
  <c r="O25" i="14"/>
  <c r="N25" i="14"/>
  <c r="M25" i="14"/>
  <c r="V59" i="12"/>
  <c r="T34" i="12"/>
  <c r="S34" i="12"/>
  <c r="R34" i="12"/>
  <c r="O34" i="12"/>
  <c r="N34" i="12"/>
  <c r="M34" i="12"/>
  <c r="G34" i="12"/>
  <c r="L34" i="12"/>
  <c r="Q34" i="12"/>
  <c r="U57" i="12"/>
  <c r="V56" i="12"/>
  <c r="V53" i="12"/>
  <c r="U51" i="12"/>
  <c r="V50" i="12"/>
  <c r="U48" i="12"/>
  <c r="V40" i="12"/>
  <c r="V42" i="12" s="1"/>
  <c r="V39" i="12"/>
  <c r="V31" i="12"/>
  <c r="U29" i="12"/>
  <c r="U31" i="12" s="1"/>
  <c r="V28" i="12"/>
  <c r="U26" i="12"/>
  <c r="U28" i="12" s="1"/>
  <c r="V25" i="12"/>
  <c r="U23" i="12"/>
  <c r="U25" i="12" s="1"/>
  <c r="V16" i="12"/>
  <c r="U14" i="12"/>
  <c r="U16" i="12" s="1"/>
  <c r="V13" i="12"/>
  <c r="U11" i="12"/>
  <c r="U13" i="12" s="1"/>
  <c r="V8" i="12"/>
  <c r="V65" i="12" s="1"/>
  <c r="T39" i="11"/>
  <c r="S39" i="11"/>
  <c r="R39" i="11"/>
  <c r="O39" i="11"/>
  <c r="N39" i="11"/>
  <c r="M39" i="11"/>
  <c r="G39" i="11"/>
  <c r="L39" i="11"/>
  <c r="Q39" i="11"/>
  <c r="U22" i="11"/>
  <c r="U24" i="11" s="1"/>
  <c r="U19" i="11"/>
  <c r="U16" i="11"/>
  <c r="U18" i="11" s="1"/>
  <c r="U13" i="11"/>
  <c r="U14" i="11" s="1"/>
  <c r="U10" i="11"/>
  <c r="U12" i="11" s="1"/>
  <c r="V103" i="11"/>
  <c r="U101" i="11"/>
  <c r="U103" i="11" s="1"/>
  <c r="V100" i="11"/>
  <c r="U98" i="11"/>
  <c r="U99" i="11" s="1"/>
  <c r="V97" i="11"/>
  <c r="U95" i="11"/>
  <c r="U97" i="11" s="1"/>
  <c r="V94" i="11"/>
  <c r="U92" i="11"/>
  <c r="U93" i="11" s="1"/>
  <c r="V91" i="11"/>
  <c r="U89" i="11"/>
  <c r="U90" i="11" s="1"/>
  <c r="V88" i="11"/>
  <c r="U86" i="11"/>
  <c r="U88" i="11" s="1"/>
  <c r="V83" i="11"/>
  <c r="V85" i="11" s="1"/>
  <c r="U71" i="11"/>
  <c r="V68" i="11"/>
  <c r="V73" i="11" s="1"/>
  <c r="U66" i="11"/>
  <c r="V65" i="11"/>
  <c r="U63" i="11"/>
  <c r="U64" i="11" s="1"/>
  <c r="V62" i="11"/>
  <c r="U60" i="11"/>
  <c r="U61" i="11" s="1"/>
  <c r="V51" i="11"/>
  <c r="U51" i="11" s="1"/>
  <c r="V47" i="11"/>
  <c r="U45" i="11"/>
  <c r="V44" i="11"/>
  <c r="U42" i="11"/>
  <c r="U43" i="11" s="1"/>
  <c r="U37" i="11"/>
  <c r="V36" i="11"/>
  <c r="U36" i="11"/>
  <c r="U34" i="11"/>
  <c r="U35" i="11" s="1"/>
  <c r="V33" i="11"/>
  <c r="U31" i="11"/>
  <c r="U32" i="11" s="1"/>
  <c r="V24" i="11"/>
  <c r="U23" i="11"/>
  <c r="V21" i="11"/>
  <c r="U21" i="11"/>
  <c r="V18" i="11"/>
  <c r="V15" i="11"/>
  <c r="U15" i="11"/>
  <c r="V12" i="11"/>
  <c r="V7" i="11"/>
  <c r="V27" i="11" s="1"/>
  <c r="U47" i="11" l="1"/>
  <c r="U46" i="11"/>
  <c r="U45" i="14"/>
  <c r="U41" i="14"/>
  <c r="U25" i="14"/>
  <c r="U53" i="12"/>
  <c r="U50" i="12"/>
  <c r="V61" i="12"/>
  <c r="U7" i="11"/>
  <c r="U9" i="11" s="1"/>
  <c r="U17" i="11"/>
  <c r="U54" i="12"/>
  <c r="U56" i="12" s="1"/>
  <c r="U40" i="12"/>
  <c r="V34" i="12"/>
  <c r="U34" i="12" s="1"/>
  <c r="V80" i="14"/>
  <c r="U78" i="14"/>
  <c r="U79" i="14" s="1"/>
  <c r="U46" i="14"/>
  <c r="U42" i="14"/>
  <c r="V27" i="14"/>
  <c r="U55" i="14"/>
  <c r="U10" i="14"/>
  <c r="V34" i="14"/>
  <c r="L19" i="21"/>
  <c r="J23" i="21"/>
  <c r="M24" i="21"/>
  <c r="K22" i="21"/>
  <c r="K19" i="21"/>
  <c r="K20" i="21"/>
  <c r="I20" i="21"/>
  <c r="E22" i="21"/>
  <c r="J24" i="21" s="1"/>
  <c r="E19" i="21"/>
  <c r="I16" i="21"/>
  <c r="G16" i="21"/>
  <c r="I13" i="21"/>
  <c r="G13" i="21"/>
  <c r="F19" i="21"/>
  <c r="L14" i="21"/>
  <c r="L13" i="21"/>
  <c r="G18" i="21"/>
  <c r="J20" i="21"/>
  <c r="BO45" i="3"/>
  <c r="BN36" i="3"/>
  <c r="BN38" i="3" s="1"/>
  <c r="BN44" i="3"/>
  <c r="BN21" i="3"/>
  <c r="BN22" i="3"/>
  <c r="BN16" i="3"/>
  <c r="BN56" i="3"/>
  <c r="BN82" i="3"/>
  <c r="BN12" i="3"/>
  <c r="BN77" i="3"/>
  <c r="BN37" i="3"/>
  <c r="BN42" i="3"/>
  <c r="BN78" i="3"/>
  <c r="BN84" i="3"/>
  <c r="U85" i="14"/>
  <c r="U67" i="14"/>
  <c r="U19" i="14"/>
  <c r="U17" i="14"/>
  <c r="U88" i="14"/>
  <c r="U89" i="14"/>
  <c r="U51" i="14"/>
  <c r="V53" i="14"/>
  <c r="U13" i="14"/>
  <c r="U33" i="14"/>
  <c r="U44" i="14"/>
  <c r="U57" i="14"/>
  <c r="V89" i="14"/>
  <c r="V48" i="14"/>
  <c r="U64" i="14"/>
  <c r="U73" i="14"/>
  <c r="U49" i="12"/>
  <c r="U59" i="12"/>
  <c r="U27" i="12"/>
  <c r="V21" i="12"/>
  <c r="V63" i="12"/>
  <c r="V10" i="12"/>
  <c r="U15" i="12"/>
  <c r="U8" i="12"/>
  <c r="U65" i="12" s="1"/>
  <c r="U12" i="12"/>
  <c r="U30" i="12"/>
  <c r="U24" i="12"/>
  <c r="V19" i="12"/>
  <c r="U52" i="12"/>
  <c r="U96" i="11"/>
  <c r="U83" i="11"/>
  <c r="U85" i="11" s="1"/>
  <c r="U94" i="11"/>
  <c r="U87" i="11"/>
  <c r="V39" i="11"/>
  <c r="U44" i="11"/>
  <c r="U33" i="11"/>
  <c r="V9" i="11"/>
  <c r="V29" i="11"/>
  <c r="U73" i="11"/>
  <c r="V75" i="11"/>
  <c r="U48" i="11"/>
  <c r="U62" i="11"/>
  <c r="V70" i="11"/>
  <c r="V79" i="11"/>
  <c r="U91" i="11"/>
  <c r="U100" i="11"/>
  <c r="U11" i="11"/>
  <c r="U20" i="11"/>
  <c r="V77" i="11"/>
  <c r="V50" i="11"/>
  <c r="U68" i="11"/>
  <c r="U102" i="11"/>
  <c r="U65" i="11"/>
  <c r="B64" i="15"/>
  <c r="B62" i="15"/>
  <c r="C64" i="15"/>
  <c r="C62" i="15"/>
  <c r="D64" i="15"/>
  <c r="D62" i="15"/>
  <c r="E64" i="15"/>
  <c r="E62" i="15"/>
  <c r="F64" i="15"/>
  <c r="F62" i="15"/>
  <c r="G64" i="15"/>
  <c r="G62" i="15"/>
  <c r="H64" i="15"/>
  <c r="H62" i="15"/>
  <c r="I64" i="15"/>
  <c r="I62" i="15"/>
  <c r="Q64" i="15"/>
  <c r="Q62" i="15"/>
  <c r="P64" i="15"/>
  <c r="P62" i="15"/>
  <c r="Q54" i="15"/>
  <c r="Q42" i="15"/>
  <c r="Q36" i="15"/>
  <c r="Q33" i="15"/>
  <c r="Q26" i="15"/>
  <c r="Q21" i="15"/>
  <c r="Q18" i="15"/>
  <c r="Q15" i="15"/>
  <c r="Q12" i="15"/>
  <c r="Q9" i="15"/>
  <c r="C54" i="15"/>
  <c r="C52" i="15"/>
  <c r="D54" i="15"/>
  <c r="D52" i="15"/>
  <c r="E54" i="15"/>
  <c r="E52" i="15"/>
  <c r="U50" i="11" l="1"/>
  <c r="U49" i="11"/>
  <c r="U39" i="11"/>
  <c r="U61" i="12"/>
  <c r="U79" i="11"/>
  <c r="U8" i="11"/>
  <c r="U55" i="12"/>
  <c r="V43" i="12"/>
  <c r="V36" i="12"/>
  <c r="U48" i="14"/>
  <c r="U47" i="14"/>
  <c r="V37" i="14"/>
  <c r="U37" i="14" s="1"/>
  <c r="U34" i="14"/>
  <c r="V36" i="14"/>
  <c r="V56" i="14"/>
  <c r="G19" i="21"/>
  <c r="I19" i="21"/>
  <c r="F23" i="21"/>
  <c r="L20" i="21"/>
  <c r="K24" i="21"/>
  <c r="K23" i="21"/>
  <c r="L22" i="21"/>
  <c r="E23" i="21"/>
  <c r="G22" i="21"/>
  <c r="BN45" i="3"/>
  <c r="BN39" i="3"/>
  <c r="U53" i="14"/>
  <c r="U9" i="12"/>
  <c r="U63" i="12"/>
  <c r="U10" i="12"/>
  <c r="U84" i="11"/>
  <c r="V53" i="11"/>
  <c r="V41" i="11"/>
  <c r="U77" i="11"/>
  <c r="U75" i="11"/>
  <c r="U74" i="11"/>
  <c r="U41" i="11" l="1"/>
  <c r="U40" i="11"/>
  <c r="V64" i="12"/>
  <c r="V46" i="12"/>
  <c r="Q52" i="15" s="1"/>
  <c r="U56" i="14"/>
  <c r="U35" i="14"/>
  <c r="G23" i="21"/>
  <c r="I23" i="21"/>
  <c r="L24" i="21"/>
  <c r="L23" i="21"/>
  <c r="V56" i="11"/>
  <c r="V78" i="11"/>
  <c r="L29" i="19"/>
  <c r="E22" i="19"/>
  <c r="F22" i="19"/>
  <c r="D22" i="19"/>
  <c r="K21" i="19"/>
  <c r="J21" i="19"/>
  <c r="E21" i="19"/>
  <c r="F21" i="19"/>
  <c r="H22" i="19"/>
  <c r="E29" i="19"/>
  <c r="H29" i="19"/>
  <c r="H21" i="19"/>
  <c r="C28" i="19"/>
  <c r="C22" i="19"/>
  <c r="C21" i="19"/>
  <c r="B28" i="19"/>
  <c r="B22" i="19"/>
  <c r="B21" i="19"/>
  <c r="K12" i="19"/>
  <c r="K11" i="19"/>
  <c r="J11" i="19"/>
  <c r="I11" i="19"/>
  <c r="F12" i="19"/>
  <c r="F11" i="19"/>
  <c r="E12" i="19"/>
  <c r="E11" i="19"/>
  <c r="D12" i="19"/>
  <c r="D11" i="19"/>
  <c r="M12" i="19"/>
  <c r="M11" i="19"/>
  <c r="H12" i="19"/>
  <c r="H11" i="19"/>
  <c r="G65" i="2"/>
  <c r="G62" i="2"/>
  <c r="G59" i="2"/>
  <c r="G56" i="2"/>
  <c r="G53" i="2"/>
  <c r="G50" i="2"/>
  <c r="G47" i="2"/>
  <c r="G41" i="2"/>
  <c r="G28" i="2"/>
  <c r="G25" i="2"/>
  <c r="G20" i="2"/>
  <c r="G30" i="19" s="1"/>
  <c r="G18" i="2"/>
  <c r="G15" i="2"/>
  <c r="G12" i="2"/>
  <c r="G9" i="2"/>
  <c r="C12" i="19"/>
  <c r="C11" i="19"/>
  <c r="B12" i="19"/>
  <c r="B11" i="19"/>
  <c r="M69" i="2"/>
  <c r="H69" i="2"/>
  <c r="K69" i="2"/>
  <c r="J69" i="2"/>
  <c r="F69" i="2"/>
  <c r="E69" i="2"/>
  <c r="C69" i="2"/>
  <c r="B69" i="2"/>
  <c r="F13" i="2"/>
  <c r="E13" i="2"/>
  <c r="L48" i="20"/>
  <c r="J48" i="20"/>
  <c r="I48" i="20"/>
  <c r="H48" i="20"/>
  <c r="G48" i="20"/>
  <c r="F48" i="20"/>
  <c r="E48" i="20"/>
  <c r="D48" i="20"/>
  <c r="C48" i="20"/>
  <c r="B48" i="20"/>
  <c r="L47" i="20"/>
  <c r="J47" i="20"/>
  <c r="I47" i="20"/>
  <c r="H47" i="20"/>
  <c r="G47" i="20"/>
  <c r="G49" i="20" s="1"/>
  <c r="F47" i="20"/>
  <c r="F49" i="20" s="1"/>
  <c r="E47" i="20"/>
  <c r="D47" i="20"/>
  <c r="C47" i="20"/>
  <c r="B47" i="20"/>
  <c r="B49" i="20" s="1"/>
  <c r="L44" i="20"/>
  <c r="J44" i="20"/>
  <c r="I44" i="20"/>
  <c r="H44" i="20"/>
  <c r="G44" i="20"/>
  <c r="F44" i="20"/>
  <c r="E44" i="20"/>
  <c r="D44" i="20"/>
  <c r="C44" i="20"/>
  <c r="B44" i="20"/>
  <c r="K43" i="20"/>
  <c r="K42" i="20"/>
  <c r="K41" i="20"/>
  <c r="K40" i="20"/>
  <c r="K39" i="20"/>
  <c r="K38" i="20"/>
  <c r="L37" i="20"/>
  <c r="J37" i="20"/>
  <c r="I37" i="20"/>
  <c r="H37" i="20"/>
  <c r="G37" i="20"/>
  <c r="F37" i="20"/>
  <c r="E37" i="20"/>
  <c r="D37" i="20"/>
  <c r="C37" i="20"/>
  <c r="B37" i="20"/>
  <c r="K35" i="20"/>
  <c r="K34" i="20"/>
  <c r="K32" i="20"/>
  <c r="K31" i="20"/>
  <c r="K30" i="20"/>
  <c r="K29" i="20"/>
  <c r="L27" i="20"/>
  <c r="J27" i="20"/>
  <c r="I27" i="20"/>
  <c r="H27" i="20"/>
  <c r="G27" i="20"/>
  <c r="F27" i="20"/>
  <c r="E27" i="20"/>
  <c r="E28" i="20" s="1"/>
  <c r="E45" i="20" s="1"/>
  <c r="D27" i="20"/>
  <c r="C27" i="20"/>
  <c r="B27" i="20"/>
  <c r="K25" i="20"/>
  <c r="K24" i="20"/>
  <c r="K23" i="20"/>
  <c r="K22" i="20"/>
  <c r="K21" i="20"/>
  <c r="K20" i="20"/>
  <c r="K19" i="20"/>
  <c r="J18" i="20"/>
  <c r="I18" i="20"/>
  <c r="I28" i="20" s="1"/>
  <c r="H18" i="20"/>
  <c r="G18" i="20"/>
  <c r="F18" i="20"/>
  <c r="E18" i="20"/>
  <c r="D18" i="20"/>
  <c r="C18" i="20"/>
  <c r="B18" i="20"/>
  <c r="K17" i="20"/>
  <c r="K16" i="20"/>
  <c r="K14" i="20"/>
  <c r="K13" i="20"/>
  <c r="K12" i="20"/>
  <c r="K11" i="20"/>
  <c r="G12" i="19" l="1"/>
  <c r="K18" i="20"/>
  <c r="K47" i="20"/>
  <c r="L23" i="19"/>
  <c r="G22" i="19"/>
  <c r="H30" i="19"/>
  <c r="L12" i="19"/>
  <c r="G11" i="19"/>
  <c r="L11" i="19"/>
  <c r="L28" i="20"/>
  <c r="L45" i="20" s="1"/>
  <c r="F28" i="20"/>
  <c r="F45" i="20" s="1"/>
  <c r="G28" i="20"/>
  <c r="I45" i="20"/>
  <c r="B28" i="20"/>
  <c r="H49" i="20"/>
  <c r="C28" i="20"/>
  <c r="C45" i="20" s="1"/>
  <c r="H28" i="20"/>
  <c r="H45" i="20" s="1"/>
  <c r="E49" i="20"/>
  <c r="K37" i="20"/>
  <c r="D49" i="20"/>
  <c r="J49" i="20"/>
  <c r="J28" i="20"/>
  <c r="J45" i="20" s="1"/>
  <c r="G45" i="20"/>
  <c r="K27" i="20"/>
  <c r="D28" i="20"/>
  <c r="D45" i="20" s="1"/>
  <c r="K44" i="20"/>
  <c r="L49" i="20"/>
  <c r="C49" i="20"/>
  <c r="I49" i="20"/>
  <c r="K48" i="20"/>
  <c r="K49" i="20" l="1"/>
  <c r="K28" i="20"/>
  <c r="K45" i="20" s="1"/>
  <c r="U33" i="13"/>
  <c r="P33" i="13"/>
  <c r="U64" i="13"/>
  <c r="T58" i="13"/>
  <c r="U55" i="13"/>
  <c r="U51" i="13"/>
  <c r="T49" i="13"/>
  <c r="T36" i="13"/>
  <c r="T31" i="13"/>
  <c r="U30" i="13"/>
  <c r="T28" i="13"/>
  <c r="U27" i="13"/>
  <c r="T25" i="13"/>
  <c r="U24" i="13"/>
  <c r="T22" i="13"/>
  <c r="T23" i="13" s="1"/>
  <c r="U20" i="13"/>
  <c r="U18" i="13"/>
  <c r="U15" i="13"/>
  <c r="U13" i="13"/>
  <c r="U10" i="13"/>
  <c r="T8" i="13"/>
  <c r="I28" i="13"/>
  <c r="K33" i="13"/>
  <c r="S33" i="13"/>
  <c r="R33" i="13"/>
  <c r="Q33" i="13"/>
  <c r="N33" i="13"/>
  <c r="M33" i="13"/>
  <c r="L33" i="13"/>
  <c r="Q63" i="15" l="1"/>
  <c r="Q66" i="15" s="1"/>
  <c r="Q39" i="15"/>
  <c r="Q44" i="15" s="1"/>
  <c r="T24" i="13"/>
  <c r="T64" i="13"/>
  <c r="T33" i="13"/>
  <c r="Q23" i="15"/>
  <c r="Q29" i="15" s="1"/>
  <c r="U42" i="13"/>
  <c r="T29" i="13"/>
  <c r="U60" i="13"/>
  <c r="T37" i="13"/>
  <c r="T9" i="13"/>
  <c r="T26" i="13"/>
  <c r="T50" i="13"/>
  <c r="U66" i="13"/>
  <c r="O36" i="13"/>
  <c r="O33" i="13"/>
  <c r="O31" i="13"/>
  <c r="O28" i="13"/>
  <c r="T30" i="13" s="1"/>
  <c r="O25" i="13"/>
  <c r="T27" i="13" s="1"/>
  <c r="O22" i="13"/>
  <c r="O8" i="13"/>
  <c r="T10" i="13" s="1"/>
  <c r="T34" i="13" l="1"/>
  <c r="U65" i="13"/>
  <c r="U45" i="13"/>
  <c r="M33" i="19"/>
  <c r="K33" i="19"/>
  <c r="J33" i="19"/>
  <c r="H33" i="19"/>
  <c r="F33" i="19"/>
  <c r="E33" i="19"/>
  <c r="C33" i="19"/>
  <c r="B33" i="19"/>
  <c r="B34" i="2" s="1"/>
  <c r="M34" i="2" l="1"/>
  <c r="M35" i="19"/>
  <c r="C34" i="2"/>
  <c r="C35" i="19"/>
  <c r="E34" i="2"/>
  <c r="F34" i="2"/>
  <c r="F34" i="19"/>
  <c r="H34" i="2"/>
  <c r="H35" i="19"/>
  <c r="J34" i="2"/>
  <c r="J35" i="19"/>
  <c r="K34" i="2"/>
  <c r="K34" i="19"/>
  <c r="K35" i="19"/>
  <c r="Q53" i="15"/>
  <c r="Q56" i="15" s="1"/>
  <c r="J64" i="15"/>
  <c r="J62" i="15"/>
  <c r="K62" i="15"/>
  <c r="L62" i="15"/>
  <c r="K64" i="15"/>
  <c r="L64" i="15"/>
  <c r="M62" i="15"/>
  <c r="N62" i="15"/>
  <c r="M64" i="15"/>
  <c r="N64" i="15"/>
  <c r="O64" i="15"/>
  <c r="O62" i="15"/>
  <c r="M67" i="2"/>
  <c r="L65" i="2"/>
  <c r="M64" i="2"/>
  <c r="L62" i="2"/>
  <c r="L63" i="2" s="1"/>
  <c r="M61" i="2"/>
  <c r="L59" i="2"/>
  <c r="L60" i="2" s="1"/>
  <c r="M58" i="2"/>
  <c r="L56" i="2"/>
  <c r="M55" i="2"/>
  <c r="L53" i="2"/>
  <c r="L54" i="2" s="1"/>
  <c r="M52" i="2"/>
  <c r="L50" i="2"/>
  <c r="L51" i="2" s="1"/>
  <c r="M49" i="2"/>
  <c r="L47" i="2"/>
  <c r="M44" i="2"/>
  <c r="M22" i="2" s="1"/>
  <c r="L41" i="2"/>
  <c r="M30" i="2"/>
  <c r="L28" i="2"/>
  <c r="L29" i="2" s="1"/>
  <c r="M27" i="2"/>
  <c r="L25" i="2"/>
  <c r="L18" i="2"/>
  <c r="M17" i="2"/>
  <c r="L15" i="2"/>
  <c r="L16" i="2" s="1"/>
  <c r="M14" i="2"/>
  <c r="L12" i="2"/>
  <c r="L13" i="2" s="1"/>
  <c r="M11" i="2"/>
  <c r="L9" i="2"/>
  <c r="L71" i="2" s="1"/>
  <c r="M35" i="2" l="1"/>
  <c r="M24" i="2"/>
  <c r="L26" i="2"/>
  <c r="L10" i="2"/>
  <c r="L48" i="2"/>
  <c r="L57" i="2"/>
  <c r="L66" i="2"/>
  <c r="M10" i="19" l="1"/>
  <c r="M14" i="19" s="1"/>
  <c r="L50" i="20" s="1"/>
  <c r="K50" i="20" s="1"/>
  <c r="M70" i="2"/>
  <c r="O58" i="13"/>
  <c r="O49" i="13"/>
  <c r="O64" i="13"/>
  <c r="O23" i="13"/>
  <c r="O9" i="13"/>
  <c r="Q51" i="13"/>
  <c r="Q38" i="13"/>
  <c r="Q37" i="13"/>
  <c r="Q35" i="13"/>
  <c r="Q30" i="13"/>
  <c r="Q27" i="13"/>
  <c r="Q24" i="13"/>
  <c r="Q23" i="13"/>
  <c r="O37" i="13"/>
  <c r="O34" i="13"/>
  <c r="O26" i="13"/>
  <c r="Q29" i="13"/>
  <c r="Q9" i="13"/>
  <c r="P39" i="13"/>
  <c r="S39" i="13"/>
  <c r="O63" i="15" s="1"/>
  <c r="O66" i="15" s="1"/>
  <c r="S38" i="13"/>
  <c r="S35" i="13"/>
  <c r="M38" i="2" l="1"/>
  <c r="Q50" i="13"/>
  <c r="T51" i="13"/>
  <c r="L63" i="15"/>
  <c r="L66" i="15" s="1"/>
  <c r="U41" i="13"/>
  <c r="Q26" i="13"/>
  <c r="O29" i="13"/>
  <c r="Q34" i="13"/>
  <c r="O50" i="13"/>
  <c r="I67" i="2"/>
  <c r="I64" i="2"/>
  <c r="I61" i="2"/>
  <c r="I58" i="2"/>
  <c r="I55" i="2"/>
  <c r="I52" i="2"/>
  <c r="I49" i="2"/>
  <c r="I30" i="2"/>
  <c r="I27" i="2"/>
  <c r="I17" i="2"/>
  <c r="I14" i="2"/>
  <c r="Q68" i="15" l="1"/>
  <c r="G13" i="2"/>
  <c r="L49" i="2"/>
  <c r="L64" i="2" l="1"/>
  <c r="I63" i="2"/>
  <c r="L58" i="2"/>
  <c r="I57" i="2"/>
  <c r="L14" i="2"/>
  <c r="I13" i="2"/>
  <c r="L61" i="2"/>
  <c r="I60" i="2"/>
  <c r="G16" i="2"/>
  <c r="L17" i="2"/>
  <c r="I16" i="2"/>
  <c r="L67" i="2"/>
  <c r="I66" i="2"/>
  <c r="L52" i="2"/>
  <c r="I51" i="2"/>
  <c r="L55" i="2"/>
  <c r="I54" i="2"/>
  <c r="L11" i="2"/>
  <c r="I10" i="2"/>
  <c r="G26" i="2"/>
  <c r="L27" i="2"/>
  <c r="I26" i="2"/>
  <c r="G48" i="2"/>
  <c r="I48" i="2"/>
  <c r="G29" i="2"/>
  <c r="I29" i="2"/>
  <c r="G54" i="2"/>
  <c r="G63" i="2"/>
  <c r="G66" i="2"/>
  <c r="G10" i="2"/>
  <c r="G51" i="2"/>
  <c r="G60" i="2"/>
  <c r="G57" i="2"/>
  <c r="T63" i="11" l="1"/>
  <c r="T48" i="11" l="1"/>
  <c r="T43" i="14" l="1"/>
  <c r="S52" i="13"/>
  <c r="T51" i="12"/>
  <c r="AJ36" i="7" l="1"/>
  <c r="O42" i="15"/>
  <c r="O36" i="15"/>
  <c r="O33" i="15"/>
  <c r="O26" i="15"/>
  <c r="O23" i="15"/>
  <c r="O21" i="15"/>
  <c r="O18" i="15"/>
  <c r="O15" i="15"/>
  <c r="O12" i="15"/>
  <c r="T83" i="14"/>
  <c r="T82" i="14"/>
  <c r="T77" i="14"/>
  <c r="S48" i="14"/>
  <c r="S47" i="14"/>
  <c r="T46" i="14"/>
  <c r="T48" i="14" s="1"/>
  <c r="T33" i="14"/>
  <c r="T32" i="14"/>
  <c r="T30" i="14"/>
  <c r="T29" i="14"/>
  <c r="T27" i="14"/>
  <c r="T26" i="14"/>
  <c r="T90" i="14"/>
  <c r="T93" i="14" s="1"/>
  <c r="O54" i="15" s="1"/>
  <c r="T87" i="14"/>
  <c r="T89" i="14" s="1"/>
  <c r="T86" i="14"/>
  <c r="T85" i="14"/>
  <c r="T80" i="14"/>
  <c r="T79" i="14"/>
  <c r="T74" i="14"/>
  <c r="T73" i="14"/>
  <c r="T71" i="14"/>
  <c r="T70" i="14"/>
  <c r="T68" i="14"/>
  <c r="T67" i="14"/>
  <c r="T65" i="14"/>
  <c r="T64" i="14"/>
  <c r="T57" i="14"/>
  <c r="T55" i="14"/>
  <c r="T45" i="14"/>
  <c r="T44" i="14"/>
  <c r="T42" i="14"/>
  <c r="T41" i="14"/>
  <c r="T34" i="14"/>
  <c r="T37" i="14" s="1"/>
  <c r="T20" i="14"/>
  <c r="T19" i="14"/>
  <c r="T17" i="14"/>
  <c r="T16" i="14"/>
  <c r="T14" i="14"/>
  <c r="T13" i="14"/>
  <c r="T11" i="14"/>
  <c r="T10" i="14"/>
  <c r="S66" i="13"/>
  <c r="S64" i="13"/>
  <c r="S55" i="13"/>
  <c r="S51" i="13"/>
  <c r="S50" i="13"/>
  <c r="S42" i="13"/>
  <c r="S45" i="13" s="1"/>
  <c r="O53" i="15" s="1"/>
  <c r="S30" i="13"/>
  <c r="S29" i="13"/>
  <c r="S27" i="13"/>
  <c r="S26" i="13"/>
  <c r="S24" i="13"/>
  <c r="S23" i="13"/>
  <c r="S10" i="13"/>
  <c r="S9" i="13"/>
  <c r="T54" i="12"/>
  <c r="T59" i="12" s="1"/>
  <c r="T53" i="12"/>
  <c r="T52" i="12"/>
  <c r="T50" i="12"/>
  <c r="T49" i="12"/>
  <c r="T43" i="12"/>
  <c r="T40" i="12"/>
  <c r="T41" i="12" s="1"/>
  <c r="T39" i="12"/>
  <c r="T35" i="12"/>
  <c r="T31" i="12"/>
  <c r="T30" i="12"/>
  <c r="T28" i="12"/>
  <c r="T27" i="12"/>
  <c r="T25" i="12"/>
  <c r="T24" i="12"/>
  <c r="T16" i="12"/>
  <c r="T15" i="12"/>
  <c r="T13" i="12"/>
  <c r="T12" i="12"/>
  <c r="T8" i="12"/>
  <c r="T9" i="12" s="1"/>
  <c r="T99" i="11"/>
  <c r="T68" i="11"/>
  <c r="T73" i="11" s="1"/>
  <c r="T103" i="11"/>
  <c r="T102" i="11"/>
  <c r="T100" i="11"/>
  <c r="T97" i="11"/>
  <c r="T96" i="11"/>
  <c r="T94" i="11"/>
  <c r="T93" i="11"/>
  <c r="T91" i="11"/>
  <c r="T90" i="11"/>
  <c r="T88" i="11"/>
  <c r="T87" i="11"/>
  <c r="T83" i="11"/>
  <c r="T62" i="11"/>
  <c r="T61" i="11"/>
  <c r="T53" i="11"/>
  <c r="T51" i="11"/>
  <c r="T47" i="11"/>
  <c r="T46" i="11"/>
  <c r="T44" i="11"/>
  <c r="T43" i="11"/>
  <c r="T41" i="11"/>
  <c r="T40" i="11"/>
  <c r="T36" i="11"/>
  <c r="T35" i="11"/>
  <c r="T33" i="11"/>
  <c r="T32" i="11"/>
  <c r="T24" i="11"/>
  <c r="T23" i="11"/>
  <c r="T21" i="11"/>
  <c r="T20" i="11"/>
  <c r="T18" i="11"/>
  <c r="T17" i="11"/>
  <c r="T15" i="11"/>
  <c r="T14" i="11"/>
  <c r="T12" i="11"/>
  <c r="T11" i="11"/>
  <c r="T7" i="11"/>
  <c r="K33" i="2"/>
  <c r="K32" i="2"/>
  <c r="K67" i="2"/>
  <c r="K66" i="2"/>
  <c r="K64" i="2"/>
  <c r="K63" i="2"/>
  <c r="K61" i="2"/>
  <c r="K60" i="2"/>
  <c r="K58" i="2"/>
  <c r="K57" i="2"/>
  <c r="K55" i="2"/>
  <c r="K54" i="2"/>
  <c r="K52" i="2"/>
  <c r="K51" i="2"/>
  <c r="K49" i="2"/>
  <c r="K48" i="2"/>
  <c r="K44" i="2"/>
  <c r="K22" i="2" s="1"/>
  <c r="K35" i="2" s="1"/>
  <c r="K30" i="2"/>
  <c r="K29" i="2"/>
  <c r="K27" i="2"/>
  <c r="K26" i="2"/>
  <c r="K17" i="2"/>
  <c r="K16" i="2"/>
  <c r="K14" i="2"/>
  <c r="K13" i="2"/>
  <c r="K11" i="2"/>
  <c r="K10" i="2"/>
  <c r="BM124" i="3"/>
  <c r="BM123" i="3"/>
  <c r="BM120" i="3"/>
  <c r="BM119" i="3"/>
  <c r="BM118" i="3"/>
  <c r="BM88" i="3"/>
  <c r="BM87" i="3"/>
  <c r="BM84" i="3"/>
  <c r="BM83" i="3"/>
  <c r="BM82" i="3"/>
  <c r="BM79" i="3"/>
  <c r="BM78" i="3"/>
  <c r="BM77" i="3"/>
  <c r="BM71" i="3"/>
  <c r="BM57" i="3"/>
  <c r="BM56" i="3"/>
  <c r="BM54" i="3"/>
  <c r="BM53" i="3"/>
  <c r="BM50" i="3"/>
  <c r="BM49" i="3"/>
  <c r="BM48" i="3"/>
  <c r="BM44" i="3"/>
  <c r="BM43" i="3"/>
  <c r="BM42" i="3"/>
  <c r="BM36" i="3"/>
  <c r="BM38" i="3" s="1"/>
  <c r="BM29" i="3"/>
  <c r="BM26" i="3"/>
  <c r="BM25" i="3"/>
  <c r="BM22" i="3"/>
  <c r="BM21" i="3"/>
  <c r="BM20" i="3"/>
  <c r="BM17" i="3"/>
  <c r="BM16" i="3"/>
  <c r="BM13" i="3"/>
  <c r="BM12" i="3"/>
  <c r="BN74" i="3" l="1"/>
  <c r="BN72" i="3"/>
  <c r="S60" i="13"/>
  <c r="K70" i="2"/>
  <c r="K10" i="19"/>
  <c r="T51" i="14"/>
  <c r="T47" i="14"/>
  <c r="O39" i="15"/>
  <c r="T42" i="12"/>
  <c r="O29" i="15"/>
  <c r="O9" i="15"/>
  <c r="T88" i="14"/>
  <c r="T56" i="14"/>
  <c r="S65" i="13"/>
  <c r="T46" i="12"/>
  <c r="O52" i="15" s="1"/>
  <c r="O56" i="15" s="1"/>
  <c r="T63" i="12"/>
  <c r="T10" i="12"/>
  <c r="T64" i="12"/>
  <c r="T65" i="12"/>
  <c r="T55" i="12"/>
  <c r="T56" i="12"/>
  <c r="T78" i="11"/>
  <c r="T56" i="11"/>
  <c r="T79" i="11"/>
  <c r="T77" i="11"/>
  <c r="BM39" i="3"/>
  <c r="BM37" i="3"/>
  <c r="BM45" i="3"/>
  <c r="G87" i="14"/>
  <c r="J87" i="14"/>
  <c r="I87" i="14"/>
  <c r="H87" i="14"/>
  <c r="L87" i="14"/>
  <c r="M87" i="14"/>
  <c r="N87" i="14"/>
  <c r="O87" i="14"/>
  <c r="Q87" i="14"/>
  <c r="R87" i="14"/>
  <c r="S87" i="14"/>
  <c r="K14" i="19" l="1"/>
  <c r="O44" i="15"/>
  <c r="D29" i="10"/>
  <c r="C29" i="10"/>
  <c r="K38" i="2" l="1"/>
  <c r="S53" i="14"/>
  <c r="S52" i="14"/>
  <c r="S30" i="14"/>
  <c r="S63" i="11" l="1"/>
  <c r="S48" i="11"/>
  <c r="T49" i="11" s="1"/>
  <c r="T64" i="11" l="1"/>
  <c r="S68" i="11"/>
  <c r="T69" i="11" s="1"/>
  <c r="S46" i="14" l="1"/>
  <c r="S43" i="14"/>
  <c r="R52" i="13" l="1"/>
  <c r="S53" i="13" l="1"/>
  <c r="S83" i="14"/>
  <c r="S77" i="14"/>
  <c r="S64" i="14"/>
  <c r="S54" i="12"/>
  <c r="S51" i="12"/>
  <c r="BL124" i="3" l="1"/>
  <c r="BL123" i="3"/>
  <c r="BL120" i="3"/>
  <c r="BL119" i="3"/>
  <c r="BL118" i="3"/>
  <c r="BL88" i="3"/>
  <c r="BL87" i="3"/>
  <c r="BL84" i="3"/>
  <c r="BL83" i="3"/>
  <c r="BL82" i="3"/>
  <c r="BL79" i="3"/>
  <c r="BL78" i="3"/>
  <c r="BL77" i="3"/>
  <c r="BL71" i="3"/>
  <c r="BL57" i="3"/>
  <c r="BL56" i="3"/>
  <c r="BL54" i="3"/>
  <c r="BL53" i="3"/>
  <c r="BL50" i="3"/>
  <c r="BL49" i="3"/>
  <c r="BL48" i="3"/>
  <c r="BL44" i="3"/>
  <c r="BL43" i="3"/>
  <c r="BL42" i="3"/>
  <c r="BL36" i="3"/>
  <c r="BL45" i="3" s="1"/>
  <c r="BL29" i="3"/>
  <c r="BL26" i="3"/>
  <c r="BL25" i="3"/>
  <c r="BL22" i="3"/>
  <c r="BL21" i="3"/>
  <c r="BL20" i="3"/>
  <c r="BL17" i="3"/>
  <c r="BL16" i="3"/>
  <c r="BL13" i="3"/>
  <c r="BL12" i="3"/>
  <c r="AI36" i="7"/>
  <c r="K64" i="14"/>
  <c r="J64" i="14"/>
  <c r="I64" i="14"/>
  <c r="K67" i="14"/>
  <c r="J67" i="14"/>
  <c r="I67" i="14"/>
  <c r="K70" i="14"/>
  <c r="J70" i="14"/>
  <c r="I70" i="14"/>
  <c r="K73" i="14"/>
  <c r="J73" i="14"/>
  <c r="I73" i="14"/>
  <c r="I76" i="14"/>
  <c r="I79" i="14"/>
  <c r="I82" i="14"/>
  <c r="K85" i="14"/>
  <c r="J85" i="14"/>
  <c r="J91" i="14"/>
  <c r="I91" i="14"/>
  <c r="S90" i="14"/>
  <c r="S86" i="14"/>
  <c r="S85" i="14"/>
  <c r="S80" i="14"/>
  <c r="S79" i="14"/>
  <c r="S74" i="14"/>
  <c r="S73" i="14"/>
  <c r="S71" i="14"/>
  <c r="S70" i="14"/>
  <c r="S68" i="14"/>
  <c r="S67" i="14"/>
  <c r="S65" i="14"/>
  <c r="S57" i="14"/>
  <c r="S55" i="14"/>
  <c r="S51" i="14"/>
  <c r="S45" i="14"/>
  <c r="S44" i="14"/>
  <c r="S42" i="14"/>
  <c r="S41" i="14"/>
  <c r="S34" i="14"/>
  <c r="S32" i="14"/>
  <c r="S26" i="14"/>
  <c r="S20" i="14"/>
  <c r="S19" i="14"/>
  <c r="S17" i="14"/>
  <c r="S16" i="14"/>
  <c r="S14" i="14"/>
  <c r="S13" i="14"/>
  <c r="S11" i="14"/>
  <c r="S10" i="14"/>
  <c r="N42" i="15"/>
  <c r="N36" i="15"/>
  <c r="N33" i="15"/>
  <c r="N26" i="15"/>
  <c r="N23" i="15"/>
  <c r="N21" i="15"/>
  <c r="N18" i="15"/>
  <c r="N15" i="15"/>
  <c r="N12" i="15"/>
  <c r="E26" i="14"/>
  <c r="D26" i="14"/>
  <c r="F19" i="14"/>
  <c r="E19" i="14"/>
  <c r="D19" i="14"/>
  <c r="F16" i="14"/>
  <c r="E16" i="14"/>
  <c r="D16" i="14"/>
  <c r="F13" i="14"/>
  <c r="E13" i="14"/>
  <c r="D13" i="14"/>
  <c r="R66" i="13"/>
  <c r="R64" i="13"/>
  <c r="R55" i="13"/>
  <c r="R51" i="13"/>
  <c r="R50" i="13"/>
  <c r="R42" i="13"/>
  <c r="R39" i="13"/>
  <c r="N63" i="15" s="1"/>
  <c r="N66" i="15" s="1"/>
  <c r="R38" i="13"/>
  <c r="R37" i="13"/>
  <c r="R35" i="13"/>
  <c r="R34" i="13"/>
  <c r="R30" i="13"/>
  <c r="R29" i="13"/>
  <c r="R27" i="13"/>
  <c r="R26" i="13"/>
  <c r="R24" i="13"/>
  <c r="R23" i="13"/>
  <c r="R10" i="13"/>
  <c r="R9" i="13"/>
  <c r="B39" i="13"/>
  <c r="D39" i="13"/>
  <c r="C39" i="13"/>
  <c r="D50" i="13"/>
  <c r="C50" i="13"/>
  <c r="D37" i="13"/>
  <c r="C37" i="13"/>
  <c r="D34" i="13"/>
  <c r="C34" i="13"/>
  <c r="D29" i="13"/>
  <c r="C29" i="13"/>
  <c r="D26" i="13"/>
  <c r="C26" i="13"/>
  <c r="S36" i="12"/>
  <c r="S35" i="12"/>
  <c r="S59" i="12"/>
  <c r="S61" i="12" s="1"/>
  <c r="S56" i="12"/>
  <c r="S53" i="12"/>
  <c r="S52" i="12"/>
  <c r="S50" i="12"/>
  <c r="S49" i="12"/>
  <c r="S43" i="12"/>
  <c r="S40" i="12"/>
  <c r="S41" i="12" s="1"/>
  <c r="S39" i="12"/>
  <c r="S31" i="12"/>
  <c r="S30" i="12"/>
  <c r="S28" i="12"/>
  <c r="S27" i="12"/>
  <c r="S25" i="12"/>
  <c r="S24" i="12"/>
  <c r="S16" i="12"/>
  <c r="S15" i="12"/>
  <c r="S13" i="12"/>
  <c r="S12" i="12"/>
  <c r="S8" i="12"/>
  <c r="N9" i="15" s="1"/>
  <c r="F40" i="12"/>
  <c r="E40" i="12"/>
  <c r="D40" i="12"/>
  <c r="C40" i="12"/>
  <c r="B40" i="12"/>
  <c r="F60" i="12"/>
  <c r="E60" i="12"/>
  <c r="D60" i="12"/>
  <c r="F55" i="12"/>
  <c r="E55" i="12"/>
  <c r="D55" i="12"/>
  <c r="F52" i="12"/>
  <c r="E52" i="12"/>
  <c r="D52" i="12"/>
  <c r="F49" i="12"/>
  <c r="E49" i="12"/>
  <c r="D49" i="12"/>
  <c r="E44" i="12"/>
  <c r="D44" i="12"/>
  <c r="F38" i="12"/>
  <c r="E38" i="12"/>
  <c r="D38" i="12"/>
  <c r="E35" i="12"/>
  <c r="D35" i="12"/>
  <c r="F30" i="12"/>
  <c r="E30" i="12"/>
  <c r="D30" i="12"/>
  <c r="F27" i="12"/>
  <c r="E27" i="12"/>
  <c r="D27" i="12"/>
  <c r="F24" i="12"/>
  <c r="E24" i="12"/>
  <c r="D24" i="12"/>
  <c r="F15" i="12"/>
  <c r="E15" i="12"/>
  <c r="D15" i="12"/>
  <c r="F12" i="12"/>
  <c r="E12" i="12"/>
  <c r="D12" i="12"/>
  <c r="S103" i="11"/>
  <c r="S102" i="11"/>
  <c r="S100" i="11"/>
  <c r="S99" i="11"/>
  <c r="S97" i="11"/>
  <c r="S96" i="11"/>
  <c r="S94" i="11"/>
  <c r="S93" i="11"/>
  <c r="S91" i="11"/>
  <c r="S90" i="11"/>
  <c r="S88" i="11"/>
  <c r="S87" i="11"/>
  <c r="S83" i="11"/>
  <c r="S62" i="11"/>
  <c r="S61" i="11"/>
  <c r="S53" i="11"/>
  <c r="S47" i="11"/>
  <c r="S46" i="11"/>
  <c r="S44" i="11"/>
  <c r="S43" i="11"/>
  <c r="S41" i="11"/>
  <c r="S40" i="11"/>
  <c r="S36" i="11"/>
  <c r="S35" i="11"/>
  <c r="S33" i="11"/>
  <c r="S32" i="11"/>
  <c r="S24" i="11"/>
  <c r="S23" i="11"/>
  <c r="S21" i="11"/>
  <c r="S20" i="11"/>
  <c r="S18" i="11"/>
  <c r="S17" i="11"/>
  <c r="S15" i="11"/>
  <c r="S14" i="11"/>
  <c r="S12" i="11"/>
  <c r="S11" i="11"/>
  <c r="S7" i="11"/>
  <c r="E102" i="11"/>
  <c r="D102" i="11"/>
  <c r="E99" i="11"/>
  <c r="D99" i="11"/>
  <c r="E96" i="11"/>
  <c r="D96" i="11"/>
  <c r="E93" i="11"/>
  <c r="D93" i="11"/>
  <c r="E90" i="11"/>
  <c r="D90" i="11"/>
  <c r="E87" i="11"/>
  <c r="D87" i="11"/>
  <c r="E61" i="11"/>
  <c r="D61" i="11"/>
  <c r="E46" i="11"/>
  <c r="D46" i="11"/>
  <c r="E43" i="11"/>
  <c r="D43" i="11"/>
  <c r="E40" i="11"/>
  <c r="D40" i="11"/>
  <c r="E35" i="11"/>
  <c r="D35" i="11"/>
  <c r="E32" i="11"/>
  <c r="D32" i="11"/>
  <c r="E23" i="11"/>
  <c r="D23" i="11"/>
  <c r="E20" i="11"/>
  <c r="D20" i="11"/>
  <c r="E17" i="11"/>
  <c r="D17" i="11"/>
  <c r="E14" i="11"/>
  <c r="D14" i="11"/>
  <c r="E11" i="11"/>
  <c r="D11" i="11"/>
  <c r="BM74" i="3" l="1"/>
  <c r="BM72" i="3"/>
  <c r="O67" i="15"/>
  <c r="S93" i="14"/>
  <c r="T91" i="14"/>
  <c r="S37" i="14"/>
  <c r="T35" i="14"/>
  <c r="S46" i="12"/>
  <c r="N52" i="15" s="1"/>
  <c r="T44" i="12"/>
  <c r="O10" i="15"/>
  <c r="O16" i="15"/>
  <c r="O37" i="15"/>
  <c r="O34" i="15"/>
  <c r="O19" i="15"/>
  <c r="O13" i="15"/>
  <c r="D40" i="13"/>
  <c r="R60" i="13"/>
  <c r="S56" i="13"/>
  <c r="C40" i="13"/>
  <c r="T8" i="11"/>
  <c r="T84" i="11"/>
  <c r="S56" i="11"/>
  <c r="T54" i="11"/>
  <c r="N39" i="15"/>
  <c r="S65" i="12"/>
  <c r="S10" i="12"/>
  <c r="S64" i="12"/>
  <c r="BL74" i="3"/>
  <c r="BL38" i="3"/>
  <c r="BL72" i="3"/>
  <c r="BL39" i="3"/>
  <c r="BL37" i="3"/>
  <c r="S88" i="14"/>
  <c r="S89" i="14"/>
  <c r="S56" i="14"/>
  <c r="N29" i="15"/>
  <c r="R45" i="13"/>
  <c r="N53" i="15" s="1"/>
  <c r="R65" i="13"/>
  <c r="S9" i="12"/>
  <c r="S60" i="12"/>
  <c r="S63" i="12"/>
  <c r="S55" i="12"/>
  <c r="S78" i="11"/>
  <c r="S73" i="11"/>
  <c r="T74" i="11" s="1"/>
  <c r="S79" i="11"/>
  <c r="S51" i="11"/>
  <c r="S77" i="11"/>
  <c r="J67" i="2"/>
  <c r="J66" i="2"/>
  <c r="J64" i="2"/>
  <c r="J63" i="2"/>
  <c r="J61" i="2"/>
  <c r="J60" i="2"/>
  <c r="J58" i="2"/>
  <c r="J57" i="2"/>
  <c r="J55" i="2"/>
  <c r="J54" i="2"/>
  <c r="J52" i="2"/>
  <c r="J51" i="2"/>
  <c r="J49" i="2"/>
  <c r="J48" i="2"/>
  <c r="J44" i="2"/>
  <c r="J22" i="2" s="1"/>
  <c r="J35" i="2" s="1"/>
  <c r="J30" i="2"/>
  <c r="J29" i="2"/>
  <c r="J27" i="2"/>
  <c r="J26" i="2"/>
  <c r="J17" i="2"/>
  <c r="J16" i="2"/>
  <c r="J14" i="2"/>
  <c r="J13" i="2"/>
  <c r="J11" i="2"/>
  <c r="J10" i="2"/>
  <c r="N54" i="15" l="1"/>
  <c r="N56" i="15" s="1"/>
  <c r="T94" i="14"/>
  <c r="S61" i="13"/>
  <c r="O40" i="15"/>
  <c r="J70" i="2"/>
  <c r="J10" i="19"/>
  <c r="K23" i="2"/>
  <c r="K45" i="2"/>
  <c r="S46" i="13"/>
  <c r="O30" i="15"/>
  <c r="K36" i="2"/>
  <c r="T57" i="11"/>
  <c r="N44" i="15"/>
  <c r="O57" i="15" l="1"/>
  <c r="O45" i="15"/>
  <c r="J14" i="19"/>
  <c r="G40" i="12"/>
  <c r="L40" i="12"/>
  <c r="L42" i="12" s="1"/>
  <c r="J40" i="12"/>
  <c r="I40" i="12"/>
  <c r="I41" i="12" s="1"/>
  <c r="H40" i="12"/>
  <c r="Q40" i="12"/>
  <c r="O40" i="12"/>
  <c r="N40" i="12"/>
  <c r="M40" i="12"/>
  <c r="R42" i="12" s="1"/>
  <c r="R40" i="12"/>
  <c r="F39" i="13"/>
  <c r="B63" i="15" s="1"/>
  <c r="B66" i="15" s="1"/>
  <c r="K39" i="13"/>
  <c r="I39" i="13"/>
  <c r="E63" i="15" s="1"/>
  <c r="E66" i="15" s="1"/>
  <c r="H39" i="13"/>
  <c r="D63" i="15" s="1"/>
  <c r="D66" i="15" s="1"/>
  <c r="G39" i="13"/>
  <c r="N39" i="13"/>
  <c r="J63" i="15" s="1"/>
  <c r="J66" i="15" s="1"/>
  <c r="M39" i="13"/>
  <c r="I63" i="15" s="1"/>
  <c r="I66" i="15" s="1"/>
  <c r="L39" i="13"/>
  <c r="Q39" i="13"/>
  <c r="T39" i="13" s="1"/>
  <c r="Q89" i="14"/>
  <c r="L89" i="14"/>
  <c r="O88" i="14"/>
  <c r="P75" i="14"/>
  <c r="P23" i="14"/>
  <c r="P87" i="14"/>
  <c r="P88" i="14" s="1"/>
  <c r="O89" i="14"/>
  <c r="N88" i="14"/>
  <c r="R89" i="14"/>
  <c r="K15" i="19" l="1"/>
  <c r="O68" i="15"/>
  <c r="J38" i="2"/>
  <c r="K39" i="2" s="1"/>
  <c r="P63" i="15"/>
  <c r="P66" i="15" s="1"/>
  <c r="H63" i="15"/>
  <c r="H66" i="15" s="1"/>
  <c r="O39" i="13"/>
  <c r="K63" i="15" s="1"/>
  <c r="K66" i="15" s="1"/>
  <c r="G63" i="15"/>
  <c r="G66" i="15" s="1"/>
  <c r="L41" i="13"/>
  <c r="C63" i="15"/>
  <c r="C66" i="15" s="1"/>
  <c r="M63" i="15"/>
  <c r="M66" i="15" s="1"/>
  <c r="Q41" i="13"/>
  <c r="M41" i="13"/>
  <c r="N40" i="13"/>
  <c r="R40" i="13"/>
  <c r="K41" i="13"/>
  <c r="E39" i="13"/>
  <c r="E40" i="13" s="1"/>
  <c r="N41" i="13"/>
  <c r="J39" i="13"/>
  <c r="F63" i="15" s="1"/>
  <c r="F66" i="15" s="1"/>
  <c r="M40" i="13"/>
  <c r="R41" i="13"/>
  <c r="K87" i="14"/>
  <c r="K88" i="14" s="1"/>
  <c r="J88" i="14"/>
  <c r="R88" i="14"/>
  <c r="N89" i="14"/>
  <c r="N41" i="12"/>
  <c r="J41" i="12"/>
  <c r="M42" i="12"/>
  <c r="O41" i="12"/>
  <c r="Q42" i="12"/>
  <c r="P40" i="12"/>
  <c r="R41" i="12" s="1"/>
  <c r="N42" i="12"/>
  <c r="O42" i="12"/>
  <c r="K40" i="12"/>
  <c r="K41" i="12" s="1"/>
  <c r="H40" i="13"/>
  <c r="I40" i="13"/>
  <c r="B33" i="15"/>
  <c r="B26" i="15"/>
  <c r="B23" i="15"/>
  <c r="B21" i="15"/>
  <c r="B18" i="15"/>
  <c r="B15" i="15"/>
  <c r="G42" i="15"/>
  <c r="G33" i="15"/>
  <c r="G26" i="15"/>
  <c r="G23" i="15"/>
  <c r="G21" i="15"/>
  <c r="G18" i="15"/>
  <c r="G15" i="15"/>
  <c r="G12" i="15"/>
  <c r="E42" i="15"/>
  <c r="E33" i="15"/>
  <c r="E26" i="15"/>
  <c r="E23" i="15"/>
  <c r="E21" i="15"/>
  <c r="E18" i="15"/>
  <c r="E15" i="15"/>
  <c r="E12" i="15"/>
  <c r="D42" i="15"/>
  <c r="D33" i="15"/>
  <c r="D26" i="15"/>
  <c r="D23" i="15"/>
  <c r="D21" i="15"/>
  <c r="D15" i="15"/>
  <c r="C42" i="15"/>
  <c r="C33" i="15"/>
  <c r="C26" i="15"/>
  <c r="C23" i="15"/>
  <c r="C21" i="15"/>
  <c r="C15" i="15"/>
  <c r="C9" i="15"/>
  <c r="L42" i="15"/>
  <c r="L33" i="15"/>
  <c r="Q35" i="15" s="1"/>
  <c r="L26" i="15"/>
  <c r="L23" i="15"/>
  <c r="L21" i="15"/>
  <c r="L18" i="15"/>
  <c r="Q20" i="15" s="1"/>
  <c r="L15" i="15"/>
  <c r="Q17" i="15" s="1"/>
  <c r="L12" i="15"/>
  <c r="Q14" i="15" s="1"/>
  <c r="J42" i="15"/>
  <c r="J33" i="15"/>
  <c r="O35" i="15" s="1"/>
  <c r="J26" i="15"/>
  <c r="O28" i="15" s="1"/>
  <c r="J23" i="15"/>
  <c r="O25" i="15" s="1"/>
  <c r="J21" i="15"/>
  <c r="J18" i="15"/>
  <c r="O20" i="15" s="1"/>
  <c r="J15" i="15"/>
  <c r="O17" i="15" s="1"/>
  <c r="J12" i="15"/>
  <c r="O14" i="15" s="1"/>
  <c r="I42" i="15"/>
  <c r="I33" i="15"/>
  <c r="I26" i="15"/>
  <c r="I23" i="15"/>
  <c r="I21" i="15"/>
  <c r="I18" i="15"/>
  <c r="I15" i="15"/>
  <c r="I12" i="15"/>
  <c r="H42" i="15"/>
  <c r="H33" i="15"/>
  <c r="H26" i="15"/>
  <c r="H23" i="15"/>
  <c r="H21" i="15"/>
  <c r="H18" i="15"/>
  <c r="H15" i="15"/>
  <c r="H12" i="15"/>
  <c r="M42" i="15"/>
  <c r="P42" i="15" s="1"/>
  <c r="M33" i="15"/>
  <c r="P33" i="15" s="1"/>
  <c r="M26" i="15"/>
  <c r="P26" i="15" s="1"/>
  <c r="M23" i="15"/>
  <c r="P23" i="15" s="1"/>
  <c r="M21" i="15"/>
  <c r="P21" i="15" s="1"/>
  <c r="M18" i="15"/>
  <c r="P18" i="15" s="1"/>
  <c r="M15" i="15"/>
  <c r="P15" i="15" s="1"/>
  <c r="M12" i="15"/>
  <c r="P12" i="15" s="1"/>
  <c r="BI36" i="3"/>
  <c r="B83" i="11"/>
  <c r="G83" i="11"/>
  <c r="E83" i="11"/>
  <c r="E84" i="11" s="1"/>
  <c r="D83" i="11"/>
  <c r="C83" i="11"/>
  <c r="L83" i="11"/>
  <c r="J83" i="11"/>
  <c r="I83" i="11"/>
  <c r="H83" i="11"/>
  <c r="O83" i="11"/>
  <c r="T85" i="11" s="1"/>
  <c r="N83" i="11"/>
  <c r="S85" i="11" s="1"/>
  <c r="M83" i="11"/>
  <c r="Q83" i="11"/>
  <c r="R83" i="11"/>
  <c r="S84" i="11" s="1"/>
  <c r="R90" i="14"/>
  <c r="Q90" i="14"/>
  <c r="V92" i="14" s="1"/>
  <c r="O90" i="14"/>
  <c r="N90" i="14"/>
  <c r="M90" i="14"/>
  <c r="M93" i="14" s="1"/>
  <c r="H54" i="15" s="1"/>
  <c r="L90" i="14"/>
  <c r="J90" i="14"/>
  <c r="J93" i="14" s="1"/>
  <c r="J94" i="14" s="1"/>
  <c r="I90" i="14"/>
  <c r="I93" i="14" s="1"/>
  <c r="H90" i="14"/>
  <c r="H93" i="14" s="1"/>
  <c r="G90" i="14"/>
  <c r="G93" i="14" s="1"/>
  <c r="B54" i="15" s="1"/>
  <c r="R86" i="14"/>
  <c r="Q86" i="14"/>
  <c r="O86" i="14"/>
  <c r="N86" i="14"/>
  <c r="L86" i="14"/>
  <c r="O85" i="14"/>
  <c r="N85" i="14"/>
  <c r="P84" i="14"/>
  <c r="K84" i="14"/>
  <c r="O83" i="14"/>
  <c r="O82" i="14"/>
  <c r="P81" i="14"/>
  <c r="P82" i="14" s="1"/>
  <c r="K81" i="14"/>
  <c r="R80" i="14"/>
  <c r="Q80" i="14"/>
  <c r="N80" i="14"/>
  <c r="O79" i="14"/>
  <c r="N79" i="14"/>
  <c r="P78" i="14"/>
  <c r="U80" i="14" s="1"/>
  <c r="K78" i="14"/>
  <c r="Q77" i="14"/>
  <c r="K75" i="14"/>
  <c r="R74" i="14"/>
  <c r="Q74" i="14"/>
  <c r="O74" i="14"/>
  <c r="N74" i="14"/>
  <c r="M74" i="14"/>
  <c r="L74" i="14"/>
  <c r="O73" i="14"/>
  <c r="N73" i="14"/>
  <c r="P72" i="14"/>
  <c r="K72" i="14"/>
  <c r="R71" i="14"/>
  <c r="Q71" i="14"/>
  <c r="O71" i="14"/>
  <c r="N71" i="14"/>
  <c r="M71" i="14"/>
  <c r="L71" i="14"/>
  <c r="O70" i="14"/>
  <c r="N70" i="14"/>
  <c r="P69" i="14"/>
  <c r="P70" i="14" s="1"/>
  <c r="K69" i="14"/>
  <c r="R68" i="14"/>
  <c r="Q68" i="14"/>
  <c r="O68" i="14"/>
  <c r="N68" i="14"/>
  <c r="M68" i="14"/>
  <c r="L68" i="14"/>
  <c r="O67" i="14"/>
  <c r="N67" i="14"/>
  <c r="P66" i="14"/>
  <c r="R67" i="14" s="1"/>
  <c r="K66" i="14"/>
  <c r="R65" i="14"/>
  <c r="Q65" i="14"/>
  <c r="O65" i="14"/>
  <c r="N65" i="14"/>
  <c r="M65" i="14"/>
  <c r="L65" i="14"/>
  <c r="O64" i="14"/>
  <c r="N64" i="14"/>
  <c r="P63" i="14"/>
  <c r="R64" i="14" s="1"/>
  <c r="K63" i="14"/>
  <c r="Q57" i="14"/>
  <c r="I57" i="14"/>
  <c r="D57" i="14"/>
  <c r="R55" i="14"/>
  <c r="Q55" i="14"/>
  <c r="O55" i="14"/>
  <c r="N55" i="14"/>
  <c r="M55" i="14"/>
  <c r="L55" i="14"/>
  <c r="J55" i="14"/>
  <c r="H55" i="14"/>
  <c r="G55" i="14"/>
  <c r="E55" i="14"/>
  <c r="D55" i="14"/>
  <c r="C55" i="14"/>
  <c r="B55" i="14"/>
  <c r="P49" i="14"/>
  <c r="K49" i="14"/>
  <c r="Q46" i="14"/>
  <c r="Q51" i="14" s="1"/>
  <c r="I46" i="14"/>
  <c r="I51" i="14" s="1"/>
  <c r="D46" i="14"/>
  <c r="I45" i="14"/>
  <c r="R43" i="14"/>
  <c r="O43" i="14"/>
  <c r="N43" i="14"/>
  <c r="N46" i="14" s="1"/>
  <c r="M43" i="14"/>
  <c r="L43" i="14"/>
  <c r="J43" i="14"/>
  <c r="H43" i="14"/>
  <c r="H46" i="14" s="1"/>
  <c r="G43" i="14"/>
  <c r="G57" i="14" s="1"/>
  <c r="E43" i="14"/>
  <c r="E57" i="14" s="1"/>
  <c r="C43" i="14"/>
  <c r="B43" i="14"/>
  <c r="B57" i="14" s="1"/>
  <c r="R42" i="14"/>
  <c r="Q42" i="14"/>
  <c r="O42" i="14"/>
  <c r="N42" i="14"/>
  <c r="M42" i="14"/>
  <c r="L42" i="14"/>
  <c r="J42" i="14"/>
  <c r="I42" i="14"/>
  <c r="H42" i="14"/>
  <c r="G42" i="14"/>
  <c r="O41" i="14"/>
  <c r="N41" i="14"/>
  <c r="J41" i="14"/>
  <c r="I41" i="14"/>
  <c r="E41" i="14"/>
  <c r="D41" i="14"/>
  <c r="P40" i="14"/>
  <c r="R41" i="14" s="1"/>
  <c r="K40" i="14"/>
  <c r="M41" i="14" s="1"/>
  <c r="F40" i="14"/>
  <c r="R34" i="14"/>
  <c r="S35" i="14" s="1"/>
  <c r="Q34" i="14"/>
  <c r="Q56" i="14" s="1"/>
  <c r="O34" i="14"/>
  <c r="N34" i="14"/>
  <c r="M34" i="14"/>
  <c r="M56" i="14" s="1"/>
  <c r="L34" i="14"/>
  <c r="L37" i="14" s="1"/>
  <c r="J34" i="14"/>
  <c r="I34" i="14"/>
  <c r="H34" i="14"/>
  <c r="G34" i="14"/>
  <c r="G56" i="14" s="1"/>
  <c r="E34" i="14"/>
  <c r="D34" i="14"/>
  <c r="C34" i="14"/>
  <c r="C56" i="14" s="1"/>
  <c r="B34" i="14"/>
  <c r="Q33" i="14"/>
  <c r="N33" i="14"/>
  <c r="L33" i="14"/>
  <c r="J33" i="14"/>
  <c r="I33" i="14"/>
  <c r="H33" i="14"/>
  <c r="N32" i="14"/>
  <c r="J32" i="14"/>
  <c r="E32" i="14"/>
  <c r="P31" i="14"/>
  <c r="K31" i="14"/>
  <c r="M32" i="14" s="1"/>
  <c r="F31" i="14"/>
  <c r="O30" i="14"/>
  <c r="G30" i="14"/>
  <c r="O29" i="14"/>
  <c r="N29" i="14"/>
  <c r="I29" i="14"/>
  <c r="D29" i="14"/>
  <c r="P28" i="14"/>
  <c r="P29" i="14" s="1"/>
  <c r="K28" i="14"/>
  <c r="F28" i="14"/>
  <c r="Q27" i="14"/>
  <c r="O27" i="14"/>
  <c r="N27" i="14"/>
  <c r="M27" i="14"/>
  <c r="J27" i="14"/>
  <c r="G27" i="14"/>
  <c r="N26" i="14"/>
  <c r="I26" i="14"/>
  <c r="P25" i="14"/>
  <c r="U27" i="14" s="1"/>
  <c r="K25" i="14"/>
  <c r="F25" i="14"/>
  <c r="F26" i="14" s="1"/>
  <c r="K23" i="14"/>
  <c r="R20" i="14"/>
  <c r="Q20" i="14"/>
  <c r="O20" i="14"/>
  <c r="N20" i="14"/>
  <c r="M20" i="14"/>
  <c r="L20" i="14"/>
  <c r="J20" i="14"/>
  <c r="I20" i="14"/>
  <c r="H20" i="14"/>
  <c r="G20" i="14"/>
  <c r="O19" i="14"/>
  <c r="N19" i="14"/>
  <c r="J19" i="14"/>
  <c r="I19" i="14"/>
  <c r="P18" i="14"/>
  <c r="R19" i="14" s="1"/>
  <c r="K18" i="14"/>
  <c r="K19" i="14" s="1"/>
  <c r="F18" i="14"/>
  <c r="H19" i="14" s="1"/>
  <c r="R17" i="14"/>
  <c r="Q17" i="14"/>
  <c r="O17" i="14"/>
  <c r="N17" i="14"/>
  <c r="M17" i="14"/>
  <c r="L17" i="14"/>
  <c r="J17" i="14"/>
  <c r="I17" i="14"/>
  <c r="H17" i="14"/>
  <c r="G17" i="14"/>
  <c r="O16" i="14"/>
  <c r="N16" i="14"/>
  <c r="J16" i="14"/>
  <c r="I16" i="14"/>
  <c r="P15" i="14"/>
  <c r="P16" i="14" s="1"/>
  <c r="K15" i="14"/>
  <c r="K16" i="14" s="1"/>
  <c r="F15" i="14"/>
  <c r="R14" i="14"/>
  <c r="Q14" i="14"/>
  <c r="O14" i="14"/>
  <c r="N14" i="14"/>
  <c r="M14" i="14"/>
  <c r="L14" i="14"/>
  <c r="J14" i="14"/>
  <c r="I14" i="14"/>
  <c r="H14" i="14"/>
  <c r="G14" i="14"/>
  <c r="O13" i="14"/>
  <c r="N13" i="14"/>
  <c r="J13" i="14"/>
  <c r="I13" i="14"/>
  <c r="P12" i="14"/>
  <c r="R13" i="14" s="1"/>
  <c r="K12" i="14"/>
  <c r="K13" i="14" s="1"/>
  <c r="F12" i="14"/>
  <c r="H13" i="14" s="1"/>
  <c r="R11" i="14"/>
  <c r="Q11" i="14"/>
  <c r="O11" i="14"/>
  <c r="N11" i="14"/>
  <c r="M11" i="14"/>
  <c r="L11" i="14"/>
  <c r="J11" i="14"/>
  <c r="I11" i="14"/>
  <c r="H11" i="14"/>
  <c r="G11" i="14"/>
  <c r="O10" i="14"/>
  <c r="N10" i="14"/>
  <c r="J10" i="14"/>
  <c r="I10" i="14"/>
  <c r="E10" i="14"/>
  <c r="D10" i="14"/>
  <c r="P9" i="14"/>
  <c r="R10" i="14" s="1"/>
  <c r="K9" i="14"/>
  <c r="K10" i="14" s="1"/>
  <c r="F9" i="14"/>
  <c r="F10" i="14" s="1"/>
  <c r="Q64" i="13"/>
  <c r="P64" i="13"/>
  <c r="N64" i="13"/>
  <c r="M64" i="13"/>
  <c r="L64" i="13"/>
  <c r="K64" i="13"/>
  <c r="I64" i="13"/>
  <c r="H64" i="13"/>
  <c r="G64" i="13"/>
  <c r="F64" i="13"/>
  <c r="D64" i="13"/>
  <c r="C64" i="13"/>
  <c r="B64" i="13"/>
  <c r="J58" i="13"/>
  <c r="Q52" i="13"/>
  <c r="T52" i="13" s="1"/>
  <c r="P52" i="13"/>
  <c r="U54" i="13" s="1"/>
  <c r="N52" i="13"/>
  <c r="M52" i="13"/>
  <c r="R54" i="13" s="1"/>
  <c r="L52" i="13"/>
  <c r="L55" i="13" s="1"/>
  <c r="L60" i="13" s="1"/>
  <c r="H52" i="13"/>
  <c r="G52" i="13"/>
  <c r="F52" i="13"/>
  <c r="F55" i="13" s="1"/>
  <c r="F60" i="13" s="1"/>
  <c r="D52" i="13"/>
  <c r="C52" i="13"/>
  <c r="B52" i="13"/>
  <c r="P51" i="13"/>
  <c r="N51" i="13"/>
  <c r="M51" i="13"/>
  <c r="L51" i="13"/>
  <c r="K51" i="13"/>
  <c r="I51" i="13"/>
  <c r="H51" i="13"/>
  <c r="G51" i="13"/>
  <c r="N50" i="13"/>
  <c r="M50" i="13"/>
  <c r="I50" i="13"/>
  <c r="H50" i="13"/>
  <c r="J49" i="13"/>
  <c r="E49" i="13"/>
  <c r="Q42" i="13"/>
  <c r="T42" i="13" s="1"/>
  <c r="P42" i="13"/>
  <c r="U44" i="13" s="1"/>
  <c r="N42" i="13"/>
  <c r="M42" i="13"/>
  <c r="R44" i="13" s="1"/>
  <c r="L42" i="13"/>
  <c r="K42" i="13"/>
  <c r="I42" i="13"/>
  <c r="I65" i="13" s="1"/>
  <c r="M38" i="13"/>
  <c r="L38" i="13"/>
  <c r="K38" i="13"/>
  <c r="I38" i="13"/>
  <c r="H38" i="13"/>
  <c r="G38" i="13"/>
  <c r="M37" i="13"/>
  <c r="I37" i="13"/>
  <c r="H37" i="13"/>
  <c r="J36" i="13"/>
  <c r="E36" i="13"/>
  <c r="M35" i="13"/>
  <c r="L35" i="13"/>
  <c r="K35" i="13"/>
  <c r="I35" i="13"/>
  <c r="H35" i="13"/>
  <c r="G35" i="13"/>
  <c r="M34" i="13"/>
  <c r="I34" i="13"/>
  <c r="H34" i="13"/>
  <c r="J33" i="13"/>
  <c r="E33" i="13"/>
  <c r="E34" i="13" s="1"/>
  <c r="J31" i="13"/>
  <c r="P30" i="13"/>
  <c r="N30" i="13"/>
  <c r="K30" i="13"/>
  <c r="I30" i="13"/>
  <c r="N29" i="13"/>
  <c r="M29" i="13"/>
  <c r="E28" i="13"/>
  <c r="P27" i="13"/>
  <c r="N27" i="13"/>
  <c r="M27" i="13"/>
  <c r="L27" i="13"/>
  <c r="K27" i="13"/>
  <c r="I27" i="13"/>
  <c r="H27" i="13"/>
  <c r="G27" i="13"/>
  <c r="N26" i="13"/>
  <c r="M26" i="13"/>
  <c r="I26" i="13"/>
  <c r="H26" i="13"/>
  <c r="J25" i="13"/>
  <c r="E25" i="13"/>
  <c r="E26" i="13" s="1"/>
  <c r="P24" i="13"/>
  <c r="N24" i="13"/>
  <c r="N23" i="13"/>
  <c r="M23" i="13"/>
  <c r="H22" i="13"/>
  <c r="G22" i="13"/>
  <c r="F22" i="13"/>
  <c r="B12" i="15" s="1"/>
  <c r="D22" i="13"/>
  <c r="C22" i="13"/>
  <c r="B22" i="13"/>
  <c r="P20" i="13"/>
  <c r="K20" i="13"/>
  <c r="F20" i="13"/>
  <c r="P18" i="13"/>
  <c r="K18" i="13"/>
  <c r="F18" i="13"/>
  <c r="P15" i="13"/>
  <c r="K15" i="13"/>
  <c r="F15" i="13"/>
  <c r="P13" i="13"/>
  <c r="K13" i="13"/>
  <c r="F13" i="13"/>
  <c r="Q10" i="13"/>
  <c r="P10" i="13"/>
  <c r="N10" i="13"/>
  <c r="M10" i="13"/>
  <c r="L10" i="13"/>
  <c r="K10" i="13"/>
  <c r="I10" i="13"/>
  <c r="H10" i="13"/>
  <c r="G10" i="13"/>
  <c r="N9" i="13"/>
  <c r="M9" i="13"/>
  <c r="I9" i="13"/>
  <c r="H9" i="13"/>
  <c r="D9" i="13"/>
  <c r="C9" i="13"/>
  <c r="J8" i="13"/>
  <c r="E8" i="13"/>
  <c r="P57" i="12"/>
  <c r="K57" i="12"/>
  <c r="N54" i="12"/>
  <c r="N59" i="12" s="1"/>
  <c r="M54" i="12"/>
  <c r="H54" i="12"/>
  <c r="H59" i="12" s="1"/>
  <c r="G54" i="12"/>
  <c r="E54" i="12"/>
  <c r="E59" i="12" s="1"/>
  <c r="C54" i="12"/>
  <c r="C59" i="12" s="1"/>
  <c r="M53" i="12"/>
  <c r="H53" i="12"/>
  <c r="N52" i="12"/>
  <c r="R51" i="12"/>
  <c r="R53" i="12" s="1"/>
  <c r="Q51" i="12"/>
  <c r="Q54" i="12" s="1"/>
  <c r="O51" i="12"/>
  <c r="L51" i="12"/>
  <c r="J51" i="12"/>
  <c r="I51" i="12"/>
  <c r="I52" i="12" s="1"/>
  <c r="D51" i="12"/>
  <c r="D54" i="12" s="1"/>
  <c r="B51" i="12"/>
  <c r="B54" i="12" s="1"/>
  <c r="R50" i="12"/>
  <c r="Q50" i="12"/>
  <c r="O50" i="12"/>
  <c r="N50" i="12"/>
  <c r="M50" i="12"/>
  <c r="L50" i="12"/>
  <c r="J50" i="12"/>
  <c r="I50" i="12"/>
  <c r="H50" i="12"/>
  <c r="G50" i="12"/>
  <c r="O49" i="12"/>
  <c r="N49" i="12"/>
  <c r="J49" i="12"/>
  <c r="I49" i="12"/>
  <c r="P48" i="12"/>
  <c r="K48" i="12"/>
  <c r="K49" i="12" s="1"/>
  <c r="F48" i="12"/>
  <c r="R43" i="12"/>
  <c r="Q43" i="12"/>
  <c r="O43" i="12"/>
  <c r="N43" i="12"/>
  <c r="S45" i="12" s="1"/>
  <c r="M43" i="12"/>
  <c r="M46" i="12" s="1"/>
  <c r="H52" i="15" s="1"/>
  <c r="L43" i="12"/>
  <c r="J43" i="12"/>
  <c r="I43" i="12"/>
  <c r="H43" i="12"/>
  <c r="G43" i="12"/>
  <c r="G46" i="12" s="1"/>
  <c r="B52" i="15" s="1"/>
  <c r="E43" i="12"/>
  <c r="E46" i="12" s="1"/>
  <c r="D43" i="12"/>
  <c r="C43" i="12"/>
  <c r="Q39" i="12"/>
  <c r="O39" i="12"/>
  <c r="N39" i="12"/>
  <c r="M39" i="12"/>
  <c r="L39" i="12"/>
  <c r="J39" i="12"/>
  <c r="I39" i="12"/>
  <c r="H39" i="12"/>
  <c r="G39" i="12"/>
  <c r="O38" i="12"/>
  <c r="N38" i="12"/>
  <c r="J38" i="12"/>
  <c r="I38" i="12"/>
  <c r="P37" i="12"/>
  <c r="R38" i="12" s="1"/>
  <c r="K37" i="12"/>
  <c r="F37" i="12"/>
  <c r="R36" i="12"/>
  <c r="Q36" i="12"/>
  <c r="J36" i="12"/>
  <c r="I36" i="12"/>
  <c r="H36" i="12"/>
  <c r="G36" i="12"/>
  <c r="N35" i="12"/>
  <c r="I35" i="12"/>
  <c r="P34" i="12"/>
  <c r="K34" i="12"/>
  <c r="F34" i="12"/>
  <c r="F35" i="12" s="1"/>
  <c r="P32" i="12"/>
  <c r="K32" i="12"/>
  <c r="R31" i="12"/>
  <c r="Q31" i="12"/>
  <c r="O31" i="12"/>
  <c r="N31" i="12"/>
  <c r="M31" i="12"/>
  <c r="L31" i="12"/>
  <c r="J31" i="12"/>
  <c r="I31" i="12"/>
  <c r="H31" i="12"/>
  <c r="G31" i="12"/>
  <c r="O30" i="12"/>
  <c r="N30" i="12"/>
  <c r="J30" i="12"/>
  <c r="I30" i="12"/>
  <c r="P29" i="12"/>
  <c r="K29" i="12"/>
  <c r="K30" i="12" s="1"/>
  <c r="F29" i="12"/>
  <c r="H30" i="12" s="1"/>
  <c r="R28" i="12"/>
  <c r="Q28" i="12"/>
  <c r="O28" i="12"/>
  <c r="N28" i="12"/>
  <c r="M28" i="12"/>
  <c r="L28" i="12"/>
  <c r="J28" i="12"/>
  <c r="I28" i="12"/>
  <c r="H28" i="12"/>
  <c r="G28" i="12"/>
  <c r="O27" i="12"/>
  <c r="N27" i="12"/>
  <c r="J27" i="12"/>
  <c r="I27" i="12"/>
  <c r="P26" i="12"/>
  <c r="K26" i="12"/>
  <c r="K27" i="12" s="1"/>
  <c r="F26" i="12"/>
  <c r="R25" i="12"/>
  <c r="Q25" i="12"/>
  <c r="O25" i="12"/>
  <c r="N25" i="12"/>
  <c r="M25" i="12"/>
  <c r="L25" i="12"/>
  <c r="J25" i="12"/>
  <c r="I25" i="12"/>
  <c r="H25" i="12"/>
  <c r="O24" i="12"/>
  <c r="N24" i="12"/>
  <c r="J24" i="12"/>
  <c r="I24" i="12"/>
  <c r="P23" i="12"/>
  <c r="K23" i="12"/>
  <c r="K24" i="12" s="1"/>
  <c r="F23" i="12"/>
  <c r="H24" i="12" s="1"/>
  <c r="B23" i="12"/>
  <c r="G25" i="12" s="1"/>
  <c r="R16" i="12"/>
  <c r="Q16" i="12"/>
  <c r="O16" i="12"/>
  <c r="N16" i="12"/>
  <c r="M16" i="12"/>
  <c r="L16" i="12"/>
  <c r="J16" i="12"/>
  <c r="I16" i="12"/>
  <c r="H16" i="12"/>
  <c r="G16" i="12"/>
  <c r="O15" i="12"/>
  <c r="N15" i="12"/>
  <c r="J15" i="12"/>
  <c r="I15" i="12"/>
  <c r="P14" i="12"/>
  <c r="K14" i="12"/>
  <c r="M15" i="12" s="1"/>
  <c r="F14" i="12"/>
  <c r="R13" i="12"/>
  <c r="Q13" i="12"/>
  <c r="O13" i="12"/>
  <c r="N13" i="12"/>
  <c r="M13" i="12"/>
  <c r="L13" i="12"/>
  <c r="J13" i="12"/>
  <c r="I13" i="12"/>
  <c r="H13" i="12"/>
  <c r="G13" i="12"/>
  <c r="O12" i="12"/>
  <c r="N12" i="12"/>
  <c r="J12" i="12"/>
  <c r="I12" i="12"/>
  <c r="P11" i="12"/>
  <c r="K11" i="12"/>
  <c r="M12" i="12" s="1"/>
  <c r="F11" i="12"/>
  <c r="R8" i="12"/>
  <c r="M9" i="15" s="1"/>
  <c r="P9" i="15" s="1"/>
  <c r="Q8" i="12"/>
  <c r="L9" i="15" s="1"/>
  <c r="Q11" i="15" s="1"/>
  <c r="O8" i="12"/>
  <c r="J9" i="15" s="1"/>
  <c r="O11" i="15" s="1"/>
  <c r="N8" i="12"/>
  <c r="I9" i="15" s="1"/>
  <c r="M8" i="12"/>
  <c r="H9" i="15" s="1"/>
  <c r="L8" i="12"/>
  <c r="L21" i="12" s="1"/>
  <c r="J8" i="12"/>
  <c r="E9" i="15" s="1"/>
  <c r="I8" i="12"/>
  <c r="D9" i="15" s="1"/>
  <c r="H8" i="12"/>
  <c r="G8" i="12"/>
  <c r="B9" i="15" s="1"/>
  <c r="E8" i="12"/>
  <c r="D8" i="12"/>
  <c r="C8" i="12"/>
  <c r="B8" i="12"/>
  <c r="R103" i="11"/>
  <c r="Q103" i="11"/>
  <c r="O103" i="11"/>
  <c r="N103" i="11"/>
  <c r="M103" i="11"/>
  <c r="L103" i="11"/>
  <c r="J103" i="11"/>
  <c r="I103" i="11"/>
  <c r="H103" i="11"/>
  <c r="G103" i="11"/>
  <c r="O102" i="11"/>
  <c r="N102" i="11"/>
  <c r="J102" i="11"/>
  <c r="I102" i="11"/>
  <c r="P101" i="11"/>
  <c r="R102" i="11" s="1"/>
  <c r="K101" i="11"/>
  <c r="M102" i="11" s="1"/>
  <c r="F101" i="11"/>
  <c r="R100" i="11"/>
  <c r="Q100" i="11"/>
  <c r="O100" i="11"/>
  <c r="N100" i="11"/>
  <c r="M100" i="11"/>
  <c r="L100" i="11"/>
  <c r="J100" i="11"/>
  <c r="I100" i="11"/>
  <c r="H100" i="11"/>
  <c r="G100" i="11"/>
  <c r="O99" i="11"/>
  <c r="N99" i="11"/>
  <c r="J99" i="11"/>
  <c r="I99" i="11"/>
  <c r="P98" i="11"/>
  <c r="R99" i="11" s="1"/>
  <c r="K98" i="11"/>
  <c r="K99" i="11" s="1"/>
  <c r="F98" i="11"/>
  <c r="R97" i="11"/>
  <c r="Q97" i="11"/>
  <c r="O97" i="11"/>
  <c r="N97" i="11"/>
  <c r="M97" i="11"/>
  <c r="L97" i="11"/>
  <c r="J97" i="11"/>
  <c r="I97" i="11"/>
  <c r="H97" i="11"/>
  <c r="G97" i="11"/>
  <c r="O96" i="11"/>
  <c r="N96" i="11"/>
  <c r="J96" i="11"/>
  <c r="I96" i="11"/>
  <c r="P95" i="11"/>
  <c r="K95" i="11"/>
  <c r="M96" i="11" s="1"/>
  <c r="F95" i="11"/>
  <c r="R94" i="11"/>
  <c r="Q94" i="11"/>
  <c r="O94" i="11"/>
  <c r="N94" i="11"/>
  <c r="M94" i="11"/>
  <c r="L94" i="11"/>
  <c r="J94" i="11"/>
  <c r="I94" i="11"/>
  <c r="H94" i="11"/>
  <c r="G94" i="11"/>
  <c r="O93" i="11"/>
  <c r="N93" i="11"/>
  <c r="J93" i="11"/>
  <c r="I93" i="11"/>
  <c r="P92" i="11"/>
  <c r="R93" i="11" s="1"/>
  <c r="K92" i="11"/>
  <c r="K93" i="11" s="1"/>
  <c r="F92" i="11"/>
  <c r="F93" i="11" s="1"/>
  <c r="R91" i="11"/>
  <c r="Q91" i="11"/>
  <c r="O91" i="11"/>
  <c r="N91" i="11"/>
  <c r="M91" i="11"/>
  <c r="L91" i="11"/>
  <c r="J91" i="11"/>
  <c r="I91" i="11"/>
  <c r="H91" i="11"/>
  <c r="G91" i="11"/>
  <c r="O90" i="11"/>
  <c r="N90" i="11"/>
  <c r="J90" i="11"/>
  <c r="I90" i="11"/>
  <c r="P89" i="11"/>
  <c r="R90" i="11" s="1"/>
  <c r="K89" i="11"/>
  <c r="F89" i="11"/>
  <c r="R88" i="11"/>
  <c r="Q88" i="11"/>
  <c r="O88" i="11"/>
  <c r="N88" i="11"/>
  <c r="M88" i="11"/>
  <c r="L88" i="11"/>
  <c r="J88" i="11"/>
  <c r="I88" i="11"/>
  <c r="H88" i="11"/>
  <c r="G88" i="11"/>
  <c r="O87" i="11"/>
  <c r="N87" i="11"/>
  <c r="J87" i="11"/>
  <c r="I87" i="11"/>
  <c r="P86" i="11"/>
  <c r="R87" i="11" s="1"/>
  <c r="K86" i="11"/>
  <c r="F86" i="11"/>
  <c r="G85" i="11"/>
  <c r="P71" i="11"/>
  <c r="K71" i="11"/>
  <c r="Q66" i="11"/>
  <c r="N66" i="11"/>
  <c r="M66" i="11"/>
  <c r="L66" i="11"/>
  <c r="I66" i="11"/>
  <c r="F66" i="11"/>
  <c r="R63" i="11"/>
  <c r="Q63" i="11"/>
  <c r="Q68" i="11" s="1"/>
  <c r="O63" i="11"/>
  <c r="N63" i="11"/>
  <c r="M63" i="11"/>
  <c r="M68" i="11" s="1"/>
  <c r="L63" i="11"/>
  <c r="J63" i="11"/>
  <c r="J68" i="11" s="1"/>
  <c r="I63" i="11"/>
  <c r="H63" i="11"/>
  <c r="H68" i="11" s="1"/>
  <c r="G63" i="11"/>
  <c r="G68" i="11" s="1"/>
  <c r="E63" i="11"/>
  <c r="D63" i="11"/>
  <c r="C63" i="11"/>
  <c r="C68" i="11" s="1"/>
  <c r="B63" i="11"/>
  <c r="B68" i="11" s="1"/>
  <c r="R62" i="11"/>
  <c r="Q62" i="11"/>
  <c r="O62" i="11"/>
  <c r="N62" i="11"/>
  <c r="M62" i="11"/>
  <c r="L62" i="11"/>
  <c r="J62" i="11"/>
  <c r="I62" i="11"/>
  <c r="H62" i="11"/>
  <c r="G62" i="11"/>
  <c r="O61" i="11"/>
  <c r="N61" i="11"/>
  <c r="J61" i="11"/>
  <c r="I61" i="11"/>
  <c r="P60" i="11"/>
  <c r="R61" i="11" s="1"/>
  <c r="K60" i="11"/>
  <c r="F60" i="11"/>
  <c r="F61" i="11" s="1"/>
  <c r="R53" i="11"/>
  <c r="Q53" i="11"/>
  <c r="V55" i="11" s="1"/>
  <c r="O53" i="11"/>
  <c r="N53" i="11"/>
  <c r="S55" i="11" s="1"/>
  <c r="M53" i="11"/>
  <c r="L53" i="11"/>
  <c r="J53" i="11"/>
  <c r="J56" i="11" s="1"/>
  <c r="I53" i="11"/>
  <c r="H53" i="11"/>
  <c r="G53" i="11"/>
  <c r="G56" i="11" s="1"/>
  <c r="E53" i="11"/>
  <c r="D53" i="11"/>
  <c r="C53" i="11"/>
  <c r="C56" i="11" s="1"/>
  <c r="B53" i="11"/>
  <c r="C51" i="11"/>
  <c r="R48" i="11"/>
  <c r="S49" i="11" s="1"/>
  <c r="Q48" i="11"/>
  <c r="O48" i="11"/>
  <c r="N48" i="11"/>
  <c r="M48" i="11"/>
  <c r="M51" i="11" s="1"/>
  <c r="L48" i="11"/>
  <c r="J48" i="11"/>
  <c r="I48" i="11"/>
  <c r="I51" i="11" s="1"/>
  <c r="H48" i="11"/>
  <c r="H51" i="11" s="1"/>
  <c r="G48" i="11"/>
  <c r="G51" i="11" s="1"/>
  <c r="E48" i="11"/>
  <c r="D48" i="11"/>
  <c r="D49" i="11" s="1"/>
  <c r="B48" i="11"/>
  <c r="B51" i="11" s="1"/>
  <c r="R47" i="11"/>
  <c r="Q47" i="11"/>
  <c r="O47" i="11"/>
  <c r="N47" i="11"/>
  <c r="M47" i="11"/>
  <c r="L47" i="11"/>
  <c r="J47" i="11"/>
  <c r="I47" i="11"/>
  <c r="H47" i="11"/>
  <c r="G47" i="11"/>
  <c r="O46" i="11"/>
  <c r="N46" i="11"/>
  <c r="J46" i="11"/>
  <c r="I46" i="11"/>
  <c r="P45" i="11"/>
  <c r="R46" i="11" s="1"/>
  <c r="K45" i="11"/>
  <c r="F45" i="11"/>
  <c r="F46" i="11" s="1"/>
  <c r="R44" i="11"/>
  <c r="Q44" i="11"/>
  <c r="O44" i="11"/>
  <c r="N44" i="11"/>
  <c r="M44" i="11"/>
  <c r="L44" i="11"/>
  <c r="J44" i="11"/>
  <c r="I44" i="11"/>
  <c r="H44" i="11"/>
  <c r="G44" i="11"/>
  <c r="O43" i="11"/>
  <c r="N43" i="11"/>
  <c r="J43" i="11"/>
  <c r="I43" i="11"/>
  <c r="P42" i="11"/>
  <c r="P43" i="11" s="1"/>
  <c r="K42" i="11"/>
  <c r="F42" i="11"/>
  <c r="R41" i="11"/>
  <c r="Q41" i="11"/>
  <c r="O41" i="11"/>
  <c r="N41" i="11"/>
  <c r="M41" i="11"/>
  <c r="L41" i="11"/>
  <c r="J41" i="11"/>
  <c r="I41" i="11"/>
  <c r="H41" i="11"/>
  <c r="G41" i="11"/>
  <c r="O40" i="11"/>
  <c r="N40" i="11"/>
  <c r="J40" i="11"/>
  <c r="I40" i="11"/>
  <c r="P39" i="11"/>
  <c r="K39" i="11"/>
  <c r="F39" i="11"/>
  <c r="F40" i="11" s="1"/>
  <c r="P37" i="11"/>
  <c r="K37" i="11"/>
  <c r="F37" i="11"/>
  <c r="R36" i="11"/>
  <c r="Q36" i="11"/>
  <c r="O36" i="11"/>
  <c r="N36" i="11"/>
  <c r="M36" i="11"/>
  <c r="L36" i="11"/>
  <c r="J36" i="11"/>
  <c r="I36" i="11"/>
  <c r="H36" i="11"/>
  <c r="G36" i="11"/>
  <c r="O35" i="11"/>
  <c r="N35" i="11"/>
  <c r="J35" i="11"/>
  <c r="I35" i="11"/>
  <c r="P34" i="11"/>
  <c r="R35" i="11" s="1"/>
  <c r="K34" i="11"/>
  <c r="K35" i="11" s="1"/>
  <c r="F34" i="11"/>
  <c r="R33" i="11"/>
  <c r="Q33" i="11"/>
  <c r="O33" i="11"/>
  <c r="N33" i="11"/>
  <c r="M33" i="11"/>
  <c r="L33" i="11"/>
  <c r="J33" i="11"/>
  <c r="I33" i="11"/>
  <c r="H33" i="11"/>
  <c r="G33" i="11"/>
  <c r="O32" i="11"/>
  <c r="N32" i="11"/>
  <c r="J32" i="11"/>
  <c r="I32" i="11"/>
  <c r="P31" i="11"/>
  <c r="P32" i="11" s="1"/>
  <c r="K31" i="11"/>
  <c r="K32" i="11" s="1"/>
  <c r="F31" i="11"/>
  <c r="F32" i="11" s="1"/>
  <c r="R24" i="11"/>
  <c r="Q24" i="11"/>
  <c r="O24" i="11"/>
  <c r="N24" i="11"/>
  <c r="M24" i="11"/>
  <c r="L24" i="11"/>
  <c r="J24" i="11"/>
  <c r="I24" i="11"/>
  <c r="H24" i="11"/>
  <c r="G24" i="11"/>
  <c r="O23" i="11"/>
  <c r="N23" i="11"/>
  <c r="J23" i="11"/>
  <c r="I23" i="11"/>
  <c r="P22" i="11"/>
  <c r="K22" i="11"/>
  <c r="M23" i="11" s="1"/>
  <c r="F22" i="11"/>
  <c r="F23" i="11" s="1"/>
  <c r="R21" i="11"/>
  <c r="Q21" i="11"/>
  <c r="O21" i="11"/>
  <c r="N21" i="11"/>
  <c r="M21" i="11"/>
  <c r="L21" i="11"/>
  <c r="J21" i="11"/>
  <c r="I21" i="11"/>
  <c r="H21" i="11"/>
  <c r="G21" i="11"/>
  <c r="O20" i="11"/>
  <c r="N20" i="11"/>
  <c r="J20" i="11"/>
  <c r="I20" i="11"/>
  <c r="P19" i="11"/>
  <c r="K19" i="11"/>
  <c r="K20" i="11" s="1"/>
  <c r="F19" i="11"/>
  <c r="F20" i="11" s="1"/>
  <c r="R18" i="11"/>
  <c r="Q18" i="11"/>
  <c r="O18" i="11"/>
  <c r="N18" i="11"/>
  <c r="M18" i="11"/>
  <c r="L18" i="11"/>
  <c r="J18" i="11"/>
  <c r="I18" i="11"/>
  <c r="H18" i="11"/>
  <c r="G18" i="11"/>
  <c r="O17" i="11"/>
  <c r="N17" i="11"/>
  <c r="J17" i="11"/>
  <c r="I17" i="11"/>
  <c r="P16" i="11"/>
  <c r="P17" i="11" s="1"/>
  <c r="K16" i="11"/>
  <c r="M17" i="11" s="1"/>
  <c r="F16" i="11"/>
  <c r="R15" i="11"/>
  <c r="Q15" i="11"/>
  <c r="O15" i="11"/>
  <c r="N15" i="11"/>
  <c r="M15" i="11"/>
  <c r="L15" i="11"/>
  <c r="J15" i="11"/>
  <c r="I15" i="11"/>
  <c r="H15" i="11"/>
  <c r="G15" i="11"/>
  <c r="O14" i="11"/>
  <c r="N14" i="11"/>
  <c r="J14" i="11"/>
  <c r="I14" i="11"/>
  <c r="P13" i="11"/>
  <c r="K13" i="11"/>
  <c r="M14" i="11" s="1"/>
  <c r="F13" i="11"/>
  <c r="R12" i="11"/>
  <c r="Q12" i="11"/>
  <c r="O12" i="11"/>
  <c r="N12" i="11"/>
  <c r="M12" i="11"/>
  <c r="L12" i="11"/>
  <c r="J12" i="11"/>
  <c r="I12" i="11"/>
  <c r="H12" i="11"/>
  <c r="G12" i="11"/>
  <c r="O11" i="11"/>
  <c r="N11" i="11"/>
  <c r="J11" i="11"/>
  <c r="I11" i="11"/>
  <c r="P10" i="11"/>
  <c r="R11" i="11" s="1"/>
  <c r="K10" i="11"/>
  <c r="M11" i="11" s="1"/>
  <c r="F10" i="11"/>
  <c r="F11" i="11" s="1"/>
  <c r="R7" i="11"/>
  <c r="S8" i="11" s="1"/>
  <c r="Q7" i="11"/>
  <c r="O7" i="11"/>
  <c r="T9" i="11" s="1"/>
  <c r="N7" i="11"/>
  <c r="S9" i="11" s="1"/>
  <c r="M7" i="11"/>
  <c r="L7" i="11"/>
  <c r="J7" i="11"/>
  <c r="I7" i="11"/>
  <c r="H7" i="11"/>
  <c r="G7" i="11"/>
  <c r="E7" i="11"/>
  <c r="D7" i="11"/>
  <c r="C7" i="11"/>
  <c r="B7" i="11"/>
  <c r="T65" i="13" l="1"/>
  <c r="H67" i="15"/>
  <c r="M68" i="15"/>
  <c r="L68" i="15"/>
  <c r="K67" i="15"/>
  <c r="R93" i="14"/>
  <c r="U90" i="14"/>
  <c r="U91" i="14" s="1"/>
  <c r="S91" i="14"/>
  <c r="O93" i="14"/>
  <c r="T92" i="14"/>
  <c r="N93" i="14"/>
  <c r="S92" i="14"/>
  <c r="O56" i="14"/>
  <c r="T36" i="14"/>
  <c r="N56" i="14"/>
  <c r="S36" i="14"/>
  <c r="C12" i="15"/>
  <c r="C29" i="15" s="1"/>
  <c r="G28" i="13"/>
  <c r="I23" i="13"/>
  <c r="H28" i="13"/>
  <c r="Q40" i="13"/>
  <c r="T53" i="13"/>
  <c r="T66" i="13"/>
  <c r="T41" i="13"/>
  <c r="U43" i="12"/>
  <c r="S44" i="12"/>
  <c r="O46" i="12"/>
  <c r="J52" i="15" s="1"/>
  <c r="T45" i="12"/>
  <c r="R35" i="12"/>
  <c r="U36" i="12"/>
  <c r="Q46" i="12"/>
  <c r="L52" i="15" s="1"/>
  <c r="V45" i="12"/>
  <c r="S54" i="11"/>
  <c r="U53" i="11"/>
  <c r="P24" i="15"/>
  <c r="P13" i="15"/>
  <c r="P34" i="15"/>
  <c r="P16" i="15"/>
  <c r="P19" i="15"/>
  <c r="P27" i="15"/>
  <c r="P10" i="15"/>
  <c r="L65" i="13"/>
  <c r="O42" i="13"/>
  <c r="O65" i="13" s="1"/>
  <c r="J26" i="13"/>
  <c r="O27" i="13"/>
  <c r="L9" i="13"/>
  <c r="O10" i="13"/>
  <c r="R53" i="13"/>
  <c r="Q54" i="13"/>
  <c r="L40" i="13"/>
  <c r="O41" i="13"/>
  <c r="L50" i="13"/>
  <c r="O51" i="13"/>
  <c r="O52" i="13"/>
  <c r="T54" i="13" s="1"/>
  <c r="G20" i="15"/>
  <c r="R43" i="13"/>
  <c r="Q44" i="13"/>
  <c r="D53" i="13"/>
  <c r="P45" i="13"/>
  <c r="U47" i="13" s="1"/>
  <c r="E24" i="15"/>
  <c r="G25" i="15"/>
  <c r="J40" i="13"/>
  <c r="C42" i="13"/>
  <c r="C23" i="13"/>
  <c r="G37" i="13"/>
  <c r="E37" i="13"/>
  <c r="N65" i="13"/>
  <c r="D34" i="15"/>
  <c r="I24" i="13"/>
  <c r="D23" i="13"/>
  <c r="N66" i="13"/>
  <c r="S54" i="13"/>
  <c r="G29" i="13"/>
  <c r="E29" i="13"/>
  <c r="G50" i="13"/>
  <c r="E50" i="13"/>
  <c r="L14" i="15"/>
  <c r="L35" i="15"/>
  <c r="D10" i="15"/>
  <c r="C55" i="13"/>
  <c r="C53" i="13"/>
  <c r="E16" i="15"/>
  <c r="E34" i="15"/>
  <c r="L17" i="15"/>
  <c r="G35" i="15"/>
  <c r="H17" i="15"/>
  <c r="I28" i="15"/>
  <c r="N28" i="15"/>
  <c r="D24" i="15"/>
  <c r="G14" i="15"/>
  <c r="M20" i="15"/>
  <c r="N19" i="15"/>
  <c r="E10" i="15"/>
  <c r="M11" i="15"/>
  <c r="N10" i="15"/>
  <c r="M25" i="15"/>
  <c r="N24" i="15"/>
  <c r="I13" i="15"/>
  <c r="N14" i="15"/>
  <c r="I35" i="15"/>
  <c r="I34" i="15"/>
  <c r="N35" i="15"/>
  <c r="L20" i="15"/>
  <c r="D27" i="15"/>
  <c r="G17" i="15"/>
  <c r="I11" i="15"/>
  <c r="I10" i="15"/>
  <c r="N11" i="15"/>
  <c r="J17" i="15"/>
  <c r="J16" i="15"/>
  <c r="J10" i="15"/>
  <c r="J11" i="15"/>
  <c r="H35" i="15"/>
  <c r="I25" i="15"/>
  <c r="N25" i="15"/>
  <c r="M14" i="15"/>
  <c r="N13" i="15"/>
  <c r="M28" i="15"/>
  <c r="N27" i="15"/>
  <c r="I17" i="15"/>
  <c r="I16" i="15"/>
  <c r="N17" i="15"/>
  <c r="J20" i="15"/>
  <c r="J19" i="15"/>
  <c r="H11" i="15"/>
  <c r="M17" i="15"/>
  <c r="N16" i="15"/>
  <c r="M35" i="15"/>
  <c r="N34" i="15"/>
  <c r="I19" i="15"/>
  <c r="N20" i="15"/>
  <c r="J14" i="15"/>
  <c r="J13" i="15"/>
  <c r="J35" i="15"/>
  <c r="J34" i="15"/>
  <c r="D16" i="15"/>
  <c r="E27" i="15"/>
  <c r="E64" i="11"/>
  <c r="E68" i="11"/>
  <c r="S65" i="11"/>
  <c r="N68" i="11"/>
  <c r="T65" i="11"/>
  <c r="O68" i="11"/>
  <c r="P68" i="11" s="1"/>
  <c r="I68" i="11"/>
  <c r="S64" i="11"/>
  <c r="R68" i="11"/>
  <c r="S69" i="11" s="1"/>
  <c r="E54" i="11"/>
  <c r="D64" i="11"/>
  <c r="D68" i="11"/>
  <c r="D69" i="11" s="1"/>
  <c r="L68" i="11"/>
  <c r="K68" i="11" s="1"/>
  <c r="D84" i="11"/>
  <c r="H14" i="11"/>
  <c r="F14" i="11"/>
  <c r="H90" i="11"/>
  <c r="F90" i="11"/>
  <c r="H43" i="11"/>
  <c r="F43" i="11"/>
  <c r="E49" i="11"/>
  <c r="H87" i="11"/>
  <c r="F87" i="11"/>
  <c r="J85" i="11"/>
  <c r="H102" i="11"/>
  <c r="F102" i="11"/>
  <c r="H35" i="11"/>
  <c r="F35" i="11"/>
  <c r="O56" i="11"/>
  <c r="T58" i="11" s="1"/>
  <c r="T55" i="11"/>
  <c r="N51" i="11"/>
  <c r="S50" i="11"/>
  <c r="O51" i="11"/>
  <c r="T50" i="11"/>
  <c r="D54" i="11"/>
  <c r="H99" i="11"/>
  <c r="F99" i="11"/>
  <c r="H17" i="11"/>
  <c r="F17" i="11"/>
  <c r="H96" i="11"/>
  <c r="F96" i="11"/>
  <c r="P89" i="14"/>
  <c r="M88" i="14"/>
  <c r="I94" i="14"/>
  <c r="R95" i="14"/>
  <c r="M95" i="14"/>
  <c r="N95" i="14"/>
  <c r="N94" i="14"/>
  <c r="O95" i="14"/>
  <c r="O94" i="14"/>
  <c r="D36" i="15"/>
  <c r="L36" i="15"/>
  <c r="Q38" i="15" s="1"/>
  <c r="J84" i="11"/>
  <c r="F83" i="11"/>
  <c r="F84" i="11" s="1"/>
  <c r="M41" i="12"/>
  <c r="I36" i="15"/>
  <c r="C36" i="15"/>
  <c r="H85" i="11"/>
  <c r="I84" i="11"/>
  <c r="G9" i="15"/>
  <c r="G11" i="15" s="1"/>
  <c r="E36" i="15"/>
  <c r="M36" i="15"/>
  <c r="P36" i="15" s="1"/>
  <c r="G36" i="15"/>
  <c r="H36" i="15"/>
  <c r="D12" i="15"/>
  <c r="B36" i="15"/>
  <c r="J36" i="15"/>
  <c r="O38" i="15" s="1"/>
  <c r="K12" i="15"/>
  <c r="M13" i="15" s="1"/>
  <c r="B29" i="15"/>
  <c r="M29" i="15"/>
  <c r="P29" i="15" s="1"/>
  <c r="K15" i="15"/>
  <c r="M16" i="15" s="1"/>
  <c r="F26" i="15"/>
  <c r="H27" i="15" s="1"/>
  <c r="J29" i="15"/>
  <c r="O31" i="15" s="1"/>
  <c r="F42" i="15"/>
  <c r="K18" i="15"/>
  <c r="M19" i="15" s="1"/>
  <c r="K9" i="15"/>
  <c r="M10" i="15" s="1"/>
  <c r="K26" i="15"/>
  <c r="M27" i="15" s="1"/>
  <c r="F21" i="15"/>
  <c r="F15" i="15"/>
  <c r="F16" i="15" s="1"/>
  <c r="E29" i="15"/>
  <c r="K33" i="15"/>
  <c r="P35" i="15" s="1"/>
  <c r="F23" i="15"/>
  <c r="H24" i="15" s="1"/>
  <c r="K42" i="15"/>
  <c r="K23" i="15"/>
  <c r="M24" i="15" s="1"/>
  <c r="K21" i="15"/>
  <c r="F33" i="15"/>
  <c r="F34" i="15" s="1"/>
  <c r="G29" i="15"/>
  <c r="L29" i="15"/>
  <c r="Q31" i="15" s="1"/>
  <c r="I29" i="15"/>
  <c r="H29" i="15"/>
  <c r="I85" i="11"/>
  <c r="F7" i="11"/>
  <c r="F8" i="11" s="1"/>
  <c r="H65" i="11"/>
  <c r="N65" i="11"/>
  <c r="R85" i="11"/>
  <c r="P10" i="14"/>
  <c r="P27" i="14"/>
  <c r="L45" i="14"/>
  <c r="E44" i="14"/>
  <c r="P86" i="14"/>
  <c r="N48" i="14"/>
  <c r="H36" i="14"/>
  <c r="M16" i="14"/>
  <c r="G46" i="14"/>
  <c r="G51" i="14" s="1"/>
  <c r="H10" i="14"/>
  <c r="H16" i="14"/>
  <c r="F43" i="14"/>
  <c r="F57" i="14" s="1"/>
  <c r="O44" i="14"/>
  <c r="L92" i="14"/>
  <c r="M92" i="14"/>
  <c r="Q37" i="14"/>
  <c r="N36" i="14"/>
  <c r="I47" i="14"/>
  <c r="R70" i="14"/>
  <c r="P85" i="14"/>
  <c r="M13" i="14"/>
  <c r="K41" i="14"/>
  <c r="P42" i="14"/>
  <c r="O45" i="14"/>
  <c r="P71" i="14"/>
  <c r="R85" i="14"/>
  <c r="R92" i="14"/>
  <c r="P20" i="14"/>
  <c r="I35" i="14"/>
  <c r="G37" i="14"/>
  <c r="K43" i="14"/>
  <c r="K44" i="14" s="1"/>
  <c r="Q45" i="14"/>
  <c r="K20" i="14"/>
  <c r="P34" i="14"/>
  <c r="R35" i="14" s="1"/>
  <c r="P13" i="14"/>
  <c r="P19" i="14"/>
  <c r="J36" i="14"/>
  <c r="P64" i="14"/>
  <c r="P65" i="14"/>
  <c r="P68" i="14"/>
  <c r="L93" i="14"/>
  <c r="P67" i="14"/>
  <c r="K90" i="14"/>
  <c r="K91" i="14" s="1"/>
  <c r="L26" i="13"/>
  <c r="H54" i="13"/>
  <c r="E52" i="13"/>
  <c r="E53" i="13" s="1"/>
  <c r="G34" i="13"/>
  <c r="I53" i="13"/>
  <c r="J9" i="13"/>
  <c r="L45" i="13"/>
  <c r="H53" i="15" s="1"/>
  <c r="H56" i="15" s="1"/>
  <c r="J38" i="13"/>
  <c r="K54" i="13"/>
  <c r="J10" i="12"/>
  <c r="R54" i="12"/>
  <c r="R59" i="12" s="1"/>
  <c r="I10" i="12"/>
  <c r="J44" i="12"/>
  <c r="E9" i="12"/>
  <c r="I45" i="12"/>
  <c r="I46" i="12"/>
  <c r="L19" i="12"/>
  <c r="B43" i="12"/>
  <c r="B46" i="12" s="1"/>
  <c r="P16" i="12"/>
  <c r="P25" i="12"/>
  <c r="F43" i="12"/>
  <c r="F44" i="12" s="1"/>
  <c r="O53" i="12"/>
  <c r="P51" i="12"/>
  <c r="K25" i="12"/>
  <c r="M27" i="12"/>
  <c r="K28" i="12"/>
  <c r="O45" i="12"/>
  <c r="D9" i="12"/>
  <c r="P28" i="12"/>
  <c r="J9" i="12"/>
  <c r="M24" i="12"/>
  <c r="P27" i="12"/>
  <c r="H35" i="12"/>
  <c r="N53" i="12"/>
  <c r="O10" i="12"/>
  <c r="K12" i="12"/>
  <c r="K15" i="12"/>
  <c r="M30" i="12"/>
  <c r="P50" i="12"/>
  <c r="R49" i="12"/>
  <c r="J52" i="12"/>
  <c r="R50" i="11"/>
  <c r="K88" i="11"/>
  <c r="M20" i="11"/>
  <c r="K91" i="11"/>
  <c r="J9" i="11"/>
  <c r="H11" i="11"/>
  <c r="K18" i="11"/>
  <c r="K66" i="11"/>
  <c r="K90" i="11"/>
  <c r="M93" i="11"/>
  <c r="C73" i="11"/>
  <c r="O55" i="11"/>
  <c r="I65" i="11"/>
  <c r="M32" i="11"/>
  <c r="K36" i="11"/>
  <c r="R17" i="11"/>
  <c r="R32" i="11"/>
  <c r="K33" i="11"/>
  <c r="P46" i="11"/>
  <c r="Q55" i="11"/>
  <c r="F63" i="11"/>
  <c r="M73" i="11"/>
  <c r="G65" i="11"/>
  <c r="P15" i="11"/>
  <c r="P14" i="11"/>
  <c r="R14" i="11"/>
  <c r="J49" i="11"/>
  <c r="J54" i="11"/>
  <c r="P23" i="11"/>
  <c r="R23" i="11"/>
  <c r="M43" i="11"/>
  <c r="K44" i="11"/>
  <c r="K43" i="11"/>
  <c r="I55" i="11"/>
  <c r="I56" i="11"/>
  <c r="J57" i="11" s="1"/>
  <c r="N84" i="11"/>
  <c r="N85" i="11"/>
  <c r="G27" i="11"/>
  <c r="G29" i="11"/>
  <c r="M85" i="11"/>
  <c r="K83" i="11"/>
  <c r="K85" i="11" s="1"/>
  <c r="K11" i="11"/>
  <c r="F48" i="11"/>
  <c r="F49" i="11" s="1"/>
  <c r="P33" i="11"/>
  <c r="M35" i="11"/>
  <c r="N49" i="11"/>
  <c r="H50" i="11"/>
  <c r="D51" i="11"/>
  <c r="I54" i="11"/>
  <c r="J65" i="11"/>
  <c r="J51" i="11"/>
  <c r="O84" i="11"/>
  <c r="P87" i="11"/>
  <c r="P88" i="11"/>
  <c r="K102" i="11"/>
  <c r="P7" i="11"/>
  <c r="K53" i="11"/>
  <c r="K54" i="11" s="1"/>
  <c r="J69" i="11"/>
  <c r="K97" i="11"/>
  <c r="R9" i="11"/>
  <c r="O8" i="11"/>
  <c r="K17" i="11"/>
  <c r="P21" i="11"/>
  <c r="H46" i="11"/>
  <c r="O54" i="11"/>
  <c r="L85" i="11"/>
  <c r="O85" i="11"/>
  <c r="M90" i="11"/>
  <c r="K100" i="11"/>
  <c r="M99" i="11"/>
  <c r="K14" i="14"/>
  <c r="K17" i="14"/>
  <c r="M19" i="14"/>
  <c r="N35" i="14"/>
  <c r="P41" i="14"/>
  <c r="I48" i="14"/>
  <c r="M10" i="14"/>
  <c r="P17" i="14"/>
  <c r="B56" i="14"/>
  <c r="B37" i="14"/>
  <c r="H56" i="14"/>
  <c r="H37" i="14"/>
  <c r="N37" i="14"/>
  <c r="M45" i="14"/>
  <c r="M57" i="14"/>
  <c r="P43" i="14"/>
  <c r="R44" i="14" s="1"/>
  <c r="M46" i="14"/>
  <c r="H39" i="15" s="1"/>
  <c r="R73" i="14"/>
  <c r="P74" i="14"/>
  <c r="P73" i="14"/>
  <c r="F55" i="14"/>
  <c r="H32" i="14"/>
  <c r="P11" i="14"/>
  <c r="F32" i="14"/>
  <c r="I36" i="14"/>
  <c r="D35" i="14"/>
  <c r="J56" i="14"/>
  <c r="J35" i="14"/>
  <c r="H41" i="14"/>
  <c r="F41" i="14"/>
  <c r="D51" i="14"/>
  <c r="K11" i="14"/>
  <c r="P55" i="14"/>
  <c r="P33" i="14"/>
  <c r="L56" i="14"/>
  <c r="K34" i="14"/>
  <c r="K56" i="14" s="1"/>
  <c r="R56" i="14"/>
  <c r="R37" i="14"/>
  <c r="R36" i="14"/>
  <c r="R57" i="14"/>
  <c r="R46" i="14"/>
  <c r="R45" i="14"/>
  <c r="D56" i="14"/>
  <c r="P14" i="14"/>
  <c r="F34" i="14"/>
  <c r="H35" i="14" s="1"/>
  <c r="J37" i="14"/>
  <c r="C46" i="14"/>
  <c r="C57" i="14"/>
  <c r="D44" i="14"/>
  <c r="R16" i="14"/>
  <c r="I56" i="14"/>
  <c r="I37" i="14"/>
  <c r="O37" i="14"/>
  <c r="O36" i="14"/>
  <c r="O35" i="14"/>
  <c r="M36" i="14"/>
  <c r="K42" i="14"/>
  <c r="N45" i="14"/>
  <c r="N44" i="14"/>
  <c r="N57" i="14"/>
  <c r="H51" i="14"/>
  <c r="R79" i="14"/>
  <c r="P79" i="14"/>
  <c r="P80" i="14"/>
  <c r="E56" i="14"/>
  <c r="E35" i="14"/>
  <c r="B46" i="14"/>
  <c r="J57" i="14"/>
  <c r="J46" i="14"/>
  <c r="J44" i="14"/>
  <c r="G45" i="14"/>
  <c r="K55" i="14"/>
  <c r="G36" i="14"/>
  <c r="M37" i="14"/>
  <c r="L57" i="14"/>
  <c r="L46" i="14"/>
  <c r="J45" i="14"/>
  <c r="E46" i="14"/>
  <c r="N51" i="14"/>
  <c r="N47" i="14"/>
  <c r="P77" i="14"/>
  <c r="P76" i="14"/>
  <c r="H45" i="14"/>
  <c r="O46" i="14"/>
  <c r="O57" i="14"/>
  <c r="I44" i="14"/>
  <c r="H57" i="14"/>
  <c r="Q93" i="14"/>
  <c r="Q92" i="14"/>
  <c r="P90" i="14"/>
  <c r="N91" i="14"/>
  <c r="N92" i="14"/>
  <c r="O91" i="14"/>
  <c r="O92" i="14"/>
  <c r="E9" i="13"/>
  <c r="H24" i="13"/>
  <c r="H23" i="13"/>
  <c r="H42" i="13"/>
  <c r="M24" i="13"/>
  <c r="J27" i="13"/>
  <c r="G26" i="13"/>
  <c r="P54" i="13"/>
  <c r="P55" i="13"/>
  <c r="U57" i="13" s="1"/>
  <c r="P66" i="13"/>
  <c r="G24" i="13"/>
  <c r="G42" i="13"/>
  <c r="G9" i="13"/>
  <c r="B42" i="13"/>
  <c r="J22" i="13"/>
  <c r="O24" i="13" s="1"/>
  <c r="Q65" i="13"/>
  <c r="Q45" i="13"/>
  <c r="J10" i="13"/>
  <c r="C65" i="13"/>
  <c r="C45" i="13"/>
  <c r="K65" i="13"/>
  <c r="K45" i="13"/>
  <c r="G53" i="15" s="1"/>
  <c r="D42" i="13"/>
  <c r="D43" i="13" s="1"/>
  <c r="L24" i="13"/>
  <c r="F42" i="13"/>
  <c r="K24" i="13"/>
  <c r="E22" i="13"/>
  <c r="E64" i="13"/>
  <c r="J50" i="13"/>
  <c r="D55" i="13"/>
  <c r="D66" i="13"/>
  <c r="J52" i="13"/>
  <c r="L53" i="13" s="1"/>
  <c r="Q66" i="13"/>
  <c r="Q55" i="13"/>
  <c r="T55" i="13" s="1"/>
  <c r="B66" i="13"/>
  <c r="J34" i="13"/>
  <c r="J64" i="13"/>
  <c r="M65" i="13"/>
  <c r="M45" i="13"/>
  <c r="M43" i="13"/>
  <c r="I45" i="13"/>
  <c r="E53" i="15" s="1"/>
  <c r="E56" i="15" s="1"/>
  <c r="E66" i="13"/>
  <c r="K66" i="13"/>
  <c r="K55" i="13"/>
  <c r="N53" i="13"/>
  <c r="L34" i="13"/>
  <c r="J37" i="13"/>
  <c r="N43" i="13"/>
  <c r="J35" i="13"/>
  <c r="L37" i="13"/>
  <c r="N44" i="13"/>
  <c r="G66" i="13"/>
  <c r="G55" i="13"/>
  <c r="C39" i="15" s="1"/>
  <c r="G54" i="13"/>
  <c r="G53" i="13"/>
  <c r="M66" i="13"/>
  <c r="M55" i="13"/>
  <c r="M53" i="13"/>
  <c r="M54" i="13"/>
  <c r="P44" i="13"/>
  <c r="N45" i="13"/>
  <c r="J53" i="15" s="1"/>
  <c r="J51" i="13"/>
  <c r="B55" i="13"/>
  <c r="B60" i="13" s="1"/>
  <c r="H55" i="13"/>
  <c r="H60" i="13" s="1"/>
  <c r="H53" i="13"/>
  <c r="H66" i="13"/>
  <c r="N55" i="13"/>
  <c r="N54" i="13"/>
  <c r="P65" i="13"/>
  <c r="F66" i="13"/>
  <c r="L66" i="13"/>
  <c r="L54" i="13"/>
  <c r="C66" i="13"/>
  <c r="I54" i="13"/>
  <c r="I66" i="13"/>
  <c r="I55" i="13"/>
  <c r="P12" i="12"/>
  <c r="R12" i="12"/>
  <c r="N44" i="12"/>
  <c r="N46" i="12"/>
  <c r="O44" i="12"/>
  <c r="N45" i="12"/>
  <c r="G65" i="12"/>
  <c r="G63" i="12"/>
  <c r="G19" i="12"/>
  <c r="G10" i="12"/>
  <c r="F8" i="12"/>
  <c r="G21" i="12"/>
  <c r="N63" i="12"/>
  <c r="N65" i="12"/>
  <c r="N9" i="12"/>
  <c r="N10" i="12"/>
  <c r="P31" i="12"/>
  <c r="P30" i="12"/>
  <c r="R30" i="12"/>
  <c r="M65" i="12"/>
  <c r="M63" i="12"/>
  <c r="M10" i="12"/>
  <c r="H64" i="12"/>
  <c r="M45" i="12"/>
  <c r="H44" i="12"/>
  <c r="H46" i="12"/>
  <c r="H45" i="12"/>
  <c r="D59" i="12"/>
  <c r="H63" i="12"/>
  <c r="I9" i="12"/>
  <c r="H65" i="12"/>
  <c r="H10" i="12"/>
  <c r="P13" i="12"/>
  <c r="K16" i="12"/>
  <c r="G45" i="12"/>
  <c r="B63" i="12"/>
  <c r="B19" i="12"/>
  <c r="B21" i="12"/>
  <c r="P8" i="12"/>
  <c r="P63" i="12" s="1"/>
  <c r="O9" i="12"/>
  <c r="K13" i="12"/>
  <c r="P15" i="12"/>
  <c r="R15" i="12"/>
  <c r="H27" i="12"/>
  <c r="Q10" i="12"/>
  <c r="R27" i="12"/>
  <c r="K31" i="12"/>
  <c r="M38" i="12"/>
  <c r="K39" i="12"/>
  <c r="K38" i="12"/>
  <c r="I44" i="12"/>
  <c r="P43" i="12"/>
  <c r="U45" i="12" s="1"/>
  <c r="D63" i="12"/>
  <c r="J63" i="12"/>
  <c r="P24" i="12"/>
  <c r="R64" i="12"/>
  <c r="R46" i="12"/>
  <c r="R45" i="12"/>
  <c r="K50" i="12"/>
  <c r="M49" i="12"/>
  <c r="H61" i="12"/>
  <c r="E63" i="12"/>
  <c r="E65" i="12"/>
  <c r="K8" i="12"/>
  <c r="Q63" i="12"/>
  <c r="Q21" i="12"/>
  <c r="Q19" i="12"/>
  <c r="H12" i="12"/>
  <c r="H15" i="12"/>
  <c r="R24" i="12"/>
  <c r="M35" i="12"/>
  <c r="P36" i="12"/>
  <c r="K35" i="12"/>
  <c r="K43" i="12"/>
  <c r="L46" i="12"/>
  <c r="G52" i="15" s="1"/>
  <c r="L45" i="12"/>
  <c r="L63" i="12"/>
  <c r="L10" i="12"/>
  <c r="R63" i="12"/>
  <c r="R10" i="12"/>
  <c r="Q45" i="12"/>
  <c r="D65" i="12"/>
  <c r="F51" i="12"/>
  <c r="I53" i="12"/>
  <c r="F54" i="12"/>
  <c r="H55" i="12" s="1"/>
  <c r="L65" i="12"/>
  <c r="K51" i="12"/>
  <c r="H56" i="12"/>
  <c r="Q59" i="12"/>
  <c r="H38" i="12"/>
  <c r="O65" i="12"/>
  <c r="O54" i="12"/>
  <c r="O52" i="12"/>
  <c r="Q53" i="12"/>
  <c r="J54" i="12"/>
  <c r="B59" i="12"/>
  <c r="B65" i="12"/>
  <c r="C63" i="12"/>
  <c r="C65" i="12"/>
  <c r="I63" i="12"/>
  <c r="O63" i="12"/>
  <c r="C64" i="12"/>
  <c r="O64" i="12"/>
  <c r="C46" i="12"/>
  <c r="H49" i="12"/>
  <c r="Q65" i="12"/>
  <c r="L53" i="12"/>
  <c r="L54" i="12"/>
  <c r="Q56" i="12" s="1"/>
  <c r="D64" i="12"/>
  <c r="D46" i="12"/>
  <c r="J46" i="12"/>
  <c r="J45" i="12"/>
  <c r="P49" i="12"/>
  <c r="I65" i="12"/>
  <c r="I54" i="12"/>
  <c r="N56" i="12" s="1"/>
  <c r="R65" i="12"/>
  <c r="M59" i="12"/>
  <c r="N60" i="12" s="1"/>
  <c r="M56" i="12"/>
  <c r="E64" i="12"/>
  <c r="Q64" i="12"/>
  <c r="J65" i="12"/>
  <c r="J53" i="12"/>
  <c r="G53" i="12"/>
  <c r="G59" i="12"/>
  <c r="G56" i="12"/>
  <c r="N55" i="12"/>
  <c r="G64" i="12"/>
  <c r="M64" i="12"/>
  <c r="P8" i="11"/>
  <c r="Q9" i="11"/>
  <c r="P12" i="11"/>
  <c r="L77" i="11"/>
  <c r="L51" i="11"/>
  <c r="L50" i="11"/>
  <c r="G79" i="11"/>
  <c r="M79" i="11"/>
  <c r="H8" i="11"/>
  <c r="K12" i="11"/>
  <c r="K14" i="11"/>
  <c r="H20" i="11"/>
  <c r="H23" i="11"/>
  <c r="B27" i="11"/>
  <c r="L29" i="11"/>
  <c r="P35" i="11"/>
  <c r="H40" i="11"/>
  <c r="L9" i="11"/>
  <c r="K15" i="11"/>
  <c r="P18" i="11"/>
  <c r="P20" i="11"/>
  <c r="P36" i="11"/>
  <c r="R8" i="11"/>
  <c r="I8" i="11"/>
  <c r="C77" i="11"/>
  <c r="C78" i="11"/>
  <c r="M9" i="11"/>
  <c r="P11" i="11"/>
  <c r="R20" i="11"/>
  <c r="P24" i="11"/>
  <c r="L27" i="11"/>
  <c r="P40" i="11"/>
  <c r="I78" i="11"/>
  <c r="I9" i="11"/>
  <c r="J8" i="11"/>
  <c r="D8" i="11"/>
  <c r="G9" i="11"/>
  <c r="N9" i="11"/>
  <c r="K21" i="11"/>
  <c r="K23" i="11"/>
  <c r="K24" i="11"/>
  <c r="O78" i="11"/>
  <c r="O9" i="11"/>
  <c r="K7" i="11"/>
  <c r="Q29" i="11"/>
  <c r="Q27" i="11"/>
  <c r="E8" i="11"/>
  <c r="N8" i="11"/>
  <c r="H9" i="11"/>
  <c r="B29" i="11"/>
  <c r="H32" i="11"/>
  <c r="R40" i="11"/>
  <c r="E51" i="11"/>
  <c r="E77" i="11"/>
  <c r="J50" i="11"/>
  <c r="K48" i="11"/>
  <c r="R77" i="11"/>
  <c r="R51" i="11"/>
  <c r="B73" i="11"/>
  <c r="P44" i="11"/>
  <c r="R43" i="11"/>
  <c r="G77" i="11"/>
  <c r="M77" i="11"/>
  <c r="O49" i="11"/>
  <c r="D78" i="11"/>
  <c r="J78" i="11"/>
  <c r="P53" i="11"/>
  <c r="J55" i="11"/>
  <c r="D56" i="11"/>
  <c r="D57" i="11" s="1"/>
  <c r="L56" i="11"/>
  <c r="L58" i="11" s="1"/>
  <c r="H61" i="11"/>
  <c r="P61" i="11"/>
  <c r="O70" i="11"/>
  <c r="H77" i="11"/>
  <c r="H49" i="11"/>
  <c r="N77" i="11"/>
  <c r="E78" i="11"/>
  <c r="Q78" i="11"/>
  <c r="E56" i="11"/>
  <c r="R79" i="11"/>
  <c r="R65" i="11"/>
  <c r="B77" i="11"/>
  <c r="I77" i="11"/>
  <c r="I50" i="11"/>
  <c r="O77" i="11"/>
  <c r="M50" i="11"/>
  <c r="F53" i="11"/>
  <c r="L78" i="11"/>
  <c r="L55" i="11"/>
  <c r="R78" i="11"/>
  <c r="R55" i="11"/>
  <c r="M55" i="11"/>
  <c r="L79" i="11"/>
  <c r="L65" i="11"/>
  <c r="K63" i="11"/>
  <c r="Q65" i="11"/>
  <c r="I73" i="11"/>
  <c r="Q77" i="11"/>
  <c r="Q51" i="11"/>
  <c r="P51" i="11" s="1"/>
  <c r="Q50" i="11"/>
  <c r="P48" i="11"/>
  <c r="I49" i="11"/>
  <c r="N50" i="11"/>
  <c r="G78" i="11"/>
  <c r="G55" i="11"/>
  <c r="M78" i="11"/>
  <c r="M56" i="11"/>
  <c r="Q56" i="11"/>
  <c r="V58" i="11" s="1"/>
  <c r="K61" i="11"/>
  <c r="K62" i="11"/>
  <c r="M61" i="11"/>
  <c r="G70" i="11"/>
  <c r="G50" i="11"/>
  <c r="O50" i="11"/>
  <c r="B78" i="11"/>
  <c r="B56" i="11"/>
  <c r="H78" i="11"/>
  <c r="H56" i="11"/>
  <c r="H58" i="11" s="1"/>
  <c r="N78" i="11"/>
  <c r="N56" i="11"/>
  <c r="S58" i="11" s="1"/>
  <c r="N54" i="11"/>
  <c r="N55" i="11"/>
  <c r="H55" i="11"/>
  <c r="R56" i="11"/>
  <c r="P62" i="11"/>
  <c r="J73" i="11"/>
  <c r="D77" i="11"/>
  <c r="J77" i="11"/>
  <c r="O65" i="11"/>
  <c r="G73" i="11"/>
  <c r="O73" i="11"/>
  <c r="T75" i="11" s="1"/>
  <c r="B79" i="11"/>
  <c r="H79" i="11"/>
  <c r="N79" i="11"/>
  <c r="N64" i="11"/>
  <c r="O64" i="11"/>
  <c r="P66" i="11"/>
  <c r="O69" i="11"/>
  <c r="D79" i="11"/>
  <c r="J79" i="11"/>
  <c r="P63" i="11"/>
  <c r="R64" i="11" s="1"/>
  <c r="I64" i="11"/>
  <c r="M70" i="11"/>
  <c r="E79" i="11"/>
  <c r="J70" i="11"/>
  <c r="Q79" i="11"/>
  <c r="J64" i="11"/>
  <c r="M65" i="11"/>
  <c r="C79" i="11"/>
  <c r="I79" i="11"/>
  <c r="O79" i="11"/>
  <c r="P83" i="11"/>
  <c r="Q85" i="11"/>
  <c r="P97" i="11"/>
  <c r="P96" i="11"/>
  <c r="R96" i="11"/>
  <c r="M87" i="11"/>
  <c r="K87" i="11"/>
  <c r="K94" i="11"/>
  <c r="H93" i="11"/>
  <c r="K103" i="11"/>
  <c r="P93" i="11"/>
  <c r="P94" i="11"/>
  <c r="K96" i="11"/>
  <c r="P102" i="11"/>
  <c r="P103" i="11"/>
  <c r="P90" i="11"/>
  <c r="P91" i="11"/>
  <c r="P99" i="11"/>
  <c r="P100" i="11"/>
  <c r="D13" i="15" l="1"/>
  <c r="H14" i="15"/>
  <c r="U93" i="14"/>
  <c r="M54" i="15"/>
  <c r="S94" i="14"/>
  <c r="J54" i="15"/>
  <c r="J56" i="15" s="1"/>
  <c r="T95" i="14"/>
  <c r="I54" i="15"/>
  <c r="S95" i="14"/>
  <c r="R91" i="14"/>
  <c r="U92" i="14"/>
  <c r="V95" i="14"/>
  <c r="L54" i="15"/>
  <c r="L95" i="14"/>
  <c r="G54" i="15"/>
  <c r="G56" i="15" s="1"/>
  <c r="Q95" i="14"/>
  <c r="P56" i="14"/>
  <c r="S57" i="13"/>
  <c r="N60" i="13"/>
  <c r="M53" i="15"/>
  <c r="T45" i="13"/>
  <c r="M30" i="13"/>
  <c r="H30" i="13"/>
  <c r="D18" i="15"/>
  <c r="H29" i="13"/>
  <c r="I29" i="13"/>
  <c r="J28" i="13"/>
  <c r="T57" i="13"/>
  <c r="T56" i="13"/>
  <c r="L30" i="13"/>
  <c r="C18" i="15"/>
  <c r="H20" i="15" s="1"/>
  <c r="G30" i="13"/>
  <c r="R57" i="13"/>
  <c r="M60" i="13"/>
  <c r="R62" i="13" s="1"/>
  <c r="R47" i="13"/>
  <c r="I53" i="15"/>
  <c r="U46" i="12"/>
  <c r="P52" i="15" s="1"/>
  <c r="M52" i="15"/>
  <c r="U44" i="12"/>
  <c r="U64" i="12"/>
  <c r="P46" i="12"/>
  <c r="K52" i="15" s="1"/>
  <c r="I52" i="15"/>
  <c r="S57" i="11"/>
  <c r="U56" i="11"/>
  <c r="U78" i="11"/>
  <c r="U54" i="11"/>
  <c r="R54" i="11"/>
  <c r="U55" i="11"/>
  <c r="P30" i="15"/>
  <c r="P20" i="15"/>
  <c r="P14" i="15"/>
  <c r="P37" i="15"/>
  <c r="P11" i="15"/>
  <c r="P17" i="15"/>
  <c r="P28" i="15"/>
  <c r="P25" i="15"/>
  <c r="O45" i="13"/>
  <c r="L53" i="15"/>
  <c r="R56" i="13"/>
  <c r="Q57" i="13"/>
  <c r="O55" i="13"/>
  <c r="Q56" i="13" s="1"/>
  <c r="O53" i="13"/>
  <c r="O54" i="13"/>
  <c r="O66" i="13"/>
  <c r="Q53" i="13"/>
  <c r="Q43" i="13"/>
  <c r="S47" i="13"/>
  <c r="O46" i="13"/>
  <c r="R46" i="13"/>
  <c r="Q47" i="13"/>
  <c r="L38" i="15"/>
  <c r="D60" i="13"/>
  <c r="D56" i="13"/>
  <c r="G23" i="13"/>
  <c r="E23" i="13"/>
  <c r="L11" i="15"/>
  <c r="C60" i="13"/>
  <c r="C61" i="13" s="1"/>
  <c r="C56" i="13"/>
  <c r="C43" i="13"/>
  <c r="I14" i="15"/>
  <c r="L31" i="15"/>
  <c r="E37" i="15"/>
  <c r="H16" i="15"/>
  <c r="H38" i="15"/>
  <c r="K34" i="15"/>
  <c r="K35" i="15"/>
  <c r="H44" i="15"/>
  <c r="H41" i="15"/>
  <c r="H31" i="15"/>
  <c r="K13" i="15"/>
  <c r="G38" i="15"/>
  <c r="D37" i="15"/>
  <c r="I30" i="15"/>
  <c r="N31" i="15"/>
  <c r="J31" i="15"/>
  <c r="J30" i="15"/>
  <c r="J38" i="15"/>
  <c r="J37" i="15"/>
  <c r="M38" i="15"/>
  <c r="N37" i="15"/>
  <c r="I38" i="15"/>
  <c r="I37" i="15"/>
  <c r="N38" i="15"/>
  <c r="E13" i="15"/>
  <c r="H34" i="15"/>
  <c r="M31" i="15"/>
  <c r="N30" i="15"/>
  <c r="K24" i="15"/>
  <c r="K25" i="15"/>
  <c r="M34" i="15"/>
  <c r="K10" i="15"/>
  <c r="K19" i="15"/>
  <c r="G31" i="15"/>
  <c r="K28" i="15"/>
  <c r="K27" i="15"/>
  <c r="K17" i="15"/>
  <c r="K16" i="15"/>
  <c r="E57" i="11"/>
  <c r="F68" i="11"/>
  <c r="F69" i="11" s="1"/>
  <c r="E69" i="11"/>
  <c r="H54" i="11"/>
  <c r="F54" i="11"/>
  <c r="O58" i="11"/>
  <c r="H64" i="11"/>
  <c r="F64" i="11"/>
  <c r="H84" i="11"/>
  <c r="B39" i="15"/>
  <c r="B44" i="15" s="1"/>
  <c r="M46" i="13"/>
  <c r="N47" i="13"/>
  <c r="N46" i="13"/>
  <c r="P47" i="13"/>
  <c r="R56" i="12"/>
  <c r="P9" i="11"/>
  <c r="Q58" i="11"/>
  <c r="F12" i="15"/>
  <c r="K14" i="15" s="1"/>
  <c r="K36" i="15"/>
  <c r="M37" i="15" s="1"/>
  <c r="F9" i="15"/>
  <c r="F36" i="15"/>
  <c r="F37" i="15" s="1"/>
  <c r="F77" i="11"/>
  <c r="M84" i="11"/>
  <c r="K84" i="11"/>
  <c r="D29" i="15"/>
  <c r="D30" i="15" s="1"/>
  <c r="S62" i="13"/>
  <c r="J39" i="15"/>
  <c r="O41" i="15" s="1"/>
  <c r="Q60" i="13"/>
  <c r="T60" i="13" s="1"/>
  <c r="M39" i="15"/>
  <c r="P39" i="15" s="1"/>
  <c r="D39" i="15"/>
  <c r="D40" i="15" s="1"/>
  <c r="I39" i="15"/>
  <c r="G39" i="15"/>
  <c r="C44" i="15"/>
  <c r="E39" i="15"/>
  <c r="P60" i="13"/>
  <c r="U62" i="13" s="1"/>
  <c r="L39" i="15"/>
  <c r="Q41" i="15" s="1"/>
  <c r="K29" i="15"/>
  <c r="P31" i="15" s="1"/>
  <c r="H44" i="14"/>
  <c r="R58" i="11"/>
  <c r="O57" i="11"/>
  <c r="N58" i="11"/>
  <c r="M58" i="11"/>
  <c r="I58" i="11"/>
  <c r="J58" i="11"/>
  <c r="G58" i="11"/>
  <c r="P35" i="14"/>
  <c r="K93" i="14"/>
  <c r="F54" i="15" s="1"/>
  <c r="M44" i="14"/>
  <c r="K57" i="14"/>
  <c r="F44" i="14"/>
  <c r="K45" i="14"/>
  <c r="P37" i="14"/>
  <c r="K37" i="14"/>
  <c r="L57" i="13"/>
  <c r="G60" i="13"/>
  <c r="L62" i="13" s="1"/>
  <c r="J42" i="13"/>
  <c r="J65" i="13" s="1"/>
  <c r="I43" i="13"/>
  <c r="M44" i="13"/>
  <c r="H9" i="12"/>
  <c r="F63" i="12"/>
  <c r="F64" i="12"/>
  <c r="P65" i="12"/>
  <c r="B64" i="12"/>
  <c r="P52" i="12"/>
  <c r="R52" i="12"/>
  <c r="F46" i="12"/>
  <c r="R9" i="12"/>
  <c r="F51" i="11"/>
  <c r="K78" i="11"/>
  <c r="F79" i="11"/>
  <c r="I69" i="11"/>
  <c r="K77" i="11"/>
  <c r="M54" i="11"/>
  <c r="K51" i="11"/>
  <c r="F56" i="11"/>
  <c r="F57" i="11" s="1"/>
  <c r="P93" i="14"/>
  <c r="N53" i="14"/>
  <c r="B51" i="14"/>
  <c r="G53" i="14" s="1"/>
  <c r="C51" i="14"/>
  <c r="H48" i="14"/>
  <c r="G48" i="14"/>
  <c r="E47" i="14"/>
  <c r="E51" i="14"/>
  <c r="D47" i="14"/>
  <c r="P57" i="14"/>
  <c r="P45" i="14"/>
  <c r="P44" i="14"/>
  <c r="L51" i="14"/>
  <c r="L48" i="14"/>
  <c r="K46" i="14"/>
  <c r="M47" i="14" s="1"/>
  <c r="O48" i="14"/>
  <c r="O47" i="14"/>
  <c r="O51" i="14"/>
  <c r="P46" i="14"/>
  <c r="J51" i="14"/>
  <c r="J52" i="14" s="1"/>
  <c r="J48" i="14"/>
  <c r="J47" i="14"/>
  <c r="R51" i="14"/>
  <c r="R48" i="14"/>
  <c r="P92" i="14"/>
  <c r="P91" i="14"/>
  <c r="Q48" i="14"/>
  <c r="M48" i="14"/>
  <c r="M51" i="14"/>
  <c r="N52" i="14" s="1"/>
  <c r="F56" i="14"/>
  <c r="F35" i="14"/>
  <c r="F46" i="14"/>
  <c r="N56" i="13"/>
  <c r="N57" i="13"/>
  <c r="D45" i="13"/>
  <c r="D46" i="13" s="1"/>
  <c r="D65" i="13"/>
  <c r="I44" i="13"/>
  <c r="B65" i="13"/>
  <c r="B45" i="13"/>
  <c r="C46" i="13" s="1"/>
  <c r="L23" i="13"/>
  <c r="J23" i="13"/>
  <c r="J24" i="13"/>
  <c r="G57" i="13"/>
  <c r="J55" i="13"/>
  <c r="K57" i="13"/>
  <c r="P57" i="13"/>
  <c r="E55" i="13"/>
  <c r="I57" i="13"/>
  <c r="I56" i="13"/>
  <c r="F65" i="13"/>
  <c r="F45" i="13"/>
  <c r="E42" i="13"/>
  <c r="E43" i="13" s="1"/>
  <c r="H65" i="13"/>
  <c r="H44" i="13"/>
  <c r="H43" i="13"/>
  <c r="H45" i="13"/>
  <c r="H56" i="13"/>
  <c r="H57" i="13"/>
  <c r="M57" i="13"/>
  <c r="M56" i="13"/>
  <c r="J54" i="13"/>
  <c r="J66" i="13"/>
  <c r="J53" i="13"/>
  <c r="K44" i="13"/>
  <c r="G45" i="13"/>
  <c r="C53" i="15" s="1"/>
  <c r="C56" i="15" s="1"/>
  <c r="G65" i="13"/>
  <c r="G44" i="13"/>
  <c r="L44" i="13"/>
  <c r="R61" i="12"/>
  <c r="L59" i="12"/>
  <c r="Q61" i="12" s="1"/>
  <c r="L56" i="12"/>
  <c r="K54" i="12"/>
  <c r="J56" i="12"/>
  <c r="J59" i="12"/>
  <c r="J55" i="12"/>
  <c r="K9" i="12"/>
  <c r="K10" i="12"/>
  <c r="K63" i="12"/>
  <c r="M9" i="12"/>
  <c r="M61" i="12"/>
  <c r="P9" i="12"/>
  <c r="P10" i="12"/>
  <c r="K46" i="12"/>
  <c r="F52" i="15" s="1"/>
  <c r="O55" i="12"/>
  <c r="O59" i="12"/>
  <c r="P59" i="12" s="1"/>
  <c r="O56" i="12"/>
  <c r="K65" i="12"/>
  <c r="K52" i="12"/>
  <c r="M52" i="12"/>
  <c r="K53" i="12"/>
  <c r="K64" i="12"/>
  <c r="K44" i="12"/>
  <c r="K45" i="12"/>
  <c r="M44" i="12"/>
  <c r="P45" i="12"/>
  <c r="P64" i="12"/>
  <c r="P44" i="12"/>
  <c r="I55" i="12"/>
  <c r="I59" i="12"/>
  <c r="I56" i="12"/>
  <c r="G61" i="12"/>
  <c r="F59" i="12"/>
  <c r="P54" i="12"/>
  <c r="F65" i="12"/>
  <c r="H52" i="12"/>
  <c r="P53" i="12"/>
  <c r="R44" i="12"/>
  <c r="F9" i="12"/>
  <c r="P85" i="11"/>
  <c r="P84" i="11"/>
  <c r="R84" i="11"/>
  <c r="O75" i="11"/>
  <c r="K79" i="11"/>
  <c r="K65" i="11"/>
  <c r="K64" i="11"/>
  <c r="H73" i="11"/>
  <c r="I74" i="11" s="1"/>
  <c r="H70" i="11"/>
  <c r="G75" i="11"/>
  <c r="D73" i="11"/>
  <c r="D74" i="11" s="1"/>
  <c r="I70" i="11"/>
  <c r="I57" i="11"/>
  <c r="P69" i="11"/>
  <c r="Q73" i="11"/>
  <c r="Q70" i="11"/>
  <c r="J74" i="11"/>
  <c r="P77" i="11"/>
  <c r="P49" i="11"/>
  <c r="R49" i="11"/>
  <c r="M64" i="11"/>
  <c r="R73" i="11"/>
  <c r="S74" i="11" s="1"/>
  <c r="R70" i="11"/>
  <c r="P78" i="11"/>
  <c r="P55" i="11"/>
  <c r="P54" i="11"/>
  <c r="H69" i="11"/>
  <c r="E73" i="11"/>
  <c r="E74" i="11" s="1"/>
  <c r="P79" i="11"/>
  <c r="P64" i="11"/>
  <c r="P65" i="11"/>
  <c r="N57" i="11"/>
  <c r="P56" i="11"/>
  <c r="L73" i="11"/>
  <c r="L70" i="11"/>
  <c r="F78" i="11"/>
  <c r="K55" i="11"/>
  <c r="M8" i="11"/>
  <c r="K8" i="11"/>
  <c r="K9" i="11"/>
  <c r="N70" i="11"/>
  <c r="N69" i="11"/>
  <c r="N73" i="11"/>
  <c r="K56" i="11"/>
  <c r="U57" i="11" l="1"/>
  <c r="O58" i="15"/>
  <c r="U58" i="11"/>
  <c r="I56" i="15"/>
  <c r="M56" i="15"/>
  <c r="P54" i="15"/>
  <c r="U94" i="14"/>
  <c r="U95" i="14"/>
  <c r="K54" i="15"/>
  <c r="L56" i="15"/>
  <c r="K47" i="13"/>
  <c r="B53" i="15"/>
  <c r="B56" i="15" s="1"/>
  <c r="G58" i="15" s="1"/>
  <c r="T61" i="13"/>
  <c r="O30" i="13"/>
  <c r="L29" i="13"/>
  <c r="J30" i="13"/>
  <c r="J29" i="13"/>
  <c r="P53" i="15"/>
  <c r="P56" i="15" s="1"/>
  <c r="T46" i="13"/>
  <c r="M47" i="13"/>
  <c r="D53" i="15"/>
  <c r="D56" i="15" s="1"/>
  <c r="E19" i="15"/>
  <c r="I20" i="15"/>
  <c r="F18" i="15"/>
  <c r="D19" i="15"/>
  <c r="K58" i="11"/>
  <c r="P38" i="15"/>
  <c r="P40" i="15"/>
  <c r="Q46" i="13"/>
  <c r="T47" i="13"/>
  <c r="O57" i="13"/>
  <c r="O56" i="13"/>
  <c r="E60" i="13"/>
  <c r="E61" i="13" s="1"/>
  <c r="O60" i="13"/>
  <c r="T62" i="13" s="1"/>
  <c r="R61" i="13"/>
  <c r="Q61" i="13"/>
  <c r="Q62" i="13"/>
  <c r="K53" i="15"/>
  <c r="E40" i="15"/>
  <c r="G56" i="13"/>
  <c r="E56" i="13"/>
  <c r="J60" i="13"/>
  <c r="G43" i="13"/>
  <c r="G41" i="15"/>
  <c r="D61" i="13"/>
  <c r="L41" i="15"/>
  <c r="E30" i="15"/>
  <c r="J41" i="15"/>
  <c r="J40" i="15"/>
  <c r="K38" i="15"/>
  <c r="K37" i="15"/>
  <c r="I31" i="15"/>
  <c r="I41" i="15"/>
  <c r="I40" i="15"/>
  <c r="N41" i="15"/>
  <c r="H46" i="15"/>
  <c r="K30" i="15"/>
  <c r="M30" i="15"/>
  <c r="F10" i="15"/>
  <c r="H10" i="15"/>
  <c r="M44" i="15"/>
  <c r="P44" i="15" s="1"/>
  <c r="M41" i="15"/>
  <c r="N40" i="15"/>
  <c r="F13" i="15"/>
  <c r="H13" i="15"/>
  <c r="K11" i="15"/>
  <c r="H37" i="15"/>
  <c r="O74" i="11"/>
  <c r="S75" i="11"/>
  <c r="P95" i="14"/>
  <c r="P94" i="14"/>
  <c r="R94" i="14"/>
  <c r="K94" i="14"/>
  <c r="M94" i="14"/>
  <c r="G47" i="13"/>
  <c r="P41" i="13"/>
  <c r="L47" i="13"/>
  <c r="I46" i="13"/>
  <c r="I47" i="13"/>
  <c r="H47" i="13"/>
  <c r="H46" i="13"/>
  <c r="F29" i="15"/>
  <c r="D44" i="15"/>
  <c r="D45" i="15" s="1"/>
  <c r="K39" i="15"/>
  <c r="M40" i="15" s="1"/>
  <c r="L44" i="15"/>
  <c r="Q46" i="15" s="1"/>
  <c r="F39" i="15"/>
  <c r="G44" i="15"/>
  <c r="G46" i="15" s="1"/>
  <c r="E44" i="15"/>
  <c r="I44" i="15"/>
  <c r="N46" i="15" s="1"/>
  <c r="J44" i="15"/>
  <c r="O46" i="15" s="1"/>
  <c r="R57" i="11"/>
  <c r="P58" i="11"/>
  <c r="H57" i="11"/>
  <c r="F51" i="14"/>
  <c r="F52" i="14" s="1"/>
  <c r="J43" i="13"/>
  <c r="L43" i="13"/>
  <c r="J45" i="13"/>
  <c r="R69" i="11"/>
  <c r="K47" i="14"/>
  <c r="K48" i="14"/>
  <c r="F47" i="14"/>
  <c r="H47" i="14"/>
  <c r="P48" i="14"/>
  <c r="P47" i="14"/>
  <c r="R47" i="14"/>
  <c r="O53" i="14"/>
  <c r="O52" i="14"/>
  <c r="P51" i="14"/>
  <c r="K51" i="14"/>
  <c r="K52" i="14" s="1"/>
  <c r="Q53" i="14"/>
  <c r="R53" i="14"/>
  <c r="E52" i="14"/>
  <c r="E65" i="13"/>
  <c r="H61" i="13"/>
  <c r="H62" i="13"/>
  <c r="E45" i="13"/>
  <c r="E46" i="13" s="1"/>
  <c r="N62" i="13"/>
  <c r="N61" i="13"/>
  <c r="J57" i="13"/>
  <c r="J56" i="13"/>
  <c r="L56" i="13"/>
  <c r="G62" i="13"/>
  <c r="P62" i="13"/>
  <c r="J44" i="13"/>
  <c r="K62" i="13"/>
  <c r="M61" i="13"/>
  <c r="M62" i="13"/>
  <c r="I61" i="13"/>
  <c r="I62" i="13"/>
  <c r="P60" i="12"/>
  <c r="R60" i="12"/>
  <c r="P56" i="12"/>
  <c r="P55" i="12"/>
  <c r="R55" i="12"/>
  <c r="H60" i="12"/>
  <c r="J60" i="12"/>
  <c r="J61" i="12"/>
  <c r="K59" i="12"/>
  <c r="P61" i="12" s="1"/>
  <c r="L61" i="12"/>
  <c r="I61" i="12"/>
  <c r="I60" i="12"/>
  <c r="N61" i="12"/>
  <c r="O61" i="12"/>
  <c r="O60" i="12"/>
  <c r="K55" i="12"/>
  <c r="K56" i="12"/>
  <c r="M55" i="12"/>
  <c r="K57" i="11"/>
  <c r="H75" i="11"/>
  <c r="M75" i="11"/>
  <c r="I75" i="11"/>
  <c r="F73" i="11"/>
  <c r="Q75" i="11"/>
  <c r="P73" i="11"/>
  <c r="N75" i="11"/>
  <c r="N74" i="11"/>
  <c r="L75" i="11"/>
  <c r="K73" i="11"/>
  <c r="M57" i="11"/>
  <c r="P57" i="11"/>
  <c r="R75" i="11"/>
  <c r="J75" i="11"/>
  <c r="F21" i="8"/>
  <c r="F22" i="8"/>
  <c r="F23" i="8"/>
  <c r="F24" i="8"/>
  <c r="F25" i="8"/>
  <c r="L58" i="15" l="1"/>
  <c r="Q58" i="15"/>
  <c r="I57" i="15"/>
  <c r="N58" i="15"/>
  <c r="J57" i="15"/>
  <c r="P57" i="15"/>
  <c r="M58" i="15"/>
  <c r="N57" i="15"/>
  <c r="K56" i="15"/>
  <c r="F19" i="15"/>
  <c r="K20" i="15"/>
  <c r="H19" i="15"/>
  <c r="O47" i="13"/>
  <c r="F53" i="15"/>
  <c r="F56" i="15" s="1"/>
  <c r="H57" i="15" s="1"/>
  <c r="P41" i="15"/>
  <c r="P45" i="15"/>
  <c r="O61" i="13"/>
  <c r="O62" i="13"/>
  <c r="E45" i="15"/>
  <c r="F30" i="15"/>
  <c r="H30" i="15"/>
  <c r="F40" i="15"/>
  <c r="H40" i="15"/>
  <c r="L46" i="15"/>
  <c r="K31" i="15"/>
  <c r="J45" i="15"/>
  <c r="J46" i="15"/>
  <c r="K41" i="15"/>
  <c r="K40" i="15"/>
  <c r="M46" i="15"/>
  <c r="N45" i="15"/>
  <c r="H74" i="11"/>
  <c r="F74" i="11"/>
  <c r="G46" i="13"/>
  <c r="J46" i="13"/>
  <c r="J47" i="13"/>
  <c r="L46" i="13"/>
  <c r="F44" i="15"/>
  <c r="K44" i="15"/>
  <c r="P46" i="15" s="1"/>
  <c r="H52" i="14"/>
  <c r="M52" i="14"/>
  <c r="P53" i="14"/>
  <c r="P52" i="14"/>
  <c r="R52" i="14"/>
  <c r="J61" i="13"/>
  <c r="J62" i="13"/>
  <c r="L61" i="13"/>
  <c r="G61" i="13"/>
  <c r="K60" i="12"/>
  <c r="K61" i="12"/>
  <c r="M60" i="12"/>
  <c r="P75" i="11"/>
  <c r="P74" i="11"/>
  <c r="K75" i="11"/>
  <c r="K74" i="11"/>
  <c r="M74" i="11"/>
  <c r="R74" i="11"/>
  <c r="F26" i="8"/>
  <c r="K57" i="15" l="1"/>
  <c r="M57" i="15"/>
  <c r="P58" i="15"/>
  <c r="K45" i="15"/>
  <c r="K46" i="15"/>
  <c r="F45" i="15"/>
  <c r="H45" i="15"/>
  <c r="M45" i="15"/>
  <c r="D42" i="10"/>
  <c r="C42" i="10"/>
  <c r="C36" i="10"/>
  <c r="C23" i="10"/>
  <c r="C18" i="10"/>
  <c r="C16" i="10"/>
  <c r="C37" i="10" l="1"/>
  <c r="C43" i="10" s="1"/>
  <c r="C19" i="10"/>
  <c r="C24" i="10" s="1"/>
  <c r="C45" i="10" l="1"/>
  <c r="D9" i="10" s="1"/>
  <c r="BK81" i="3" l="1"/>
  <c r="D36" i="10" l="1"/>
  <c r="D23" i="10"/>
  <c r="D18" i="10"/>
  <c r="D16" i="10"/>
  <c r="D19" i="10" l="1"/>
  <c r="D24" i="10" s="1"/>
  <c r="D37" i="10"/>
  <c r="D43" i="10" s="1"/>
  <c r="D45" i="10" l="1"/>
  <c r="BK124" i="3" l="1"/>
  <c r="BK123" i="3"/>
  <c r="BK120" i="3"/>
  <c r="BK119" i="3"/>
  <c r="BK118" i="3"/>
  <c r="BK88" i="3"/>
  <c r="BK87" i="3"/>
  <c r="BK84" i="3"/>
  <c r="BK83" i="3"/>
  <c r="BK82" i="3"/>
  <c r="BK79" i="3"/>
  <c r="BK78" i="3"/>
  <c r="BK77" i="3"/>
  <c r="BK57" i="3"/>
  <c r="BK56" i="3"/>
  <c r="BK54" i="3"/>
  <c r="BK53" i="3"/>
  <c r="BK50" i="3"/>
  <c r="BK49" i="3"/>
  <c r="BK48" i="3"/>
  <c r="BK44" i="3"/>
  <c r="BK43" i="3"/>
  <c r="BK42" i="3"/>
  <c r="BK36" i="3"/>
  <c r="BK39" i="3" s="1"/>
  <c r="BK29" i="3"/>
  <c r="BK26" i="3"/>
  <c r="BK25" i="3"/>
  <c r="BK22" i="3"/>
  <c r="BK21" i="3"/>
  <c r="BK20" i="3"/>
  <c r="BK17" i="3"/>
  <c r="BK16" i="3"/>
  <c r="BK13" i="3"/>
  <c r="BK12" i="3"/>
  <c r="AH36" i="7"/>
  <c r="AK36" i="7" s="1"/>
  <c r="BK37" i="3" l="1"/>
  <c r="BK45" i="3"/>
  <c r="BK38" i="3"/>
  <c r="I44" i="2"/>
  <c r="I22" i="2" s="1"/>
  <c r="I11" i="2"/>
  <c r="I35" i="2" l="1"/>
  <c r="I32" i="2"/>
  <c r="I31" i="2"/>
  <c r="L22" i="2"/>
  <c r="J23" i="2"/>
  <c r="J45" i="2"/>
  <c r="L44" i="2"/>
  <c r="L24" i="2" l="1"/>
  <c r="L23" i="2"/>
  <c r="I69" i="2"/>
  <c r="I21" i="19"/>
  <c r="I70" i="2"/>
  <c r="I10" i="19"/>
  <c r="J36" i="2"/>
  <c r="L35" i="2"/>
  <c r="L31" i="2"/>
  <c r="L32" i="2" s="1"/>
  <c r="J32" i="2"/>
  <c r="L45" i="2"/>
  <c r="L37" i="2" l="1"/>
  <c r="L36" i="2"/>
  <c r="L21" i="19"/>
  <c r="L33" i="19" s="1"/>
  <c r="I33" i="19"/>
  <c r="I14" i="19"/>
  <c r="L10" i="19"/>
  <c r="L14" i="19" s="1"/>
  <c r="L69" i="2"/>
  <c r="L70" i="2"/>
  <c r="J15" i="19" l="1"/>
  <c r="L38" i="2"/>
  <c r="L15" i="19"/>
  <c r="L34" i="2"/>
  <c r="L34" i="19"/>
  <c r="I34" i="2"/>
  <c r="J34" i="19"/>
  <c r="I38" i="2"/>
  <c r="J39" i="2" s="1"/>
  <c r="L39" i="2" l="1"/>
  <c r="AG26" i="7"/>
  <c r="E54" i="8" l="1"/>
  <c r="E55" i="8"/>
  <c r="E56" i="8"/>
  <c r="E57" i="8"/>
  <c r="E53" i="8"/>
  <c r="D54" i="8"/>
  <c r="D55" i="8"/>
  <c r="D56" i="8"/>
  <c r="D57" i="8"/>
  <c r="C53" i="8"/>
  <c r="D53" i="8"/>
  <c r="C54" i="8"/>
  <c r="C55" i="8"/>
  <c r="C56" i="8"/>
  <c r="C57" i="8"/>
  <c r="F44" i="8"/>
  <c r="F45" i="8"/>
  <c r="F46" i="8"/>
  <c r="F47" i="8"/>
  <c r="F43" i="8"/>
  <c r="F33" i="8"/>
  <c r="F34" i="8"/>
  <c r="F35" i="8"/>
  <c r="F36" i="8"/>
  <c r="F32" i="8"/>
  <c r="F53" i="8" l="1"/>
  <c r="F37" i="8"/>
  <c r="F55" i="8"/>
  <c r="F57" i="8"/>
  <c r="F56" i="8"/>
  <c r="F54" i="8"/>
  <c r="AG36" i="7"/>
  <c r="H33" i="2" l="1"/>
  <c r="BI126" i="3" l="1"/>
  <c r="BJ107" i="3" l="1"/>
  <c r="BJ36" i="3" l="1"/>
  <c r="BI128" i="3" l="1"/>
  <c r="BI90" i="3"/>
  <c r="BJ71" i="3"/>
  <c r="BI55" i="3"/>
  <c r="BI57" i="3" s="1"/>
  <c r="BI41" i="3"/>
  <c r="BI43" i="3" s="1"/>
  <c r="BJ129" i="3"/>
  <c r="BJ124" i="3"/>
  <c r="BI124" i="3"/>
  <c r="BI123" i="3"/>
  <c r="BJ120" i="3"/>
  <c r="BJ119" i="3"/>
  <c r="BI117" i="3"/>
  <c r="BI118" i="3" s="1"/>
  <c r="BJ104" i="3"/>
  <c r="BI102" i="3"/>
  <c r="BJ93" i="3"/>
  <c r="BI92" i="3"/>
  <c r="BJ88" i="3"/>
  <c r="BI88" i="3"/>
  <c r="BI87" i="3"/>
  <c r="BJ84" i="3"/>
  <c r="BJ83" i="3"/>
  <c r="BI81" i="3"/>
  <c r="BI82" i="3" s="1"/>
  <c r="BJ79" i="3"/>
  <c r="BI79" i="3"/>
  <c r="BJ60" i="3"/>
  <c r="BI59" i="3"/>
  <c r="BJ57" i="3"/>
  <c r="BJ54" i="3"/>
  <c r="BI54" i="3"/>
  <c r="BI53" i="3"/>
  <c r="BI50" i="3"/>
  <c r="BI49" i="3"/>
  <c r="BI48" i="3"/>
  <c r="BJ45" i="3"/>
  <c r="BJ44" i="3"/>
  <c r="BJ43" i="3"/>
  <c r="BJ39" i="3"/>
  <c r="BJ38" i="3"/>
  <c r="BI29" i="3"/>
  <c r="BJ26" i="3"/>
  <c r="BI26" i="3"/>
  <c r="BI25" i="3"/>
  <c r="BJ22" i="3"/>
  <c r="BJ21" i="3"/>
  <c r="BI19" i="3"/>
  <c r="BJ17" i="3"/>
  <c r="BI15" i="3"/>
  <c r="BI16" i="3" s="1"/>
  <c r="BJ13" i="3"/>
  <c r="BI11" i="3"/>
  <c r="BJ74" i="3" l="1"/>
  <c r="BO74" i="3"/>
  <c r="BO73" i="3"/>
  <c r="BI44" i="3"/>
  <c r="BI42" i="3"/>
  <c r="BI71" i="3"/>
  <c r="BI56" i="3"/>
  <c r="BJ73" i="3"/>
  <c r="BI84" i="3"/>
  <c r="BI77" i="3"/>
  <c r="BI45" i="3"/>
  <c r="BI22" i="3"/>
  <c r="BI12" i="3"/>
  <c r="BI20" i="3"/>
  <c r="BI120" i="3"/>
  <c r="F58" i="8"/>
  <c r="E58" i="8"/>
  <c r="D58" i="8"/>
  <c r="C58" i="8"/>
  <c r="F48" i="8"/>
  <c r="E48" i="8"/>
  <c r="D48" i="8"/>
  <c r="C48" i="8"/>
  <c r="E37" i="8"/>
  <c r="D37" i="8"/>
  <c r="C37" i="8"/>
  <c r="D26" i="8"/>
  <c r="E26" i="8"/>
  <c r="C26" i="8"/>
  <c r="AF34" i="7"/>
  <c r="AF24" i="7"/>
  <c r="AF18" i="7"/>
  <c r="H67" i="2"/>
  <c r="H64" i="2"/>
  <c r="H61" i="2"/>
  <c r="H58" i="2"/>
  <c r="H55" i="2"/>
  <c r="H52" i="2"/>
  <c r="H49" i="2"/>
  <c r="H44" i="2"/>
  <c r="H22" i="2" s="1"/>
  <c r="H35" i="2"/>
  <c r="H27" i="2"/>
  <c r="H17" i="2"/>
  <c r="H14" i="2"/>
  <c r="H11" i="2"/>
  <c r="BN73" i="3" l="1"/>
  <c r="BK72" i="3"/>
  <c r="BK74" i="3"/>
  <c r="H10" i="19"/>
  <c r="H70" i="2"/>
  <c r="M37" i="2"/>
  <c r="M46" i="2"/>
  <c r="H14" i="19" l="1"/>
  <c r="M16" i="19" l="1"/>
  <c r="H38" i="2"/>
  <c r="M40" i="2" s="1"/>
  <c r="AA24" i="7" l="1"/>
  <c r="F10" i="2" l="1"/>
  <c r="F16" i="2"/>
  <c r="F26" i="2"/>
  <c r="F29" i="2"/>
  <c r="F44" i="2"/>
  <c r="F48" i="2"/>
  <c r="F51" i="2"/>
  <c r="F54" i="2"/>
  <c r="F57" i="2"/>
  <c r="F60" i="2"/>
  <c r="F63" i="2"/>
  <c r="F66" i="2"/>
  <c r="AE36" i="7"/>
  <c r="BH36" i="3"/>
  <c r="BH12" i="3"/>
  <c r="BH13" i="3"/>
  <c r="BH16" i="3"/>
  <c r="BH17" i="3"/>
  <c r="BH20" i="3"/>
  <c r="BH21" i="3"/>
  <c r="BH22" i="3"/>
  <c r="BH25" i="3"/>
  <c r="BH26" i="3"/>
  <c r="BH29" i="3"/>
  <c r="BH42" i="3"/>
  <c r="BH43" i="3"/>
  <c r="BH44" i="3"/>
  <c r="BH48" i="3"/>
  <c r="BH49" i="3"/>
  <c r="BH50" i="3"/>
  <c r="BH53" i="3"/>
  <c r="BH54" i="3"/>
  <c r="BH56" i="3"/>
  <c r="BH57" i="3"/>
  <c r="BH71" i="3"/>
  <c r="BM73" i="3" s="1"/>
  <c r="BH77" i="3"/>
  <c r="BH78" i="3"/>
  <c r="BH79" i="3"/>
  <c r="BH82" i="3"/>
  <c r="BH83" i="3"/>
  <c r="BH84" i="3"/>
  <c r="BH87" i="3"/>
  <c r="BH88" i="3"/>
  <c r="BH118" i="3"/>
  <c r="BH119" i="3"/>
  <c r="BH120" i="3"/>
  <c r="BH123" i="3"/>
  <c r="BH124" i="3"/>
  <c r="F22" i="2" l="1"/>
  <c r="K24" i="2"/>
  <c r="F35" i="2"/>
  <c r="K37" i="2" s="1"/>
  <c r="K46" i="2"/>
  <c r="BI39" i="3"/>
  <c r="BI37" i="3"/>
  <c r="BI74" i="3"/>
  <c r="BI72" i="3"/>
  <c r="BH45" i="3"/>
  <c r="F10" i="19" l="1"/>
  <c r="F70" i="2"/>
  <c r="F14" i="19" l="1"/>
  <c r="F38" i="2" l="1"/>
  <c r="K40" i="2" s="1"/>
  <c r="K16" i="19"/>
  <c r="BG36" i="3"/>
  <c r="BH37" i="3" l="1"/>
  <c r="BH39" i="3"/>
  <c r="E66" i="2" l="1"/>
  <c r="E63" i="2"/>
  <c r="E60" i="2"/>
  <c r="E57" i="2"/>
  <c r="E54" i="2"/>
  <c r="E51" i="2"/>
  <c r="E48" i="2"/>
  <c r="E26" i="2"/>
  <c r="E16" i="2"/>
  <c r="BG71" i="3"/>
  <c r="BL73" i="3" s="1"/>
  <c r="BG124" i="3"/>
  <c r="BG123" i="3"/>
  <c r="BG120" i="3"/>
  <c r="BG119" i="3"/>
  <c r="BG118" i="3"/>
  <c r="BG88" i="3"/>
  <c r="BG87" i="3"/>
  <c r="BG84" i="3"/>
  <c r="BG83" i="3"/>
  <c r="BG82" i="3"/>
  <c r="BG79" i="3"/>
  <c r="BG78" i="3"/>
  <c r="BG77" i="3"/>
  <c r="BG57" i="3"/>
  <c r="BG56" i="3"/>
  <c r="BG54" i="3"/>
  <c r="BG53" i="3"/>
  <c r="BG50" i="3"/>
  <c r="BG49" i="3"/>
  <c r="BG48" i="3"/>
  <c r="BG45" i="3"/>
  <c r="BG44" i="3"/>
  <c r="BG43" i="3"/>
  <c r="BG42" i="3"/>
  <c r="BG29" i="3"/>
  <c r="BG26" i="3"/>
  <c r="BG25" i="3"/>
  <c r="BG22" i="3"/>
  <c r="BG21" i="3"/>
  <c r="BG20" i="3"/>
  <c r="BG17" i="3"/>
  <c r="BG16" i="3"/>
  <c r="BG13" i="3"/>
  <c r="BG12" i="3"/>
  <c r="AD36" i="7"/>
  <c r="BG73" i="3" l="1"/>
  <c r="BH74" i="3"/>
  <c r="BH72" i="3"/>
  <c r="E10" i="2" l="1"/>
  <c r="E44" i="2"/>
  <c r="J46" i="2" l="1"/>
  <c r="E22" i="2"/>
  <c r="F45" i="2"/>
  <c r="E35" i="2" l="1"/>
  <c r="E70" i="2"/>
  <c r="E10" i="19" l="1"/>
  <c r="J37" i="2"/>
  <c r="F36" i="2"/>
  <c r="E14" i="19" l="1"/>
  <c r="E38" i="2" l="1"/>
  <c r="F39" i="2" s="1"/>
  <c r="J16" i="19"/>
  <c r="F15" i="19"/>
  <c r="J40" i="2"/>
  <c r="BF71" i="3"/>
  <c r="BK73" i="3" s="1"/>
  <c r="BF36" i="3"/>
  <c r="BF124" i="3"/>
  <c r="BF123" i="3"/>
  <c r="BF119" i="3"/>
  <c r="BF88" i="3"/>
  <c r="BF87" i="3"/>
  <c r="BF83" i="3"/>
  <c r="BF78" i="3"/>
  <c r="BF57" i="3"/>
  <c r="BF56" i="3"/>
  <c r="BF54" i="3"/>
  <c r="BF53" i="3"/>
  <c r="BF50" i="3"/>
  <c r="BF49" i="3"/>
  <c r="BF48" i="3"/>
  <c r="BF44" i="3"/>
  <c r="BF43" i="3"/>
  <c r="BF42" i="3"/>
  <c r="BF29" i="3"/>
  <c r="BF26" i="3"/>
  <c r="BF25" i="3"/>
  <c r="BF21" i="3"/>
  <c r="BF17" i="3"/>
  <c r="BF13" i="3"/>
  <c r="AC36" i="7"/>
  <c r="AF36" i="7" s="1"/>
  <c r="BG39" i="3" l="1"/>
  <c r="BG37" i="3"/>
  <c r="BG74" i="3"/>
  <c r="BG72" i="3"/>
  <c r="BF45" i="3"/>
  <c r="BF73" i="3"/>
  <c r="D44" i="2"/>
  <c r="G44" i="2" s="1"/>
  <c r="I45" i="2" l="1"/>
  <c r="L46" i="2"/>
  <c r="G45" i="2"/>
  <c r="I46" i="2"/>
  <c r="D22" i="2"/>
  <c r="G22" i="2" s="1"/>
  <c r="E45" i="2"/>
  <c r="I23" i="2" l="1"/>
  <c r="G23" i="2"/>
  <c r="D31" i="2"/>
  <c r="D21" i="19" s="1"/>
  <c r="I24" i="2"/>
  <c r="D35" i="2"/>
  <c r="G21" i="19" l="1"/>
  <c r="G33" i="19" s="1"/>
  <c r="D33" i="19"/>
  <c r="D70" i="2"/>
  <c r="G35" i="2"/>
  <c r="D69" i="2"/>
  <c r="G31" i="2"/>
  <c r="I33" i="2"/>
  <c r="D10" i="19"/>
  <c r="I37" i="2"/>
  <c r="E36" i="2"/>
  <c r="D34" i="2" l="1"/>
  <c r="D34" i="19"/>
  <c r="E34" i="19"/>
  <c r="I35" i="19"/>
  <c r="G34" i="2"/>
  <c r="G34" i="19"/>
  <c r="I34" i="19"/>
  <c r="G69" i="2"/>
  <c r="I36" i="2"/>
  <c r="G70" i="2"/>
  <c r="G36" i="2"/>
  <c r="D14" i="19"/>
  <c r="G10" i="19"/>
  <c r="G14" i="19" s="1"/>
  <c r="G15" i="19" l="1"/>
  <c r="I15" i="19"/>
  <c r="L16" i="19"/>
  <c r="D38" i="2"/>
  <c r="E39" i="2" s="1"/>
  <c r="I16" i="19"/>
  <c r="E15" i="19"/>
  <c r="G38" i="2"/>
  <c r="L40" i="2" s="1"/>
  <c r="G39" i="2" l="1"/>
  <c r="I39" i="2"/>
  <c r="I40" i="2"/>
  <c r="BE337" i="7"/>
  <c r="BE334" i="3"/>
  <c r="AP84" i="3" l="1"/>
  <c r="AU84" i="3"/>
  <c r="AZ84" i="3"/>
  <c r="BE84" i="3"/>
  <c r="Q74" i="3"/>
  <c r="V74" i="3"/>
  <c r="AA74" i="3"/>
  <c r="AF74" i="3"/>
  <c r="AK74" i="3"/>
  <c r="AP74" i="3"/>
  <c r="BE79" i="3"/>
  <c r="BE47" i="3" l="1"/>
  <c r="BJ50" i="3" l="1"/>
  <c r="BJ49" i="3"/>
  <c r="BD126" i="3" l="1"/>
  <c r="BD117" i="3"/>
  <c r="BD119" i="3" s="1"/>
  <c r="BD107" i="3"/>
  <c r="BD102" i="3"/>
  <c r="BD92" i="3"/>
  <c r="BD81" i="3"/>
  <c r="BD76" i="3"/>
  <c r="BD71" i="3"/>
  <c r="BD59" i="3"/>
  <c r="BD36" i="3"/>
  <c r="BD19" i="3"/>
  <c r="AB36" i="7"/>
  <c r="AA34" i="7"/>
  <c r="AA18" i="7"/>
  <c r="BE129" i="3"/>
  <c r="BE124" i="3"/>
  <c r="BD124" i="3"/>
  <c r="BD123" i="3"/>
  <c r="BE120" i="3"/>
  <c r="BE119" i="3"/>
  <c r="BE104" i="3"/>
  <c r="BE93" i="3"/>
  <c r="BE88" i="3"/>
  <c r="BD88" i="3"/>
  <c r="BD87" i="3"/>
  <c r="BD84" i="3"/>
  <c r="BE83" i="3"/>
  <c r="BD77" i="3"/>
  <c r="BE74" i="3"/>
  <c r="BE73" i="3"/>
  <c r="BD73" i="3"/>
  <c r="BE60" i="3"/>
  <c r="BE57" i="3"/>
  <c r="BD57" i="3"/>
  <c r="BD56" i="3"/>
  <c r="BE54" i="3"/>
  <c r="BD54" i="3"/>
  <c r="BD53" i="3"/>
  <c r="BE45" i="3"/>
  <c r="BE44" i="3"/>
  <c r="BD44" i="3"/>
  <c r="BE43" i="3"/>
  <c r="BD43" i="3"/>
  <c r="BD42" i="3"/>
  <c r="BE39" i="3"/>
  <c r="BE38" i="3"/>
  <c r="BD29" i="3"/>
  <c r="BE26" i="3"/>
  <c r="BD26" i="3"/>
  <c r="BD25" i="3"/>
  <c r="BE22" i="3"/>
  <c r="BE21" i="3"/>
  <c r="BD20" i="3"/>
  <c r="BE17" i="3"/>
  <c r="BD15" i="3"/>
  <c r="BE13" i="3"/>
  <c r="BD11" i="3"/>
  <c r="C67" i="2"/>
  <c r="C64" i="2"/>
  <c r="C61" i="2"/>
  <c r="C58" i="2"/>
  <c r="C55" i="2"/>
  <c r="C52" i="2"/>
  <c r="C49" i="2"/>
  <c r="C44" i="2"/>
  <c r="C30" i="2"/>
  <c r="C27" i="2"/>
  <c r="C17" i="2"/>
  <c r="C14" i="2"/>
  <c r="C11" i="2"/>
  <c r="H46" i="2" l="1"/>
  <c r="C22" i="2"/>
  <c r="C35" i="2" s="1"/>
  <c r="C10" i="19"/>
  <c r="C14" i="19" s="1"/>
  <c r="C70" i="2"/>
  <c r="H37" i="2"/>
  <c r="BI13" i="3"/>
  <c r="BF12" i="3"/>
  <c r="BD22" i="3"/>
  <c r="BI21" i="3"/>
  <c r="BF20" i="3"/>
  <c r="BF22" i="3"/>
  <c r="BI38" i="3"/>
  <c r="BF37" i="3"/>
  <c r="BF39" i="3"/>
  <c r="BI73" i="3"/>
  <c r="BF74" i="3"/>
  <c r="BF72" i="3"/>
  <c r="BI17" i="3"/>
  <c r="BF16" i="3"/>
  <c r="BD79" i="3"/>
  <c r="BI78" i="3"/>
  <c r="BF79" i="3"/>
  <c r="BF77" i="3"/>
  <c r="BD118" i="3"/>
  <c r="BI119" i="3"/>
  <c r="BF118" i="3"/>
  <c r="BF120" i="3"/>
  <c r="BD83" i="3"/>
  <c r="BI83" i="3"/>
  <c r="BF84" i="3"/>
  <c r="BF82" i="3"/>
  <c r="BD78" i="3"/>
  <c r="BD21" i="3"/>
  <c r="BD120" i="3"/>
  <c r="BD82" i="3"/>
  <c r="BD38" i="3"/>
  <c r="BD45" i="3"/>
  <c r="BD16" i="3"/>
  <c r="BD12" i="3"/>
  <c r="H16" i="19" l="1"/>
  <c r="C38" i="2"/>
  <c r="H40" i="2" s="1"/>
  <c r="BD50" i="3"/>
  <c r="BD48" i="3"/>
  <c r="AT78" i="3" l="1"/>
  <c r="AP78" i="3"/>
  <c r="AO78" i="3"/>
  <c r="AO76" i="3"/>
  <c r="AK76" i="3"/>
  <c r="AP76" i="3"/>
  <c r="AP79" i="3" s="1"/>
  <c r="AU76" i="3"/>
  <c r="AU78" i="3" s="1"/>
  <c r="AY79" i="3"/>
  <c r="AX79" i="3"/>
  <c r="AW79" i="3"/>
  <c r="AV79" i="3"/>
  <c r="AY78" i="3"/>
  <c r="AY77" i="3"/>
  <c r="AX77" i="3"/>
  <c r="AW77" i="3"/>
  <c r="AV77" i="3"/>
  <c r="BC79" i="3"/>
  <c r="BB79" i="3"/>
  <c r="BA79" i="3"/>
  <c r="BC78" i="3"/>
  <c r="BB78" i="3"/>
  <c r="BA78" i="3"/>
  <c r="BC77" i="3"/>
  <c r="BB77" i="3"/>
  <c r="BA77" i="3"/>
  <c r="BC71" i="3"/>
  <c r="BC84" i="3"/>
  <c r="AT83" i="3"/>
  <c r="AY84" i="3"/>
  <c r="AX84" i="3"/>
  <c r="AW84" i="3"/>
  <c r="AV84" i="3"/>
  <c r="AY83" i="3"/>
  <c r="AY82" i="3"/>
  <c r="AX82" i="3"/>
  <c r="AW82" i="3"/>
  <c r="AV82" i="3"/>
  <c r="BB84" i="3"/>
  <c r="BA84" i="3"/>
  <c r="BB83" i="3"/>
  <c r="BA83" i="3"/>
  <c r="BB82" i="3"/>
  <c r="BA82" i="3"/>
  <c r="BC83" i="3"/>
  <c r="BC82" i="3"/>
  <c r="BC36" i="3"/>
  <c r="BH73" i="3" l="1"/>
  <c r="BD74" i="3"/>
  <c r="BD72" i="3"/>
  <c r="AZ79" i="3"/>
  <c r="AU79" i="3"/>
  <c r="BH38" i="3"/>
  <c r="BD39" i="3"/>
  <c r="BD37" i="3"/>
  <c r="BC124" i="3"/>
  <c r="BC123" i="3"/>
  <c r="BC120" i="3"/>
  <c r="BC119" i="3"/>
  <c r="BC118" i="3"/>
  <c r="BC88" i="3"/>
  <c r="BC87" i="3"/>
  <c r="BC74" i="3"/>
  <c r="BC73" i="3"/>
  <c r="BC72" i="3"/>
  <c r="BC57" i="3"/>
  <c r="BC56" i="3"/>
  <c r="BC54" i="3"/>
  <c r="BC53" i="3"/>
  <c r="BC50" i="3"/>
  <c r="BC49" i="3"/>
  <c r="BC48" i="3"/>
  <c r="BC45" i="3"/>
  <c r="BC44" i="3"/>
  <c r="BC43" i="3"/>
  <c r="BC42" i="3"/>
  <c r="BC38" i="3"/>
  <c r="BC29" i="3"/>
  <c r="BC26" i="3"/>
  <c r="BC25" i="3"/>
  <c r="BC22" i="3"/>
  <c r="BC21" i="3"/>
  <c r="BC20" i="3"/>
  <c r="BC17" i="3"/>
  <c r="BC16" i="3"/>
  <c r="BC13" i="3"/>
  <c r="BC12" i="3"/>
  <c r="Z36" i="7"/>
  <c r="V24" i="7" l="1"/>
  <c r="BB36" i="3" l="1"/>
  <c r="BG38" i="3" s="1"/>
  <c r="BB124" i="3"/>
  <c r="BB123" i="3"/>
  <c r="BB120" i="3"/>
  <c r="BB119" i="3"/>
  <c r="BB118" i="3"/>
  <c r="BB88" i="3"/>
  <c r="BB87" i="3"/>
  <c r="BB74" i="3"/>
  <c r="BB73" i="3"/>
  <c r="BB72" i="3"/>
  <c r="BB57" i="3"/>
  <c r="BB56" i="3"/>
  <c r="BB54" i="3"/>
  <c r="BB53" i="3"/>
  <c r="BB50" i="3"/>
  <c r="BB49" i="3"/>
  <c r="BB48" i="3"/>
  <c r="BB45" i="3"/>
  <c r="BB44" i="3"/>
  <c r="BB43" i="3"/>
  <c r="BB42" i="3"/>
  <c r="BB29" i="3"/>
  <c r="BB26" i="3"/>
  <c r="BB25" i="3"/>
  <c r="BB22" i="3"/>
  <c r="BB21" i="3"/>
  <c r="BB20" i="3"/>
  <c r="BB17" i="3"/>
  <c r="BB16" i="3"/>
  <c r="BB13" i="3"/>
  <c r="BB12" i="3"/>
  <c r="Y36" i="7"/>
  <c r="BC37" i="3" l="1"/>
  <c r="BC39" i="3"/>
  <c r="X36" i="7" l="1"/>
  <c r="BA36" i="3" l="1"/>
  <c r="BF38" i="3" s="1"/>
  <c r="BB39" i="3" l="1"/>
  <c r="BB37" i="3"/>
  <c r="BA124" i="3"/>
  <c r="BA123" i="3"/>
  <c r="BA120" i="3"/>
  <c r="BA119" i="3"/>
  <c r="BA118" i="3"/>
  <c r="BA88" i="3"/>
  <c r="BA87" i="3"/>
  <c r="BA74" i="3"/>
  <c r="BA73" i="3"/>
  <c r="BA72" i="3"/>
  <c r="BA57" i="3"/>
  <c r="BA56" i="3"/>
  <c r="BA54" i="3"/>
  <c r="BA53" i="3"/>
  <c r="BA45" i="3"/>
  <c r="BA44" i="3"/>
  <c r="BA43" i="3"/>
  <c r="BA42" i="3"/>
  <c r="BA39" i="3"/>
  <c r="BA38" i="3"/>
  <c r="BA37" i="3"/>
  <c r="BA29" i="3"/>
  <c r="BA26" i="3"/>
  <c r="BA25" i="3"/>
  <c r="BA22" i="3"/>
  <c r="BA21" i="3"/>
  <c r="BA20" i="3"/>
  <c r="BA17" i="3"/>
  <c r="BA13" i="3"/>
  <c r="G39" i="3" l="1"/>
  <c r="L39" i="3"/>
  <c r="Q39" i="3"/>
  <c r="V39" i="3"/>
  <c r="AA39" i="3"/>
  <c r="AF39" i="3"/>
  <c r="AK39" i="3"/>
  <c r="AP39" i="3"/>
  <c r="G22" i="3"/>
  <c r="L22" i="3"/>
  <c r="Q22" i="3"/>
  <c r="V22" i="3"/>
  <c r="AA22" i="3"/>
  <c r="AF22" i="3"/>
  <c r="AK22" i="3"/>
  <c r="AP22" i="3"/>
  <c r="G50" i="3"/>
  <c r="L50" i="3"/>
  <c r="Q50" i="3"/>
  <c r="V50" i="3"/>
  <c r="AA50" i="3"/>
  <c r="AF50" i="3"/>
  <c r="AK50" i="3"/>
  <c r="W36" i="7"/>
  <c r="AZ83" i="3" l="1"/>
  <c r="AU83" i="3"/>
  <c r="AP83" i="3"/>
  <c r="AQ87" i="3"/>
  <c r="AP88" i="3"/>
  <c r="AQ88" i="3"/>
  <c r="AP93" i="3"/>
  <c r="AY107" i="3" l="1"/>
  <c r="B44" i="2" l="1"/>
  <c r="C46" i="2" l="1"/>
  <c r="B22" i="2"/>
  <c r="B35" i="2" s="1"/>
  <c r="AY15" i="3"/>
  <c r="AY11" i="3"/>
  <c r="B70" i="2" l="1"/>
  <c r="B10" i="19"/>
  <c r="B14" i="19" s="1"/>
  <c r="C37" i="2"/>
  <c r="BA12" i="3"/>
  <c r="BD13" i="3"/>
  <c r="BA16" i="3"/>
  <c r="BD17" i="3"/>
  <c r="AY43" i="3"/>
  <c r="AY42" i="3"/>
  <c r="AZ129" i="3"/>
  <c r="AZ124" i="3"/>
  <c r="AY124" i="3"/>
  <c r="AY123" i="3"/>
  <c r="AZ120" i="3"/>
  <c r="AY120" i="3"/>
  <c r="AZ119" i="3"/>
  <c r="AY119" i="3"/>
  <c r="AY118" i="3"/>
  <c r="AZ104" i="3"/>
  <c r="AZ93" i="3"/>
  <c r="AZ88" i="3"/>
  <c r="AY88" i="3"/>
  <c r="AY87" i="3"/>
  <c r="AZ74" i="3"/>
  <c r="AY74" i="3"/>
  <c r="AZ73" i="3"/>
  <c r="AY73" i="3"/>
  <c r="AY72" i="3"/>
  <c r="AZ60" i="3"/>
  <c r="AZ57" i="3"/>
  <c r="AY57" i="3"/>
  <c r="AY56" i="3"/>
  <c r="AZ54" i="3"/>
  <c r="AY54" i="3"/>
  <c r="AY53" i="3"/>
  <c r="AZ47" i="3"/>
  <c r="AY47" i="3"/>
  <c r="BD49" i="3" s="1"/>
  <c r="AZ45" i="3"/>
  <c r="AY45" i="3"/>
  <c r="AZ44" i="3"/>
  <c r="AY44" i="3"/>
  <c r="AZ43" i="3"/>
  <c r="AZ39" i="3"/>
  <c r="AY39" i="3"/>
  <c r="AZ38" i="3"/>
  <c r="AY38" i="3"/>
  <c r="AY37" i="3"/>
  <c r="AY29" i="3"/>
  <c r="AZ26" i="3"/>
  <c r="AY26" i="3"/>
  <c r="AY25" i="3"/>
  <c r="AZ22" i="3"/>
  <c r="AY22" i="3"/>
  <c r="AZ21" i="3"/>
  <c r="AY21" i="3"/>
  <c r="AY20" i="3"/>
  <c r="V34" i="7"/>
  <c r="V18" i="7"/>
  <c r="B38" i="2" l="1"/>
  <c r="C40" i="2" s="1"/>
  <c r="D15" i="19"/>
  <c r="C16" i="19"/>
  <c r="BE49" i="3"/>
  <c r="BE50" i="3"/>
  <c r="V36" i="7"/>
  <c r="AY50" i="3"/>
  <c r="BA48" i="3"/>
  <c r="BA50" i="3"/>
  <c r="AY48" i="3"/>
  <c r="AP45" i="3" l="1"/>
  <c r="AO45" i="3"/>
  <c r="AN45" i="3"/>
  <c r="AM45" i="3"/>
  <c r="AT45" i="3"/>
  <c r="AS45" i="3"/>
  <c r="AR45" i="3"/>
  <c r="AQ45" i="3"/>
  <c r="AU45" i="3"/>
  <c r="AV45" i="3"/>
  <c r="AX45" i="3"/>
  <c r="AX124" i="3" l="1"/>
  <c r="AX123" i="3"/>
  <c r="AX120" i="3"/>
  <c r="AX119" i="3"/>
  <c r="AX118" i="3"/>
  <c r="AX88" i="3"/>
  <c r="AX87" i="3"/>
  <c r="AX74" i="3"/>
  <c r="AX73" i="3"/>
  <c r="AX72" i="3"/>
  <c r="AX57" i="3"/>
  <c r="AX56" i="3"/>
  <c r="AX54" i="3"/>
  <c r="AX53" i="3"/>
  <c r="AX50" i="3"/>
  <c r="AX48" i="3"/>
  <c r="AX44" i="3"/>
  <c r="AX43" i="3"/>
  <c r="AX42" i="3"/>
  <c r="AX38" i="3"/>
  <c r="AX29" i="3"/>
  <c r="AX26" i="3"/>
  <c r="AX25" i="3"/>
  <c r="AX22" i="3"/>
  <c r="AX21" i="3"/>
  <c r="AX20" i="3"/>
  <c r="AX17" i="3"/>
  <c r="AX16" i="3"/>
  <c r="AX13" i="3"/>
  <c r="AX12" i="3"/>
  <c r="U36" i="7"/>
  <c r="AU120" i="3" l="1"/>
  <c r="AU74" i="3"/>
  <c r="AU44" i="3"/>
  <c r="AU39" i="3"/>
  <c r="AU22" i="3"/>
  <c r="AW36" i="3" l="1"/>
  <c r="AW39" i="3" l="1"/>
  <c r="BB38" i="3"/>
  <c r="AW45" i="3"/>
  <c r="AX37" i="3"/>
  <c r="AX39" i="3"/>
  <c r="AW120" i="3"/>
  <c r="AW74" i="3"/>
  <c r="AW44" i="3"/>
  <c r="AW22" i="3"/>
  <c r="AW124" i="3"/>
  <c r="AW123" i="3"/>
  <c r="AW119" i="3"/>
  <c r="AW118" i="3"/>
  <c r="AW88" i="3"/>
  <c r="AW87" i="3"/>
  <c r="AW73" i="3"/>
  <c r="AW72" i="3"/>
  <c r="AW57" i="3"/>
  <c r="AW56" i="3"/>
  <c r="AW54" i="3"/>
  <c r="AW53" i="3"/>
  <c r="AW43" i="3"/>
  <c r="AW42" i="3"/>
  <c r="AW38" i="3"/>
  <c r="AW37" i="3"/>
  <c r="AW26" i="3"/>
  <c r="AW25" i="3"/>
  <c r="AW21" i="3"/>
  <c r="AW20" i="3"/>
  <c r="AW17" i="3"/>
  <c r="AW16" i="3"/>
  <c r="AW12" i="3"/>
  <c r="T36" i="7" l="1"/>
  <c r="AW29" i="3"/>
  <c r="AW13" i="3"/>
  <c r="AV120" i="3"/>
  <c r="AT120" i="3"/>
  <c r="AS120" i="3"/>
  <c r="AR120" i="3"/>
  <c r="AQ120" i="3"/>
  <c r="AO120" i="3"/>
  <c r="AN120" i="3"/>
  <c r="AM120" i="3"/>
  <c r="AV74" i="3"/>
  <c r="AT74" i="3"/>
  <c r="AS74" i="3"/>
  <c r="AR74" i="3"/>
  <c r="AQ74" i="3"/>
  <c r="AO74" i="3"/>
  <c r="AN74" i="3"/>
  <c r="AM74" i="3"/>
  <c r="AV44" i="3"/>
  <c r="AT44" i="3"/>
  <c r="AS44" i="3"/>
  <c r="AR44" i="3"/>
  <c r="AQ44" i="3"/>
  <c r="AO44" i="3"/>
  <c r="AN44" i="3"/>
  <c r="AM44" i="3"/>
  <c r="AV39" i="3"/>
  <c r="AT39" i="3"/>
  <c r="AS39" i="3"/>
  <c r="AR39" i="3"/>
  <c r="AQ39" i="3"/>
  <c r="AO39" i="3"/>
  <c r="AN39" i="3"/>
  <c r="AS22" i="3"/>
  <c r="AT22" i="3"/>
  <c r="AR22" i="3"/>
  <c r="AV22" i="3"/>
  <c r="AQ22" i="3"/>
  <c r="AN22" i="3"/>
  <c r="AO22" i="3"/>
  <c r="AM22" i="3"/>
  <c r="AV124" i="3" l="1"/>
  <c r="AV123" i="3"/>
  <c r="AV119" i="3"/>
  <c r="AV118" i="3"/>
  <c r="AV88" i="3"/>
  <c r="AV87" i="3"/>
  <c r="AV73" i="3"/>
  <c r="AV72" i="3"/>
  <c r="AV57" i="3"/>
  <c r="AV56" i="3"/>
  <c r="AV54" i="3"/>
  <c r="AV53" i="3"/>
  <c r="AV47" i="3"/>
  <c r="BA49" i="3" s="1"/>
  <c r="AV43" i="3"/>
  <c r="AV42" i="3"/>
  <c r="AV38" i="3"/>
  <c r="AV37" i="3"/>
  <c r="AV29" i="3"/>
  <c r="AV26" i="3"/>
  <c r="AV25" i="3"/>
  <c r="AV21" i="3"/>
  <c r="AV20" i="3"/>
  <c r="AV17" i="3"/>
  <c r="AV13" i="3"/>
  <c r="S36" i="7"/>
  <c r="Q24" i="7"/>
  <c r="Q18" i="7"/>
  <c r="AU43" i="3"/>
  <c r="AT126" i="3"/>
  <c r="AT107" i="3"/>
  <c r="AT11" i="3"/>
  <c r="AV12" i="3" s="1"/>
  <c r="AU129" i="3"/>
  <c r="AU124" i="3"/>
  <c r="AT124" i="3"/>
  <c r="AT123" i="3"/>
  <c r="AU119" i="3"/>
  <c r="AT119" i="3"/>
  <c r="AT118" i="3"/>
  <c r="AU104" i="3"/>
  <c r="AU93" i="3"/>
  <c r="AU88" i="3"/>
  <c r="AT88" i="3"/>
  <c r="AT87" i="3"/>
  <c r="AU73" i="3"/>
  <c r="AT73" i="3"/>
  <c r="AT72" i="3"/>
  <c r="AU60" i="3"/>
  <c r="AU57" i="3"/>
  <c r="AT57" i="3"/>
  <c r="AT56" i="3"/>
  <c r="AU54" i="3"/>
  <c r="AT54" i="3"/>
  <c r="AT53" i="3"/>
  <c r="AT47" i="3"/>
  <c r="AS47" i="3"/>
  <c r="AX49" i="3" s="1"/>
  <c r="AT42" i="3"/>
  <c r="AT38" i="3"/>
  <c r="AT37" i="3"/>
  <c r="AT29" i="3"/>
  <c r="AU26" i="3"/>
  <c r="AT26" i="3"/>
  <c r="AT25" i="3"/>
  <c r="AU21" i="3"/>
  <c r="AT21" i="3"/>
  <c r="AT20" i="3"/>
  <c r="AU17" i="3"/>
  <c r="AT15" i="3"/>
  <c r="AV16" i="3" s="1"/>
  <c r="AU13" i="3"/>
  <c r="R36" i="7"/>
  <c r="AP47" i="3"/>
  <c r="AP50" i="3" s="1"/>
  <c r="AK49" i="3"/>
  <c r="AF49" i="3"/>
  <c r="AA49" i="3"/>
  <c r="V49" i="3"/>
  <c r="Q49" i="3"/>
  <c r="L49" i="3"/>
  <c r="G49" i="3"/>
  <c r="AR47" i="3"/>
  <c r="AQ47" i="3"/>
  <c r="AM47" i="3"/>
  <c r="AM49" i="3" s="1"/>
  <c r="AN47" i="3"/>
  <c r="AO47" i="3"/>
  <c r="AJ49" i="3"/>
  <c r="AI49" i="3"/>
  <c r="AH49" i="3"/>
  <c r="AG49" i="3"/>
  <c r="AJ48" i="3"/>
  <c r="AI48" i="3"/>
  <c r="AH48" i="3"/>
  <c r="AG48" i="3"/>
  <c r="AE49" i="3"/>
  <c r="AD49" i="3"/>
  <c r="AC49" i="3"/>
  <c r="AB49" i="3"/>
  <c r="AE48" i="3"/>
  <c r="AD48" i="3"/>
  <c r="AC48" i="3"/>
  <c r="AB48" i="3"/>
  <c r="Z49" i="3"/>
  <c r="Y49" i="3"/>
  <c r="X49" i="3"/>
  <c r="W49" i="3"/>
  <c r="Z48" i="3"/>
  <c r="Y48" i="3"/>
  <c r="X48" i="3"/>
  <c r="W48" i="3"/>
  <c r="U49" i="3"/>
  <c r="T49" i="3"/>
  <c r="S49" i="3"/>
  <c r="R49" i="3"/>
  <c r="U48" i="3"/>
  <c r="T48" i="3"/>
  <c r="S48" i="3"/>
  <c r="R48" i="3"/>
  <c r="P49" i="3"/>
  <c r="O49" i="3"/>
  <c r="N49" i="3"/>
  <c r="M49" i="3"/>
  <c r="P48" i="3"/>
  <c r="O48" i="3"/>
  <c r="N48" i="3"/>
  <c r="M48" i="3"/>
  <c r="K49" i="3"/>
  <c r="J49" i="3"/>
  <c r="I49" i="3"/>
  <c r="H49" i="3"/>
  <c r="K48" i="3"/>
  <c r="J48" i="3"/>
  <c r="I48" i="3"/>
  <c r="H48" i="3"/>
  <c r="F48" i="3"/>
  <c r="E48" i="3"/>
  <c r="D48" i="3"/>
  <c r="AO11" i="3"/>
  <c r="AT13" i="3" s="1"/>
  <c r="AO15" i="3"/>
  <c r="AO16" i="3" s="1"/>
  <c r="AS124" i="3"/>
  <c r="AS123" i="3"/>
  <c r="AS119" i="3"/>
  <c r="AS118" i="3"/>
  <c r="AS88" i="3"/>
  <c r="AS87" i="3"/>
  <c r="AS73" i="3"/>
  <c r="AS72" i="3"/>
  <c r="AS57" i="3"/>
  <c r="AS56" i="3"/>
  <c r="AS54" i="3"/>
  <c r="AS53" i="3"/>
  <c r="AS43" i="3"/>
  <c r="AS42" i="3"/>
  <c r="AS38" i="3"/>
  <c r="AS37" i="3"/>
  <c r="AS29" i="3"/>
  <c r="AS26" i="3"/>
  <c r="AS25" i="3"/>
  <c r="AS21" i="3"/>
  <c r="AS20" i="3"/>
  <c r="AS17" i="3"/>
  <c r="AS16" i="3"/>
  <c r="AS13" i="3"/>
  <c r="AS12" i="3"/>
  <c r="P36" i="7"/>
  <c r="AR43" i="3"/>
  <c r="AR42" i="3"/>
  <c r="AR124" i="3"/>
  <c r="AR123" i="3"/>
  <c r="AR119" i="3"/>
  <c r="AR118" i="3"/>
  <c r="AR88" i="3"/>
  <c r="AR87" i="3"/>
  <c r="AR73" i="3"/>
  <c r="AR72" i="3"/>
  <c r="AR57" i="3"/>
  <c r="AR56" i="3"/>
  <c r="AR54" i="3"/>
  <c r="AR53" i="3"/>
  <c r="AR38" i="3"/>
  <c r="AR37" i="3"/>
  <c r="AR29" i="3"/>
  <c r="AR26" i="3"/>
  <c r="AR25" i="3"/>
  <c r="AR21" i="3"/>
  <c r="AR20" i="3"/>
  <c r="AR17" i="3"/>
  <c r="AR16" i="3"/>
  <c r="AR13" i="3"/>
  <c r="AR12" i="3"/>
  <c r="O36" i="7"/>
  <c r="N36" i="7"/>
  <c r="M36" i="7"/>
  <c r="K36" i="7"/>
  <c r="J36" i="7"/>
  <c r="I36" i="7"/>
  <c r="H36" i="7"/>
  <c r="F36" i="7"/>
  <c r="E36" i="7"/>
  <c r="D36" i="7"/>
  <c r="C36" i="7"/>
  <c r="B36" i="7"/>
  <c r="L24" i="7"/>
  <c r="L22" i="7"/>
  <c r="G22" i="7"/>
  <c r="G36" i="7" s="1"/>
  <c r="L18" i="7"/>
  <c r="AQ43" i="3"/>
  <c r="AQ42" i="3"/>
  <c r="AQ124" i="3"/>
  <c r="AQ123" i="3"/>
  <c r="AQ119" i="3"/>
  <c r="AQ118" i="3"/>
  <c r="AQ73" i="3"/>
  <c r="AQ72" i="3"/>
  <c r="AQ57" i="3"/>
  <c r="AQ56" i="3"/>
  <c r="AQ54" i="3"/>
  <c r="AQ53" i="3"/>
  <c r="AQ29" i="3"/>
  <c r="AQ26" i="3"/>
  <c r="AQ25" i="3"/>
  <c r="AQ21" i="3"/>
  <c r="AQ20" i="3"/>
  <c r="AQ17" i="3"/>
  <c r="AQ13" i="3"/>
  <c r="AQ37" i="3"/>
  <c r="AO42" i="3"/>
  <c r="AP129" i="3"/>
  <c r="AP124" i="3"/>
  <c r="AO124" i="3"/>
  <c r="AO123" i="3"/>
  <c r="AP119" i="3"/>
  <c r="AO119" i="3"/>
  <c r="AO118" i="3"/>
  <c r="AP104" i="3"/>
  <c r="AO88" i="3"/>
  <c r="AO87" i="3"/>
  <c r="AP73" i="3"/>
  <c r="AO73" i="3"/>
  <c r="AO72" i="3"/>
  <c r="AP60" i="3"/>
  <c r="AP57" i="3"/>
  <c r="AO57" i="3"/>
  <c r="AO56" i="3"/>
  <c r="AP54" i="3"/>
  <c r="AO54" i="3"/>
  <c r="AO53" i="3"/>
  <c r="AP38" i="3"/>
  <c r="AO38" i="3"/>
  <c r="AO37" i="3"/>
  <c r="AO29" i="3"/>
  <c r="AP26" i="3"/>
  <c r="AO26" i="3"/>
  <c r="AO25" i="3"/>
  <c r="AP21" i="3"/>
  <c r="AO21" i="3"/>
  <c r="AO20" i="3"/>
  <c r="AP17" i="3"/>
  <c r="AP13" i="3"/>
  <c r="AN124" i="3"/>
  <c r="AN123" i="3"/>
  <c r="AN119" i="3"/>
  <c r="AN118" i="3"/>
  <c r="AN88" i="3"/>
  <c r="AN87" i="3"/>
  <c r="AN73" i="3"/>
  <c r="AN72" i="3"/>
  <c r="AN57" i="3"/>
  <c r="AN56" i="3"/>
  <c r="AN54" i="3"/>
  <c r="AN53" i="3"/>
  <c r="AN42" i="3"/>
  <c r="AN38" i="3"/>
  <c r="AN37" i="3"/>
  <c r="AN29" i="3"/>
  <c r="AN26" i="3"/>
  <c r="AN25" i="3"/>
  <c r="AN21" i="3"/>
  <c r="AN20" i="3"/>
  <c r="AN17" i="3"/>
  <c r="AN16" i="3"/>
  <c r="AN13" i="3"/>
  <c r="AN12" i="3"/>
  <c r="AM119" i="3"/>
  <c r="AM118" i="3"/>
  <c r="AM42" i="3"/>
  <c r="AM124" i="3"/>
  <c r="AM123" i="3"/>
  <c r="AM88" i="3"/>
  <c r="AM87" i="3"/>
  <c r="AM73" i="3"/>
  <c r="AM72" i="3"/>
  <c r="AM57" i="3"/>
  <c r="AM56" i="3"/>
  <c r="AM54" i="3"/>
  <c r="AM53" i="3"/>
  <c r="AM38" i="3"/>
  <c r="AM29" i="3"/>
  <c r="AM26" i="3"/>
  <c r="AM25" i="3"/>
  <c r="AM21" i="3"/>
  <c r="AM20" i="3"/>
  <c r="AM17" i="3"/>
  <c r="AM16" i="3"/>
  <c r="AM13" i="3"/>
  <c r="AM12" i="3"/>
  <c r="AL36" i="3"/>
  <c r="AM37" i="3" s="1"/>
  <c r="AL124" i="3"/>
  <c r="AL123" i="3"/>
  <c r="AL119" i="3"/>
  <c r="AL118" i="3"/>
  <c r="AL88" i="3"/>
  <c r="AL87" i="3"/>
  <c r="AL73" i="3"/>
  <c r="AL72" i="3"/>
  <c r="AL57" i="3"/>
  <c r="AL56" i="3"/>
  <c r="AL54" i="3"/>
  <c r="AL53" i="3"/>
  <c r="AL29" i="3"/>
  <c r="AL26" i="3"/>
  <c r="AL25" i="3"/>
  <c r="AL21" i="3"/>
  <c r="AL20" i="3"/>
  <c r="AL17" i="3"/>
  <c r="AL13" i="3"/>
  <c r="AK179" i="3"/>
  <c r="AK129" i="3"/>
  <c r="AK124" i="3"/>
  <c r="AJ124" i="3"/>
  <c r="AJ123" i="3"/>
  <c r="AK119" i="3"/>
  <c r="AJ119" i="3"/>
  <c r="AJ118" i="3"/>
  <c r="AK104" i="3"/>
  <c r="AK93" i="3"/>
  <c r="AK88" i="3"/>
  <c r="AJ88" i="3"/>
  <c r="AJ87" i="3"/>
  <c r="AK73" i="3"/>
  <c r="AJ73" i="3"/>
  <c r="AJ72" i="3"/>
  <c r="AK60" i="3"/>
  <c r="AK57" i="3"/>
  <c r="AJ57" i="3"/>
  <c r="AJ56" i="3"/>
  <c r="AK54" i="3"/>
  <c r="AJ54" i="3"/>
  <c r="AJ53" i="3"/>
  <c r="AK38" i="3"/>
  <c r="AJ38" i="3"/>
  <c r="AJ37" i="3"/>
  <c r="AJ29" i="3"/>
  <c r="AK26" i="3"/>
  <c r="AJ26" i="3"/>
  <c r="AJ25" i="3"/>
  <c r="AK21" i="3"/>
  <c r="AJ21" i="3"/>
  <c r="AJ20" i="3"/>
  <c r="AK17" i="3"/>
  <c r="AJ15" i="3"/>
  <c r="AL16" i="3" s="1"/>
  <c r="AK13" i="3"/>
  <c r="AJ11" i="3"/>
  <c r="AJ12" i="3" s="1"/>
  <c r="AI124" i="3"/>
  <c r="AI123" i="3"/>
  <c r="AI119" i="3"/>
  <c r="AI118" i="3"/>
  <c r="AI88" i="3"/>
  <c r="AI87" i="3"/>
  <c r="AI73" i="3"/>
  <c r="AI72" i="3"/>
  <c r="AI57" i="3"/>
  <c r="AI56" i="3"/>
  <c r="AI54" i="3"/>
  <c r="AI53" i="3"/>
  <c r="AI38" i="3"/>
  <c r="AI37" i="3"/>
  <c r="AI29" i="3"/>
  <c r="AI26" i="3"/>
  <c r="AI25" i="3"/>
  <c r="AI21" i="3"/>
  <c r="AI20" i="3"/>
  <c r="AI17" i="3"/>
  <c r="AI16" i="3"/>
  <c r="AI13" i="3"/>
  <c r="AI12" i="3"/>
  <c r="AH124" i="3"/>
  <c r="AH123" i="3"/>
  <c r="AH119" i="3"/>
  <c r="AH118" i="3"/>
  <c r="AH88" i="3"/>
  <c r="AH87" i="3"/>
  <c r="AH73" i="3"/>
  <c r="AH72" i="3"/>
  <c r="AH57" i="3"/>
  <c r="AH56" i="3"/>
  <c r="AH54" i="3"/>
  <c r="AH53" i="3"/>
  <c r="AH38" i="3"/>
  <c r="AH37" i="3"/>
  <c r="AH29" i="3"/>
  <c r="AH26" i="3"/>
  <c r="AH25" i="3"/>
  <c r="AH21" i="3"/>
  <c r="AH20" i="3"/>
  <c r="AH17" i="3"/>
  <c r="AH16" i="3"/>
  <c r="AH13" i="3"/>
  <c r="AH12" i="3"/>
  <c r="AG204" i="3"/>
  <c r="AG207" i="3" s="1"/>
  <c r="AG124" i="3"/>
  <c r="AG123" i="3"/>
  <c r="AG119" i="3"/>
  <c r="AG118" i="3"/>
  <c r="AG88" i="3"/>
  <c r="AG87" i="3"/>
  <c r="AG73" i="3"/>
  <c r="AG72" i="3"/>
  <c r="AG57" i="3"/>
  <c r="AG56" i="3"/>
  <c r="AG54" i="3"/>
  <c r="AG53" i="3"/>
  <c r="AG38" i="3"/>
  <c r="AG37" i="3"/>
  <c r="AG29" i="3"/>
  <c r="AG26" i="3"/>
  <c r="AG25" i="3"/>
  <c r="AG21" i="3"/>
  <c r="AG20" i="3"/>
  <c r="AG17" i="3"/>
  <c r="AG13" i="3"/>
  <c r="AE11" i="3"/>
  <c r="AE12" i="3" s="1"/>
  <c r="AF26" i="3"/>
  <c r="AE26" i="3"/>
  <c r="AD26" i="3"/>
  <c r="AC26" i="3"/>
  <c r="AB26" i="3"/>
  <c r="AA26" i="3"/>
  <c r="Z26" i="3"/>
  <c r="Y26" i="3"/>
  <c r="X26" i="3"/>
  <c r="W26" i="3"/>
  <c r="V26" i="3"/>
  <c r="U26" i="3"/>
  <c r="T26" i="3"/>
  <c r="S26" i="3"/>
  <c r="R26" i="3"/>
  <c r="Q26" i="3"/>
  <c r="P26" i="3"/>
  <c r="O26" i="3"/>
  <c r="N26" i="3"/>
  <c r="M26" i="3"/>
  <c r="L26" i="3"/>
  <c r="K26" i="3"/>
  <c r="J26" i="3"/>
  <c r="I26" i="3"/>
  <c r="H26" i="3"/>
  <c r="AE25" i="3"/>
  <c r="AD25" i="3"/>
  <c r="AC25" i="3"/>
  <c r="AB25" i="3"/>
  <c r="Z25" i="3"/>
  <c r="Y25" i="3"/>
  <c r="X25" i="3"/>
  <c r="W25" i="3"/>
  <c r="U25" i="3"/>
  <c r="T25" i="3"/>
  <c r="S25" i="3"/>
  <c r="R25" i="3"/>
  <c r="P25" i="3"/>
  <c r="O25" i="3"/>
  <c r="N25" i="3"/>
  <c r="M25" i="3"/>
  <c r="K25" i="3"/>
  <c r="J25" i="3"/>
  <c r="I25" i="3"/>
  <c r="H25" i="3"/>
  <c r="F25" i="3"/>
  <c r="E25" i="3"/>
  <c r="D25" i="3"/>
  <c r="AE34" i="3"/>
  <c r="AF104" i="3"/>
  <c r="AA104" i="3"/>
  <c r="V104" i="3"/>
  <c r="Q104" i="3"/>
  <c r="L104" i="3"/>
  <c r="G104" i="3"/>
  <c r="AF93" i="3"/>
  <c r="L129" i="3"/>
  <c r="Q129" i="3"/>
  <c r="V129" i="3"/>
  <c r="AA129" i="3"/>
  <c r="AF129" i="3"/>
  <c r="AF124" i="3"/>
  <c r="AE124" i="3"/>
  <c r="AE123" i="3"/>
  <c r="AE119" i="3"/>
  <c r="AE118" i="3"/>
  <c r="AE88" i="3"/>
  <c r="AE87" i="3"/>
  <c r="AE73" i="3"/>
  <c r="AE72" i="3"/>
  <c r="AE57" i="3"/>
  <c r="AE56" i="3"/>
  <c r="AE54" i="3"/>
  <c r="AE53" i="3"/>
  <c r="AE38" i="3"/>
  <c r="AE37" i="3"/>
  <c r="AE29" i="3"/>
  <c r="AE21" i="3"/>
  <c r="AE20" i="3"/>
  <c r="AF119" i="3"/>
  <c r="AF88" i="3"/>
  <c r="AF73" i="3"/>
  <c r="AF60" i="3"/>
  <c r="AF57" i="3"/>
  <c r="AF54" i="3"/>
  <c r="AF38" i="3"/>
  <c r="AF21" i="3"/>
  <c r="AF17" i="3"/>
  <c r="AE15" i="3"/>
  <c r="AE16" i="3" s="1"/>
  <c r="AF13" i="3"/>
  <c r="Z12" i="3"/>
  <c r="D12" i="3"/>
  <c r="E12" i="3"/>
  <c r="F12" i="3"/>
  <c r="H12" i="3"/>
  <c r="I12" i="3"/>
  <c r="J12" i="3"/>
  <c r="K12" i="3"/>
  <c r="M12" i="3"/>
  <c r="N12" i="3"/>
  <c r="O12" i="3"/>
  <c r="P12" i="3"/>
  <c r="R12" i="3"/>
  <c r="S12" i="3"/>
  <c r="T12" i="3"/>
  <c r="U12" i="3"/>
  <c r="W12" i="3"/>
  <c r="X12" i="3"/>
  <c r="Y12" i="3"/>
  <c r="AC12" i="3"/>
  <c r="AD12" i="3"/>
  <c r="G13" i="3"/>
  <c r="H13" i="3"/>
  <c r="I13" i="3"/>
  <c r="J13" i="3"/>
  <c r="K13" i="3"/>
  <c r="L13" i="3"/>
  <c r="M13" i="3"/>
  <c r="N13" i="3"/>
  <c r="O13" i="3"/>
  <c r="P13" i="3"/>
  <c r="Q13" i="3"/>
  <c r="R13" i="3"/>
  <c r="S13" i="3"/>
  <c r="T13" i="3"/>
  <c r="U13" i="3"/>
  <c r="V13" i="3"/>
  <c r="W13" i="3"/>
  <c r="X13" i="3"/>
  <c r="Y13" i="3"/>
  <c r="AA13" i="3"/>
  <c r="AB13" i="3"/>
  <c r="AC13" i="3"/>
  <c r="AD13" i="3"/>
  <c r="F15" i="3"/>
  <c r="F16" i="3" s="1"/>
  <c r="K15" i="3"/>
  <c r="P15" i="3"/>
  <c r="P16" i="3" s="1"/>
  <c r="U15" i="3"/>
  <c r="W16" i="3" s="1"/>
  <c r="Z15" i="3"/>
  <c r="Z16" i="3" s="1"/>
  <c r="D16" i="3"/>
  <c r="E16" i="3"/>
  <c r="I16" i="3"/>
  <c r="J16" i="3"/>
  <c r="N16" i="3"/>
  <c r="O16" i="3"/>
  <c r="S16" i="3"/>
  <c r="T16" i="3"/>
  <c r="X16" i="3"/>
  <c r="Y16" i="3"/>
  <c r="AC16" i="3"/>
  <c r="AD16" i="3"/>
  <c r="G17" i="3"/>
  <c r="H17" i="3"/>
  <c r="I17" i="3"/>
  <c r="J17" i="3"/>
  <c r="L17" i="3"/>
  <c r="M17" i="3"/>
  <c r="N17" i="3"/>
  <c r="O17" i="3"/>
  <c r="Q17" i="3"/>
  <c r="R17" i="3"/>
  <c r="S17" i="3"/>
  <c r="T17" i="3"/>
  <c r="V17" i="3"/>
  <c r="W17" i="3"/>
  <c r="X17" i="3"/>
  <c r="Y17" i="3"/>
  <c r="AA17" i="3"/>
  <c r="AB17" i="3"/>
  <c r="AC17" i="3"/>
  <c r="AD17" i="3"/>
  <c r="D20" i="3"/>
  <c r="E20" i="3"/>
  <c r="F20" i="3"/>
  <c r="H20" i="3"/>
  <c r="I20" i="3"/>
  <c r="J20" i="3"/>
  <c r="K20" i="3"/>
  <c r="M20" i="3"/>
  <c r="N20" i="3"/>
  <c r="O20" i="3"/>
  <c r="P20" i="3"/>
  <c r="R20" i="3"/>
  <c r="S20" i="3"/>
  <c r="T20" i="3"/>
  <c r="U20" i="3"/>
  <c r="W20" i="3"/>
  <c r="X20" i="3"/>
  <c r="Y20" i="3"/>
  <c r="Z20" i="3"/>
  <c r="AB20" i="3"/>
  <c r="AC20" i="3"/>
  <c r="AD20" i="3"/>
  <c r="G21" i="3"/>
  <c r="H21" i="3"/>
  <c r="I21" i="3"/>
  <c r="J21" i="3"/>
  <c r="K21" i="3"/>
  <c r="L21" i="3"/>
  <c r="M21" i="3"/>
  <c r="N21" i="3"/>
  <c r="O21" i="3"/>
  <c r="P21" i="3"/>
  <c r="Q21" i="3"/>
  <c r="S21" i="3"/>
  <c r="T21" i="3"/>
  <c r="U21" i="3"/>
  <c r="V21" i="3"/>
  <c r="W21" i="3"/>
  <c r="X21" i="3"/>
  <c r="Y21" i="3"/>
  <c r="Z21" i="3"/>
  <c r="AA21" i="3"/>
  <c r="AB21" i="3"/>
  <c r="AC21" i="3"/>
  <c r="AD21" i="3"/>
  <c r="D29" i="3"/>
  <c r="E29" i="3"/>
  <c r="F29" i="3"/>
  <c r="H29" i="3"/>
  <c r="I29" i="3"/>
  <c r="J29" i="3"/>
  <c r="K29" i="3"/>
  <c r="M29" i="3"/>
  <c r="N29" i="3"/>
  <c r="O29" i="3"/>
  <c r="P29" i="3"/>
  <c r="R29" i="3"/>
  <c r="S29" i="3"/>
  <c r="T29" i="3"/>
  <c r="U29" i="3"/>
  <c r="W29" i="3"/>
  <c r="X29" i="3"/>
  <c r="Y29" i="3"/>
  <c r="Z29" i="3"/>
  <c r="AB29" i="3"/>
  <c r="AC29" i="3"/>
  <c r="AD29" i="3"/>
  <c r="D37" i="3"/>
  <c r="E37" i="3"/>
  <c r="F37" i="3"/>
  <c r="H37" i="3"/>
  <c r="I37" i="3"/>
  <c r="J37" i="3"/>
  <c r="K37" i="3"/>
  <c r="M37" i="3"/>
  <c r="N37" i="3"/>
  <c r="O37" i="3"/>
  <c r="P37" i="3"/>
  <c r="R37" i="3"/>
  <c r="S37" i="3"/>
  <c r="T37" i="3"/>
  <c r="U37" i="3"/>
  <c r="W37" i="3"/>
  <c r="X37" i="3"/>
  <c r="Y37" i="3"/>
  <c r="Z37" i="3"/>
  <c r="AB37" i="3"/>
  <c r="AC37" i="3"/>
  <c r="AD37" i="3"/>
  <c r="G38" i="3"/>
  <c r="H38" i="3"/>
  <c r="I38" i="3"/>
  <c r="J38" i="3"/>
  <c r="K38" i="3"/>
  <c r="L38" i="3"/>
  <c r="M38" i="3"/>
  <c r="N38" i="3"/>
  <c r="O38" i="3"/>
  <c r="P38" i="3"/>
  <c r="Q38" i="3"/>
  <c r="R38" i="3"/>
  <c r="S38" i="3"/>
  <c r="T38" i="3"/>
  <c r="U38" i="3"/>
  <c r="V38" i="3"/>
  <c r="W38" i="3"/>
  <c r="X38" i="3"/>
  <c r="Y38" i="3"/>
  <c r="Z38" i="3"/>
  <c r="AA38" i="3"/>
  <c r="AB38" i="3"/>
  <c r="AC38" i="3"/>
  <c r="AD38" i="3"/>
  <c r="D53" i="3"/>
  <c r="E53" i="3"/>
  <c r="F53" i="3"/>
  <c r="H53" i="3"/>
  <c r="I53" i="3"/>
  <c r="J53" i="3"/>
  <c r="K53" i="3"/>
  <c r="M53" i="3"/>
  <c r="N53" i="3"/>
  <c r="O53" i="3"/>
  <c r="P53" i="3"/>
  <c r="R53" i="3"/>
  <c r="S53" i="3"/>
  <c r="T53" i="3"/>
  <c r="U53" i="3"/>
  <c r="W53" i="3"/>
  <c r="X53" i="3"/>
  <c r="Y53" i="3"/>
  <c r="Z53" i="3"/>
  <c r="AB53" i="3"/>
  <c r="AC53" i="3"/>
  <c r="AD53" i="3"/>
  <c r="G54" i="3"/>
  <c r="H54" i="3"/>
  <c r="I54" i="3"/>
  <c r="J54" i="3"/>
  <c r="K54" i="3"/>
  <c r="L54" i="3"/>
  <c r="M54" i="3"/>
  <c r="N54" i="3"/>
  <c r="O54" i="3"/>
  <c r="P54" i="3"/>
  <c r="Q54" i="3"/>
  <c r="R54" i="3"/>
  <c r="S54" i="3"/>
  <c r="T54" i="3"/>
  <c r="U54" i="3"/>
  <c r="V54" i="3"/>
  <c r="W54" i="3"/>
  <c r="X54" i="3"/>
  <c r="Y54" i="3"/>
  <c r="Z54" i="3"/>
  <c r="AA54" i="3"/>
  <c r="AB54" i="3"/>
  <c r="AC54" i="3"/>
  <c r="AD54" i="3"/>
  <c r="D56" i="3"/>
  <c r="E56" i="3"/>
  <c r="F56" i="3"/>
  <c r="H56" i="3"/>
  <c r="I56" i="3"/>
  <c r="J56" i="3"/>
  <c r="K56" i="3"/>
  <c r="M56" i="3"/>
  <c r="N56" i="3"/>
  <c r="O56" i="3"/>
  <c r="P56" i="3"/>
  <c r="R56" i="3"/>
  <c r="S56" i="3"/>
  <c r="T56" i="3"/>
  <c r="U56" i="3"/>
  <c r="W56" i="3"/>
  <c r="X56" i="3"/>
  <c r="Y56" i="3"/>
  <c r="Z56" i="3"/>
  <c r="AB56" i="3"/>
  <c r="AC56" i="3"/>
  <c r="AD56" i="3"/>
  <c r="G57" i="3"/>
  <c r="H57" i="3"/>
  <c r="I57" i="3"/>
  <c r="J57" i="3"/>
  <c r="K57" i="3"/>
  <c r="L57" i="3"/>
  <c r="M57" i="3"/>
  <c r="N57" i="3"/>
  <c r="O57" i="3"/>
  <c r="P57" i="3"/>
  <c r="Q57" i="3"/>
  <c r="R57" i="3"/>
  <c r="S57" i="3"/>
  <c r="T57" i="3"/>
  <c r="U57" i="3"/>
  <c r="V57" i="3"/>
  <c r="W57" i="3"/>
  <c r="X57" i="3"/>
  <c r="Y57" i="3"/>
  <c r="Z57" i="3"/>
  <c r="AA57" i="3"/>
  <c r="AB57" i="3"/>
  <c r="AC57" i="3"/>
  <c r="AD57" i="3"/>
  <c r="G60" i="3"/>
  <c r="L60" i="3"/>
  <c r="Q60" i="3"/>
  <c r="V60" i="3"/>
  <c r="AA60" i="3"/>
  <c r="K71" i="3"/>
  <c r="M72" i="3" s="1"/>
  <c r="P71" i="3"/>
  <c r="R72" i="3" s="1"/>
  <c r="D72" i="3"/>
  <c r="E72" i="3"/>
  <c r="F72" i="3"/>
  <c r="H72" i="3"/>
  <c r="I72" i="3"/>
  <c r="J72" i="3"/>
  <c r="K72" i="3"/>
  <c r="N72" i="3"/>
  <c r="O72" i="3"/>
  <c r="S72" i="3"/>
  <c r="T72" i="3"/>
  <c r="U72" i="3"/>
  <c r="W72" i="3"/>
  <c r="X72" i="3"/>
  <c r="Y72" i="3"/>
  <c r="Z72" i="3"/>
  <c r="AB72" i="3"/>
  <c r="AC72" i="3"/>
  <c r="AD72" i="3"/>
  <c r="G73" i="3"/>
  <c r="H73" i="3"/>
  <c r="I73" i="3"/>
  <c r="J73" i="3"/>
  <c r="L73" i="3"/>
  <c r="M73" i="3"/>
  <c r="N73" i="3"/>
  <c r="O73" i="3"/>
  <c r="Q73" i="3"/>
  <c r="R73" i="3"/>
  <c r="S73" i="3"/>
  <c r="T73" i="3"/>
  <c r="V73" i="3"/>
  <c r="W73" i="3"/>
  <c r="X73" i="3"/>
  <c r="Y73" i="3"/>
  <c r="Z73" i="3"/>
  <c r="AA73" i="3"/>
  <c r="AB73" i="3"/>
  <c r="AC73" i="3"/>
  <c r="AD73" i="3"/>
  <c r="N87" i="3"/>
  <c r="O87" i="3"/>
  <c r="P87" i="3"/>
  <c r="R87" i="3"/>
  <c r="S87" i="3"/>
  <c r="T87" i="3"/>
  <c r="U87" i="3"/>
  <c r="W87" i="3"/>
  <c r="X87" i="3"/>
  <c r="Y87" i="3"/>
  <c r="Z87" i="3"/>
  <c r="AB87" i="3"/>
  <c r="AC87" i="3"/>
  <c r="AD87" i="3"/>
  <c r="R88" i="3"/>
  <c r="S88" i="3"/>
  <c r="T88" i="3"/>
  <c r="U88" i="3"/>
  <c r="V88" i="3"/>
  <c r="W88" i="3"/>
  <c r="X88" i="3"/>
  <c r="Y88" i="3"/>
  <c r="Z88" i="3"/>
  <c r="AA88" i="3"/>
  <c r="AB88" i="3"/>
  <c r="AC88" i="3"/>
  <c r="AD88" i="3"/>
  <c r="D118" i="3"/>
  <c r="E118" i="3"/>
  <c r="F118" i="3"/>
  <c r="H118" i="3"/>
  <c r="I118" i="3"/>
  <c r="J118" i="3"/>
  <c r="K118" i="3"/>
  <c r="M118" i="3"/>
  <c r="N118" i="3"/>
  <c r="O118" i="3"/>
  <c r="P118" i="3"/>
  <c r="R118" i="3"/>
  <c r="S118" i="3"/>
  <c r="T118" i="3"/>
  <c r="U118" i="3"/>
  <c r="W118" i="3"/>
  <c r="X118" i="3"/>
  <c r="Y118" i="3"/>
  <c r="Z118" i="3"/>
  <c r="AB118" i="3"/>
  <c r="AC118" i="3"/>
  <c r="AD118" i="3"/>
  <c r="G119" i="3"/>
  <c r="H119" i="3"/>
  <c r="I119" i="3"/>
  <c r="J119" i="3"/>
  <c r="K119" i="3"/>
  <c r="L119" i="3"/>
  <c r="M119" i="3"/>
  <c r="N119" i="3"/>
  <c r="O119" i="3"/>
  <c r="P119" i="3"/>
  <c r="Q119" i="3"/>
  <c r="R119" i="3"/>
  <c r="S119" i="3"/>
  <c r="T119" i="3"/>
  <c r="U119" i="3"/>
  <c r="V119" i="3"/>
  <c r="W119" i="3"/>
  <c r="X119" i="3"/>
  <c r="Y119" i="3"/>
  <c r="Z119" i="3"/>
  <c r="AA119" i="3"/>
  <c r="AB119" i="3"/>
  <c r="AC119" i="3"/>
  <c r="AD119" i="3"/>
  <c r="D123" i="3"/>
  <c r="E123" i="3"/>
  <c r="F123" i="3"/>
  <c r="H123" i="3"/>
  <c r="I123" i="3"/>
  <c r="J123" i="3"/>
  <c r="K123" i="3"/>
  <c r="M123" i="3"/>
  <c r="N123" i="3"/>
  <c r="O123" i="3"/>
  <c r="P123" i="3"/>
  <c r="R123" i="3"/>
  <c r="S123" i="3"/>
  <c r="T123" i="3"/>
  <c r="U123" i="3"/>
  <c r="W123" i="3"/>
  <c r="X123" i="3"/>
  <c r="Y123" i="3"/>
  <c r="Z123" i="3"/>
  <c r="AB123" i="3"/>
  <c r="AC123" i="3"/>
  <c r="AD123" i="3"/>
  <c r="G124" i="3"/>
  <c r="H124" i="3"/>
  <c r="I124" i="3"/>
  <c r="J124" i="3"/>
  <c r="K124" i="3"/>
  <c r="L124" i="3"/>
  <c r="M124" i="3"/>
  <c r="N124" i="3"/>
  <c r="O124" i="3"/>
  <c r="P124" i="3"/>
  <c r="Q124" i="3"/>
  <c r="R124" i="3"/>
  <c r="S124" i="3"/>
  <c r="T124" i="3"/>
  <c r="U124" i="3"/>
  <c r="V124" i="3"/>
  <c r="W124" i="3"/>
  <c r="X124" i="3"/>
  <c r="Y124" i="3"/>
  <c r="Z124" i="3"/>
  <c r="AB124" i="3"/>
  <c r="AC124" i="3"/>
  <c r="AD124" i="3"/>
  <c r="O232" i="3"/>
  <c r="T232" i="3"/>
  <c r="T235" i="3" s="1"/>
  <c r="Z13" i="3"/>
  <c r="AB12" i="3"/>
  <c r="AG12" i="3"/>
  <c r="K16" i="3"/>
  <c r="AU47" i="3"/>
  <c r="AU38" i="3"/>
  <c r="L36" i="7" l="1"/>
  <c r="Q36" i="7"/>
  <c r="P72" i="3"/>
  <c r="H16" i="3"/>
  <c r="AB16" i="3"/>
  <c r="AL47" i="3"/>
  <c r="AL37" i="3"/>
  <c r="K73" i="3"/>
  <c r="P17" i="3"/>
  <c r="AO12" i="3"/>
  <c r="AE13" i="3"/>
  <c r="AL38" i="3"/>
  <c r="U16" i="3"/>
  <c r="AO48" i="3"/>
  <c r="Z17" i="3"/>
  <c r="AQ38" i="3"/>
  <c r="AJ16" i="3"/>
  <c r="AQ16" i="3"/>
  <c r="AJ13" i="3"/>
  <c r="K17" i="3"/>
  <c r="AG16" i="3"/>
  <c r="AN48" i="3"/>
  <c r="AT49" i="3"/>
  <c r="AO17" i="3"/>
  <c r="M16" i="3"/>
  <c r="AE17" i="3"/>
  <c r="AQ49" i="3"/>
  <c r="AJ17" i="3"/>
  <c r="AL12" i="3"/>
  <c r="AS48" i="3"/>
  <c r="AP49" i="3"/>
  <c r="R16" i="3"/>
  <c r="AM39" i="3"/>
  <c r="AL45" i="3"/>
  <c r="AR48" i="3"/>
  <c r="AT17" i="3"/>
  <c r="AQ48" i="3"/>
  <c r="AT50" i="3"/>
  <c r="AY49" i="3"/>
  <c r="P73" i="3"/>
  <c r="AQ12" i="3"/>
  <c r="U73" i="3"/>
  <c r="AN50" i="3"/>
  <c r="AT48" i="3"/>
  <c r="AT12" i="3"/>
  <c r="AU49" i="3"/>
  <c r="AZ49" i="3"/>
  <c r="AZ50" i="3"/>
  <c r="AU50" i="3"/>
  <c r="U17" i="3"/>
  <c r="AO13" i="3"/>
  <c r="AN49" i="3"/>
  <c r="AO50" i="3"/>
  <c r="AQ50" i="3"/>
  <c r="AT16" i="3"/>
  <c r="AS50" i="3"/>
  <c r="AO49" i="3"/>
  <c r="AS49" i="3"/>
  <c r="AV49" i="3"/>
  <c r="AR50" i="3"/>
  <c r="AW49" i="3"/>
  <c r="AR49" i="3"/>
  <c r="AM50" i="3"/>
  <c r="AV50" i="3"/>
  <c r="AW50" i="3"/>
  <c r="AW48" i="3"/>
  <c r="AV48" i="3"/>
  <c r="AL48" i="3" l="1"/>
  <c r="AM48" i="3"/>
  <c r="AL49" i="3"/>
  <c r="AZ13" i="3" l="1"/>
  <c r="AY13" i="3"/>
  <c r="AY12" i="3"/>
  <c r="AY17" i="3"/>
  <c r="AY16" i="3"/>
  <c r="AZ17" i="3"/>
  <c r="AA36" i="7"/>
</calcChain>
</file>

<file path=xl/sharedStrings.xml><?xml version="1.0" encoding="utf-8"?>
<sst xmlns="http://schemas.openxmlformats.org/spreadsheetml/2006/main" count="2308" uniqueCount="417">
  <si>
    <t>Q2</t>
  </si>
  <si>
    <t>Q3</t>
  </si>
  <si>
    <t>Q4</t>
  </si>
  <si>
    <t>Pelephone</t>
  </si>
  <si>
    <t>Bezeq The Israel Telecommunication Corp. Limited</t>
  </si>
  <si>
    <t>FY</t>
  </si>
  <si>
    <t xml:space="preserve">Q1 </t>
  </si>
  <si>
    <t>QoQ Change</t>
  </si>
  <si>
    <t>YoY Change</t>
  </si>
  <si>
    <t>EBITDA</t>
  </si>
  <si>
    <t>EBITDA margin</t>
  </si>
  <si>
    <t>Depreciation &amp; amortization</t>
  </si>
  <si>
    <t>Operating cash flow</t>
  </si>
  <si>
    <t>Free cash flow</t>
  </si>
  <si>
    <t>Net debt</t>
  </si>
  <si>
    <t>Bezeq International</t>
  </si>
  <si>
    <t>Revenues</t>
  </si>
  <si>
    <t xml:space="preserve">Number of employees </t>
  </si>
  <si>
    <t>Capex/Sales</t>
  </si>
  <si>
    <t>Ratios</t>
  </si>
  <si>
    <t>yes</t>
  </si>
  <si>
    <t xml:space="preserve">Bezeq Investor Relations </t>
  </si>
  <si>
    <t>For further information:</t>
  </si>
  <si>
    <t>Phone     +9722 539 5441</t>
  </si>
  <si>
    <t>Key Cash Flow Metrics</t>
  </si>
  <si>
    <t>Key Performance Indicators</t>
  </si>
  <si>
    <t>Index of contents</t>
  </si>
  <si>
    <t>Key Income Statement Metrics</t>
  </si>
  <si>
    <t>Shares Outstanding - Diluted</t>
  </si>
  <si>
    <t>ARPU</t>
  </si>
  <si>
    <t>=</t>
  </si>
  <si>
    <t>Net margin</t>
  </si>
  <si>
    <t>Glossary</t>
  </si>
  <si>
    <t>ir@bezeq.co.il</t>
  </si>
  <si>
    <t>N/M</t>
  </si>
  <si>
    <t>N/A</t>
  </si>
  <si>
    <t xml:space="preserve">Ratios </t>
  </si>
  <si>
    <t xml:space="preserve">Total incoming minutes (in millions) </t>
  </si>
  <si>
    <t>Capital expenditures, gross (cash flow)</t>
  </si>
  <si>
    <t>Capital expenditures, net (cash flow)</t>
  </si>
  <si>
    <t xml:space="preserve">N/A </t>
  </si>
  <si>
    <t xml:space="preserve">GLOSSARY </t>
  </si>
  <si>
    <r>
      <t>Free cash flow</t>
    </r>
    <r>
      <rPr>
        <b/>
        <vertAlign val="superscript"/>
        <sz val="10"/>
        <rFont val="Arial"/>
        <family val="2"/>
      </rPr>
      <t xml:space="preserve"> </t>
    </r>
  </si>
  <si>
    <t>Bezeq Fixed-Line</t>
  </si>
  <si>
    <t xml:space="preserve">Q2 </t>
  </si>
  <si>
    <t>Net capital expenditures</t>
  </si>
  <si>
    <t>Average revenue per user</t>
  </si>
  <si>
    <t>Not available</t>
  </si>
  <si>
    <t>Not meaningful</t>
  </si>
  <si>
    <t>Total Revenues</t>
  </si>
  <si>
    <t>Service Revenues</t>
  </si>
  <si>
    <t>Equipment Revenues</t>
  </si>
  <si>
    <t xml:space="preserve">Operating cash flow </t>
  </si>
  <si>
    <t xml:space="preserve">Free cash flow </t>
  </si>
  <si>
    <t>Average broadband speed per subscriber (end of period, Mbps)</t>
  </si>
  <si>
    <t>ARPL</t>
  </si>
  <si>
    <t>Average revenue per line</t>
  </si>
  <si>
    <t>Purchase of property, plant &amp; equipment (PPE), plus investments in intangible assets, less proceeds from the sale of PPE</t>
  </si>
  <si>
    <t xml:space="preserve">ARPU (in NIS) </t>
  </si>
  <si>
    <t xml:space="preserve">Key Income Statement Metrics </t>
  </si>
  <si>
    <t xml:space="preserve">Key Cash Flow Metrics </t>
  </si>
  <si>
    <t>Total outgoing minutes (in millions)</t>
  </si>
  <si>
    <t xml:space="preserve">Total access lines (in 000's) </t>
  </si>
  <si>
    <t xml:space="preserve">ARPL - Voice &amp; fixed fees (in NIS) </t>
  </si>
  <si>
    <t>Salaries</t>
  </si>
  <si>
    <t>Key Income Statement Metrics (Revenues)</t>
  </si>
  <si>
    <t>Operating &amp; general expenses</t>
  </si>
  <si>
    <r>
      <t xml:space="preserve">Bezeq Fixed-Line </t>
    </r>
    <r>
      <rPr>
        <b/>
        <sz val="12"/>
        <rFont val="Arial"/>
        <family val="2"/>
      </rPr>
      <t>(cont'd)</t>
    </r>
  </si>
  <si>
    <t>Interconnect &amp; payments to telecom operators</t>
  </si>
  <si>
    <t>Terminal equipment &amp; materials</t>
  </si>
  <si>
    <t>Maintenance of buildings and sites</t>
  </si>
  <si>
    <t>Services and maintenance by sub-contractors</t>
  </si>
  <si>
    <t xml:space="preserve">Vehicle maintenance </t>
  </si>
  <si>
    <t>Finance expenses (income), net</t>
  </si>
  <si>
    <t>Q1</t>
  </si>
  <si>
    <t xml:space="preserve">Salaries </t>
  </si>
  <si>
    <t>Vehicle maintenance</t>
  </si>
  <si>
    <t>Marketing &amp; general</t>
  </si>
  <si>
    <t>Other operating expenses (income)</t>
  </si>
  <si>
    <t>Dividend History</t>
  </si>
  <si>
    <t>April 16, 2006</t>
  </si>
  <si>
    <t>Dividend per share (NIS)</t>
  </si>
  <si>
    <t>October 30, 2006</t>
  </si>
  <si>
    <t>January 9, 2007</t>
  </si>
  <si>
    <t>February 26, 2007</t>
  </si>
  <si>
    <t>October 15, 2007</t>
  </si>
  <si>
    <t>April 28, 2008</t>
  </si>
  <si>
    <t>October 29, 2008</t>
  </si>
  <si>
    <t>May 24, 2009</t>
  </si>
  <si>
    <t>October 5, 2009</t>
  </si>
  <si>
    <t>May 3, 2010</t>
  </si>
  <si>
    <t>October 7, 2010</t>
  </si>
  <si>
    <t>May 19, 2011</t>
  </si>
  <si>
    <t>October 5, 2011</t>
  </si>
  <si>
    <t>May 21, 2012</t>
  </si>
  <si>
    <t>October 10, 2012</t>
  </si>
  <si>
    <t>May 13, 2013</t>
  </si>
  <si>
    <t>September 15, 2013</t>
  </si>
  <si>
    <t>Bezeq Group Dividends</t>
  </si>
  <si>
    <t>Dividend Distribution date</t>
  </si>
  <si>
    <t>Total Amount (NIS m)</t>
  </si>
  <si>
    <t>Dividend Type</t>
  </si>
  <si>
    <t>Semi-Annual Dividend</t>
  </si>
  <si>
    <t>Special Dividend (1 of 6)</t>
  </si>
  <si>
    <t>Special Dividend (6 of 6)</t>
  </si>
  <si>
    <t>Special Dividend (5 of 6)</t>
  </si>
  <si>
    <t>Special Dividend (4 of 6)</t>
  </si>
  <si>
    <t>Special Dividend (3 of 6)</t>
  </si>
  <si>
    <t>Special Dividend (2 of 6)</t>
  </si>
  <si>
    <t>Special Dividend</t>
  </si>
  <si>
    <t>Number of employees</t>
  </si>
  <si>
    <t>Operating &amp; General Expenses</t>
  </si>
  <si>
    <t>Revenues from Residential Customers</t>
  </si>
  <si>
    <t>Revenues from Business Customers</t>
  </si>
  <si>
    <t>% of total revenues</t>
  </si>
  <si>
    <t>Revenues from Private Customers</t>
  </si>
  <si>
    <t>April 23, 2014</t>
  </si>
  <si>
    <t>Collection fees (royalties)</t>
  </si>
  <si>
    <t>October 2, 2014</t>
  </si>
  <si>
    <t>May 27, 2015</t>
  </si>
  <si>
    <t>-</t>
  </si>
  <si>
    <t>Broadband Internet lines (in 000's)-Wholesale</t>
  </si>
  <si>
    <t>Broadband Internet lines (in 000's)- Total</t>
  </si>
  <si>
    <t>Broadband Internet ARPU (in NIS) - Retail</t>
  </si>
  <si>
    <t>October 26, 2015</t>
  </si>
  <si>
    <t>Market share</t>
  </si>
  <si>
    <t>Market share - ISP</t>
  </si>
  <si>
    <t>Market share - ILD (Outgoing)</t>
  </si>
  <si>
    <t>Mkt share</t>
  </si>
  <si>
    <t>Market share - telephony (private sector)</t>
  </si>
  <si>
    <t>Churn rate</t>
  </si>
  <si>
    <t xml:space="preserve">Churn rate </t>
  </si>
  <si>
    <t>Market share - telephony (business sector)</t>
  </si>
  <si>
    <t xml:space="preserve">Semi-Annual Dividend </t>
  </si>
  <si>
    <t xml:space="preserve"> </t>
  </si>
  <si>
    <t>Other operating expenses</t>
  </si>
  <si>
    <t>Churn rate  (ISP)</t>
  </si>
  <si>
    <t>Churn rate (telephony)</t>
  </si>
  <si>
    <t>Total changes in assets and liabilities</t>
  </si>
  <si>
    <t>Change in trade &amp; other receivables</t>
  </si>
  <si>
    <t>Change in inventory</t>
  </si>
  <si>
    <t>Change in trade &amp; other payables</t>
  </si>
  <si>
    <t>Change in provisions</t>
  </si>
  <si>
    <t>Change in employee benefits</t>
  </si>
  <si>
    <t>Income tax paid, net</t>
  </si>
  <si>
    <t>Interest paid</t>
  </si>
  <si>
    <t>NIS Millions</t>
  </si>
  <si>
    <t>Bezeq Group</t>
  </si>
  <si>
    <t>Other Operating Expenses (Income), Net</t>
  </si>
  <si>
    <t>Profit from the sale of shares in Coral Tel Ltd.</t>
  </si>
  <si>
    <t>Proft from copper sales</t>
  </si>
  <si>
    <t>Provision (cancellation)-contingent liabilities, net</t>
  </si>
  <si>
    <t>Loss from the discontinuation of a software development project</t>
  </si>
  <si>
    <t>Total other operating expenses (income), net</t>
  </si>
  <si>
    <t>Key Performance Indicators (KPIs)</t>
  </si>
  <si>
    <t>Dividends</t>
  </si>
  <si>
    <t>October 6, 2016</t>
  </si>
  <si>
    <t>Income taxes</t>
  </si>
  <si>
    <t>The data in this metrics file contains partial information from the public reports of Bezeq under the Israeli Securities Law for which the Hebrew reports can be accessed at the Israeli Securities Authority's website.  The metrics file is a not a substitute for a review of the detailed reports of Bezeq.</t>
  </si>
  <si>
    <t>Adjusted EBITDA</t>
  </si>
  <si>
    <t>Broadband Internet lines (in 000's) - Retail</t>
  </si>
  <si>
    <t>EBITDA, reported</t>
  </si>
  <si>
    <t xml:space="preserve">Capital expenditures, net </t>
  </si>
  <si>
    <t xml:space="preserve">Content </t>
  </si>
  <si>
    <t>May 29, 2017</t>
  </si>
  <si>
    <t>Average revenue per line (ARPL) (in NIS)</t>
  </si>
  <si>
    <t>QoQ Line change (000's)</t>
  </si>
  <si>
    <t>QoQ subscriber change (000's)</t>
  </si>
  <si>
    <t>October 16, 2017</t>
  </si>
  <si>
    <t>Cash &amp; cash equivalents</t>
  </si>
  <si>
    <t>Investments</t>
  </si>
  <si>
    <t>Trade receivables</t>
  </si>
  <si>
    <t>Other receivables</t>
  </si>
  <si>
    <t>Eurocom DBS Ltd., related party</t>
  </si>
  <si>
    <t>Inventory</t>
  </si>
  <si>
    <t>Total current assets</t>
  </si>
  <si>
    <t>Trade and other receivables</t>
  </si>
  <si>
    <t>Broadcasting rights</t>
  </si>
  <si>
    <t>Fixed assets</t>
  </si>
  <si>
    <t>Intangible assets</t>
  </si>
  <si>
    <t>Deferred tax assets</t>
  </si>
  <si>
    <t>Deferred expenses and non-current investments</t>
  </si>
  <si>
    <t>Total non-current assets</t>
  </si>
  <si>
    <t>Total assets</t>
  </si>
  <si>
    <t>Debentures, loans and borrowings</t>
  </si>
  <si>
    <t>Trade and other payables</t>
  </si>
  <si>
    <t>Current tax liabilities</t>
  </si>
  <si>
    <t>Liability to Eurocom DBS Ltd.</t>
  </si>
  <si>
    <t>Employee benefits</t>
  </si>
  <si>
    <t>Provisions</t>
  </si>
  <si>
    <t>Dividend payable</t>
  </si>
  <si>
    <t>Total current liabilities</t>
  </si>
  <si>
    <t>Total non-current liabilities</t>
  </si>
  <si>
    <t>Total equity</t>
  </si>
  <si>
    <t>Loans and debentures</t>
  </si>
  <si>
    <t>Derivative and other liabilities</t>
  </si>
  <si>
    <t>Deferred tax liabilities</t>
  </si>
  <si>
    <t>Working Capital</t>
  </si>
  <si>
    <t>Proceeds from sale of assets</t>
  </si>
  <si>
    <t xml:space="preserve">Broadband Internet </t>
  </si>
  <si>
    <t xml:space="preserve">Telephony </t>
  </si>
  <si>
    <t xml:space="preserve">Other </t>
  </si>
  <si>
    <t xml:space="preserve">Transmission &amp; data </t>
  </si>
  <si>
    <t>Cloud &amp; digital services</t>
  </si>
  <si>
    <t>Loss from impairment of assets</t>
  </si>
  <si>
    <t>May 10, 2018</t>
  </si>
  <si>
    <t>Funds From Operations (FFO)</t>
  </si>
  <si>
    <t>FFO</t>
  </si>
  <si>
    <t>Operating cash flows less net capital expenditures and lease payments</t>
  </si>
  <si>
    <t>Lease liability</t>
  </si>
  <si>
    <t>Right-of-use assets</t>
  </si>
  <si>
    <t>EBITDA reported</t>
  </si>
  <si>
    <t xml:space="preserve">Lease payments (IFRS 16) </t>
  </si>
  <si>
    <t xml:space="preserve">Cash flow from operating activities less changes in working capital and payments for leases </t>
  </si>
  <si>
    <t>October 10, 2018</t>
  </si>
  <si>
    <t>Investment property</t>
  </si>
  <si>
    <t>Wholesale lines as % of total broadband lines</t>
  </si>
  <si>
    <r>
      <t>Depreciation &amp; amortization</t>
    </r>
    <r>
      <rPr>
        <b/>
        <sz val="8"/>
        <rFont val="Arial"/>
        <family val="2"/>
      </rPr>
      <t xml:space="preserve"> </t>
    </r>
  </si>
  <si>
    <t>Operating profit (loss)</t>
  </si>
  <si>
    <t>Profit from the sale of affiliate</t>
  </si>
  <si>
    <t>Other operating expenses (income), net</t>
  </si>
  <si>
    <t>Net debt / Adjusted EBITDA (ttm)</t>
  </si>
  <si>
    <t>Other (mainly legal claims)</t>
  </si>
  <si>
    <r>
      <t xml:space="preserve">ADJUSTED EBITDA </t>
    </r>
    <r>
      <rPr>
        <b/>
        <sz val="8"/>
        <rFont val="Arial"/>
        <family val="2"/>
      </rPr>
      <t>(excluding other operating income/expenses)</t>
    </r>
  </si>
  <si>
    <t>Depreciation, amortization &amp; impairment</t>
  </si>
  <si>
    <r>
      <t xml:space="preserve">ADJUSTED EBITDA </t>
    </r>
    <r>
      <rPr>
        <b/>
        <sz val="8"/>
        <rFont val="Arial"/>
        <family val="2"/>
      </rPr>
      <t>(excluding other operating income/expenses and one-time impairment)</t>
    </r>
  </si>
  <si>
    <t>Net Debt/Adjusted EBITDA</t>
  </si>
  <si>
    <t xml:space="preserve">Total Subscribers (EOP, in 000's) </t>
  </si>
  <si>
    <t xml:space="preserve">Postpaid Subscribers (EOP, in 000's) </t>
  </si>
  <si>
    <t xml:space="preserve">Prepaid Subscribers (EOP, in 000's) </t>
  </si>
  <si>
    <t xml:space="preserve">Subscribers (EOP, in 000's) </t>
  </si>
  <si>
    <t>TTM</t>
  </si>
  <si>
    <t>Trailing twelve months</t>
  </si>
  <si>
    <t>Earnings Before Interest, taxes, depreciation, amortization and ongoing losses from impairment of fixed and intangible assets</t>
  </si>
  <si>
    <t>Total operating &amp; general expenses</t>
  </si>
  <si>
    <t>Cash and short-term investments</t>
  </si>
  <si>
    <t>Gross debt</t>
  </si>
  <si>
    <t>https://ir.bezeq.co.il</t>
  </si>
  <si>
    <t>yes - Proforma (Excluding Impairment Loss)</t>
  </si>
  <si>
    <t xml:space="preserve">yes - Reported </t>
  </si>
  <si>
    <t xml:space="preserve">Depreciation &amp; amortization </t>
  </si>
  <si>
    <t xml:space="preserve">Total operating &amp; general expenses </t>
  </si>
  <si>
    <t xml:space="preserve">Operating &amp; general expenses </t>
  </si>
  <si>
    <t>Operating, general &amp; impairment expenses</t>
  </si>
  <si>
    <t>Rating Agency</t>
  </si>
  <si>
    <t>Outlook</t>
  </si>
  <si>
    <t>S&amp;P Global Ratings Maalot</t>
  </si>
  <si>
    <t>Midroog</t>
  </si>
  <si>
    <t>Rating</t>
  </si>
  <si>
    <t>First year</t>
  </si>
  <si>
    <t>Second year</t>
  </si>
  <si>
    <t>Third year</t>
  </si>
  <si>
    <t>Fourth year</t>
  </si>
  <si>
    <t>Fifth year and thereafter</t>
  </si>
  <si>
    <t>CPI Linked</t>
  </si>
  <si>
    <t>Unlinked</t>
  </si>
  <si>
    <t>Total</t>
  </si>
  <si>
    <t>Debt Ratings &amp; Repayments</t>
  </si>
  <si>
    <t>Debt Terms</t>
  </si>
  <si>
    <t>Total Debt - Bezeq Fixed-Line</t>
  </si>
  <si>
    <t>Tax asset write-off</t>
  </si>
  <si>
    <t>Assets held for sale</t>
  </si>
  <si>
    <t>Notes Issued to the Public (Bezeq Fixed-Line)</t>
  </si>
  <si>
    <t>Private Notes and Other Non-Bank Credit (Bezeq Fixed-Line)</t>
  </si>
  <si>
    <t>Credit from Israeli Banks (Bezeq Fixed-Line)</t>
  </si>
  <si>
    <t>BE Router (in thousands)</t>
  </si>
  <si>
    <t>Revenues from Internet services</t>
  </si>
  <si>
    <t>Loss from impairment of Pelephone assets</t>
  </si>
  <si>
    <t>Debt Terms and Repayments</t>
  </si>
  <si>
    <t>EBITDA excluding other operating income/expenses and one-time loss from impairment of assets</t>
  </si>
  <si>
    <t>NET PROFIT reported</t>
  </si>
  <si>
    <t>Loss from impairment of Bezeq International assets</t>
  </si>
  <si>
    <t>Loss from impairment of assets (yes and Walla)</t>
  </si>
  <si>
    <t>Aa3.il</t>
  </si>
  <si>
    <t>Stable</t>
  </si>
  <si>
    <t>Cash and cash equivalents at the beginning of the period</t>
  </si>
  <si>
    <t>Sources</t>
  </si>
  <si>
    <t>Net cash from operating activities</t>
  </si>
  <si>
    <t>Proceeds from the sale of property, plant and equipment</t>
  </si>
  <si>
    <t>Proceeds from redemption of bank and other deposits</t>
  </si>
  <si>
    <t>Miscellaneous</t>
  </si>
  <si>
    <t>Cash flows from investing activities</t>
  </si>
  <si>
    <t>Cash flows from financing activities</t>
  </si>
  <si>
    <t>Loans from investees</t>
  </si>
  <si>
    <t>Total cash from investees</t>
  </si>
  <si>
    <t xml:space="preserve">Total </t>
  </si>
  <si>
    <t>Acquisition of fixed assets and investment in intangible assets</t>
  </si>
  <si>
    <t>Investment in bank and other deposits</t>
  </si>
  <si>
    <t>Cash used in investing activities</t>
  </si>
  <si>
    <t>Principal and interest payments on leases</t>
  </si>
  <si>
    <t>Interest payments and other finance expenses</t>
  </si>
  <si>
    <t>Cash used in financing activities</t>
  </si>
  <si>
    <t>Uses</t>
  </si>
  <si>
    <t>Investment in a subsidiary</t>
  </si>
  <si>
    <t>Interest payment</t>
  </si>
  <si>
    <t>Total cash used in investees</t>
  </si>
  <si>
    <t>Cash and cash equivalents at the end of the period</t>
  </si>
  <si>
    <t>TOTAL SOURCES</t>
  </si>
  <si>
    <t>TOTAL USES</t>
  </si>
  <si>
    <t>Fixed-Line Cash Flow Guidance</t>
  </si>
  <si>
    <t>ilAA-</t>
  </si>
  <si>
    <t>Jan 1, 2021-</t>
  </si>
  <si>
    <t>Dec 31, 2021</t>
  </si>
  <si>
    <t>Jan 1, 2022-</t>
  </si>
  <si>
    <t>Dec 31, 2022</t>
  </si>
  <si>
    <t>Bezeq Fixed-Line - Cash Flow Forecast</t>
  </si>
  <si>
    <t>Repayment of public debentures</t>
  </si>
  <si>
    <t>Repayment of loans from subsidiaries</t>
  </si>
  <si>
    <t>In NIS millions</t>
  </si>
  <si>
    <t>Bspot and Be Mesh (in thousands)</t>
  </si>
  <si>
    <t>Earnings Per Share - Diluted (NIS)</t>
  </si>
  <si>
    <t xml:space="preserve">                                      (NIS millions)</t>
  </si>
  <si>
    <r>
      <t xml:space="preserve">Revenues from Voice and Business services </t>
    </r>
    <r>
      <rPr>
        <b/>
        <sz val="8"/>
        <rFont val="Arial"/>
        <family val="2"/>
      </rPr>
      <t>(Data, ICT, PBX)</t>
    </r>
  </si>
  <si>
    <r>
      <t xml:space="preserve">ADJUSTED NET PROFIT (LOSS) </t>
    </r>
    <r>
      <rPr>
        <b/>
        <sz val="8"/>
        <rFont val="Arial"/>
        <family val="2"/>
      </rPr>
      <t>(excluding other operating income/expenses and one-time impairment)</t>
    </r>
  </si>
  <si>
    <r>
      <t xml:space="preserve">ADJUSTED NET PROFIT (LOSS) </t>
    </r>
    <r>
      <rPr>
        <b/>
        <sz val="8"/>
        <rFont val="Arial"/>
        <family val="2"/>
      </rPr>
      <t>(excluding other operating income/expenses)</t>
    </r>
  </si>
  <si>
    <t>Net profit (loss) - reported</t>
  </si>
  <si>
    <r>
      <t xml:space="preserve">ADJUSTED NET PROFIT </t>
    </r>
    <r>
      <rPr>
        <b/>
        <sz val="8"/>
        <rFont val="Arial"/>
        <family val="2"/>
      </rPr>
      <t>(excluding other operating income/expenses and one-time impairment)</t>
    </r>
  </si>
  <si>
    <t xml:space="preserve">Bezeq Group </t>
  </si>
  <si>
    <t>Provision (cancellation) for collective agreements at Pelephone, Bezeq International and yes</t>
  </si>
  <si>
    <t>Provision (cancellation) for early retirement agreement - Bezeq Fixed-Line</t>
  </si>
  <si>
    <t>Debenture issuance and new loans</t>
  </si>
  <si>
    <t>Repayment of bank loans</t>
  </si>
  <si>
    <t>Proceeds from settlement agreements</t>
  </si>
  <si>
    <t>ARPU (in NIS)*</t>
  </si>
  <si>
    <t xml:space="preserve">* In Q1 2020, yes updated its ARPU definition so that ARPU does not include revenue from content sales to external broadcasters. As a result, ARPU data for 2018 and 2019 was adjusted retroactively.
</t>
  </si>
  <si>
    <t>Banks</t>
  </si>
  <si>
    <t>Fixed</t>
  </si>
  <si>
    <t>Non-bank sources</t>
  </si>
  <si>
    <t>Principal</t>
  </si>
  <si>
    <t>(NIS millons)</t>
  </si>
  <si>
    <t>Currency</t>
  </si>
  <si>
    <t>Average</t>
  </si>
  <si>
    <t>Interest Rate</t>
  </si>
  <si>
    <t>Interest</t>
  </si>
  <si>
    <t xml:space="preserve">Type of </t>
  </si>
  <si>
    <t>NIS</t>
  </si>
  <si>
    <t xml:space="preserve">Interest Rate Range </t>
  </si>
  <si>
    <t>The following table shows the distribution of long-term debt as of September 30, 2020 (including current maturities):</t>
  </si>
  <si>
    <t>1.43% - 1.54%</t>
  </si>
  <si>
    <t>3.20% - 5.25%</t>
  </si>
  <si>
    <t>1.70% - 3.70%</t>
  </si>
  <si>
    <t>*The forecasts for the issuance and repayment of debt as well as the early repayment of bank loans, assumes the continuation of the Company's plan to extend debt maturities in the years 2021-2022. The timing of the early repayments is an estimation and may change between years.</t>
  </si>
  <si>
    <t xml:space="preserve">Loss from impairment of assets </t>
  </si>
  <si>
    <t>Repayment of private debentures and non-bank credit</t>
  </si>
  <si>
    <t>Profit from increase in value of Walla assets</t>
  </si>
  <si>
    <t>Bezeq Facts &amp; Figures Q4 &amp; FY 2020</t>
  </si>
  <si>
    <t>Three months and year ending December 31, 2020</t>
  </si>
  <si>
    <t xml:space="preserve">Pelephone Adjusted EBITDA </t>
  </si>
  <si>
    <t>Bezeq International Adjusted EBITDA</t>
  </si>
  <si>
    <t>yes Adjusted EBITDA</t>
  </si>
  <si>
    <t xml:space="preserve">Pelephone Adjusted Net Profit </t>
  </si>
  <si>
    <t>Bezeq International Adjusted Net Profit</t>
  </si>
  <si>
    <t>yes Adjusted Net Profit</t>
  </si>
  <si>
    <t>Variable; based on the annual interest rate for Treasury Bills</t>
  </si>
  <si>
    <t>Adjusted EBITDA Calculation</t>
  </si>
  <si>
    <t xml:space="preserve"> Adjusted Net Profit Calculation</t>
  </si>
  <si>
    <t>in 2020</t>
  </si>
  <si>
    <t>Linkage</t>
  </si>
  <si>
    <t>CPI</t>
  </si>
  <si>
    <t xml:space="preserve"> Interest  </t>
  </si>
  <si>
    <t>Total Principal and Interest</t>
  </si>
  <si>
    <t>Balance Sheet</t>
  </si>
  <si>
    <t xml:space="preserve">ADJUSTED EBITDA </t>
  </si>
  <si>
    <r>
      <t>ADJUSTED NET PROFIT</t>
    </r>
    <r>
      <rPr>
        <b/>
        <sz val="8"/>
        <rFont val="Arial"/>
        <family val="2"/>
      </rPr>
      <t xml:space="preserve"> </t>
    </r>
  </si>
  <si>
    <t>Financials (Group, Fixed-Line and Key Subsidiaries)</t>
  </si>
  <si>
    <t xml:space="preserve">Key subsidiary companies (Pelephone, Bezeq International, yes - proforma) </t>
  </si>
  <si>
    <t xml:space="preserve">Adjusted EBITDA in this ratio is EBITDA (Trailing Twelve Months) less lease payments and  </t>
  </si>
  <si>
    <t xml:space="preserve">excluding other income/expenses and one-time loss from impairment of assets </t>
  </si>
  <si>
    <t>Profit from the sale of property, plant and equipment (mainly real estate)</t>
  </si>
  <si>
    <t>Profit from increase to controlling stake in yes</t>
  </si>
  <si>
    <t>Summary of Financial Undertakings as of December 31, 2020 (based on repayment dates)</t>
  </si>
  <si>
    <t>(Negative Credit Review - Dec 2020)</t>
  </si>
  <si>
    <t>Adjusted EBITDA - Key Subsidiary Companies</t>
  </si>
  <si>
    <t>Adjusted Net Profit - Key Subsidiary Companies</t>
  </si>
  <si>
    <t xml:space="preserve">Change in other liabilities </t>
  </si>
  <si>
    <t>Capital expenditures, gross (cash)</t>
  </si>
  <si>
    <t>Capital expenditures, net (cash)</t>
  </si>
  <si>
    <t>ADJUSTED NET PROFIT (LOSS)</t>
  </si>
  <si>
    <t>TOTAL ADJUSTED EBITDA</t>
  </si>
  <si>
    <t xml:space="preserve">TOTAL ADJUSTED NET PROFIT </t>
  </si>
  <si>
    <t>Provision for grant to fixed-line employees</t>
  </si>
  <si>
    <t>3.20% - 5.30%</t>
  </si>
  <si>
    <t>Market share - Internet (retail and wholesale)</t>
  </si>
  <si>
    <t>Other operating expenses (income), net - Fixed-Line</t>
  </si>
  <si>
    <t>Other operating expenses (income), net - Pelephone</t>
  </si>
  <si>
    <t>Other operating expenses (income), net - Bezeq Intl</t>
  </si>
  <si>
    <t>Other operating expenses (income), net - yes</t>
  </si>
  <si>
    <t>Other operating expenses (income), net - Walla</t>
  </si>
  <si>
    <t>Other operating expenses (income), net - Group</t>
  </si>
  <si>
    <t>Financing Expenses (Income), Net</t>
  </si>
  <si>
    <t>Impairment of Assets</t>
  </si>
  <si>
    <t>Salaries and related expenses</t>
  </si>
  <si>
    <t>Less: capitalized salaries to fixed and intangible assets</t>
  </si>
  <si>
    <t>Net salaries</t>
  </si>
  <si>
    <t>Loss from impairment (Bezeq International)</t>
  </si>
  <si>
    <t>Loss (gain) from impairment (Walla)</t>
  </si>
  <si>
    <t>Loss from impairment (Pelephone)</t>
  </si>
  <si>
    <t>Loss from impairment (yes)</t>
  </si>
  <si>
    <t>Interest expense for financial liablilities</t>
  </si>
  <si>
    <t>Costs for early repayment of loans and debentures</t>
  </si>
  <si>
    <t>Financing expenses for lease commitments</t>
  </si>
  <si>
    <t>Linkage and exchange rate differences</t>
  </si>
  <si>
    <t>Financing expenses for employee benefits</t>
  </si>
  <si>
    <t>Change in fair value of financial assets</t>
  </si>
  <si>
    <t>Other financing expenses</t>
  </si>
  <si>
    <t xml:space="preserve">Change in the liability for contingent consideration for a business combination </t>
  </si>
  <si>
    <t xml:space="preserve">Total Financing Expenses </t>
  </si>
  <si>
    <t>Other financing income</t>
  </si>
  <si>
    <t>Financing income from debenture exchange</t>
  </si>
  <si>
    <t>Financing income from credit in sales</t>
  </si>
  <si>
    <t>Total Financing Income</t>
  </si>
  <si>
    <t>Total Financing Expenses, Net</t>
  </si>
  <si>
    <t>Bezeq Group - Financing Expenses</t>
  </si>
  <si>
    <t>Bezeq Group - Impairment of Assets</t>
  </si>
  <si>
    <t>Bezeq Group - Salaries</t>
  </si>
  <si>
    <t>ADJUSTED EBITDA Margin</t>
  </si>
  <si>
    <t>** As of the date of the report, the Company has a balance of investments in deposits and money market funds of NIS 724 million that may be exercised in the 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</si>
</sst>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 #,##0.00_ ;_ * \-#,##0.00_ ;_ * &quot;-&quot;??_ ;_ @_ "/>
    <numFmt numFmtId="164" formatCode="0.0"/>
    <numFmt numFmtId="165" formatCode="_ * #,##0_ ;_ * \-#,##0_ ;_ * &quot;-&quot;??_ ;_ @_ "/>
    <numFmt numFmtId="166" formatCode="0.0%"/>
    <numFmt numFmtId="167" formatCode="[$-809]dd\ mmmm\ yyyy;@"/>
    <numFmt numFmtId="168" formatCode="#,##0;\(#,##0\)"/>
    <numFmt numFmtId="169" formatCode="[$-409]mmmm\ d\,\ yyyy;@"/>
    <numFmt numFmtId="170" formatCode="0.0%;\(0.0%\)"/>
    <numFmt numFmtId="171" formatCode="#,##0.00;\(#,##0.00\)"/>
    <numFmt numFmtId="172" formatCode="#,##0.0;\(#,##0.0\)"/>
    <numFmt numFmtId="173" formatCode="#,###&quot;*&quot;;\(#,###&quot;*&quot;\);\-"/>
    <numFmt numFmtId="174" formatCode="#,###&quot;*&quot;;\(#,###\)&quot;*&quot;;\-"/>
    <numFmt numFmtId="175" formatCode="#,##0;\(##0\)"/>
    <numFmt numFmtId="176" formatCode="#,##0&quot;**&quot;"/>
  </numFmts>
  <fonts count="54">
    <font>
      <sz val="10"/>
      <name val="Arial"/>
      <charset val="177"/>
    </font>
    <font>
      <sz val="10"/>
      <name val="Arial"/>
      <family val="2"/>
    </font>
    <font>
      <b/>
      <sz val="10"/>
      <name val="Arial"/>
      <family val="2"/>
      <charset val="177"/>
    </font>
    <font>
      <b/>
      <u/>
      <sz val="10"/>
      <name val="Arial"/>
      <family val="2"/>
      <charset val="177"/>
    </font>
    <font>
      <sz val="8"/>
      <name val="Arial"/>
      <family val="2"/>
    </font>
    <font>
      <b/>
      <sz val="10"/>
      <name val="Arial"/>
      <family val="2"/>
    </font>
    <font>
      <sz val="10"/>
      <name val="Arial"/>
      <family val="2"/>
    </font>
    <font>
      <b/>
      <u/>
      <sz val="10"/>
      <name val="Arial"/>
      <family val="2"/>
    </font>
    <font>
      <b/>
      <sz val="12"/>
      <name val="Arial"/>
      <family val="2"/>
    </font>
    <font>
      <b/>
      <sz val="10"/>
      <color indexed="12"/>
      <name val="Arial"/>
      <family val="2"/>
    </font>
    <font>
      <u/>
      <sz val="10"/>
      <color indexed="12"/>
      <name val="Arial"/>
      <family val="2"/>
    </font>
    <font>
      <i/>
      <sz val="8"/>
      <name val="Arial"/>
      <family val="2"/>
    </font>
    <font>
      <i/>
      <sz val="10"/>
      <name val="Arial"/>
      <family val="2"/>
    </font>
    <font>
      <i/>
      <sz val="9"/>
      <name val="Arial"/>
      <family val="2"/>
    </font>
    <font>
      <sz val="10"/>
      <color indexed="20"/>
      <name val="Arial"/>
      <family val="2"/>
    </font>
    <font>
      <u/>
      <sz val="10"/>
      <name val="Arial"/>
      <family val="2"/>
    </font>
    <font>
      <i/>
      <sz val="8"/>
      <name val="Arial"/>
      <family val="2"/>
    </font>
    <font>
      <b/>
      <sz val="10"/>
      <color indexed="20"/>
      <name val="Arial"/>
      <family val="2"/>
    </font>
    <font>
      <sz val="10"/>
      <name val="KPN Sans"/>
      <family val="2"/>
    </font>
    <font>
      <b/>
      <sz val="11"/>
      <name val="KPN Sans"/>
      <family val="2"/>
    </font>
    <font>
      <b/>
      <sz val="10"/>
      <name val="KPN Sans"/>
      <family val="2"/>
    </font>
    <font>
      <b/>
      <i/>
      <sz val="9"/>
      <color indexed="8"/>
      <name val="KPN Arial"/>
      <family val="2"/>
    </font>
    <font>
      <sz val="9"/>
      <name val="KPN Sans"/>
      <family val="2"/>
    </font>
    <font>
      <sz val="9"/>
      <color indexed="8"/>
      <name val="KPN Arial"/>
    </font>
    <font>
      <sz val="10"/>
      <color indexed="8"/>
      <name val="KPN Arial"/>
    </font>
    <font>
      <b/>
      <sz val="20"/>
      <name val="Arial"/>
      <family val="2"/>
    </font>
    <font>
      <b/>
      <sz val="24"/>
      <name val="Arial Narrow"/>
      <family val="2"/>
    </font>
    <font>
      <sz val="10"/>
      <name val="Arial Narrow"/>
      <family val="2"/>
    </font>
    <font>
      <sz val="12"/>
      <name val="Arial Narrow"/>
      <family val="2"/>
    </font>
    <font>
      <b/>
      <u/>
      <sz val="12"/>
      <name val="Arial Narrow"/>
      <family val="2"/>
    </font>
    <font>
      <b/>
      <sz val="12"/>
      <name val="Arial Narrow"/>
      <family val="2"/>
    </font>
    <font>
      <b/>
      <i/>
      <sz val="9"/>
      <name val="Arial"/>
      <family val="2"/>
    </font>
    <font>
      <b/>
      <sz val="16"/>
      <name val="Arial"/>
      <family val="2"/>
    </font>
    <font>
      <i/>
      <sz val="8"/>
      <color indexed="8"/>
      <name val="Arial"/>
      <family val="2"/>
    </font>
    <font>
      <b/>
      <i/>
      <sz val="10"/>
      <name val="Arial"/>
      <family val="2"/>
    </font>
    <font>
      <b/>
      <sz val="18"/>
      <name val="Arial"/>
      <family val="2"/>
    </font>
    <font>
      <sz val="10"/>
      <color indexed="8"/>
      <name val="Arial"/>
      <family val="2"/>
    </font>
    <font>
      <b/>
      <vertAlign val="superscript"/>
      <sz val="10"/>
      <name val="Arial"/>
      <family val="2"/>
    </font>
    <font>
      <vertAlign val="superscript"/>
      <sz val="11"/>
      <name val="Arial"/>
      <family val="2"/>
    </font>
    <font>
      <b/>
      <sz val="8"/>
      <name val="Arial"/>
      <family val="2"/>
    </font>
    <font>
      <vertAlign val="superscript"/>
      <sz val="10"/>
      <name val="Arial"/>
      <family val="2"/>
    </font>
    <font>
      <b/>
      <sz val="11"/>
      <name val="Arial"/>
      <family val="2"/>
    </font>
    <font>
      <b/>
      <sz val="20"/>
      <name val="Arial Narrow"/>
      <family val="2"/>
    </font>
    <font>
      <sz val="12"/>
      <name val="Typograph"/>
      <charset val="177"/>
    </font>
    <font>
      <b/>
      <sz val="9"/>
      <name val="Arial"/>
      <family val="2"/>
    </font>
    <font>
      <sz val="9"/>
      <name val="Arial"/>
      <family val="2"/>
    </font>
    <font>
      <b/>
      <sz val="14"/>
      <name val="Arial"/>
      <family val="2"/>
    </font>
    <font>
      <sz val="10"/>
      <color rgb="FFFF0000"/>
      <name val="Arial"/>
      <family val="2"/>
    </font>
    <font>
      <sz val="10"/>
      <color rgb="FF000000"/>
      <name val="Arial"/>
      <family val="2"/>
    </font>
    <font>
      <b/>
      <sz val="10"/>
      <color rgb="FF000000"/>
      <name val="Arial"/>
      <family val="2"/>
    </font>
    <font>
      <b/>
      <u/>
      <sz val="10"/>
      <color rgb="FF000000"/>
      <name val="Arial"/>
      <family val="2"/>
    </font>
    <font>
      <sz val="11"/>
      <name val="Arial"/>
      <family val="2"/>
    </font>
    <font>
      <b/>
      <sz val="10"/>
      <color rgb="FFCCFFFF"/>
      <name val="Arial"/>
      <family val="2"/>
    </font>
    <font>
      <sz val="10"/>
      <color rgb="FF000000"/>
      <name val="Arial"/>
      <family val="2"/>
      <scheme val="minor"/>
    </font>
  </fonts>
  <fills count="13">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12"/>
        <bgColor indexed="64"/>
      </patternFill>
    </fill>
    <fill>
      <patternFill patternType="solid">
        <fgColor indexed="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rgb="FFC0C0C0"/>
        <bgColor indexed="64"/>
      </patternFill>
    </fill>
  </fills>
  <borders count="6">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326">
    <xf numFmtId="0" fontId="0" fillId="0" borderId="0" xfId="0"/>
    <xf numFmtId="0" fontId="0" fillId="0" borderId="0" xfId="0" applyBorder="1"/>
    <xf numFmtId="0" fontId="5" fillId="0" borderId="0" xfId="0" applyFont="1"/>
    <xf numFmtId="0" fontId="0" fillId="0" borderId="0" xfId="0" applyFill="1" applyBorder="1"/>
    <xf numFmtId="38" fontId="18" fillId="2" borderId="0" xfId="0" applyNumberFormat="1" applyFont="1" applyFill="1" applyProtection="1"/>
    <xf numFmtId="167" fontId="18" fillId="2" borderId="0" xfId="0" quotePrefix="1" applyNumberFormat="1" applyFont="1" applyFill="1" applyProtection="1"/>
    <xf numFmtId="0" fontId="19" fillId="0" borderId="0" xfId="0" applyFont="1" applyAlignment="1" applyProtection="1">
      <alignment horizontal="left"/>
    </xf>
    <xf numFmtId="38" fontId="20" fillId="2" borderId="0" xfId="0" applyNumberFormat="1" applyFont="1" applyFill="1" applyProtection="1"/>
    <xf numFmtId="0" fontId="21" fillId="0" borderId="0" xfId="0" applyFont="1" applyProtection="1"/>
    <xf numFmtId="38" fontId="22" fillId="2" borderId="0" xfId="0" applyNumberFormat="1" applyFont="1" applyFill="1" applyProtection="1"/>
    <xf numFmtId="0" fontId="23" fillId="0" borderId="0" xfId="0" applyFont="1" applyProtection="1"/>
    <xf numFmtId="0" fontId="24" fillId="0" borderId="0" xfId="0" applyFont="1" applyProtection="1"/>
    <xf numFmtId="0" fontId="10" fillId="0" borderId="0" xfId="3" applyAlignment="1" applyProtection="1"/>
    <xf numFmtId="0" fontId="25" fillId="0" borderId="0" xfId="0" applyFont="1"/>
    <xf numFmtId="38" fontId="18" fillId="2" borderId="0" xfId="0" applyNumberFormat="1" applyFont="1" applyFill="1"/>
    <xf numFmtId="0" fontId="27" fillId="0" borderId="0" xfId="0" applyFont="1"/>
    <xf numFmtId="38" fontId="28" fillId="2" borderId="0" xfId="0" applyNumberFormat="1" applyFont="1" applyFill="1" applyProtection="1"/>
    <xf numFmtId="0" fontId="28" fillId="0" borderId="0" xfId="0" applyFont="1"/>
    <xf numFmtId="38" fontId="29" fillId="2" borderId="0" xfId="0" applyNumberFormat="1" applyFont="1" applyFill="1" applyProtection="1"/>
    <xf numFmtId="49" fontId="30" fillId="2" borderId="0" xfId="0" applyNumberFormat="1" applyFont="1" applyFill="1" applyProtection="1"/>
    <xf numFmtId="0" fontId="0" fillId="3" borderId="0" xfId="0" applyFill="1" applyBorder="1"/>
    <xf numFmtId="0" fontId="0" fillId="3" borderId="0" xfId="0" applyFill="1"/>
    <xf numFmtId="0" fontId="0" fillId="3" borderId="0" xfId="0" applyFill="1" applyAlignment="1">
      <alignment horizontal="center"/>
    </xf>
    <xf numFmtId="166" fontId="11" fillId="3" borderId="0" xfId="0" applyNumberFormat="1" applyFont="1" applyFill="1" applyBorder="1"/>
    <xf numFmtId="0" fontId="0" fillId="0" borderId="0" xfId="0" applyFill="1" applyBorder="1" applyAlignment="1">
      <alignment horizontal="center"/>
    </xf>
    <xf numFmtId="0" fontId="0" fillId="0" borderId="0" xfId="0" applyAlignment="1">
      <alignment horizontal="center"/>
    </xf>
    <xf numFmtId="0" fontId="0" fillId="3" borderId="0" xfId="0" applyFill="1" applyBorder="1" applyAlignment="1"/>
    <xf numFmtId="0" fontId="5" fillId="3" borderId="0" xfId="0" applyFont="1" applyFill="1" applyBorder="1" applyAlignment="1"/>
    <xf numFmtId="0" fontId="5" fillId="3" borderId="0" xfId="0" applyFont="1" applyFill="1"/>
    <xf numFmtId="0" fontId="0" fillId="2" borderId="0" xfId="0" applyFill="1"/>
    <xf numFmtId="0" fontId="2" fillId="2" borderId="0" xfId="0" applyFont="1" applyFill="1" applyBorder="1" applyAlignment="1">
      <alignment horizontal="center"/>
    </xf>
    <xf numFmtId="0" fontId="0" fillId="2" borderId="0" xfId="0" applyFill="1" applyBorder="1"/>
    <xf numFmtId="0" fontId="0" fillId="0" borderId="0" xfId="0" applyFill="1"/>
    <xf numFmtId="0" fontId="32" fillId="3" borderId="0" xfId="0" applyFont="1" applyFill="1" applyBorder="1" applyAlignment="1"/>
    <xf numFmtId="0" fontId="5" fillId="0" borderId="0" xfId="0" applyFont="1" applyFill="1" applyBorder="1"/>
    <xf numFmtId="165" fontId="5" fillId="3" borderId="0" xfId="1" applyNumberFormat="1" applyFont="1" applyFill="1" applyBorder="1"/>
    <xf numFmtId="3" fontId="5" fillId="3" borderId="0" xfId="0" applyNumberFormat="1" applyFont="1" applyFill="1" applyBorder="1"/>
    <xf numFmtId="166" fontId="5" fillId="3" borderId="0" xfId="2" applyNumberFormat="1" applyFont="1" applyFill="1" applyBorder="1"/>
    <xf numFmtId="0" fontId="5" fillId="4" borderId="1" xfId="0" applyFont="1" applyFill="1" applyBorder="1"/>
    <xf numFmtId="0" fontId="0" fillId="4" borderId="1" xfId="0" applyFill="1" applyBorder="1"/>
    <xf numFmtId="0" fontId="9" fillId="4" borderId="1" xfId="0" applyFont="1" applyFill="1" applyBorder="1"/>
    <xf numFmtId="0" fontId="0" fillId="0" borderId="1" xfId="0" applyBorder="1"/>
    <xf numFmtId="0" fontId="12" fillId="5" borderId="1" xfId="0" applyFont="1" applyFill="1" applyBorder="1"/>
    <xf numFmtId="0" fontId="3" fillId="5" borderId="1" xfId="0" applyFont="1" applyFill="1" applyBorder="1" applyAlignment="1">
      <alignment horizontal="center"/>
    </xf>
    <xf numFmtId="0" fontId="0" fillId="5" borderId="1" xfId="0" applyFill="1" applyBorder="1" applyAlignment="1">
      <alignment horizontal="center"/>
    </xf>
    <xf numFmtId="0" fontId="5" fillId="2" borderId="0" xfId="0" applyFont="1" applyFill="1" applyBorder="1" applyAlignment="1">
      <alignment horizontal="center"/>
    </xf>
    <xf numFmtId="0" fontId="5" fillId="2" borderId="0" xfId="0" applyFont="1" applyFill="1"/>
    <xf numFmtId="166" fontId="11" fillId="4" borderId="1" xfId="0" applyNumberFormat="1" applyFont="1" applyFill="1" applyBorder="1"/>
    <xf numFmtId="0" fontId="5" fillId="4" borderId="1" xfId="0" applyFont="1" applyFill="1" applyBorder="1" applyAlignment="1">
      <alignment horizontal="left"/>
    </xf>
    <xf numFmtId="166" fontId="13" fillId="4" borderId="1" xfId="0" applyNumberFormat="1" applyFont="1" applyFill="1" applyBorder="1"/>
    <xf numFmtId="166" fontId="31" fillId="4" borderId="1" xfId="0" applyNumberFormat="1" applyFont="1" applyFill="1" applyBorder="1"/>
    <xf numFmtId="166" fontId="16" fillId="4" borderId="1" xfId="0" applyNumberFormat="1" applyFont="1" applyFill="1" applyBorder="1"/>
    <xf numFmtId="0" fontId="6" fillId="5" borderId="1" xfId="0" applyFont="1" applyFill="1" applyBorder="1"/>
    <xf numFmtId="166" fontId="5" fillId="3" borderId="0" xfId="0" applyNumberFormat="1" applyFont="1" applyFill="1" applyBorder="1"/>
    <xf numFmtId="0" fontId="15" fillId="0" borderId="0" xfId="0" applyFont="1" applyFill="1" applyBorder="1" applyAlignment="1">
      <alignment horizontal="center"/>
    </xf>
    <xf numFmtId="0" fontId="34" fillId="2" borderId="0" xfId="0" applyFont="1" applyFill="1" applyBorder="1" applyAlignment="1">
      <alignment horizontal="right"/>
    </xf>
    <xf numFmtId="0" fontId="0" fillId="3" borderId="2" xfId="0" applyFill="1" applyBorder="1" applyAlignment="1">
      <alignment horizontal="center"/>
    </xf>
    <xf numFmtId="0" fontId="3" fillId="3" borderId="2" xfId="0" applyFont="1" applyFill="1" applyBorder="1" applyAlignment="1">
      <alignment horizontal="center"/>
    </xf>
    <xf numFmtId="0" fontId="0" fillId="3" borderId="3" xfId="0" applyFill="1" applyBorder="1"/>
    <xf numFmtId="0" fontId="9" fillId="3" borderId="3" xfId="0" applyFont="1" applyFill="1" applyBorder="1"/>
    <xf numFmtId="165" fontId="5" fillId="3" borderId="0" xfId="1" applyNumberFormat="1" applyFont="1" applyFill="1" applyBorder="1" applyAlignment="1">
      <alignment horizontal="right"/>
    </xf>
    <xf numFmtId="43" fontId="5" fillId="3" borderId="0" xfId="0" applyNumberFormat="1" applyFont="1" applyFill="1"/>
    <xf numFmtId="165" fontId="5" fillId="3" borderId="0" xfId="1" applyNumberFormat="1" applyFont="1" applyFill="1"/>
    <xf numFmtId="0" fontId="8" fillId="2" borderId="0" xfId="0" applyFont="1" applyFill="1" applyAlignment="1">
      <alignment horizontal="center"/>
    </xf>
    <xf numFmtId="10" fontId="0" fillId="0" borderId="0" xfId="0" applyNumberFormat="1"/>
    <xf numFmtId="0" fontId="5" fillId="2" borderId="0" xfId="0" applyFont="1" applyFill="1" applyBorder="1"/>
    <xf numFmtId="165" fontId="5" fillId="2" borderId="0" xfId="1" applyNumberFormat="1" applyFont="1" applyFill="1" applyBorder="1"/>
    <xf numFmtId="0" fontId="11" fillId="2" borderId="0" xfId="0" applyFont="1" applyFill="1" applyBorder="1" applyAlignment="1">
      <alignment horizontal="right"/>
    </xf>
    <xf numFmtId="166" fontId="11" fillId="2" borderId="0" xfId="2" applyNumberFormat="1" applyFont="1" applyFill="1" applyBorder="1"/>
    <xf numFmtId="166" fontId="11" fillId="2" borderId="0" xfId="0" applyNumberFormat="1" applyFont="1" applyFill="1" applyBorder="1"/>
    <xf numFmtId="43" fontId="5"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165" fontId="5" fillId="2" borderId="0" xfId="0" applyNumberFormat="1" applyFont="1" applyFill="1"/>
    <xf numFmtId="166" fontId="5" fillId="2" borderId="0" xfId="0" applyNumberFormat="1" applyFont="1" applyFill="1" applyBorder="1"/>
    <xf numFmtId="0" fontId="5" fillId="2" borderId="0" xfId="0" applyFont="1" applyFill="1" applyBorder="1" applyAlignment="1">
      <alignment horizontal="left"/>
    </xf>
    <xf numFmtId="165" fontId="11" fillId="2" borderId="0" xfId="1" applyNumberFormat="1" applyFont="1" applyFill="1" applyBorder="1" applyAlignment="1">
      <alignment horizontal="right"/>
    </xf>
    <xf numFmtId="164" fontId="5" fillId="2" borderId="0" xfId="0" applyNumberFormat="1" applyFont="1" applyFill="1" applyBorder="1"/>
    <xf numFmtId="0" fontId="16" fillId="2" borderId="0" xfId="0" applyFont="1" applyFill="1" applyBorder="1" applyAlignment="1">
      <alignment horizontal="right"/>
    </xf>
    <xf numFmtId="166" fontId="11" fillId="2" borderId="0" xfId="0" applyNumberFormat="1" applyFont="1" applyFill="1" applyBorder="1" applyAlignment="1">
      <alignment horizontal="right"/>
    </xf>
    <xf numFmtId="0" fontId="33" fillId="2" borderId="0" xfId="0" applyFont="1" applyFill="1" applyBorder="1" applyAlignment="1">
      <alignment horizontal="right"/>
    </xf>
    <xf numFmtId="166" fontId="11" fillId="2" borderId="0" xfId="2" applyNumberFormat="1" applyFont="1" applyFill="1" applyBorder="1" applyAlignment="1">
      <alignment horizontal="right"/>
    </xf>
    <xf numFmtId="0" fontId="17" fillId="2" borderId="0" xfId="0" applyFont="1" applyFill="1" applyBorder="1"/>
    <xf numFmtId="0" fontId="14" fillId="2" borderId="0" xfId="0" applyFont="1" applyFill="1" applyBorder="1"/>
    <xf numFmtId="3" fontId="5" fillId="2" borderId="0" xfId="0" applyNumberFormat="1" applyFont="1" applyFill="1" applyBorder="1"/>
    <xf numFmtId="0" fontId="5" fillId="2" borderId="0" xfId="0" applyFont="1" applyFill="1" applyBorder="1" applyAlignment="1">
      <alignment wrapText="1"/>
    </xf>
    <xf numFmtId="166" fontId="5" fillId="2" borderId="0" xfId="2" applyNumberFormat="1" applyFont="1" applyFill="1" applyBorder="1"/>
    <xf numFmtId="165" fontId="5" fillId="3" borderId="0" xfId="0" applyNumberFormat="1" applyFont="1" applyFill="1" applyBorder="1" applyAlignment="1"/>
    <xf numFmtId="166" fontId="11" fillId="3" borderId="0" xfId="0" applyNumberFormat="1" applyFont="1" applyFill="1" applyBorder="1" applyAlignment="1">
      <alignment horizontal="right"/>
    </xf>
    <xf numFmtId="0" fontId="38" fillId="5" borderId="1" xfId="0" applyFont="1" applyFill="1" applyBorder="1"/>
    <xf numFmtId="0" fontId="4" fillId="2" borderId="0" xfId="0" applyFont="1" applyFill="1" applyBorder="1" applyAlignment="1">
      <alignment horizontal="left"/>
    </xf>
    <xf numFmtId="166" fontId="0" fillId="4" borderId="1" xfId="0" applyNumberFormat="1" applyFill="1" applyBorder="1"/>
    <xf numFmtId="165" fontId="5" fillId="3" borderId="0" xfId="0" applyNumberFormat="1" applyFont="1" applyFill="1"/>
    <xf numFmtId="3" fontId="11" fillId="3" borderId="0" xfId="0" applyNumberFormat="1" applyFont="1" applyFill="1" applyBorder="1" applyAlignment="1">
      <alignment horizontal="right"/>
    </xf>
    <xf numFmtId="164" fontId="5" fillId="3" borderId="0" xfId="0" applyNumberFormat="1" applyFont="1" applyFill="1" applyBorder="1"/>
    <xf numFmtId="164" fontId="5" fillId="3" borderId="0" xfId="0" applyNumberFormat="1" applyFont="1" applyFill="1" applyBorder="1" applyAlignment="1"/>
    <xf numFmtId="0" fontId="11" fillId="3" borderId="0" xfId="0" applyFont="1" applyFill="1" applyBorder="1" applyAlignment="1">
      <alignment horizontal="right"/>
    </xf>
    <xf numFmtId="2" fontId="5" fillId="2" borderId="0" xfId="0" applyNumberFormat="1" applyFont="1" applyFill="1" applyBorder="1" applyAlignment="1">
      <alignment wrapText="1"/>
    </xf>
    <xf numFmtId="0" fontId="0" fillId="0" borderId="0" xfId="0" applyAlignment="1" applyProtection="1">
      <protection locked="0"/>
    </xf>
    <xf numFmtId="0" fontId="0" fillId="2" borderId="0" xfId="0" applyFill="1" applyAlignment="1" applyProtection="1">
      <protection locked="0"/>
    </xf>
    <xf numFmtId="0" fontId="0" fillId="2" borderId="0" xfId="0" applyFill="1" applyBorder="1" applyAlignment="1" applyProtection="1">
      <protection locked="0"/>
    </xf>
    <xf numFmtId="0" fontId="0" fillId="0" borderId="0" xfId="0" applyFill="1" applyBorder="1" applyAlignment="1" applyProtection="1">
      <protection locked="0"/>
    </xf>
    <xf numFmtId="0" fontId="12" fillId="5" borderId="1" xfId="0" applyFont="1" applyFill="1" applyBorder="1" applyAlignment="1" applyProtection="1">
      <protection locked="0"/>
    </xf>
    <xf numFmtId="0" fontId="3" fillId="5" borderId="1"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7" fillId="2" borderId="0" xfId="0" applyFont="1" applyFill="1" applyAlignment="1" applyProtection="1">
      <protection locked="0"/>
    </xf>
    <xf numFmtId="0" fontId="5" fillId="6" borderId="1" xfId="0" applyFont="1" applyFill="1" applyBorder="1" applyAlignment="1" applyProtection="1">
      <protection locked="0"/>
    </xf>
    <xf numFmtId="0" fontId="6" fillId="6" borderId="1" xfId="0" applyFont="1" applyFill="1" applyBorder="1" applyAlignment="1" applyProtection="1">
      <protection locked="0"/>
    </xf>
    <xf numFmtId="0" fontId="36" fillId="0" borderId="0" xfId="0" applyFont="1" applyAlignment="1" applyProtection="1">
      <alignment horizontal="left"/>
      <protection locked="0"/>
    </xf>
    <xf numFmtId="0" fontId="5" fillId="2" borderId="0" xfId="0" applyFont="1" applyFill="1" applyAlignment="1" applyProtection="1">
      <protection locked="0"/>
    </xf>
    <xf numFmtId="165" fontId="11" fillId="0" borderId="0" xfId="1" applyNumberFormat="1" applyFont="1" applyBorder="1" applyAlignment="1" applyProtection="1">
      <alignment horizontal="right" vertical="center"/>
      <protection locked="0"/>
    </xf>
    <xf numFmtId="0" fontId="4" fillId="0" borderId="0" xfId="0" applyFont="1" applyAlignment="1" applyProtection="1">
      <protection locked="0"/>
    </xf>
    <xf numFmtId="9" fontId="11" fillId="2" borderId="0" xfId="0" applyNumberFormat="1" applyFont="1" applyFill="1" applyBorder="1" applyAlignment="1">
      <alignment horizontal="right"/>
    </xf>
    <xf numFmtId="10" fontId="0" fillId="0" borderId="0" xfId="0" applyNumberFormat="1" applyFill="1" applyBorder="1" applyAlignment="1" applyProtection="1">
      <protection locked="0"/>
    </xf>
    <xf numFmtId="10" fontId="0" fillId="0" borderId="0" xfId="0" applyNumberFormat="1" applyBorder="1"/>
    <xf numFmtId="166" fontId="5" fillId="0" borderId="0" xfId="0" applyNumberFormat="1" applyFont="1" applyFill="1" applyBorder="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xf numFmtId="0" fontId="5" fillId="0" borderId="3" xfId="0" applyFont="1" applyBorder="1" applyAlignment="1" applyProtection="1">
      <protection locked="0"/>
    </xf>
    <xf numFmtId="0" fontId="5" fillId="2" borderId="3" xfId="0" applyFont="1" applyFill="1" applyBorder="1" applyAlignment="1" applyProtection="1">
      <protection locked="0"/>
    </xf>
    <xf numFmtId="0" fontId="5" fillId="0" borderId="3" xfId="0" applyFont="1" applyFill="1" applyBorder="1" applyAlignment="1" applyProtection="1">
      <protection locked="0"/>
    </xf>
    <xf numFmtId="0" fontId="6" fillId="2" borderId="0" xfId="0" applyFont="1" applyFill="1" applyAlignment="1" applyProtection="1">
      <alignment horizontal="center"/>
      <protection locked="0"/>
    </xf>
    <xf numFmtId="0" fontId="0" fillId="0" borderId="0" xfId="0" applyAlignment="1" applyProtection="1">
      <alignment horizontal="center"/>
      <protection locked="0"/>
    </xf>
    <xf numFmtId="165" fontId="0" fillId="2" borderId="0" xfId="0" applyNumberFormat="1" applyFill="1" applyAlignment="1" applyProtection="1">
      <protection locked="0"/>
    </xf>
    <xf numFmtId="0" fontId="0" fillId="2" borderId="0" xfId="0" applyFill="1" applyAlignment="1" applyProtection="1">
      <alignment horizontal="center"/>
      <protection locked="0"/>
    </xf>
    <xf numFmtId="0" fontId="0" fillId="3" borderId="0" xfId="0" applyFill="1" applyBorder="1" applyAlignment="1">
      <alignment horizontal="center"/>
    </xf>
    <xf numFmtId="0" fontId="9" fillId="3" borderId="3" xfId="0" applyFont="1" applyFill="1" applyBorder="1" applyAlignment="1">
      <alignment horizontal="center"/>
    </xf>
    <xf numFmtId="0" fontId="9" fillId="4" borderId="1" xfId="0" applyFont="1" applyFill="1" applyBorder="1" applyAlignment="1">
      <alignment horizontal="center"/>
    </xf>
    <xf numFmtId="0" fontId="11" fillId="0" borderId="0" xfId="0" applyFont="1" applyBorder="1" applyAlignment="1">
      <alignment horizontal="right"/>
    </xf>
    <xf numFmtId="0" fontId="5" fillId="2" borderId="0" xfId="0" applyFont="1" applyFill="1" applyBorder="1" applyAlignment="1" applyProtection="1">
      <protection locked="0"/>
    </xf>
    <xf numFmtId="0" fontId="5" fillId="0" borderId="0" xfId="0" applyFont="1" applyFill="1" applyBorder="1" applyAlignment="1" applyProtection="1">
      <protection locked="0"/>
    </xf>
    <xf numFmtId="0" fontId="5" fillId="0" borderId="0" xfId="0" applyFont="1" applyBorder="1" applyAlignment="1" applyProtection="1">
      <protection locked="0"/>
    </xf>
    <xf numFmtId="165" fontId="5" fillId="3" borderId="0" xfId="1" applyNumberFormat="1" applyFont="1" applyFill="1" applyBorder="1" applyAlignment="1"/>
    <xf numFmtId="166" fontId="5" fillId="3" borderId="0" xfId="0" applyNumberFormat="1" applyFont="1" applyFill="1" applyBorder="1" applyAlignment="1"/>
    <xf numFmtId="38" fontId="26" fillId="2" borderId="0" xfId="0" applyNumberFormat="1" applyFont="1" applyFill="1" applyAlignment="1" applyProtection="1">
      <alignment horizontal="center"/>
    </xf>
    <xf numFmtId="0" fontId="28" fillId="0" borderId="0" xfId="0" applyFont="1" applyAlignment="1" applyProtection="1">
      <alignment horizontal="center"/>
    </xf>
    <xf numFmtId="38" fontId="42" fillId="2" borderId="0" xfId="0" applyNumberFormat="1" applyFont="1" applyFill="1" applyAlignment="1" applyProtection="1">
      <alignment horizontal="center"/>
    </xf>
    <xf numFmtId="165" fontId="5" fillId="0" borderId="0" xfId="1" applyNumberFormat="1" applyFont="1" applyFill="1" applyBorder="1"/>
    <xf numFmtId="164" fontId="5" fillId="0" borderId="0" xfId="0" applyNumberFormat="1" applyFont="1" applyFill="1" applyBorder="1"/>
    <xf numFmtId="0" fontId="43" fillId="0" borderId="0" xfId="0" applyFont="1" applyAlignment="1">
      <alignment horizontal="right" vertical="center" readingOrder="2"/>
    </xf>
    <xf numFmtId="0" fontId="43" fillId="7" borderId="0" xfId="0" applyFont="1" applyFill="1" applyAlignment="1">
      <alignment horizontal="right" vertical="center" readingOrder="2"/>
    </xf>
    <xf numFmtId="168" fontId="5" fillId="0" borderId="0" xfId="0" applyNumberFormat="1" applyFont="1" applyAlignment="1">
      <alignment horizontal="right"/>
    </xf>
    <xf numFmtId="168" fontId="5" fillId="0" borderId="0" xfId="0" applyNumberFormat="1" applyFont="1" applyAlignment="1"/>
    <xf numFmtId="168" fontId="5" fillId="3" borderId="0" xfId="1" applyNumberFormat="1" applyFont="1" applyFill="1" applyBorder="1" applyAlignment="1">
      <alignment horizontal="right"/>
    </xf>
    <xf numFmtId="0" fontId="44" fillId="2" borderId="3" xfId="0" applyFont="1" applyFill="1" applyBorder="1" applyAlignment="1" applyProtection="1">
      <alignment horizontal="center" wrapText="1"/>
      <protection locked="0"/>
    </xf>
    <xf numFmtId="0" fontId="44" fillId="0" borderId="3" xfId="0" applyFont="1" applyBorder="1" applyAlignment="1" applyProtection="1">
      <alignment horizontal="center"/>
      <protection locked="0"/>
    </xf>
    <xf numFmtId="0" fontId="44" fillId="2" borderId="3" xfId="0" applyFont="1" applyFill="1" applyBorder="1" applyAlignment="1" applyProtection="1">
      <protection locked="0"/>
    </xf>
    <xf numFmtId="0" fontId="44" fillId="2" borderId="0" xfId="0" applyFont="1" applyFill="1" applyBorder="1" applyAlignment="1" applyProtection="1">
      <protection locked="0"/>
    </xf>
    <xf numFmtId="0" fontId="45" fillId="2" borderId="0" xfId="0" applyFont="1" applyFill="1" applyBorder="1" applyAlignment="1" applyProtection="1">
      <protection locked="0"/>
    </xf>
    <xf numFmtId="0" fontId="45" fillId="0" borderId="0" xfId="0" applyFont="1" applyAlignment="1" applyProtection="1">
      <protection locked="0"/>
    </xf>
    <xf numFmtId="0" fontId="45" fillId="2" borderId="0" xfId="0" applyFont="1" applyFill="1" applyAlignment="1" applyProtection="1">
      <protection locked="0"/>
    </xf>
    <xf numFmtId="0" fontId="44" fillId="4" borderId="1" xfId="0" applyFont="1" applyFill="1" applyBorder="1"/>
    <xf numFmtId="0" fontId="46" fillId="3" borderId="0" xfId="0" applyFont="1" applyFill="1" applyBorder="1" applyAlignment="1"/>
    <xf numFmtId="0" fontId="40" fillId="2" borderId="0" xfId="0" applyFont="1" applyFill="1" applyBorder="1" applyAlignment="1">
      <alignment horizontal="right"/>
    </xf>
    <xf numFmtId="166" fontId="11" fillId="0" borderId="0" xfId="0" applyNumberFormat="1" applyFont="1" applyFill="1" applyBorder="1"/>
    <xf numFmtId="166" fontId="11" fillId="0" borderId="0" xfId="2" applyNumberFormat="1" applyFont="1" applyFill="1" applyBorder="1"/>
    <xf numFmtId="166" fontId="5" fillId="0" borderId="0" xfId="2" applyNumberFormat="1" applyFont="1" applyFill="1" applyBorder="1"/>
    <xf numFmtId="9" fontId="5" fillId="3" borderId="0" xfId="0" applyNumberFormat="1" applyFont="1" applyFill="1" applyBorder="1" applyAlignment="1"/>
    <xf numFmtId="0" fontId="0" fillId="5" borderId="0" xfId="0" applyFill="1" applyBorder="1" applyAlignment="1">
      <alignment horizontal="center"/>
    </xf>
    <xf numFmtId="166" fontId="11" fillId="3" borderId="0" xfId="2" applyNumberFormat="1" applyFont="1" applyFill="1" applyBorder="1" applyAlignment="1">
      <alignment horizontal="right"/>
    </xf>
    <xf numFmtId="9" fontId="5" fillId="3" borderId="0" xfId="2" applyNumberFormat="1" applyFont="1" applyFill="1" applyBorder="1"/>
    <xf numFmtId="168" fontId="5" fillId="7" borderId="0" xfId="0" applyNumberFormat="1" applyFont="1" applyFill="1" applyAlignment="1"/>
    <xf numFmtId="0" fontId="5" fillId="8" borderId="4" xfId="0" applyFont="1" applyFill="1" applyBorder="1"/>
    <xf numFmtId="168" fontId="5" fillId="8" borderId="1" xfId="0" applyNumberFormat="1" applyFont="1" applyFill="1" applyBorder="1" applyAlignment="1"/>
    <xf numFmtId="0" fontId="5" fillId="0" borderId="0" xfId="0" applyFont="1" applyFill="1"/>
    <xf numFmtId="168" fontId="5" fillId="3" borderId="0" xfId="1" applyNumberFormat="1" applyFont="1" applyFill="1" applyBorder="1"/>
    <xf numFmtId="0" fontId="5" fillId="0" borderId="0" xfId="0" applyFont="1" applyAlignment="1">
      <alignment wrapText="1"/>
    </xf>
    <xf numFmtId="0" fontId="0" fillId="0" borderId="3" xfId="0" applyBorder="1"/>
    <xf numFmtId="0" fontId="5" fillId="0" borderId="1" xfId="0" applyFont="1" applyBorder="1"/>
    <xf numFmtId="168" fontId="5" fillId="0" borderId="1" xfId="0" applyNumberFormat="1" applyFont="1" applyBorder="1" applyAlignment="1"/>
    <xf numFmtId="168" fontId="5" fillId="3" borderId="1" xfId="1" applyNumberFormat="1" applyFont="1" applyFill="1" applyBorder="1"/>
    <xf numFmtId="168" fontId="5" fillId="0" borderId="0" xfId="0" applyNumberFormat="1" applyFont="1" applyFill="1" applyAlignment="1">
      <alignment horizontal="right"/>
    </xf>
    <xf numFmtId="168" fontId="5" fillId="0" borderId="0" xfId="0" applyNumberFormat="1" applyFont="1" applyFill="1" applyAlignment="1"/>
    <xf numFmtId="168" fontId="5" fillId="0" borderId="1" xfId="0" applyNumberFormat="1" applyFont="1" applyFill="1" applyBorder="1" applyAlignment="1"/>
    <xf numFmtId="0" fontId="30" fillId="0" borderId="0" xfId="0" applyFont="1"/>
    <xf numFmtId="170" fontId="5" fillId="3" borderId="0" xfId="0" applyNumberFormat="1" applyFont="1" applyFill="1" applyBorder="1"/>
    <xf numFmtId="170" fontId="5" fillId="2" borderId="0" xfId="0" applyNumberFormat="1" applyFont="1" applyFill="1" applyBorder="1"/>
    <xf numFmtId="0" fontId="2" fillId="2" borderId="0" xfId="0" applyFont="1" applyFill="1" applyBorder="1"/>
    <xf numFmtId="166" fontId="5" fillId="2" borderId="0" xfId="0" applyNumberFormat="1" applyFont="1" applyFill="1" applyBorder="1" applyAlignment="1">
      <alignment horizontal="right"/>
    </xf>
    <xf numFmtId="0" fontId="1" fillId="2" borderId="0" xfId="0" applyFont="1" applyFill="1" applyBorder="1" applyAlignment="1" applyProtection="1">
      <protection locked="0"/>
    </xf>
    <xf numFmtId="165" fontId="1" fillId="2" borderId="0" xfId="1" applyNumberFormat="1" applyFont="1" applyFill="1" applyBorder="1" applyAlignment="1">
      <alignment horizontal="right"/>
    </xf>
    <xf numFmtId="0" fontId="1" fillId="3" borderId="0" xfId="0" applyFont="1" applyFill="1" applyBorder="1" applyAlignment="1"/>
    <xf numFmtId="168" fontId="1" fillId="0" borderId="0" xfId="0" applyNumberFormat="1" applyFont="1" applyFill="1" applyAlignment="1">
      <alignment horizontal="right"/>
    </xf>
    <xf numFmtId="168" fontId="1" fillId="7" borderId="0" xfId="0" applyNumberFormat="1" applyFont="1" applyFill="1" applyAlignment="1">
      <alignment horizontal="right"/>
    </xf>
    <xf numFmtId="166" fontId="1" fillId="0" borderId="0" xfId="0" applyNumberFormat="1" applyFont="1" applyFill="1" applyAlignment="1">
      <alignment horizontal="right"/>
    </xf>
    <xf numFmtId="166" fontId="1" fillId="7" borderId="0" xfId="0" applyNumberFormat="1" applyFont="1" applyFill="1" applyAlignment="1">
      <alignment horizontal="right"/>
    </xf>
    <xf numFmtId="0" fontId="1" fillId="2" borderId="0" xfId="0" applyFont="1" applyFill="1" applyBorder="1" applyAlignment="1" applyProtection="1">
      <alignment horizontal="center" wrapText="1"/>
      <protection locked="0"/>
    </xf>
    <xf numFmtId="165" fontId="1" fillId="0" borderId="0" xfId="0" applyNumberFormat="1" applyFont="1" applyAlignment="1" applyProtection="1">
      <protection locked="0"/>
    </xf>
    <xf numFmtId="0" fontId="1" fillId="0" borderId="0" xfId="0" applyFont="1" applyAlignment="1" applyProtection="1">
      <alignment horizontal="left"/>
      <protection locked="0"/>
    </xf>
    <xf numFmtId="0" fontId="1" fillId="9" borderId="0" xfId="0" applyFont="1" applyFill="1" applyBorder="1" applyAlignment="1" applyProtection="1">
      <alignment horizontal="center" wrapText="1"/>
      <protection locked="0"/>
    </xf>
    <xf numFmtId="2" fontId="1" fillId="2" borderId="0" xfId="0" applyNumberFormat="1" applyFont="1" applyFill="1" applyBorder="1" applyAlignment="1" applyProtection="1">
      <alignment horizontal="center" wrapText="1"/>
      <protection locked="0"/>
    </xf>
    <xf numFmtId="169" fontId="1" fillId="2" borderId="0" xfId="0" applyNumberFormat="1" applyFont="1" applyFill="1" applyBorder="1" applyAlignment="1" applyProtection="1">
      <alignment horizontal="center" wrapText="1"/>
      <protection locked="0"/>
    </xf>
    <xf numFmtId="2" fontId="1" fillId="0" borderId="0" xfId="0" applyNumberFormat="1" applyFont="1" applyFill="1" applyBorder="1" applyAlignment="1" applyProtection="1">
      <alignment horizontal="center" wrapText="1"/>
      <protection locked="0"/>
    </xf>
    <xf numFmtId="0" fontId="1" fillId="0" borderId="0" xfId="0" applyFont="1" applyAlignment="1" applyProtection="1">
      <alignment horizontal="center"/>
      <protection locked="0"/>
    </xf>
    <xf numFmtId="2" fontId="1" fillId="0" borderId="0" xfId="0" applyNumberFormat="1" applyFont="1" applyAlignment="1" applyProtection="1">
      <alignment horizontal="center"/>
      <protection locked="0"/>
    </xf>
    <xf numFmtId="0" fontId="1" fillId="2" borderId="0" xfId="0" applyFont="1" applyFill="1" applyAlignment="1" applyProtection="1">
      <alignment horizontal="center"/>
      <protection locked="0"/>
    </xf>
    <xf numFmtId="165" fontId="1" fillId="2" borderId="0" xfId="0" applyNumberFormat="1" applyFont="1" applyFill="1" applyAlignment="1" applyProtection="1">
      <protection locked="0"/>
    </xf>
    <xf numFmtId="168" fontId="5" fillId="4" borderId="1" xfId="0" applyNumberFormat="1" applyFont="1" applyFill="1" applyBorder="1"/>
    <xf numFmtId="168" fontId="5" fillId="7" borderId="0" xfId="0" applyNumberFormat="1" applyFont="1" applyFill="1" applyAlignment="1">
      <alignment horizontal="right"/>
    </xf>
    <xf numFmtId="171" fontId="5" fillId="7" borderId="0" xfId="0" applyNumberFormat="1" applyFont="1" applyFill="1" applyAlignment="1"/>
    <xf numFmtId="9" fontId="11" fillId="3" borderId="0" xfId="0" applyNumberFormat="1" applyFont="1" applyFill="1" applyBorder="1" applyAlignment="1">
      <alignment horizontal="right"/>
    </xf>
    <xf numFmtId="165" fontId="5" fillId="2" borderId="0" xfId="0" applyNumberFormat="1" applyFont="1" applyFill="1" applyBorder="1"/>
    <xf numFmtId="1" fontId="5" fillId="0" borderId="0" xfId="0" applyNumberFormat="1" applyFont="1" applyFill="1" applyBorder="1"/>
    <xf numFmtId="0" fontId="5" fillId="3" borderId="0" xfId="0" applyFont="1" applyFill="1" applyBorder="1"/>
    <xf numFmtId="171" fontId="5" fillId="0" borderId="0" xfId="0" applyNumberFormat="1" applyFont="1" applyFill="1" applyAlignment="1">
      <alignment horizontal="right"/>
    </xf>
    <xf numFmtId="171" fontId="5" fillId="7" borderId="0" xfId="0" applyNumberFormat="1" applyFont="1" applyFill="1" applyAlignment="1">
      <alignment horizontal="right"/>
    </xf>
    <xf numFmtId="165" fontId="5" fillId="7" borderId="0" xfId="1" applyNumberFormat="1" applyFont="1" applyFill="1" applyBorder="1"/>
    <xf numFmtId="0" fontId="5" fillId="0" borderId="0" xfId="0" applyFont="1" applyFill="1" applyBorder="1" applyAlignment="1">
      <alignment wrapText="1"/>
    </xf>
    <xf numFmtId="0" fontId="11" fillId="0" borderId="0" xfId="0" applyFont="1" applyFill="1" applyBorder="1" applyAlignment="1">
      <alignment horizontal="right"/>
    </xf>
    <xf numFmtId="0" fontId="47" fillId="0" borderId="0" xfId="0" applyFont="1"/>
    <xf numFmtId="172" fontId="5" fillId="2" borderId="0" xfId="0" applyNumberFormat="1" applyFont="1" applyFill="1" applyBorder="1" applyAlignment="1">
      <alignment horizontal="left"/>
    </xf>
    <xf numFmtId="172" fontId="5" fillId="7" borderId="0" xfId="0" applyNumberFormat="1" applyFont="1" applyFill="1" applyAlignment="1"/>
    <xf numFmtId="172" fontId="5" fillId="0" borderId="0" xfId="0" applyNumberFormat="1" applyFont="1" applyAlignment="1"/>
    <xf numFmtId="172" fontId="5" fillId="0" borderId="0" xfId="0" applyNumberFormat="1" applyFont="1" applyFill="1" applyAlignment="1"/>
    <xf numFmtId="0" fontId="5" fillId="2" borderId="0" xfId="0" applyNumberFormat="1" applyFont="1" applyFill="1"/>
    <xf numFmtId="0" fontId="1" fillId="0" borderId="0" xfId="0" applyFont="1"/>
    <xf numFmtId="0" fontId="41" fillId="3" borderId="3" xfId="0" applyFont="1" applyFill="1" applyBorder="1"/>
    <xf numFmtId="0" fontId="1" fillId="0" borderId="5" xfId="0" applyFont="1" applyBorder="1"/>
    <xf numFmtId="165" fontId="0" fillId="0" borderId="5" xfId="1" applyNumberFormat="1" applyFont="1" applyBorder="1"/>
    <xf numFmtId="0" fontId="5" fillId="0" borderId="5" xfId="0" applyFont="1" applyBorder="1"/>
    <xf numFmtId="165" fontId="5" fillId="0" borderId="5" xfId="0" applyNumberFormat="1" applyFont="1" applyBorder="1"/>
    <xf numFmtId="0" fontId="7" fillId="0" borderId="0" xfId="0" applyFont="1"/>
    <xf numFmtId="0" fontId="0" fillId="0" borderId="5" xfId="0" applyBorder="1"/>
    <xf numFmtId="0" fontId="5" fillId="0" borderId="5" xfId="0" applyFont="1" applyBorder="1" applyAlignment="1">
      <alignment horizontal="right"/>
    </xf>
    <xf numFmtId="0" fontId="5" fillId="0" borderId="5" xfId="0" applyFont="1" applyBorder="1" applyAlignment="1">
      <alignment horizontal="right" wrapText="1"/>
    </xf>
    <xf numFmtId="0" fontId="5" fillId="0" borderId="5" xfId="0" applyFont="1" applyBorder="1" applyAlignment="1">
      <alignment horizontal="center"/>
    </xf>
    <xf numFmtId="0" fontId="1" fillId="2" borderId="0" xfId="0" applyFont="1" applyFill="1"/>
    <xf numFmtId="0" fontId="5" fillId="2" borderId="0" xfId="0" applyFont="1" applyFill="1" applyAlignment="1">
      <alignment horizontal="center"/>
    </xf>
    <xf numFmtId="0" fontId="1" fillId="5" borderId="1" xfId="0" applyFont="1" applyFill="1" applyBorder="1" applyAlignment="1">
      <alignment horizontal="center"/>
    </xf>
    <xf numFmtId="0" fontId="1" fillId="3" borderId="2" xfId="0" applyFont="1" applyFill="1" applyBorder="1" applyAlignment="1">
      <alignment horizontal="center"/>
    </xf>
    <xf numFmtId="0" fontId="1" fillId="3" borderId="0" xfId="0" applyFont="1" applyFill="1" applyBorder="1"/>
    <xf numFmtId="0" fontId="1" fillId="3" borderId="3" xfId="0" applyFont="1" applyFill="1" applyBorder="1"/>
    <xf numFmtId="0" fontId="48" fillId="0" borderId="0" xfId="0" applyFont="1" applyFill="1" applyBorder="1" applyAlignment="1">
      <alignment vertical="center" wrapText="1"/>
    </xf>
    <xf numFmtId="0" fontId="1" fillId="0" borderId="0" xfId="0" applyFont="1" applyBorder="1"/>
    <xf numFmtId="165" fontId="1" fillId="0" borderId="0" xfId="1" applyNumberFormat="1" applyFont="1"/>
    <xf numFmtId="0" fontId="1" fillId="0" borderId="0" xfId="0" applyFont="1" applyAlignment="1">
      <alignment horizontal="left"/>
    </xf>
    <xf numFmtId="168" fontId="5" fillId="7" borderId="3" xfId="0" applyNumberFormat="1" applyFont="1" applyFill="1" applyBorder="1" applyAlignment="1"/>
    <xf numFmtId="168" fontId="5" fillId="7" borderId="1" xfId="0" applyNumberFormat="1" applyFont="1" applyFill="1" applyBorder="1" applyAlignment="1"/>
    <xf numFmtId="0" fontId="1" fillId="0" borderId="0" xfId="0" applyFont="1" applyFill="1"/>
    <xf numFmtId="0" fontId="34" fillId="2" borderId="0" xfId="0" applyFont="1" applyFill="1" applyAlignment="1">
      <alignment horizontal="right"/>
    </xf>
    <xf numFmtId="166" fontId="1" fillId="2" borderId="0" xfId="0" applyNumberFormat="1" applyFont="1" applyFill="1" applyBorder="1"/>
    <xf numFmtId="0" fontId="1" fillId="2" borderId="0" xfId="0" applyFont="1" applyFill="1" applyBorder="1" applyAlignment="1">
      <alignment horizontal="right"/>
    </xf>
    <xf numFmtId="0" fontId="5" fillId="4" borderId="2" xfId="0" applyFont="1" applyFill="1" applyBorder="1"/>
    <xf numFmtId="0" fontId="49" fillId="11" borderId="0" xfId="0" applyFont="1" applyFill="1" applyBorder="1" applyAlignment="1">
      <alignment vertical="center" wrapText="1"/>
    </xf>
    <xf numFmtId="0" fontId="48" fillId="11" borderId="0" xfId="0" applyFont="1" applyFill="1" applyBorder="1" applyAlignment="1">
      <alignment vertical="center" wrapText="1"/>
    </xf>
    <xf numFmtId="3" fontId="48" fillId="11" borderId="0" xfId="0" applyNumberFormat="1" applyFont="1" applyFill="1" applyBorder="1" applyAlignment="1">
      <alignment vertical="center" wrapText="1"/>
    </xf>
    <xf numFmtId="3" fontId="49" fillId="10" borderId="0" xfId="0" applyNumberFormat="1" applyFont="1" applyFill="1" applyBorder="1" applyAlignment="1">
      <alignment vertical="center" wrapText="1"/>
    </xf>
    <xf numFmtId="3" fontId="50" fillId="11" borderId="0" xfId="0" applyNumberFormat="1" applyFont="1" applyFill="1" applyBorder="1" applyAlignment="1">
      <alignment vertical="center" wrapText="1"/>
    </xf>
    <xf numFmtId="0" fontId="50" fillId="11" borderId="0" xfId="0" applyFont="1" applyFill="1" applyBorder="1" applyAlignment="1">
      <alignment vertical="center" wrapText="1"/>
    </xf>
    <xf numFmtId="168" fontId="7" fillId="0" borderId="0" xfId="0" applyNumberFormat="1" applyFont="1" applyFill="1" applyAlignment="1">
      <alignment horizontal="right"/>
    </xf>
    <xf numFmtId="0" fontId="49" fillId="10" borderId="0" xfId="0" applyFont="1" applyFill="1" applyBorder="1" applyAlignment="1">
      <alignment vertical="center" wrapText="1"/>
    </xf>
    <xf numFmtId="0" fontId="48" fillId="11" borderId="0" xfId="0" applyFont="1" applyFill="1" applyBorder="1" applyAlignment="1">
      <alignment horizontal="right" vertical="center" wrapText="1"/>
    </xf>
    <xf numFmtId="3" fontId="7" fillId="4" borderId="2" xfId="0" applyNumberFormat="1" applyFont="1" applyFill="1" applyBorder="1"/>
    <xf numFmtId="168" fontId="49" fillId="10" borderId="0" xfId="0" applyNumberFormat="1" applyFont="1" applyFill="1" applyBorder="1" applyAlignment="1">
      <alignment vertical="center" wrapText="1"/>
    </xf>
    <xf numFmtId="0" fontId="51" fillId="0" borderId="0" xfId="0" applyFont="1"/>
    <xf numFmtId="0" fontId="5" fillId="12" borderId="2" xfId="0" applyFont="1" applyFill="1" applyBorder="1"/>
    <xf numFmtId="0" fontId="49" fillId="12" borderId="0" xfId="0" applyFont="1" applyFill="1" applyBorder="1" applyAlignment="1">
      <alignment vertical="center" wrapText="1"/>
    </xf>
    <xf numFmtId="3" fontId="50" fillId="12" borderId="0" xfId="0" applyNumberFormat="1" applyFont="1" applyFill="1" applyBorder="1" applyAlignment="1">
      <alignment vertical="center" wrapText="1"/>
    </xf>
    <xf numFmtId="3" fontId="49" fillId="12" borderId="0" xfId="0" applyNumberFormat="1" applyFont="1" applyFill="1" applyBorder="1" applyAlignment="1">
      <alignment vertical="center" wrapText="1"/>
    </xf>
    <xf numFmtId="168" fontId="50" fillId="12" borderId="0" xfId="0" applyNumberFormat="1" applyFont="1" applyFill="1" applyBorder="1" applyAlignment="1">
      <alignment vertical="center" wrapText="1"/>
    </xf>
    <xf numFmtId="0" fontId="5" fillId="2" borderId="0" xfId="0" applyFont="1" applyFill="1" applyBorder="1" applyAlignment="1">
      <alignment horizontal="right"/>
    </xf>
    <xf numFmtId="0" fontId="2" fillId="2" borderId="0" xfId="0" applyFont="1" applyFill="1" applyBorder="1" applyAlignment="1">
      <alignment horizontal="right"/>
    </xf>
    <xf numFmtId="165" fontId="0" fillId="0" borderId="0" xfId="0" applyNumberFormat="1"/>
    <xf numFmtId="49" fontId="30" fillId="2" borderId="0" xfId="0" applyNumberFormat="1" applyFont="1" applyFill="1" applyAlignment="1" applyProtection="1">
      <alignment horizontal="center"/>
    </xf>
    <xf numFmtId="168" fontId="52" fillId="3" borderId="0" xfId="1" applyNumberFormat="1" applyFont="1" applyFill="1" applyBorder="1"/>
    <xf numFmtId="168" fontId="5" fillId="0" borderId="0" xfId="0" applyNumberFormat="1" applyFont="1" applyFill="1" applyBorder="1" applyAlignment="1"/>
    <xf numFmtId="0" fontId="3" fillId="5" borderId="3" xfId="0" applyFont="1" applyFill="1" applyBorder="1" applyAlignment="1">
      <alignment horizontal="center"/>
    </xf>
    <xf numFmtId="0" fontId="34" fillId="2" borderId="0" xfId="0" applyFont="1" applyFill="1" applyBorder="1" applyAlignment="1">
      <alignment horizontal="center"/>
    </xf>
    <xf numFmtId="165" fontId="5" fillId="7" borderId="0" xfId="1" applyNumberFormat="1" applyFont="1" applyFill="1" applyBorder="1" applyAlignment="1">
      <alignment horizontal="right"/>
    </xf>
    <xf numFmtId="0" fontId="50" fillId="0" borderId="0" xfId="0" applyFont="1" applyFill="1" applyBorder="1" applyAlignment="1">
      <alignment vertical="center" wrapText="1"/>
    </xf>
    <xf numFmtId="174" fontId="0" fillId="0" borderId="0" xfId="0" applyNumberFormat="1"/>
    <xf numFmtId="10" fontId="1" fillId="0" borderId="0" xfId="1" applyNumberFormat="1" applyFont="1"/>
    <xf numFmtId="0" fontId="1" fillId="0" borderId="0" xfId="0" applyFont="1" applyAlignment="1">
      <alignment horizontal="center"/>
    </xf>
    <xf numFmtId="0" fontId="5" fillId="2" borderId="0" xfId="0" applyFont="1" applyFill="1" applyBorder="1" applyAlignment="1"/>
    <xf numFmtId="0" fontId="1" fillId="0" borderId="0" xfId="0" applyFont="1" applyAlignment="1"/>
    <xf numFmtId="0" fontId="5" fillId="0" borderId="0" xfId="0" applyFont="1" applyAlignment="1">
      <alignment horizontal="center"/>
    </xf>
    <xf numFmtId="165" fontId="1" fillId="0" borderId="0" xfId="1" applyNumberFormat="1" applyFont="1" applyAlignment="1">
      <alignment horizontal="center"/>
    </xf>
    <xf numFmtId="0" fontId="48" fillId="0" borderId="3" xfId="0" applyFont="1" applyFill="1" applyBorder="1" applyAlignment="1">
      <alignment vertical="center" wrapText="1"/>
    </xf>
    <xf numFmtId="165" fontId="1" fillId="0" borderId="3" xfId="1" applyNumberFormat="1" applyFont="1" applyBorder="1"/>
    <xf numFmtId="0" fontId="1" fillId="0" borderId="3" xfId="0" applyFont="1" applyBorder="1" applyAlignment="1">
      <alignment horizontal="left"/>
    </xf>
    <xf numFmtId="165" fontId="1" fillId="0" borderId="0" xfId="1" applyNumberFormat="1" applyFont="1" applyAlignment="1"/>
    <xf numFmtId="165" fontId="1" fillId="0" borderId="3" xfId="1" applyNumberFormat="1" applyFont="1" applyBorder="1" applyAlignment="1"/>
    <xf numFmtId="10" fontId="1" fillId="0" borderId="3" xfId="1" applyNumberFormat="1" applyFont="1" applyBorder="1"/>
    <xf numFmtId="0" fontId="1" fillId="0" borderId="3" xfId="0" applyFont="1" applyBorder="1" applyAlignment="1">
      <alignment horizontal="center"/>
    </xf>
    <xf numFmtId="165" fontId="1" fillId="0" borderId="0" xfId="1" applyNumberFormat="1" applyFont="1" applyAlignment="1">
      <alignment horizontal="center" wrapText="1"/>
    </xf>
    <xf numFmtId="165" fontId="1" fillId="0" borderId="3" xfId="1" applyNumberFormat="1" applyFont="1" applyBorder="1" applyAlignment="1">
      <alignment horizontal="center"/>
    </xf>
    <xf numFmtId="165" fontId="1" fillId="0" borderId="0" xfId="1" applyNumberFormat="1" applyFont="1" applyBorder="1"/>
    <xf numFmtId="165" fontId="1" fillId="0" borderId="0" xfId="1" applyNumberFormat="1" applyFont="1" applyBorder="1" applyAlignment="1">
      <alignment horizontal="center"/>
    </xf>
    <xf numFmtId="10" fontId="1" fillId="0" borderId="0" xfId="1" applyNumberFormat="1" applyFont="1" applyBorder="1"/>
    <xf numFmtId="0" fontId="1" fillId="0" borderId="0" xfId="0" applyFont="1" applyBorder="1" applyAlignment="1">
      <alignment horizontal="left"/>
    </xf>
    <xf numFmtId="0" fontId="53" fillId="0" borderId="0" xfId="0" applyFont="1"/>
    <xf numFmtId="165" fontId="1" fillId="0" borderId="0" xfId="1" applyNumberFormat="1" applyFont="1" applyBorder="1" applyAlignment="1"/>
    <xf numFmtId="165" fontId="1" fillId="0" borderId="0" xfId="1" applyNumberFormat="1" applyFont="1" applyAlignment="1">
      <alignment horizontal="right" readingOrder="1"/>
    </xf>
    <xf numFmtId="165" fontId="1" fillId="0" borderId="0" xfId="1" applyNumberFormat="1" applyFont="1" applyAlignment="1">
      <alignment horizontal="left"/>
    </xf>
    <xf numFmtId="0" fontId="44" fillId="2" borderId="0" xfId="0" applyFont="1" applyFill="1" applyBorder="1" applyAlignment="1">
      <alignment horizontal="right"/>
    </xf>
    <xf numFmtId="173" fontId="48" fillId="0" borderId="0" xfId="0" applyNumberFormat="1" applyFont="1" applyFill="1" applyBorder="1" applyAlignment="1">
      <alignment vertical="center" wrapText="1"/>
    </xf>
    <xf numFmtId="174" fontId="0" fillId="0" borderId="0" xfId="0" applyNumberFormat="1" applyFill="1"/>
    <xf numFmtId="168" fontId="5" fillId="7" borderId="0" xfId="0" applyNumberFormat="1" applyFont="1" applyFill="1" applyBorder="1" applyAlignment="1"/>
    <xf numFmtId="168" fontId="11" fillId="0" borderId="0" xfId="0" applyNumberFormat="1" applyFont="1" applyFill="1" applyBorder="1" applyAlignment="1">
      <alignment horizontal="right"/>
    </xf>
    <xf numFmtId="0" fontId="1" fillId="0" borderId="3" xfId="0" applyFont="1" applyBorder="1"/>
    <xf numFmtId="168" fontId="5" fillId="0" borderId="0" xfId="0" applyNumberFormat="1" applyFont="1" applyFill="1" applyBorder="1" applyAlignment="1">
      <alignment horizontal="right"/>
    </xf>
    <xf numFmtId="168" fontId="5" fillId="3" borderId="3" xfId="1" applyNumberFormat="1" applyFont="1" applyFill="1" applyBorder="1"/>
    <xf numFmtId="0" fontId="5" fillId="0" borderId="0" xfId="0" applyFont="1" applyBorder="1" applyAlignment="1">
      <alignment wrapText="1"/>
    </xf>
    <xf numFmtId="168" fontId="5" fillId="0" borderId="3" xfId="0" applyNumberFormat="1" applyFont="1" applyFill="1" applyBorder="1" applyAlignment="1">
      <alignment horizontal="right"/>
    </xf>
    <xf numFmtId="168" fontId="5" fillId="0" borderId="3" xfId="0" applyNumberFormat="1" applyFont="1" applyFill="1" applyBorder="1" applyAlignment="1"/>
    <xf numFmtId="165" fontId="5" fillId="2" borderId="3" xfId="1" applyNumberFormat="1" applyFont="1" applyFill="1" applyBorder="1" applyAlignment="1">
      <alignment horizontal="right"/>
    </xf>
    <xf numFmtId="168" fontId="5" fillId="7" borderId="2" xfId="0" applyNumberFormat="1" applyFont="1" applyFill="1" applyBorder="1" applyAlignment="1"/>
    <xf numFmtId="166" fontId="11" fillId="7" borderId="0" xfId="0" applyNumberFormat="1" applyFont="1" applyFill="1" applyBorder="1"/>
    <xf numFmtId="165" fontId="5" fillId="0" borderId="0" xfId="1" applyNumberFormat="1" applyFont="1"/>
    <xf numFmtId="165" fontId="5" fillId="0" borderId="0" xfId="1" applyNumberFormat="1" applyFont="1" applyBorder="1"/>
    <xf numFmtId="165" fontId="5" fillId="4" borderId="1" xfId="1" applyNumberFormat="1" applyFont="1" applyFill="1" applyBorder="1"/>
    <xf numFmtId="165" fontId="11" fillId="3" borderId="0" xfId="1" applyNumberFormat="1" applyFont="1" applyFill="1" applyBorder="1" applyAlignment="1">
      <alignment horizontal="right"/>
    </xf>
    <xf numFmtId="175" fontId="5" fillId="4" borderId="1" xfId="0" applyNumberFormat="1" applyFont="1" applyFill="1" applyBorder="1"/>
    <xf numFmtId="166" fontId="5" fillId="7" borderId="0" xfId="0" applyNumberFormat="1" applyFont="1" applyFill="1" applyBorder="1" applyAlignment="1"/>
    <xf numFmtId="166" fontId="5" fillId="0" borderId="0" xfId="0" applyNumberFormat="1" applyFont="1" applyFill="1" applyBorder="1" applyAlignment="1"/>
    <xf numFmtId="176" fontId="5" fillId="2" borderId="0" xfId="0" applyNumberFormat="1" applyFont="1" applyFill="1" applyBorder="1" applyAlignment="1">
      <alignment horizontal="right"/>
    </xf>
    <xf numFmtId="0" fontId="1" fillId="0" borderId="0" xfId="0" applyFont="1" applyAlignment="1">
      <alignment horizontal="justify" vertical="center" readingOrder="1"/>
    </xf>
    <xf numFmtId="0" fontId="0" fillId="0" borderId="0" xfId="0" applyAlignment="1"/>
    <xf numFmtId="0" fontId="1" fillId="0" borderId="2" xfId="0" applyFont="1" applyBorder="1" applyAlignment="1">
      <alignment wrapText="1"/>
    </xf>
    <xf numFmtId="0" fontId="0" fillId="0" borderId="2" xfId="0" applyBorder="1" applyAlignment="1"/>
    <xf numFmtId="0" fontId="45" fillId="0" borderId="2" xfId="0" applyFont="1" applyFill="1" applyBorder="1" applyAlignment="1">
      <alignment horizontal="justify" vertical="center" wrapText="1" readingOrder="1"/>
    </xf>
    <xf numFmtId="0" fontId="45" fillId="0" borderId="2" xfId="0" applyFont="1" applyFill="1" applyBorder="1" applyAlignment="1">
      <alignment wrapText="1"/>
    </xf>
    <xf numFmtId="0" fontId="45" fillId="2" borderId="0" xfId="0" applyFont="1" applyFill="1" applyBorder="1" applyAlignment="1">
      <alignment wrapText="1"/>
    </xf>
    <xf numFmtId="0" fontId="45" fillId="0" borderId="0" xfId="0" applyFont="1" applyAlignment="1">
      <alignment wrapText="1"/>
    </xf>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cellXfs>
  <cellStyles count="4">
    <cellStyle name="Comma" xfId="1" builtinId="3"/>
    <cellStyle name="Normal" xfId="0" builtinId="0"/>
    <cellStyle name="Percent" xfId="2" builtinId="5"/>
    <cellStyle name="היפר-קישור" xfId="3" builtinId="8"/>
  </cellStyles>
  <dxfs count="0"/>
  <tableStyles count="0" defaultTableStyle="TableStyleMedium9"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6</xdr:col>
      <xdr:colOff>466725</xdr:colOff>
      <xdr:row>31</xdr:row>
      <xdr:rowOff>152400</xdr:rowOff>
    </xdr:to>
    <xdr:pic>
      <xdr:nvPicPr>
        <xdr:cNvPr id="14756" name="Picture 4" descr="bg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3743325" cy="721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3175</xdr:colOff>
      <xdr:row>1</xdr:row>
      <xdr:rowOff>132362</xdr:rowOff>
    </xdr:from>
    <xdr:to>
      <xdr:col>10</xdr:col>
      <xdr:colOff>533400</xdr:colOff>
      <xdr:row>10</xdr:row>
      <xdr:rowOff>42263</xdr:rowOff>
    </xdr:to>
    <xdr:pic>
      <xdr:nvPicPr>
        <xdr:cNvPr id="1475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188075" y="284762"/>
          <a:ext cx="1533525" cy="152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228600</xdr:colOff>
      <xdr:row>0</xdr:row>
      <xdr:rowOff>25578</xdr:rowOff>
    </xdr:from>
    <xdr:to>
      <xdr:col>0</xdr:col>
      <xdr:colOff>838200</xdr:colOff>
      <xdr:row>4</xdr:row>
      <xdr:rowOff>50483</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28600" y="25578"/>
          <a:ext cx="609600" cy="67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962025</xdr:colOff>
      <xdr:row>5</xdr:row>
      <xdr:rowOff>63144</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6225" y="0"/>
          <a:ext cx="685800" cy="75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70028</xdr:rowOff>
    </xdr:from>
    <xdr:to>
      <xdr:col>0</xdr:col>
      <xdr:colOff>600075</xdr:colOff>
      <xdr:row>3</xdr:row>
      <xdr:rowOff>63322</xdr:rowOff>
    </xdr:to>
    <xdr:pic>
      <xdr:nvPicPr>
        <xdr:cNvPr id="1659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95250</xdr:colOff>
      <xdr:row>0</xdr:row>
      <xdr:rowOff>70028</xdr:rowOff>
    </xdr:from>
    <xdr:to>
      <xdr:col>1</xdr:col>
      <xdr:colOff>600075</xdr:colOff>
      <xdr:row>3</xdr:row>
      <xdr:rowOff>141110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3175</xdr:colOff>
      <xdr:row>0</xdr:row>
      <xdr:rowOff>39499</xdr:rowOff>
    </xdr:from>
    <xdr:to>
      <xdr:col>1</xdr:col>
      <xdr:colOff>401638</xdr:colOff>
      <xdr:row>2</xdr:row>
      <xdr:rowOff>131951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39499"/>
          <a:ext cx="398463" cy="409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95250</xdr:colOff>
      <xdr:row>0</xdr:row>
      <xdr:rowOff>70028</xdr:rowOff>
    </xdr:from>
    <xdr:to>
      <xdr:col>1</xdr:col>
      <xdr:colOff>600075</xdr:colOff>
      <xdr:row>3</xdr:row>
      <xdr:rowOff>135440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209550</xdr:colOff>
      <xdr:row>0</xdr:row>
      <xdr:rowOff>87856</xdr:rowOff>
    </xdr:from>
    <xdr:to>
      <xdr:col>0</xdr:col>
      <xdr:colOff>819150</xdr:colOff>
      <xdr:row>3</xdr:row>
      <xdr:rowOff>83593</xdr:rowOff>
    </xdr:to>
    <xdr:pic>
      <xdr:nvPicPr>
        <xdr:cNvPr id="1761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87856"/>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209550</xdr:colOff>
      <xdr:row>0</xdr:row>
      <xdr:rowOff>70394</xdr:rowOff>
    </xdr:from>
    <xdr:to>
      <xdr:col>0</xdr:col>
      <xdr:colOff>819150</xdr:colOff>
      <xdr:row>3</xdr:row>
      <xdr:rowOff>66131</xdr:rowOff>
    </xdr:to>
    <xdr:pic>
      <xdr:nvPicPr>
        <xdr:cNvPr id="885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70394"/>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51954</xdr:rowOff>
    </xdr:to>
    <xdr:pic>
      <xdr:nvPicPr>
        <xdr:cNvPr id="155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90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952500</xdr:colOff>
      <xdr:row>5</xdr:row>
      <xdr:rowOff>34939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5" y="0"/>
          <a:ext cx="904875" cy="844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209549</xdr:colOff>
      <xdr:row>3</xdr:row>
      <xdr:rowOff>39499</xdr:rowOff>
    </xdr:from>
    <xdr:to>
      <xdr:col>0</xdr:col>
      <xdr:colOff>614794</xdr:colOff>
      <xdr:row>5</xdr:row>
      <xdr:rowOff>131951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49" y="533067"/>
          <a:ext cx="405245" cy="421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0</xdr:col>
      <xdr:colOff>781050</xdr:colOff>
      <xdr:row>4</xdr:row>
      <xdr:rowOff>63144</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0"/>
          <a:ext cx="647700" cy="606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16053</xdr:rowOff>
    </xdr:from>
    <xdr:to>
      <xdr:col>0</xdr:col>
      <xdr:colOff>800100</xdr:colOff>
      <xdr:row>4</xdr:row>
      <xdr:rowOff>50622</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16053"/>
          <a:ext cx="657225" cy="682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142874</xdr:colOff>
      <xdr:row>0</xdr:row>
      <xdr:rowOff>0</xdr:rowOff>
    </xdr:from>
    <xdr:to>
      <xdr:col>0</xdr:col>
      <xdr:colOff>800099</xdr:colOff>
      <xdr:row>3</xdr:row>
      <xdr:rowOff>158208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4" y="0"/>
          <a:ext cx="657225" cy="643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bezeq.co.il/" TargetMode="External"/><Relationship Id="rId1" Type="http://schemas.openxmlformats.org/officeDocument/2006/relationships/hyperlink" Target="mailto:ir@bezeq.co.i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2:W249"/>
  <sheetViews>
    <sheetView showGridLines="0" topLeftCell="A19" workbookViewId="0">
      <selection activeCell="L20" sqref="L20"/>
    </sheetView>
  </sheetViews>
  <sheetFormatPr defaultColWidth="8.7109375" defaultRowHeight="12.75"/>
  <cols>
    <col min="2" max="2" width="15.7109375" customWidth="1"/>
    <col min="3" max="3" width="9.28515625" customWidth="1"/>
    <col min="4" max="4" width="5.7109375" customWidth="1"/>
    <col min="5" max="5" width="9.28515625" hidden="1" customWidth="1"/>
    <col min="6" max="6" width="9.28515625" customWidth="1"/>
    <col min="7" max="7" width="23.28515625" customWidth="1"/>
    <col min="8" max="8" width="9" customWidth="1"/>
    <col min="9" max="9" width="2.5703125" customWidth="1"/>
    <col min="10" max="10" width="13.28515625" customWidth="1"/>
    <col min="11" max="11" width="12.28515625" customWidth="1"/>
    <col min="12" max="12" width="26.42578125" customWidth="1"/>
    <col min="13" max="13" width="10.28515625" customWidth="1"/>
    <col min="14" max="14" width="9.28515625" customWidth="1"/>
  </cols>
  <sheetData>
    <row r="2" spans="4:16">
      <c r="D2" s="4"/>
      <c r="E2" s="4"/>
      <c r="F2" s="4"/>
      <c r="G2" s="4"/>
      <c r="H2" s="4"/>
      <c r="I2" s="4"/>
      <c r="N2" s="4"/>
      <c r="O2" s="4"/>
      <c r="P2" s="4"/>
    </row>
    <row r="3" spans="4:16" ht="26.25">
      <c r="D3" s="4"/>
      <c r="E3" s="4"/>
      <c r="F3" s="4"/>
      <c r="G3" s="4"/>
      <c r="H3" s="5"/>
      <c r="I3" s="5"/>
      <c r="N3" s="13"/>
      <c r="O3" s="4"/>
      <c r="P3" s="4"/>
    </row>
    <row r="4" spans="4:16">
      <c r="D4" s="4"/>
      <c r="E4" s="4"/>
      <c r="F4" s="4"/>
      <c r="G4" s="4"/>
      <c r="H4" s="4"/>
      <c r="I4" s="4"/>
      <c r="N4" s="4"/>
      <c r="O4" s="4"/>
      <c r="P4" s="4"/>
    </row>
    <row r="5" spans="4:16">
      <c r="D5" s="4"/>
      <c r="E5" s="4"/>
      <c r="F5" s="4"/>
      <c r="G5" s="4"/>
      <c r="H5" s="4"/>
      <c r="I5" s="4"/>
      <c r="N5" s="4"/>
      <c r="O5" s="4"/>
      <c r="P5" s="4"/>
    </row>
    <row r="6" spans="4:16">
      <c r="D6" s="4"/>
      <c r="E6" s="4"/>
      <c r="F6" s="4"/>
      <c r="G6" s="4"/>
      <c r="H6" s="4"/>
      <c r="I6" s="4"/>
      <c r="N6" s="4"/>
      <c r="O6" s="4"/>
      <c r="P6" s="4"/>
    </row>
    <row r="7" spans="4:16">
      <c r="D7" s="4"/>
      <c r="E7" s="4"/>
      <c r="F7" s="4"/>
      <c r="G7" s="4"/>
      <c r="H7" s="4"/>
      <c r="I7" s="4"/>
      <c r="N7" s="4"/>
      <c r="O7" s="4"/>
      <c r="P7" s="4"/>
    </row>
    <row r="8" spans="4:16">
      <c r="D8" s="4"/>
      <c r="E8" s="4"/>
      <c r="F8" s="4"/>
      <c r="G8" s="4"/>
      <c r="H8" s="4"/>
      <c r="I8" s="4"/>
      <c r="N8" s="4"/>
      <c r="O8" s="4"/>
      <c r="P8" s="4"/>
    </row>
    <row r="9" spans="4:16">
      <c r="D9" s="4"/>
      <c r="E9" s="4"/>
      <c r="F9" s="4"/>
      <c r="G9" s="4"/>
      <c r="H9" s="4"/>
      <c r="I9" s="4"/>
      <c r="N9" s="4"/>
      <c r="O9" s="4"/>
      <c r="P9" s="4"/>
    </row>
    <row r="10" spans="4:16">
      <c r="D10" s="4"/>
      <c r="E10" s="4"/>
      <c r="F10" s="4"/>
      <c r="G10" s="4"/>
      <c r="H10" s="4"/>
      <c r="I10" s="4"/>
      <c r="O10" s="4"/>
      <c r="P10" s="4"/>
    </row>
    <row r="11" spans="4:16">
      <c r="D11" s="4"/>
      <c r="E11" s="4"/>
      <c r="F11" s="4"/>
      <c r="G11" s="4"/>
      <c r="H11" s="4"/>
      <c r="I11" s="4"/>
      <c r="O11" s="4"/>
      <c r="P11" s="4"/>
    </row>
    <row r="12" spans="4:16" ht="30.75" customHeight="1">
      <c r="D12" s="4"/>
      <c r="E12" s="4"/>
      <c r="F12" s="4"/>
      <c r="J12" s="136" t="s">
        <v>345</v>
      </c>
      <c r="K12" s="134"/>
      <c r="L12" s="134"/>
      <c r="N12" s="6"/>
      <c r="O12" s="4"/>
      <c r="P12" s="4"/>
    </row>
    <row r="13" spans="4:16" ht="15.75">
      <c r="D13" s="4"/>
      <c r="E13" s="4"/>
      <c r="F13" s="4"/>
      <c r="J13" s="135" t="s">
        <v>346</v>
      </c>
      <c r="K13" s="135"/>
      <c r="L13" s="135"/>
      <c r="N13" s="6"/>
      <c r="O13" s="4"/>
      <c r="P13" s="4"/>
    </row>
    <row r="14" spans="4:16" ht="15.75">
      <c r="D14" s="4"/>
      <c r="E14" s="4"/>
      <c r="F14" s="4"/>
      <c r="G14" s="4"/>
      <c r="H14" s="16"/>
      <c r="I14" s="16"/>
      <c r="J14" s="17"/>
      <c r="K14" s="17"/>
      <c r="L14" s="17"/>
      <c r="N14" s="6"/>
      <c r="O14" s="4"/>
      <c r="P14" s="4"/>
    </row>
    <row r="15" spans="4:16" ht="15.75">
      <c r="D15" s="4"/>
      <c r="E15" s="4"/>
      <c r="F15" s="4"/>
      <c r="G15" s="4"/>
      <c r="H15" s="18" t="s">
        <v>26</v>
      </c>
      <c r="I15" s="18"/>
      <c r="J15" s="17"/>
      <c r="K15" s="17"/>
      <c r="L15" s="17"/>
      <c r="N15" s="4"/>
      <c r="O15" s="4"/>
      <c r="P15" s="4"/>
    </row>
    <row r="16" spans="4:16" ht="15.75">
      <c r="D16" s="4"/>
      <c r="E16" s="4"/>
      <c r="F16" s="4"/>
      <c r="G16" s="4"/>
      <c r="H16" s="19"/>
      <c r="I16" s="19"/>
      <c r="J16" s="17"/>
      <c r="K16" s="17"/>
      <c r="L16" s="17"/>
      <c r="N16" s="4"/>
      <c r="O16" s="4"/>
      <c r="P16" s="4"/>
    </row>
    <row r="17" spans="4:16" ht="15.75">
      <c r="D17" s="4"/>
      <c r="E17" s="4"/>
      <c r="F17" s="4"/>
      <c r="G17" s="4"/>
      <c r="H17" s="263" t="s">
        <v>120</v>
      </c>
      <c r="I17" s="174" t="s">
        <v>364</v>
      </c>
      <c r="J17" s="17"/>
      <c r="K17" s="17"/>
      <c r="N17" s="7"/>
      <c r="O17" s="4"/>
      <c r="P17" s="4"/>
    </row>
    <row r="18" spans="4:16" ht="15.75">
      <c r="D18" s="4"/>
      <c r="E18" s="4"/>
      <c r="F18" s="4"/>
      <c r="G18" s="4"/>
      <c r="H18" s="263" t="s">
        <v>120</v>
      </c>
      <c r="I18" s="174" t="s">
        <v>154</v>
      </c>
      <c r="K18" s="15"/>
      <c r="N18" s="7"/>
      <c r="O18" s="4"/>
      <c r="P18" s="4"/>
    </row>
    <row r="19" spans="4:16" ht="15.75">
      <c r="D19" s="4"/>
      <c r="E19" s="4"/>
      <c r="F19" s="4"/>
      <c r="G19" s="4"/>
      <c r="H19" s="263" t="s">
        <v>120</v>
      </c>
      <c r="I19" s="174" t="s">
        <v>299</v>
      </c>
      <c r="K19" s="15"/>
      <c r="N19" s="4"/>
      <c r="O19" s="4"/>
    </row>
    <row r="20" spans="4:16" ht="15.75">
      <c r="D20" s="4"/>
      <c r="E20" s="4"/>
      <c r="F20" s="4"/>
      <c r="G20" s="4"/>
      <c r="H20" s="263" t="s">
        <v>120</v>
      </c>
      <c r="I20" s="174" t="s">
        <v>268</v>
      </c>
      <c r="N20" s="14"/>
      <c r="O20" s="4"/>
    </row>
    <row r="21" spans="4:16" ht="15.75">
      <c r="D21" s="4"/>
      <c r="E21" s="4"/>
      <c r="F21" s="4"/>
      <c r="G21" s="4"/>
      <c r="H21" s="263" t="s">
        <v>120</v>
      </c>
      <c r="I21" s="174" t="s">
        <v>32</v>
      </c>
      <c r="N21" s="14"/>
      <c r="O21" s="4"/>
    </row>
    <row r="22" spans="4:16" ht="15.75">
      <c r="D22" s="4"/>
      <c r="E22" s="4"/>
      <c r="F22" s="4"/>
      <c r="G22" s="4"/>
      <c r="H22" s="263" t="s">
        <v>120</v>
      </c>
      <c r="I22" s="174" t="s">
        <v>155</v>
      </c>
      <c r="J22" s="15"/>
      <c r="N22" s="4"/>
      <c r="O22" s="4"/>
      <c r="P22" s="4"/>
    </row>
    <row r="23" spans="4:16">
      <c r="D23" s="4"/>
      <c r="E23" s="4"/>
      <c r="F23" s="4"/>
      <c r="G23" s="4"/>
      <c r="N23" s="4"/>
      <c r="O23" s="4"/>
      <c r="P23" s="4"/>
    </row>
    <row r="24" spans="4:16" ht="15.75">
      <c r="D24" s="4"/>
      <c r="E24" s="4"/>
      <c r="F24" s="4"/>
      <c r="G24" s="4"/>
      <c r="H24" s="4"/>
      <c r="I24" s="19"/>
      <c r="N24" s="4"/>
      <c r="O24" s="4"/>
      <c r="P24" s="4"/>
    </row>
    <row r="25" spans="4:16">
      <c r="D25" s="4"/>
      <c r="E25" s="4"/>
      <c r="F25" s="4"/>
      <c r="G25" s="4"/>
      <c r="H25" s="8" t="s">
        <v>22</v>
      </c>
      <c r="I25" s="8"/>
      <c r="N25" s="4"/>
      <c r="O25" s="4"/>
      <c r="P25" s="4"/>
    </row>
    <row r="26" spans="4:16">
      <c r="D26" s="4"/>
      <c r="E26" s="4"/>
      <c r="F26" s="4"/>
      <c r="G26" s="4"/>
      <c r="H26" s="10" t="s">
        <v>21</v>
      </c>
      <c r="I26" s="10"/>
      <c r="N26" s="4"/>
      <c r="O26" s="4"/>
      <c r="P26" s="4"/>
    </row>
    <row r="27" spans="4:16">
      <c r="D27" s="4"/>
      <c r="E27" s="4"/>
      <c r="F27" s="4"/>
      <c r="G27" s="4"/>
      <c r="H27" s="10" t="s">
        <v>23</v>
      </c>
      <c r="I27" s="10"/>
      <c r="N27" s="4"/>
      <c r="O27" s="4"/>
      <c r="P27" s="4"/>
    </row>
    <row r="28" spans="4:16">
      <c r="D28" s="9"/>
      <c r="E28" s="4"/>
      <c r="F28" s="4"/>
      <c r="G28" s="4"/>
      <c r="H28" s="12" t="s">
        <v>33</v>
      </c>
      <c r="I28" s="12"/>
      <c r="P28" s="9"/>
    </row>
    <row r="29" spans="4:16">
      <c r="D29" s="9"/>
      <c r="E29" s="4"/>
      <c r="F29" s="4"/>
      <c r="G29" s="4"/>
      <c r="H29" s="12" t="s">
        <v>237</v>
      </c>
      <c r="I29" s="12"/>
      <c r="P29" s="9"/>
    </row>
    <row r="30" spans="4:16">
      <c r="E30" s="11"/>
      <c r="F30" s="4"/>
      <c r="G30" s="4"/>
      <c r="P30" s="9"/>
    </row>
    <row r="31" spans="4:16" ht="58.5" customHeight="1">
      <c r="E31" s="11"/>
      <c r="F31" s="4"/>
      <c r="G31" s="4"/>
      <c r="H31" s="316" t="s">
        <v>158</v>
      </c>
      <c r="I31" s="316"/>
      <c r="J31" s="317"/>
      <c r="K31" s="317"/>
      <c r="L31" s="317"/>
      <c r="P31" s="9"/>
    </row>
    <row r="32" spans="4:16" hidden="1">
      <c r="D32" s="9"/>
      <c r="E32" s="4"/>
      <c r="F32" s="4"/>
      <c r="G32" s="4"/>
      <c r="H32" s="4"/>
      <c r="I32" s="4"/>
      <c r="P32" s="9"/>
    </row>
    <row r="33" spans="4:16">
      <c r="D33" s="9"/>
      <c r="E33" s="4"/>
      <c r="F33" s="4"/>
      <c r="G33" s="4"/>
      <c r="P33" s="9"/>
    </row>
    <row r="36" spans="4:16">
      <c r="D36" s="64"/>
    </row>
    <row r="61" ht="6" customHeight="1"/>
    <row r="63" ht="7.5" customHeight="1"/>
    <row r="249" spans="23:23">
      <c r="W249" s="64"/>
    </row>
  </sheetData>
  <customSheetViews>
    <customSheetView guid="{C6BBAF30-1E81-42FB-BA93-01B6813E2C8C}" showPageBreaks="1" showGridLines="0" printArea="1" showRuler="0">
      <pageMargins left="0.7" right="0.7" top="0.75" bottom="0.75" header="0.3" footer="0.3"/>
      <printOptions horizontalCentered="1" verticalCentered="1"/>
      <pageSetup paperSize="9" orientation="landscape"/>
      <headerFooter alignWithMargins="0"/>
    </customSheetView>
    <customSheetView guid="{F07085DA-2B2D-4BE1-891D-F25D604A092E}" scale="85" showPageBreaks="1" showGridLines="0" printArea="1" showRuler="0" topLeftCell="E5">
      <selection activeCell="A77" sqref="A77"/>
      <pageMargins left="0.7" right="0.7" top="0.75" bottom="0.75" header="0.3" footer="0.3"/>
      <pageSetup paperSize="9" orientation="landscape"/>
      <headerFooter alignWithMargins="0"/>
    </customSheetView>
    <customSheetView guid="{6A44E415-E6EC-4CA2-8B4C-A374F00F0261}" scale="85" showPageBreaks="1" showGridLines="0" printArea="1" showRuler="0">
      <pageMargins left="0.7" right="0.7" top="0.75" bottom="0.75" header="0.3" footer="0.3"/>
      <pageSetup paperSize="9" orientation="landscape"/>
      <headerFooter alignWithMargins="0"/>
    </customSheetView>
    <customSheetView guid="{C32ED439-2914-4073-BFBF-7718D6CFE811}" showPageBreaks="1" showGridLines="0" printArea="1">
      <selection activeCell="D61" sqref="D61"/>
      <pageMargins left="0.7" right="0.7" top="0.75" bottom="0.75" header="0.3" footer="0.3"/>
      <pageSetup paperSize="9" orientation="landscape"/>
      <headerFooter alignWithMargins="0"/>
    </customSheetView>
    <customSheetView guid="{44BC518B-F505-4956-BE42-792973965029}" showPageBreaks="1" showGridLines="0" printArea="1" showRuler="0" topLeftCell="E1">
      <selection activeCell="M263" sqref="M263"/>
      <pageMargins left="0.7" right="0.7" top="0.75" bottom="0.75" header="0.3" footer="0.3"/>
      <pageSetup paperSize="9" orientation="landscape"/>
      <headerFooter alignWithMargins="0"/>
    </customSheetView>
    <customSheetView guid="{7DC6D345-C4C0-4162-8636-D495A245EBF8}" showPageBreaks="1" showGridLines="0" printArea="1" topLeftCell="E25">
      <selection activeCell="H12" sqref="H12:L12"/>
      <pageMargins left="0.7" right="0.7" top="0.75" bottom="0.75" header="0.3" footer="0.3"/>
      <pageSetup paperSize="9" orientation="landscape"/>
      <headerFooter alignWithMargins="0"/>
    </customSheetView>
    <customSheetView guid="{67DDFA58-7FF7-4BDB-BFFF-31DB4021D095}" showGridLines="0" topLeftCell="E25">
      <selection activeCell="H12" sqref="H12:L12"/>
      <pageMargins left="0.7" right="0.7" top="0.75" bottom="0.75" header="0.3" footer="0.3"/>
      <pageSetup paperSize="9" orientation="landscape"/>
      <headerFooter alignWithMargins="0"/>
    </customSheetView>
  </customSheetViews>
  <mergeCells count="1">
    <mergeCell ref="H31:L31"/>
  </mergeCells>
  <phoneticPr fontId="4" type="noConversion"/>
  <hyperlinks>
    <hyperlink ref="H28" r:id="rId1"/>
    <hyperlink ref="H29" r:id="rId2"/>
  </hyperlinks>
  <pageMargins left="0.23622047244094491" right="0.23622047244094491" top="0.23622047244094491" bottom="0.23622047244094491" header="0.51181102362204722" footer="0.51181102362204722"/>
  <pageSetup paperSize="9" orientation="landscape" r:id="rId3"/>
  <headerFooter alignWithMargins="0"/>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V96"/>
  <sheetViews>
    <sheetView showGridLines="0" zoomScale="110" zoomScaleNormal="110" workbookViewId="0">
      <pane xSplit="1" ySplit="4" topLeftCell="L74" activePane="bottomRight" state="frozen"/>
      <selection activeCell="M18" sqref="M18"/>
      <selection pane="topRight" activeCell="M18" sqref="M18"/>
      <selection pane="bottomLeft" activeCell="M18" sqref="M18"/>
      <selection pane="bottomRight" activeCell="P3" sqref="P3"/>
    </sheetView>
  </sheetViews>
  <sheetFormatPr defaultRowHeight="12.75"/>
  <cols>
    <col min="1" max="1" width="50.7109375" bestFit="1" customWidth="1"/>
    <col min="2" max="6" width="9.140625" hidden="1" customWidth="1"/>
    <col min="8" max="11" width="0" hidden="1" customWidth="1"/>
  </cols>
  <sheetData>
    <row r="1" spans="1:22">
      <c r="A1" s="29"/>
      <c r="B1" s="3"/>
      <c r="C1" s="3"/>
      <c r="D1" s="3"/>
      <c r="E1" s="3"/>
      <c r="F1" s="3"/>
      <c r="G1" s="3"/>
      <c r="H1" s="3"/>
      <c r="I1" s="3"/>
      <c r="J1" s="3"/>
      <c r="K1" s="3"/>
      <c r="L1" s="3"/>
      <c r="M1" s="3"/>
      <c r="N1" s="3"/>
      <c r="O1" s="3"/>
      <c r="P1" s="3"/>
      <c r="Q1" s="3"/>
      <c r="R1" s="3"/>
    </row>
    <row r="2" spans="1:22">
      <c r="A2" s="29"/>
      <c r="B2" s="3"/>
      <c r="C2" s="3"/>
      <c r="D2" s="3"/>
      <c r="E2" s="3"/>
      <c r="F2" s="3"/>
      <c r="G2" s="3"/>
      <c r="H2" s="3"/>
      <c r="I2" s="3"/>
      <c r="J2" s="3"/>
      <c r="K2" s="3"/>
      <c r="L2" s="3"/>
      <c r="M2" s="3"/>
      <c r="N2" s="3"/>
      <c r="O2" s="3"/>
      <c r="P2" s="3"/>
      <c r="Q2" s="3"/>
      <c r="R2" s="3"/>
    </row>
    <row r="3" spans="1:22">
      <c r="A3" s="30"/>
      <c r="B3" s="45" t="s">
        <v>5</v>
      </c>
      <c r="C3" s="45" t="s">
        <v>74</v>
      </c>
      <c r="D3" s="45" t="s">
        <v>0</v>
      </c>
      <c r="E3" s="45" t="s">
        <v>1</v>
      </c>
      <c r="F3" s="45" t="s">
        <v>2</v>
      </c>
      <c r="G3" s="45" t="s">
        <v>5</v>
      </c>
      <c r="H3" s="45" t="s">
        <v>74</v>
      </c>
      <c r="I3" s="45" t="s">
        <v>0</v>
      </c>
      <c r="J3" s="45" t="s">
        <v>1</v>
      </c>
      <c r="K3" s="45" t="s">
        <v>2</v>
      </c>
      <c r="L3" s="45" t="s">
        <v>5</v>
      </c>
      <c r="M3" s="45" t="s">
        <v>74</v>
      </c>
      <c r="N3" s="45" t="s">
        <v>0</v>
      </c>
      <c r="O3" s="45" t="s">
        <v>1</v>
      </c>
      <c r="P3" s="45" t="s">
        <v>2</v>
      </c>
      <c r="Q3" s="45" t="s">
        <v>5</v>
      </c>
      <c r="R3" s="45" t="s">
        <v>74</v>
      </c>
      <c r="S3" s="45" t="s">
        <v>0</v>
      </c>
      <c r="T3" s="45" t="s">
        <v>1</v>
      </c>
      <c r="U3" s="45" t="s">
        <v>2</v>
      </c>
      <c r="V3" s="45" t="s">
        <v>5</v>
      </c>
    </row>
    <row r="4" spans="1:22">
      <c r="A4" s="267" t="s">
        <v>311</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2020</v>
      </c>
      <c r="S4" s="45">
        <v>2020</v>
      </c>
      <c r="T4" s="45">
        <v>2020</v>
      </c>
      <c r="U4" s="45">
        <v>2020</v>
      </c>
      <c r="V4" s="45">
        <v>2020</v>
      </c>
    </row>
    <row r="5" spans="1:22" ht="5.25" customHeight="1">
      <c r="A5" s="42"/>
      <c r="B5" s="43"/>
      <c r="C5" s="43"/>
      <c r="D5" s="43"/>
      <c r="E5" s="43"/>
      <c r="F5" s="43"/>
      <c r="G5" s="43"/>
      <c r="H5" s="43"/>
      <c r="I5" s="43"/>
      <c r="J5" s="43"/>
      <c r="K5" s="43"/>
      <c r="L5" s="43"/>
      <c r="M5" s="43"/>
      <c r="N5" s="43"/>
      <c r="O5" s="43"/>
      <c r="P5" s="43"/>
      <c r="Q5" s="43"/>
      <c r="R5" s="43"/>
      <c r="S5" s="43"/>
      <c r="T5" s="43"/>
      <c r="U5" s="43"/>
      <c r="V5" s="43"/>
    </row>
    <row r="6" spans="1:22" ht="20.25">
      <c r="A6" s="33" t="s">
        <v>239</v>
      </c>
      <c r="B6" s="27"/>
      <c r="C6" s="27"/>
      <c r="D6" s="27"/>
      <c r="E6" s="27"/>
      <c r="F6" s="27"/>
      <c r="G6" s="27"/>
      <c r="H6" s="27"/>
      <c r="I6" s="27"/>
      <c r="J6" s="27"/>
      <c r="K6" s="27"/>
      <c r="L6" s="27"/>
      <c r="M6" s="27"/>
      <c r="N6" s="27"/>
      <c r="O6" s="27"/>
      <c r="P6" s="27"/>
      <c r="Q6" s="27"/>
      <c r="R6" s="27"/>
      <c r="S6" s="27"/>
      <c r="T6" s="27"/>
      <c r="U6" s="27"/>
      <c r="V6" s="27"/>
    </row>
    <row r="7" spans="1:22">
      <c r="A7" s="21"/>
      <c r="B7" s="21"/>
      <c r="C7" s="20"/>
      <c r="D7" s="20"/>
      <c r="E7" s="20"/>
      <c r="F7" s="20"/>
      <c r="G7" s="21"/>
      <c r="H7" s="20"/>
      <c r="I7" s="20"/>
      <c r="J7" s="20"/>
      <c r="K7" s="20"/>
      <c r="L7" s="21"/>
      <c r="M7" s="20"/>
      <c r="N7" s="20"/>
      <c r="O7" s="20"/>
      <c r="P7" s="20"/>
      <c r="Q7" s="21"/>
      <c r="R7" s="20"/>
      <c r="S7" s="20"/>
      <c r="T7" s="20"/>
      <c r="U7" s="20"/>
      <c r="V7" s="21"/>
    </row>
    <row r="8" spans="1:22">
      <c r="A8" s="38" t="s">
        <v>59</v>
      </c>
      <c r="B8" s="39"/>
      <c r="C8" s="40"/>
      <c r="D8" s="40"/>
      <c r="E8" s="40"/>
      <c r="F8" s="40"/>
      <c r="G8" s="39"/>
      <c r="H8" s="40"/>
      <c r="I8" s="40"/>
      <c r="J8" s="40"/>
      <c r="K8" s="40"/>
      <c r="L8" s="39"/>
      <c r="M8" s="40"/>
      <c r="N8" s="40"/>
      <c r="O8" s="40"/>
      <c r="P8" s="40"/>
      <c r="Q8" s="39"/>
      <c r="R8" s="40"/>
      <c r="S8" s="40"/>
      <c r="T8" s="40"/>
      <c r="U8" s="40"/>
      <c r="V8" s="39"/>
    </row>
    <row r="9" spans="1:22">
      <c r="A9" s="65" t="s">
        <v>16</v>
      </c>
      <c r="B9" s="35">
        <v>1745</v>
      </c>
      <c r="C9" s="66">
        <v>424</v>
      </c>
      <c r="D9" s="66">
        <v>416</v>
      </c>
      <c r="E9" s="66">
        <v>406</v>
      </c>
      <c r="F9" s="66">
        <f>G9-E9-D9-C9</f>
        <v>404</v>
      </c>
      <c r="G9" s="35">
        <v>1650</v>
      </c>
      <c r="H9" s="66">
        <v>375</v>
      </c>
      <c r="I9" s="66">
        <v>375</v>
      </c>
      <c r="J9" s="66">
        <v>367</v>
      </c>
      <c r="K9" s="66">
        <f>L9-J9-I9-H9</f>
        <v>356</v>
      </c>
      <c r="L9" s="35">
        <v>1473</v>
      </c>
      <c r="M9" s="66">
        <v>343</v>
      </c>
      <c r="N9" s="66">
        <v>337</v>
      </c>
      <c r="O9" s="66">
        <v>334</v>
      </c>
      <c r="P9" s="66">
        <f>Q9-O9-N9-M9</f>
        <v>331</v>
      </c>
      <c r="Q9" s="35">
        <v>1345</v>
      </c>
      <c r="R9" s="66">
        <v>338</v>
      </c>
      <c r="S9" s="66">
        <v>319</v>
      </c>
      <c r="T9" s="66">
        <v>313</v>
      </c>
      <c r="U9" s="66">
        <f>V9-T9-S9-R9</f>
        <v>317</v>
      </c>
      <c r="V9" s="35">
        <v>1287</v>
      </c>
    </row>
    <row r="10" spans="1:22">
      <c r="A10" s="67" t="s">
        <v>7</v>
      </c>
      <c r="B10" s="23"/>
      <c r="C10" s="68"/>
      <c r="D10" s="68">
        <f>D9/C9-1</f>
        <v>-1.8867924528301883E-2</v>
      </c>
      <c r="E10" s="68">
        <f>E9/D9-1</f>
        <v>-2.4038461538461564E-2</v>
      </c>
      <c r="F10" s="68">
        <f>F9/E9-1</f>
        <v>-4.9261083743842304E-3</v>
      </c>
      <c r="G10" s="23"/>
      <c r="H10" s="68">
        <f>H9/F9-1</f>
        <v>-7.1782178217821735E-2</v>
      </c>
      <c r="I10" s="68">
        <f>I9/H9-1</f>
        <v>0</v>
      </c>
      <c r="J10" s="68">
        <f>J9/I9-1</f>
        <v>-2.1333333333333315E-2</v>
      </c>
      <c r="K10" s="68">
        <f>K9/J9-1</f>
        <v>-2.9972752043596729E-2</v>
      </c>
      <c r="L10" s="23"/>
      <c r="M10" s="68">
        <f>M9/K9-1</f>
        <v>-3.6516853932584303E-2</v>
      </c>
      <c r="N10" s="68">
        <f>N9/M9-1</f>
        <v>-1.7492711370262426E-2</v>
      </c>
      <c r="O10" s="68">
        <f>O9/N9-1</f>
        <v>-8.9020771513352859E-3</v>
      </c>
      <c r="P10" s="68">
        <f>P9/O9-1</f>
        <v>-8.9820359281437279E-3</v>
      </c>
      <c r="Q10" s="23"/>
      <c r="R10" s="68">
        <f>R9/P9-1</f>
        <v>2.114803625377637E-2</v>
      </c>
      <c r="S10" s="68">
        <f>S9/R9-1</f>
        <v>-5.6213017751479244E-2</v>
      </c>
      <c r="T10" s="68">
        <f>T9/S9-1</f>
        <v>-1.8808777429467072E-2</v>
      </c>
      <c r="U10" s="68">
        <f>U9/T9-1</f>
        <v>1.2779552715654896E-2</v>
      </c>
      <c r="V10" s="23"/>
    </row>
    <row r="11" spans="1:22">
      <c r="A11" s="67" t="s">
        <v>8</v>
      </c>
      <c r="B11" s="23"/>
      <c r="C11" s="69"/>
      <c r="D11" s="69"/>
      <c r="E11" s="69"/>
      <c r="F11" s="69"/>
      <c r="G11" s="23">
        <f t="shared" ref="G11:T11" si="0">G9/B9-1</f>
        <v>-5.4441260744985676E-2</v>
      </c>
      <c r="H11" s="69">
        <f t="shared" si="0"/>
        <v>-0.11556603773584906</v>
      </c>
      <c r="I11" s="69">
        <f t="shared" si="0"/>
        <v>-9.8557692307692291E-2</v>
      </c>
      <c r="J11" s="69">
        <f t="shared" si="0"/>
        <v>-9.605911330049266E-2</v>
      </c>
      <c r="K11" s="69">
        <f t="shared" si="0"/>
        <v>-0.11881188118811881</v>
      </c>
      <c r="L11" s="23">
        <f t="shared" si="0"/>
        <v>-0.1072727272727273</v>
      </c>
      <c r="M11" s="69">
        <f t="shared" si="0"/>
        <v>-8.5333333333333372E-2</v>
      </c>
      <c r="N11" s="69">
        <f t="shared" si="0"/>
        <v>-0.10133333333333339</v>
      </c>
      <c r="O11" s="69">
        <f t="shared" si="0"/>
        <v>-8.9918256130790186E-2</v>
      </c>
      <c r="P11" s="69">
        <f t="shared" si="0"/>
        <v>-7.02247191011236E-2</v>
      </c>
      <c r="Q11" s="23">
        <f t="shared" si="0"/>
        <v>-8.6897488119484056E-2</v>
      </c>
      <c r="R11" s="69">
        <f t="shared" si="0"/>
        <v>-1.4577259475218707E-2</v>
      </c>
      <c r="S11" s="69">
        <f t="shared" si="0"/>
        <v>-5.3412462908011826E-2</v>
      </c>
      <c r="T11" s="69">
        <f t="shared" si="0"/>
        <v>-6.2874251497005984E-2</v>
      </c>
      <c r="U11" s="69">
        <f t="shared" ref="U11" si="1">U9/P9-1</f>
        <v>-4.2296072507552851E-2</v>
      </c>
      <c r="V11" s="23">
        <f t="shared" ref="V11" si="2">V9/Q9-1</f>
        <v>-4.3122676579925634E-2</v>
      </c>
    </row>
    <row r="12" spans="1:22">
      <c r="A12" s="65" t="s">
        <v>224</v>
      </c>
      <c r="B12" s="35">
        <v>296</v>
      </c>
      <c r="C12" s="137">
        <v>70</v>
      </c>
      <c r="D12" s="137">
        <v>71</v>
      </c>
      <c r="E12" s="137">
        <v>72</v>
      </c>
      <c r="F12" s="137">
        <f>G12-E12-D12-C12</f>
        <v>72</v>
      </c>
      <c r="G12" s="35">
        <v>285</v>
      </c>
      <c r="H12" s="137">
        <v>79</v>
      </c>
      <c r="I12" s="66">
        <v>79</v>
      </c>
      <c r="J12" s="66">
        <v>81</v>
      </c>
      <c r="K12" s="66">
        <f>L12-J12-I12-H12</f>
        <v>84</v>
      </c>
      <c r="L12" s="35">
        <v>323</v>
      </c>
      <c r="M12" s="66">
        <v>55</v>
      </c>
      <c r="N12" s="66">
        <v>68</v>
      </c>
      <c r="O12" s="66">
        <v>50</v>
      </c>
      <c r="P12" s="66">
        <f>Q12-O12-N12-M12</f>
        <v>46</v>
      </c>
      <c r="Q12" s="35">
        <v>219</v>
      </c>
      <c r="R12" s="66">
        <v>44</v>
      </c>
      <c r="S12" s="66">
        <v>50</v>
      </c>
      <c r="T12" s="66">
        <v>50</v>
      </c>
      <c r="U12" s="66">
        <f>V12-T12-S12-R12</f>
        <v>59</v>
      </c>
      <c r="V12" s="35">
        <v>203</v>
      </c>
    </row>
    <row r="13" spans="1:22">
      <c r="A13" s="77" t="s">
        <v>7</v>
      </c>
      <c r="B13" s="23"/>
      <c r="C13" s="68"/>
      <c r="D13" s="68">
        <f>D12/C12-1</f>
        <v>1.4285714285714235E-2</v>
      </c>
      <c r="E13" s="68">
        <f>E12/D12-1</f>
        <v>1.4084507042253502E-2</v>
      </c>
      <c r="F13" s="68">
        <f>F12/E12-1</f>
        <v>0</v>
      </c>
      <c r="G13" s="23"/>
      <c r="H13" s="155">
        <f>H12/F12-1</f>
        <v>9.7222222222222321E-2</v>
      </c>
      <c r="I13" s="68">
        <f>I12/H12-1</f>
        <v>0</v>
      </c>
      <c r="J13" s="68">
        <f>J12/I12-1</f>
        <v>2.5316455696202445E-2</v>
      </c>
      <c r="K13" s="68">
        <f>K12/J12-1</f>
        <v>3.7037037037036979E-2</v>
      </c>
      <c r="L13" s="23"/>
      <c r="M13" s="68">
        <f>M12/K12-1</f>
        <v>-0.34523809523809523</v>
      </c>
      <c r="N13" s="68">
        <f>N12/M12-1</f>
        <v>0.23636363636363633</v>
      </c>
      <c r="O13" s="68">
        <f>O12/N12-1</f>
        <v>-0.26470588235294112</v>
      </c>
      <c r="P13" s="68">
        <f>P12/O12-1</f>
        <v>-7.999999999999996E-2</v>
      </c>
      <c r="Q13" s="23"/>
      <c r="R13" s="68">
        <f>R12/P12-1</f>
        <v>-4.3478260869565188E-2</v>
      </c>
      <c r="S13" s="68">
        <f>S12/R12-1</f>
        <v>0.13636363636363646</v>
      </c>
      <c r="T13" s="68">
        <f>T12/S12-1</f>
        <v>0</v>
      </c>
      <c r="U13" s="68">
        <f>U12/T12-1</f>
        <v>0.17999999999999994</v>
      </c>
      <c r="V13" s="23"/>
    </row>
    <row r="14" spans="1:22">
      <c r="A14" s="77" t="s">
        <v>8</v>
      </c>
      <c r="B14" s="23"/>
      <c r="C14" s="69"/>
      <c r="D14" s="69"/>
      <c r="E14" s="69"/>
      <c r="F14" s="69"/>
      <c r="G14" s="23">
        <f t="shared" ref="G14:T14" si="3">G12/B12-1</f>
        <v>-3.7162162162162171E-2</v>
      </c>
      <c r="H14" s="154">
        <f t="shared" si="3"/>
        <v>0.12857142857142856</v>
      </c>
      <c r="I14" s="69">
        <f t="shared" si="3"/>
        <v>0.11267605633802824</v>
      </c>
      <c r="J14" s="69">
        <f t="shared" si="3"/>
        <v>0.125</v>
      </c>
      <c r="K14" s="69">
        <f t="shared" si="3"/>
        <v>0.16666666666666674</v>
      </c>
      <c r="L14" s="23">
        <f t="shared" si="3"/>
        <v>0.1333333333333333</v>
      </c>
      <c r="M14" s="69">
        <f t="shared" si="3"/>
        <v>-0.30379746835443033</v>
      </c>
      <c r="N14" s="69">
        <f t="shared" si="3"/>
        <v>-0.13924050632911389</v>
      </c>
      <c r="O14" s="69">
        <f t="shared" si="3"/>
        <v>-0.38271604938271608</v>
      </c>
      <c r="P14" s="69">
        <f t="shared" si="3"/>
        <v>-0.45238095238095233</v>
      </c>
      <c r="Q14" s="23">
        <f t="shared" si="3"/>
        <v>-0.32198142414860687</v>
      </c>
      <c r="R14" s="69">
        <f t="shared" si="3"/>
        <v>-0.19999999999999996</v>
      </c>
      <c r="S14" s="69">
        <f t="shared" si="3"/>
        <v>-0.26470588235294112</v>
      </c>
      <c r="T14" s="69">
        <f t="shared" si="3"/>
        <v>0</v>
      </c>
      <c r="U14" s="69">
        <f t="shared" ref="U14" si="4">U12/P12-1</f>
        <v>0.28260869565217384</v>
      </c>
      <c r="V14" s="23">
        <f t="shared" ref="V14" si="5">V12/Q12-1</f>
        <v>-7.3059360730593603E-2</v>
      </c>
    </row>
    <row r="15" spans="1:22">
      <c r="A15" s="65" t="s">
        <v>75</v>
      </c>
      <c r="B15" s="35">
        <v>249</v>
      </c>
      <c r="C15" s="66">
        <v>59</v>
      </c>
      <c r="D15" s="66">
        <v>59</v>
      </c>
      <c r="E15" s="66">
        <v>62</v>
      </c>
      <c r="F15" s="66">
        <f>G15-E15-D15-C15</f>
        <v>65</v>
      </c>
      <c r="G15" s="35">
        <v>245</v>
      </c>
      <c r="H15" s="137">
        <v>58</v>
      </c>
      <c r="I15" s="66">
        <v>60</v>
      </c>
      <c r="J15" s="66">
        <v>56</v>
      </c>
      <c r="K15" s="66">
        <f>L15-J15-I15-H15</f>
        <v>59</v>
      </c>
      <c r="L15" s="35">
        <v>233</v>
      </c>
      <c r="M15" s="66">
        <v>56</v>
      </c>
      <c r="N15" s="66">
        <v>54</v>
      </c>
      <c r="O15" s="66">
        <v>52</v>
      </c>
      <c r="P15" s="66">
        <f>Q15-O15-N15-M15</f>
        <v>54</v>
      </c>
      <c r="Q15" s="35">
        <v>216</v>
      </c>
      <c r="R15" s="66">
        <v>54</v>
      </c>
      <c r="S15" s="66">
        <v>48</v>
      </c>
      <c r="T15" s="66">
        <v>50</v>
      </c>
      <c r="U15" s="66">
        <f>V15-T15-S15-R15</f>
        <v>51</v>
      </c>
      <c r="V15" s="35">
        <v>203</v>
      </c>
    </row>
    <row r="16" spans="1:22">
      <c r="A16" s="67" t="s">
        <v>7</v>
      </c>
      <c r="B16" s="23"/>
      <c r="C16" s="68"/>
      <c r="D16" s="68">
        <f>D15/C15-1</f>
        <v>0</v>
      </c>
      <c r="E16" s="68">
        <f>E15/D15-1</f>
        <v>5.0847457627118731E-2</v>
      </c>
      <c r="F16" s="68">
        <f>F15/E15-1</f>
        <v>4.8387096774193505E-2</v>
      </c>
      <c r="G16" s="23"/>
      <c r="H16" s="155">
        <f>H15/F15-1</f>
        <v>-0.10769230769230764</v>
      </c>
      <c r="I16" s="68">
        <f>I15/H15-1</f>
        <v>3.4482758620689724E-2</v>
      </c>
      <c r="J16" s="68">
        <f>J15/I15-1</f>
        <v>-6.6666666666666652E-2</v>
      </c>
      <c r="K16" s="68">
        <f>K15/J15-1</f>
        <v>5.3571428571428603E-2</v>
      </c>
      <c r="L16" s="23"/>
      <c r="M16" s="68">
        <f>M15/K15-1</f>
        <v>-5.084745762711862E-2</v>
      </c>
      <c r="N16" s="68">
        <f>N15/M15-1</f>
        <v>-3.5714285714285698E-2</v>
      </c>
      <c r="O16" s="68">
        <f>O15/N15-1</f>
        <v>-3.703703703703709E-2</v>
      </c>
      <c r="P16" s="68">
        <f>P15/O15-1</f>
        <v>3.8461538461538547E-2</v>
      </c>
      <c r="Q16" s="23"/>
      <c r="R16" s="68">
        <f>R15/P15-1</f>
        <v>0</v>
      </c>
      <c r="S16" s="68">
        <f>S15/R15-1</f>
        <v>-0.11111111111111116</v>
      </c>
      <c r="T16" s="68">
        <f>T15/S15-1</f>
        <v>4.1666666666666741E-2</v>
      </c>
      <c r="U16" s="68">
        <f>U15/T15-1</f>
        <v>2.0000000000000018E-2</v>
      </c>
      <c r="V16" s="23"/>
    </row>
    <row r="17" spans="1:22">
      <c r="A17" s="67" t="s">
        <v>8</v>
      </c>
      <c r="B17" s="23"/>
      <c r="C17" s="69"/>
      <c r="D17" s="69"/>
      <c r="E17" s="69"/>
      <c r="F17" s="69"/>
      <c r="G17" s="23">
        <f t="shared" ref="G17:T17" si="6">G15/B15-1</f>
        <v>-1.6064257028112428E-2</v>
      </c>
      <c r="H17" s="154">
        <f t="shared" si="6"/>
        <v>-1.6949152542372836E-2</v>
      </c>
      <c r="I17" s="69">
        <f t="shared" si="6"/>
        <v>1.6949152542372836E-2</v>
      </c>
      <c r="J17" s="69">
        <f t="shared" si="6"/>
        <v>-9.6774193548387122E-2</v>
      </c>
      <c r="K17" s="69">
        <f t="shared" si="6"/>
        <v>-9.2307692307692313E-2</v>
      </c>
      <c r="L17" s="23">
        <f t="shared" si="6"/>
        <v>-4.8979591836734726E-2</v>
      </c>
      <c r="M17" s="69">
        <f t="shared" si="6"/>
        <v>-3.4482758620689613E-2</v>
      </c>
      <c r="N17" s="69">
        <f t="shared" si="6"/>
        <v>-9.9999999999999978E-2</v>
      </c>
      <c r="O17" s="69">
        <f t="shared" si="6"/>
        <v>-7.1428571428571397E-2</v>
      </c>
      <c r="P17" s="69">
        <f t="shared" si="6"/>
        <v>-8.4745762711864403E-2</v>
      </c>
      <c r="Q17" s="23">
        <f t="shared" si="6"/>
        <v>-7.2961373390557971E-2</v>
      </c>
      <c r="R17" s="69">
        <f t="shared" si="6"/>
        <v>-3.5714285714285698E-2</v>
      </c>
      <c r="S17" s="69">
        <f t="shared" si="6"/>
        <v>-0.11111111111111116</v>
      </c>
      <c r="T17" s="69">
        <f t="shared" si="6"/>
        <v>-3.8461538461538436E-2</v>
      </c>
      <c r="U17" s="69">
        <f t="shared" ref="U17" si="7">U15/P15-1</f>
        <v>-5.555555555555558E-2</v>
      </c>
      <c r="V17" s="23">
        <f t="shared" ref="V17" si="8">V15/Q15-1</f>
        <v>-6.018518518518523E-2</v>
      </c>
    </row>
    <row r="18" spans="1:22">
      <c r="A18" s="65" t="s">
        <v>243</v>
      </c>
      <c r="B18" s="35">
        <v>947</v>
      </c>
      <c r="C18" s="66">
        <v>243</v>
      </c>
      <c r="D18" s="66">
        <v>237</v>
      </c>
      <c r="E18" s="66">
        <v>237</v>
      </c>
      <c r="F18" s="66">
        <f>G18-E18-D18-C18</f>
        <v>240</v>
      </c>
      <c r="G18" s="35">
        <v>957</v>
      </c>
      <c r="H18" s="137">
        <v>237</v>
      </c>
      <c r="I18" s="66">
        <v>246</v>
      </c>
      <c r="J18" s="66">
        <v>229</v>
      </c>
      <c r="K18" s="66">
        <f>L18-J18-I18-H18</f>
        <v>244</v>
      </c>
      <c r="L18" s="35">
        <v>956</v>
      </c>
      <c r="M18" s="66">
        <v>234</v>
      </c>
      <c r="N18" s="66">
        <v>248</v>
      </c>
      <c r="O18" s="66">
        <v>211</v>
      </c>
      <c r="P18" s="66">
        <f>Q18-O18-N18-M18</f>
        <v>230</v>
      </c>
      <c r="Q18" s="35">
        <v>923</v>
      </c>
      <c r="R18" s="66">
        <v>231</v>
      </c>
      <c r="S18" s="66">
        <v>210</v>
      </c>
      <c r="T18" s="66">
        <v>195</v>
      </c>
      <c r="U18" s="66">
        <f>V18-T18-S18-R18</f>
        <v>221</v>
      </c>
      <c r="V18" s="35">
        <v>857</v>
      </c>
    </row>
    <row r="19" spans="1:22">
      <c r="A19" s="67" t="s">
        <v>7</v>
      </c>
      <c r="B19" s="23"/>
      <c r="C19" s="68"/>
      <c r="D19" s="68">
        <f>D18/C18-1</f>
        <v>-2.4691358024691357E-2</v>
      </c>
      <c r="E19" s="68">
        <f>E18/D18-1</f>
        <v>0</v>
      </c>
      <c r="F19" s="68">
        <f>F18/E18-1</f>
        <v>1.2658227848101333E-2</v>
      </c>
      <c r="G19" s="23"/>
      <c r="H19" s="155">
        <f>H18/F18-1</f>
        <v>-1.2499999999999956E-2</v>
      </c>
      <c r="I19" s="68">
        <f>I18/H18-1</f>
        <v>3.7974683544303778E-2</v>
      </c>
      <c r="J19" s="68">
        <f>J18/I18-1</f>
        <v>-6.9105691056910556E-2</v>
      </c>
      <c r="K19" s="68">
        <f>K18/J18-1</f>
        <v>6.5502183406113579E-2</v>
      </c>
      <c r="L19" s="23"/>
      <c r="M19" s="68">
        <f>M18/K18-1</f>
        <v>-4.0983606557377095E-2</v>
      </c>
      <c r="N19" s="68">
        <f>N18/M18-1</f>
        <v>5.9829059829059839E-2</v>
      </c>
      <c r="O19" s="68">
        <f>O18/N18-1</f>
        <v>-0.14919354838709675</v>
      </c>
      <c r="P19" s="68">
        <f>P18/O18-1</f>
        <v>9.004739336492884E-2</v>
      </c>
      <c r="Q19" s="23"/>
      <c r="R19" s="68">
        <f>R18/P18-1</f>
        <v>4.3478260869564966E-3</v>
      </c>
      <c r="S19" s="68">
        <f>S18/R18-1</f>
        <v>-9.0909090909090939E-2</v>
      </c>
      <c r="T19" s="68">
        <f>T18/S18-1</f>
        <v>-7.1428571428571397E-2</v>
      </c>
      <c r="U19" s="68">
        <f>U18/T18-1</f>
        <v>0.1333333333333333</v>
      </c>
      <c r="V19" s="23"/>
    </row>
    <row r="20" spans="1:22">
      <c r="A20" s="67" t="s">
        <v>8</v>
      </c>
      <c r="B20" s="23"/>
      <c r="C20" s="69"/>
      <c r="D20" s="69"/>
      <c r="E20" s="69"/>
      <c r="F20" s="69"/>
      <c r="G20" s="23">
        <f t="shared" ref="G20:T20" si="9">G18/B18-1</f>
        <v>1.0559662090813049E-2</v>
      </c>
      <c r="H20" s="154">
        <f t="shared" si="9"/>
        <v>-2.4691358024691357E-2</v>
      </c>
      <c r="I20" s="69">
        <f t="shared" si="9"/>
        <v>3.7974683544303778E-2</v>
      </c>
      <c r="J20" s="69">
        <f t="shared" si="9"/>
        <v>-3.3755274261603407E-2</v>
      </c>
      <c r="K20" s="69">
        <f t="shared" si="9"/>
        <v>1.6666666666666607E-2</v>
      </c>
      <c r="L20" s="23">
        <f t="shared" si="9"/>
        <v>-1.0449320794148065E-3</v>
      </c>
      <c r="M20" s="69">
        <f t="shared" si="9"/>
        <v>-1.2658227848101222E-2</v>
      </c>
      <c r="N20" s="69">
        <f t="shared" si="9"/>
        <v>8.1300813008129413E-3</v>
      </c>
      <c r="O20" s="69">
        <f t="shared" si="9"/>
        <v>-7.8602620087336206E-2</v>
      </c>
      <c r="P20" s="69">
        <f t="shared" si="9"/>
        <v>-5.7377049180327822E-2</v>
      </c>
      <c r="Q20" s="23">
        <f t="shared" si="9"/>
        <v>-3.451882845188281E-2</v>
      </c>
      <c r="R20" s="69">
        <f t="shared" si="9"/>
        <v>-1.2820512820512775E-2</v>
      </c>
      <c r="S20" s="69">
        <f t="shared" si="9"/>
        <v>-0.15322580645161288</v>
      </c>
      <c r="T20" s="69">
        <f t="shared" si="9"/>
        <v>-7.582938388625593E-2</v>
      </c>
      <c r="U20" s="69">
        <f t="shared" ref="U20" si="10">U18/P18-1</f>
        <v>-3.9130434782608692E-2</v>
      </c>
      <c r="V20" s="23">
        <f t="shared" ref="V20" si="11">V18/Q18-1</f>
        <v>-7.1505958829902516E-2</v>
      </c>
    </row>
    <row r="21" spans="1:22">
      <c r="A21" s="65" t="s">
        <v>204</v>
      </c>
      <c r="B21" s="60" t="s">
        <v>120</v>
      </c>
      <c r="C21" s="171" t="s">
        <v>120</v>
      </c>
      <c r="D21" s="171" t="s">
        <v>120</v>
      </c>
      <c r="E21" s="171" t="s">
        <v>120</v>
      </c>
      <c r="F21" s="171" t="s">
        <v>120</v>
      </c>
      <c r="G21" s="60">
        <v>0</v>
      </c>
      <c r="H21" s="171" t="s">
        <v>120</v>
      </c>
      <c r="I21" s="171" t="s">
        <v>120</v>
      </c>
      <c r="J21" s="171" t="s">
        <v>120</v>
      </c>
      <c r="K21" s="137">
        <v>1100</v>
      </c>
      <c r="L21" s="206">
        <v>1100</v>
      </c>
      <c r="M21" s="71">
        <v>0</v>
      </c>
      <c r="N21" s="71">
        <v>0</v>
      </c>
      <c r="O21" s="71">
        <v>0</v>
      </c>
      <c r="P21" s="71">
        <v>0</v>
      </c>
      <c r="Q21" s="60">
        <v>0</v>
      </c>
      <c r="R21" s="71">
        <v>0</v>
      </c>
      <c r="S21" s="71">
        <v>0</v>
      </c>
      <c r="T21" s="71">
        <v>0</v>
      </c>
      <c r="U21" s="71">
        <v>0</v>
      </c>
      <c r="V21" s="60">
        <v>0</v>
      </c>
    </row>
    <row r="22" spans="1:22">
      <c r="A22" s="65"/>
      <c r="B22" s="60"/>
      <c r="C22" s="171"/>
      <c r="D22" s="171"/>
      <c r="E22" s="171"/>
      <c r="F22" s="171"/>
      <c r="G22" s="60"/>
      <c r="H22" s="171"/>
      <c r="I22" s="171"/>
      <c r="J22" s="171"/>
      <c r="K22" s="137"/>
      <c r="L22" s="206"/>
      <c r="M22" s="171"/>
      <c r="N22" s="171"/>
      <c r="O22" s="171"/>
      <c r="P22" s="171"/>
      <c r="Q22" s="60"/>
      <c r="R22" s="71"/>
      <c r="S22" s="171"/>
      <c r="T22" s="171"/>
      <c r="U22" s="171"/>
      <c r="V22" s="60"/>
    </row>
    <row r="23" spans="1:22">
      <c r="A23" s="65" t="s">
        <v>220</v>
      </c>
      <c r="B23" s="165">
        <v>-11</v>
      </c>
      <c r="C23" s="171" t="s">
        <v>120</v>
      </c>
      <c r="D23" s="171" t="s">
        <v>120</v>
      </c>
      <c r="E23" s="171" t="s">
        <v>120</v>
      </c>
      <c r="F23" s="171" t="s">
        <v>120</v>
      </c>
      <c r="G23" s="60">
        <v>0</v>
      </c>
      <c r="H23" s="141">
        <v>2</v>
      </c>
      <c r="I23" s="171">
        <v>7</v>
      </c>
      <c r="J23" s="171" t="s">
        <v>120</v>
      </c>
      <c r="K23" s="141">
        <f>L23-I23-H23</f>
        <v>8</v>
      </c>
      <c r="L23" s="35">
        <v>17</v>
      </c>
      <c r="M23" s="141">
        <v>43</v>
      </c>
      <c r="N23" s="141">
        <v>-9</v>
      </c>
      <c r="O23" s="141">
        <v>1</v>
      </c>
      <c r="P23" s="66">
        <f>Q23-O23-N23-M23</f>
        <v>7</v>
      </c>
      <c r="Q23" s="35">
        <v>42</v>
      </c>
      <c r="R23" s="71">
        <v>0</v>
      </c>
      <c r="S23" s="171">
        <v>-12</v>
      </c>
      <c r="T23" s="71">
        <v>0</v>
      </c>
      <c r="U23" s="171">
        <f>V23-T23-S23-R23</f>
        <v>-3</v>
      </c>
      <c r="V23" s="165">
        <v>-15</v>
      </c>
    </row>
    <row r="24" spans="1:22">
      <c r="A24" s="65"/>
      <c r="B24" s="165"/>
      <c r="C24" s="171"/>
      <c r="D24" s="171"/>
      <c r="E24" s="171"/>
      <c r="F24" s="171"/>
      <c r="G24" s="60"/>
      <c r="H24" s="141"/>
      <c r="I24" s="171"/>
      <c r="J24" s="171"/>
      <c r="K24" s="141"/>
      <c r="L24" s="35"/>
      <c r="M24" s="141"/>
      <c r="N24" s="141"/>
      <c r="O24" s="141"/>
      <c r="P24" s="141"/>
      <c r="Q24" s="35"/>
      <c r="R24" s="71"/>
      <c r="S24" s="141"/>
      <c r="T24" s="141"/>
      <c r="U24" s="141"/>
      <c r="V24" s="35"/>
    </row>
    <row r="25" spans="1:22">
      <c r="A25" s="65" t="s">
        <v>218</v>
      </c>
      <c r="B25" s="35">
        <v>264</v>
      </c>
      <c r="C25" s="66">
        <v>52</v>
      </c>
      <c r="D25" s="66">
        <v>49</v>
      </c>
      <c r="E25" s="66">
        <v>35</v>
      </c>
      <c r="F25" s="66">
        <f>G25-E25-D25-C25</f>
        <v>27</v>
      </c>
      <c r="G25" s="165">
        <f>G9-G12-G15-G18-G21-G23</f>
        <v>163</v>
      </c>
      <c r="H25" s="141">
        <v>-1</v>
      </c>
      <c r="I25" s="141">
        <v>-17</v>
      </c>
      <c r="J25" s="66">
        <v>1</v>
      </c>
      <c r="K25" s="141">
        <f>L25-J25-I25-H25</f>
        <v>-1139</v>
      </c>
      <c r="L25" s="165">
        <f>L9-L12-L15-L18-L21-L23</f>
        <v>-1156</v>
      </c>
      <c r="M25" s="171">
        <f>M9-M12-M15-M18-M21-M23</f>
        <v>-45</v>
      </c>
      <c r="N25" s="171">
        <f>N9-N12-N15-N18-N21-N23</f>
        <v>-24</v>
      </c>
      <c r="O25" s="171">
        <f>O9-O12-O15-O18-O21-O23</f>
        <v>20</v>
      </c>
      <c r="P25" s="141">
        <f>Q25-O25-N25-M25</f>
        <v>-6</v>
      </c>
      <c r="Q25" s="165">
        <f>Q9-Q12-Q15-Q18-Q21-Q23</f>
        <v>-55</v>
      </c>
      <c r="R25" s="171">
        <f>R9-R12-R15-R18-R21-R23</f>
        <v>9</v>
      </c>
      <c r="S25" s="171">
        <f>S9-S12-S15-S18-S21-S23</f>
        <v>23</v>
      </c>
      <c r="T25" s="171">
        <f>T9-T12-T15-T18-T21-T23</f>
        <v>18</v>
      </c>
      <c r="U25" s="141">
        <f>V25-T25-S25-R25</f>
        <v>-11</v>
      </c>
      <c r="V25" s="165">
        <f>V9-V12-V15-V18-V21-V23</f>
        <v>39</v>
      </c>
    </row>
    <row r="26" spans="1:22">
      <c r="A26" s="67" t="s">
        <v>7</v>
      </c>
      <c r="B26" s="23"/>
      <c r="C26" s="68"/>
      <c r="D26" s="68">
        <f>D25/C25-1</f>
        <v>-5.7692307692307709E-2</v>
      </c>
      <c r="E26" s="68">
        <f>E25/D25-1</f>
        <v>-0.2857142857142857</v>
      </c>
      <c r="F26" s="68">
        <f>F25/E25-1</f>
        <v>-0.22857142857142854</v>
      </c>
      <c r="G26" s="23"/>
      <c r="H26" s="80" t="s">
        <v>34</v>
      </c>
      <c r="I26" s="68">
        <f>I25/H25-1</f>
        <v>16</v>
      </c>
      <c r="J26" s="80" t="s">
        <v>34</v>
      </c>
      <c r="K26" s="80" t="s">
        <v>34</v>
      </c>
      <c r="L26" s="23"/>
      <c r="M26" s="80" t="s">
        <v>34</v>
      </c>
      <c r="N26" s="68">
        <f>N25/M25-1</f>
        <v>-0.46666666666666667</v>
      </c>
      <c r="O26" s="80" t="s">
        <v>34</v>
      </c>
      <c r="P26" s="80" t="s">
        <v>34</v>
      </c>
      <c r="Q26" s="23"/>
      <c r="R26" s="80" t="s">
        <v>34</v>
      </c>
      <c r="S26" s="68">
        <f>S25/R25-1</f>
        <v>1.5555555555555554</v>
      </c>
      <c r="T26" s="68">
        <f>T25/S25-1</f>
        <v>-0.21739130434782605</v>
      </c>
      <c r="U26" s="80" t="s">
        <v>34</v>
      </c>
      <c r="V26" s="23"/>
    </row>
    <row r="27" spans="1:22">
      <c r="A27" s="67" t="s">
        <v>8</v>
      </c>
      <c r="B27" s="23"/>
      <c r="C27" s="69"/>
      <c r="D27" s="69"/>
      <c r="E27" s="69"/>
      <c r="F27" s="69"/>
      <c r="G27" s="23">
        <f t="shared" ref="G27" si="12">G25/B25-1</f>
        <v>-0.38257575757575757</v>
      </c>
      <c r="H27" s="80" t="s">
        <v>34</v>
      </c>
      <c r="I27" s="80" t="s">
        <v>34</v>
      </c>
      <c r="J27" s="69">
        <f t="shared" ref="J27" si="13">J25/E25-1</f>
        <v>-0.97142857142857142</v>
      </c>
      <c r="K27" s="80" t="s">
        <v>34</v>
      </c>
      <c r="L27" s="87" t="s">
        <v>34</v>
      </c>
      <c r="M27" s="80">
        <f>M25/H25-1</f>
        <v>44</v>
      </c>
      <c r="N27" s="69">
        <f t="shared" ref="N27:O27" si="14">N25/I25-1</f>
        <v>0.41176470588235303</v>
      </c>
      <c r="O27" s="69">
        <f t="shared" si="14"/>
        <v>19</v>
      </c>
      <c r="P27" s="80">
        <f>P25/K25-1</f>
        <v>-0.99473222124670768</v>
      </c>
      <c r="Q27" s="87">
        <f>Q25/L25-1</f>
        <v>-0.95242214532871972</v>
      </c>
      <c r="R27" s="80" t="s">
        <v>34</v>
      </c>
      <c r="S27" s="78" t="s">
        <v>34</v>
      </c>
      <c r="T27" s="69">
        <f t="shared" ref="T27" si="15">T25/O25-1</f>
        <v>-9.9999999999999978E-2</v>
      </c>
      <c r="U27" s="80">
        <f>U25/P25-1</f>
        <v>0.83333333333333326</v>
      </c>
      <c r="V27" s="87">
        <f>V25/Q25-1</f>
        <v>-1.709090909090909</v>
      </c>
    </row>
    <row r="28" spans="1:22">
      <c r="A28" s="65" t="s">
        <v>73</v>
      </c>
      <c r="B28" s="35">
        <v>58</v>
      </c>
      <c r="C28" s="66">
        <v>27</v>
      </c>
      <c r="D28" s="66">
        <v>32</v>
      </c>
      <c r="E28" s="141">
        <v>-1</v>
      </c>
      <c r="F28" s="66">
        <f>G28-E28-D28-C28</f>
        <v>13</v>
      </c>
      <c r="G28" s="35">
        <v>71</v>
      </c>
      <c r="H28" s="141">
        <v>-3</v>
      </c>
      <c r="I28" s="141">
        <v>-7</v>
      </c>
      <c r="J28" s="141">
        <v>3</v>
      </c>
      <c r="K28" s="141">
        <f>L28-J28-I28-H28</f>
        <v>-4</v>
      </c>
      <c r="L28" s="165">
        <v>-11</v>
      </c>
      <c r="M28" s="141">
        <v>5</v>
      </c>
      <c r="N28" s="141">
        <v>2</v>
      </c>
      <c r="O28" s="141">
        <v>4</v>
      </c>
      <c r="P28" s="141">
        <f>Q28-O28-N28-M28</f>
        <v>1</v>
      </c>
      <c r="Q28" s="165">
        <v>12</v>
      </c>
      <c r="R28" s="141">
        <v>-5</v>
      </c>
      <c r="S28" s="141">
        <v>4</v>
      </c>
      <c r="T28" s="141">
        <v>1</v>
      </c>
      <c r="U28" s="141">
        <f>V28-T28-S28-R28</f>
        <v>13</v>
      </c>
      <c r="V28" s="165">
        <v>13</v>
      </c>
    </row>
    <row r="29" spans="1:22">
      <c r="A29" s="67" t="s">
        <v>7</v>
      </c>
      <c r="B29" s="23"/>
      <c r="C29" s="68"/>
      <c r="D29" s="68">
        <f>D28/C28-1</f>
        <v>0.18518518518518512</v>
      </c>
      <c r="E29" s="80" t="s">
        <v>34</v>
      </c>
      <c r="F29" s="80" t="s">
        <v>34</v>
      </c>
      <c r="G29" s="23"/>
      <c r="H29" s="78" t="s">
        <v>34</v>
      </c>
      <c r="I29" s="68">
        <f>I28/H28-1</f>
        <v>1.3333333333333335</v>
      </c>
      <c r="J29" s="80" t="s">
        <v>34</v>
      </c>
      <c r="K29" s="80" t="s">
        <v>34</v>
      </c>
      <c r="L29" s="23"/>
      <c r="M29" s="78" t="s">
        <v>34</v>
      </c>
      <c r="N29" s="68">
        <f>N28/M28-1</f>
        <v>-0.6</v>
      </c>
      <c r="O29" s="68">
        <f>O28/N28-1</f>
        <v>1</v>
      </c>
      <c r="P29" s="68">
        <f>P28/O28-1</f>
        <v>-0.75</v>
      </c>
      <c r="Q29" s="23"/>
      <c r="R29" s="80" t="s">
        <v>34</v>
      </c>
      <c r="S29" s="78" t="s">
        <v>34</v>
      </c>
      <c r="T29" s="68">
        <f>T28/S28-1</f>
        <v>-0.75</v>
      </c>
      <c r="U29" s="68">
        <f>U28/T28-1</f>
        <v>12</v>
      </c>
      <c r="V29" s="23"/>
    </row>
    <row r="30" spans="1:22">
      <c r="A30" s="67" t="s">
        <v>8</v>
      </c>
      <c r="B30" s="23"/>
      <c r="C30" s="69"/>
      <c r="D30" s="69"/>
      <c r="E30" s="80"/>
      <c r="F30" s="69"/>
      <c r="G30" s="23">
        <f t="shared" ref="G30" si="16">G28/B28-1</f>
        <v>0.22413793103448265</v>
      </c>
      <c r="H30" s="78" t="s">
        <v>34</v>
      </c>
      <c r="I30" s="80" t="s">
        <v>34</v>
      </c>
      <c r="J30" s="80" t="s">
        <v>34</v>
      </c>
      <c r="K30" s="80" t="s">
        <v>34</v>
      </c>
      <c r="L30" s="87" t="s">
        <v>34</v>
      </c>
      <c r="M30" s="78" t="s">
        <v>34</v>
      </c>
      <c r="N30" s="78" t="s">
        <v>34</v>
      </c>
      <c r="O30" s="69">
        <f t="shared" ref="O30" si="17">O28/J28-1</f>
        <v>0.33333333333333326</v>
      </c>
      <c r="P30" s="80" t="s">
        <v>34</v>
      </c>
      <c r="Q30" s="87" t="s">
        <v>34</v>
      </c>
      <c r="R30" s="80" t="s">
        <v>34</v>
      </c>
      <c r="S30" s="69">
        <f t="shared" ref="S30:T30" si="18">S28/N28-1</f>
        <v>1</v>
      </c>
      <c r="T30" s="69">
        <f t="shared" si="18"/>
        <v>-0.75</v>
      </c>
      <c r="U30" s="80">
        <f>U28/P28-1</f>
        <v>12</v>
      </c>
      <c r="V30" s="87" t="s">
        <v>34</v>
      </c>
    </row>
    <row r="31" spans="1:22">
      <c r="A31" s="65" t="s">
        <v>315</v>
      </c>
      <c r="B31" s="165">
        <v>68</v>
      </c>
      <c r="C31" s="171">
        <v>19</v>
      </c>
      <c r="D31" s="171">
        <v>-151</v>
      </c>
      <c r="E31" s="171">
        <v>-123</v>
      </c>
      <c r="F31" s="171">
        <f>G31-E31-D31-C31</f>
        <v>11</v>
      </c>
      <c r="G31" s="165">
        <v>-244</v>
      </c>
      <c r="H31" s="171">
        <v>1</v>
      </c>
      <c r="I31" s="171">
        <v>-10</v>
      </c>
      <c r="J31" s="171">
        <v>-2</v>
      </c>
      <c r="K31" s="171">
        <f>L31-J31-I31-H31</f>
        <v>-1137</v>
      </c>
      <c r="L31" s="165">
        <v>-1148</v>
      </c>
      <c r="M31" s="171">
        <v>-50</v>
      </c>
      <c r="N31" s="171">
        <v>-27</v>
      </c>
      <c r="O31" s="171">
        <v>15</v>
      </c>
      <c r="P31" s="171">
        <f>Q31-O31-N31-M31</f>
        <v>-7</v>
      </c>
      <c r="Q31" s="165">
        <v>-69</v>
      </c>
      <c r="R31" s="171">
        <v>14</v>
      </c>
      <c r="S31" s="171">
        <v>18</v>
      </c>
      <c r="T31" s="171">
        <v>16</v>
      </c>
      <c r="U31" s="171">
        <f>V31-T31-S31-R31</f>
        <v>-24</v>
      </c>
      <c r="V31" s="165">
        <v>24</v>
      </c>
    </row>
    <row r="32" spans="1:22">
      <c r="A32" s="67" t="s">
        <v>7</v>
      </c>
      <c r="B32" s="23"/>
      <c r="C32" s="68"/>
      <c r="D32" s="80" t="s">
        <v>34</v>
      </c>
      <c r="E32" s="68">
        <f>E31/D31-1</f>
        <v>-0.18543046357615889</v>
      </c>
      <c r="F32" s="68">
        <f>F31/E31-1</f>
        <v>-1.089430894308943</v>
      </c>
      <c r="G32" s="23"/>
      <c r="H32" s="68">
        <f>H31/F31-1</f>
        <v>-0.90909090909090906</v>
      </c>
      <c r="I32" s="80" t="s">
        <v>34</v>
      </c>
      <c r="J32" s="68">
        <f>J31/I31-1</f>
        <v>-0.8</v>
      </c>
      <c r="K32" s="80" t="s">
        <v>34</v>
      </c>
      <c r="L32" s="23"/>
      <c r="M32" s="68">
        <f>M31/K31-1</f>
        <v>-0.95602462620932283</v>
      </c>
      <c r="N32" s="68">
        <f>N31/M31-1</f>
        <v>-0.45999999999999996</v>
      </c>
      <c r="O32" s="80" t="s">
        <v>34</v>
      </c>
      <c r="P32" s="80" t="s">
        <v>34</v>
      </c>
      <c r="Q32" s="23"/>
      <c r="R32" s="80" t="s">
        <v>34</v>
      </c>
      <c r="S32" s="68">
        <f>S31/R31-1</f>
        <v>0.28571428571428581</v>
      </c>
      <c r="T32" s="68">
        <f>T31/S31-1</f>
        <v>-0.11111111111111116</v>
      </c>
      <c r="U32" s="80" t="s">
        <v>34</v>
      </c>
      <c r="V32" s="23"/>
    </row>
    <row r="33" spans="1:22">
      <c r="A33" s="67" t="s">
        <v>8</v>
      </c>
      <c r="B33" s="87"/>
      <c r="C33" s="78"/>
      <c r="D33" s="69"/>
      <c r="E33" s="69"/>
      <c r="F33" s="69"/>
      <c r="G33" s="87" t="s">
        <v>34</v>
      </c>
      <c r="H33" s="69">
        <f t="shared" ref="H33:J33" si="19">H31/C31-1</f>
        <v>-0.94736842105263164</v>
      </c>
      <c r="I33" s="69">
        <f t="shared" si="19"/>
        <v>-0.93377483443708609</v>
      </c>
      <c r="J33" s="69">
        <f t="shared" si="19"/>
        <v>-0.98373983739837401</v>
      </c>
      <c r="K33" s="80" t="s">
        <v>34</v>
      </c>
      <c r="L33" s="23">
        <f t="shared" ref="L33" si="20">L31/G31-1</f>
        <v>3.7049180327868854</v>
      </c>
      <c r="M33" s="78" t="s">
        <v>34</v>
      </c>
      <c r="N33" s="69">
        <f t="shared" ref="N33" si="21">N31/I31-1</f>
        <v>1.7000000000000002</v>
      </c>
      <c r="O33" s="80" t="s">
        <v>34</v>
      </c>
      <c r="P33" s="80">
        <f>P31/K31-1</f>
        <v>-0.99384344766930521</v>
      </c>
      <c r="Q33" s="23">
        <f t="shared" ref="Q33" si="22">Q31/L31-1</f>
        <v>-0.93989547038327526</v>
      </c>
      <c r="R33" s="80" t="s">
        <v>34</v>
      </c>
      <c r="S33" s="78" t="s">
        <v>34</v>
      </c>
      <c r="T33" s="69">
        <f t="shared" ref="T33" si="23">T31/O31-1</f>
        <v>6.6666666666666652E-2</v>
      </c>
      <c r="U33" s="80">
        <f>U31/P31-1</f>
        <v>2.4285714285714284</v>
      </c>
      <c r="V33" s="23">
        <f t="shared" ref="V33" si="24">V31/Q31-1</f>
        <v>-1.3478260869565217</v>
      </c>
    </row>
    <row r="34" spans="1:22">
      <c r="A34" s="65" t="s">
        <v>211</v>
      </c>
      <c r="B34" s="35">
        <f>B12+B25</f>
        <v>560</v>
      </c>
      <c r="C34" s="72">
        <f>C25+C12</f>
        <v>122</v>
      </c>
      <c r="D34" s="72">
        <f>D25+D12</f>
        <v>120</v>
      </c>
      <c r="E34" s="72">
        <f>E25+E12</f>
        <v>107</v>
      </c>
      <c r="F34" s="66">
        <f>G34-E34-D34-C34</f>
        <v>99</v>
      </c>
      <c r="G34" s="35">
        <f>G12+G25</f>
        <v>448</v>
      </c>
      <c r="H34" s="72">
        <f>H25+H12</f>
        <v>78</v>
      </c>
      <c r="I34" s="72">
        <f>I25+I12</f>
        <v>62</v>
      </c>
      <c r="J34" s="72">
        <f>J25+J12</f>
        <v>82</v>
      </c>
      <c r="K34" s="171">
        <f>L34-J34-I34-H34</f>
        <v>-1055</v>
      </c>
      <c r="L34" s="165">
        <f>L12+L25</f>
        <v>-833</v>
      </c>
      <c r="M34" s="72">
        <f>M25+M12</f>
        <v>10</v>
      </c>
      <c r="N34" s="72">
        <f>N25+N12</f>
        <v>44</v>
      </c>
      <c r="O34" s="72">
        <f>O25+O12</f>
        <v>70</v>
      </c>
      <c r="P34" s="171">
        <f>Q34-O34-N34-M34</f>
        <v>40</v>
      </c>
      <c r="Q34" s="165">
        <f>Q12+Q25</f>
        <v>164</v>
      </c>
      <c r="R34" s="72">
        <f>R25+R12</f>
        <v>53</v>
      </c>
      <c r="S34" s="72">
        <f>S25+S12</f>
        <v>73</v>
      </c>
      <c r="T34" s="72">
        <f>T25+T12</f>
        <v>68</v>
      </c>
      <c r="U34" s="171">
        <f>V34-T34-S34-R34</f>
        <v>48</v>
      </c>
      <c r="V34" s="165">
        <f>V12+V25</f>
        <v>242</v>
      </c>
    </row>
    <row r="35" spans="1:22">
      <c r="A35" s="67" t="s">
        <v>7</v>
      </c>
      <c r="B35" s="23"/>
      <c r="C35" s="68"/>
      <c r="D35" s="68">
        <f>D34/C34-1</f>
        <v>-1.6393442622950838E-2</v>
      </c>
      <c r="E35" s="68">
        <f>E34/D34-1</f>
        <v>-0.10833333333333328</v>
      </c>
      <c r="F35" s="68">
        <f>F34/E34-1</f>
        <v>-7.4766355140186924E-2</v>
      </c>
      <c r="G35" s="23"/>
      <c r="H35" s="68">
        <f>H34/F34-1</f>
        <v>-0.21212121212121215</v>
      </c>
      <c r="I35" s="68">
        <f>I34/H34-1</f>
        <v>-0.20512820512820518</v>
      </c>
      <c r="J35" s="68">
        <f>J34/I34-1</f>
        <v>0.32258064516129026</v>
      </c>
      <c r="K35" s="80" t="s">
        <v>34</v>
      </c>
      <c r="L35" s="23"/>
      <c r="M35" s="78" t="s">
        <v>34</v>
      </c>
      <c r="N35" s="68">
        <f>N34/M34-1</f>
        <v>3.4000000000000004</v>
      </c>
      <c r="O35" s="68">
        <f>O34/N34-1</f>
        <v>0.59090909090909083</v>
      </c>
      <c r="P35" s="68">
        <f>P34/O34-1</f>
        <v>-0.4285714285714286</v>
      </c>
      <c r="Q35" s="23"/>
      <c r="R35" s="68">
        <f>R34/P34-1</f>
        <v>0.32499999999999996</v>
      </c>
      <c r="S35" s="68">
        <f>S34/R34-1</f>
        <v>0.37735849056603765</v>
      </c>
      <c r="T35" s="68">
        <f>T34/S34-1</f>
        <v>-6.8493150684931559E-2</v>
      </c>
      <c r="U35" s="68">
        <f>U34/T34-1</f>
        <v>-0.29411764705882348</v>
      </c>
      <c r="V35" s="23"/>
    </row>
    <row r="36" spans="1:22">
      <c r="A36" s="67" t="s">
        <v>8</v>
      </c>
      <c r="B36" s="23"/>
      <c r="C36" s="69"/>
      <c r="D36" s="69"/>
      <c r="E36" s="69"/>
      <c r="F36" s="69"/>
      <c r="G36" s="23">
        <f>G34/B34-1</f>
        <v>-0.19999999999999996</v>
      </c>
      <c r="H36" s="69">
        <f>H34/C34-1</f>
        <v>-0.36065573770491799</v>
      </c>
      <c r="I36" s="69">
        <f t="shared" ref="I36:J36" si="25">I34/D34-1</f>
        <v>-0.48333333333333328</v>
      </c>
      <c r="J36" s="69">
        <f t="shared" si="25"/>
        <v>-0.23364485981308414</v>
      </c>
      <c r="K36" s="80" t="s">
        <v>34</v>
      </c>
      <c r="L36" s="87" t="s">
        <v>34</v>
      </c>
      <c r="M36" s="69">
        <f>M34/H34-1</f>
        <v>-0.87179487179487181</v>
      </c>
      <c r="N36" s="69">
        <f t="shared" ref="N36:O36" si="26">N34/I34-1</f>
        <v>-0.29032258064516125</v>
      </c>
      <c r="O36" s="69">
        <f t="shared" si="26"/>
        <v>-0.14634146341463417</v>
      </c>
      <c r="P36" s="80" t="s">
        <v>34</v>
      </c>
      <c r="Q36" s="87" t="s">
        <v>34</v>
      </c>
      <c r="R36" s="69">
        <f t="shared" ref="R36:T36" si="27">R34/M34-1</f>
        <v>4.3</v>
      </c>
      <c r="S36" s="69">
        <f t="shared" si="27"/>
        <v>0.65909090909090917</v>
      </c>
      <c r="T36" s="69">
        <f t="shared" si="27"/>
        <v>-2.8571428571428581E-2</v>
      </c>
      <c r="U36" s="80">
        <f>U34/P34-1</f>
        <v>0.19999999999999996</v>
      </c>
      <c r="V36" s="23">
        <f t="shared" ref="V36" si="28">V34/Q34-1</f>
        <v>0.47560975609756095</v>
      </c>
    </row>
    <row r="37" spans="1:22" ht="24">
      <c r="A37" s="84" t="s">
        <v>225</v>
      </c>
      <c r="B37" s="165">
        <f>B34+B23</f>
        <v>549</v>
      </c>
      <c r="C37" s="171" t="s">
        <v>120</v>
      </c>
      <c r="D37" s="171" t="s">
        <v>120</v>
      </c>
      <c r="E37" s="171" t="s">
        <v>120</v>
      </c>
      <c r="F37" s="171" t="s">
        <v>120</v>
      </c>
      <c r="G37" s="165">
        <f>G34</f>
        <v>448</v>
      </c>
      <c r="H37" s="72">
        <f>H34+H23</f>
        <v>80</v>
      </c>
      <c r="I37" s="72">
        <f>I34+I23</f>
        <v>69</v>
      </c>
      <c r="J37" s="72">
        <f>J34</f>
        <v>82</v>
      </c>
      <c r="K37" s="214">
        <f>L37-J37-I37-H37</f>
        <v>53</v>
      </c>
      <c r="L37" s="165">
        <f>L34+L21+L23</f>
        <v>284</v>
      </c>
      <c r="M37" s="72">
        <f>M34+M23</f>
        <v>53</v>
      </c>
      <c r="N37" s="72">
        <f>N34+N23</f>
        <v>35</v>
      </c>
      <c r="O37" s="72">
        <f>O34+O23</f>
        <v>71</v>
      </c>
      <c r="P37" s="214">
        <f>Q37-O37-N37-M37</f>
        <v>47</v>
      </c>
      <c r="Q37" s="165">
        <f>Q34+Q23</f>
        <v>206</v>
      </c>
      <c r="R37" s="72">
        <f>R34+R23</f>
        <v>53</v>
      </c>
      <c r="S37" s="72">
        <f>S34+S23</f>
        <v>61</v>
      </c>
      <c r="T37" s="72">
        <f>T34+T23</f>
        <v>68</v>
      </c>
      <c r="U37" s="214">
        <f>V37-T37-S37-R37</f>
        <v>45</v>
      </c>
      <c r="V37" s="165">
        <f>V34+V23</f>
        <v>227</v>
      </c>
    </row>
    <row r="38" spans="1:22">
      <c r="A38" s="65"/>
      <c r="B38" s="21"/>
      <c r="C38" s="69"/>
      <c r="D38" s="69"/>
      <c r="E38" s="69"/>
      <c r="F38" s="69"/>
      <c r="G38" s="21"/>
      <c r="H38" s="69"/>
      <c r="I38" s="69"/>
      <c r="J38" s="69"/>
      <c r="K38" s="69"/>
      <c r="L38" s="21"/>
      <c r="M38" s="69"/>
      <c r="N38" s="69"/>
      <c r="O38" s="69"/>
      <c r="P38" s="69"/>
      <c r="Q38" s="21"/>
      <c r="R38" s="69"/>
      <c r="S38" s="69"/>
      <c r="T38" s="69"/>
      <c r="U38" s="69"/>
      <c r="V38" s="21"/>
    </row>
    <row r="39" spans="1:22">
      <c r="A39" s="38" t="s">
        <v>24</v>
      </c>
      <c r="B39" s="39"/>
      <c r="C39" s="51"/>
      <c r="D39" s="51"/>
      <c r="E39" s="51"/>
      <c r="F39" s="51"/>
      <c r="G39" s="39"/>
      <c r="H39" s="51"/>
      <c r="I39" s="51"/>
      <c r="J39" s="51"/>
      <c r="K39" s="51"/>
      <c r="L39" s="39"/>
      <c r="M39" s="51"/>
      <c r="N39" s="51"/>
      <c r="O39" s="51"/>
      <c r="P39" s="51"/>
      <c r="Q39" s="39"/>
      <c r="R39" s="51"/>
      <c r="S39" s="51"/>
      <c r="T39" s="51"/>
      <c r="U39" s="51"/>
      <c r="V39" s="39"/>
    </row>
    <row r="40" spans="1:22">
      <c r="A40" s="65" t="s">
        <v>12</v>
      </c>
      <c r="B40" s="35">
        <v>629</v>
      </c>
      <c r="C40" s="66">
        <v>51</v>
      </c>
      <c r="D40" s="66">
        <v>169</v>
      </c>
      <c r="E40" s="66">
        <v>115</v>
      </c>
      <c r="F40" s="66">
        <f>G40-E40-D40-C40</f>
        <v>95</v>
      </c>
      <c r="G40" s="35">
        <v>430</v>
      </c>
      <c r="H40" s="66">
        <v>86</v>
      </c>
      <c r="I40" s="66">
        <v>60</v>
      </c>
      <c r="J40" s="66">
        <v>34</v>
      </c>
      <c r="K40" s="66">
        <f>L40-J40-I40-H40</f>
        <v>46</v>
      </c>
      <c r="L40" s="35">
        <v>226</v>
      </c>
      <c r="M40" s="66">
        <v>53</v>
      </c>
      <c r="N40" s="66">
        <v>22</v>
      </c>
      <c r="O40" s="66">
        <v>37</v>
      </c>
      <c r="P40" s="66">
        <f>Q40-O40-N40-M40</f>
        <v>31</v>
      </c>
      <c r="Q40" s="35">
        <v>143</v>
      </c>
      <c r="R40" s="66">
        <v>41</v>
      </c>
      <c r="S40" s="66">
        <v>39</v>
      </c>
      <c r="T40" s="66">
        <v>69</v>
      </c>
      <c r="U40" s="66">
        <f>V40-T40-S40-R40</f>
        <v>14</v>
      </c>
      <c r="V40" s="35">
        <v>163</v>
      </c>
    </row>
    <row r="41" spans="1:22">
      <c r="A41" s="77" t="s">
        <v>7</v>
      </c>
      <c r="B41" s="23"/>
      <c r="C41" s="68"/>
      <c r="D41" s="68">
        <f>D40/C40-1</f>
        <v>2.3137254901960786</v>
      </c>
      <c r="E41" s="68">
        <f>E40/D40-1</f>
        <v>-0.31952662721893488</v>
      </c>
      <c r="F41" s="68">
        <f>F40/E40-1</f>
        <v>-0.17391304347826086</v>
      </c>
      <c r="G41" s="23"/>
      <c r="H41" s="68">
        <f>H40/F40-1</f>
        <v>-9.4736842105263119E-2</v>
      </c>
      <c r="I41" s="68">
        <f>I40/H40-1</f>
        <v>-0.30232558139534882</v>
      </c>
      <c r="J41" s="68">
        <f>J40/I40-1</f>
        <v>-0.43333333333333335</v>
      </c>
      <c r="K41" s="68">
        <f>K40/J40-1</f>
        <v>0.35294117647058831</v>
      </c>
      <c r="L41" s="23"/>
      <c r="M41" s="68">
        <f>M40/K40-1</f>
        <v>0.15217391304347827</v>
      </c>
      <c r="N41" s="68">
        <f>N40/M40-1</f>
        <v>-0.58490566037735847</v>
      </c>
      <c r="O41" s="68">
        <f>O40/N40-1</f>
        <v>0.68181818181818188</v>
      </c>
      <c r="P41" s="68">
        <f>P40/O40-1</f>
        <v>-0.16216216216216217</v>
      </c>
      <c r="Q41" s="23"/>
      <c r="R41" s="68">
        <f>R40/P40-1</f>
        <v>0.32258064516129026</v>
      </c>
      <c r="S41" s="68">
        <f>S40/R40-1</f>
        <v>-4.8780487804878092E-2</v>
      </c>
      <c r="T41" s="68">
        <f>T40/S40-1</f>
        <v>0.76923076923076916</v>
      </c>
      <c r="U41" s="68">
        <f>U40/T40-1</f>
        <v>-0.79710144927536231</v>
      </c>
      <c r="V41" s="23"/>
    </row>
    <row r="42" spans="1:22">
      <c r="A42" s="77" t="s">
        <v>8</v>
      </c>
      <c r="B42" s="23"/>
      <c r="C42" s="69"/>
      <c r="D42" s="69"/>
      <c r="E42" s="69"/>
      <c r="F42" s="69"/>
      <c r="G42" s="23">
        <f t="shared" ref="G42" si="29">G40/B40-1</f>
        <v>-0.31637519872813991</v>
      </c>
      <c r="H42" s="69">
        <f>H40/C40-1</f>
        <v>0.68627450980392157</v>
      </c>
      <c r="I42" s="69">
        <f t="shared" ref="I42:L42" si="30">I40/D40-1</f>
        <v>-0.6449704142011834</v>
      </c>
      <c r="J42" s="69">
        <f t="shared" si="30"/>
        <v>-0.70434782608695645</v>
      </c>
      <c r="K42" s="69">
        <f t="shared" si="30"/>
        <v>-0.51578947368421058</v>
      </c>
      <c r="L42" s="23">
        <f t="shared" si="30"/>
        <v>-0.47441860465116281</v>
      </c>
      <c r="M42" s="69">
        <f>M40/H40-1</f>
        <v>-0.38372093023255816</v>
      </c>
      <c r="N42" s="69">
        <f t="shared" ref="N42:T42" si="31">N40/I40-1</f>
        <v>-0.6333333333333333</v>
      </c>
      <c r="O42" s="69">
        <f t="shared" si="31"/>
        <v>8.8235294117646967E-2</v>
      </c>
      <c r="P42" s="69">
        <f t="shared" si="31"/>
        <v>-0.32608695652173914</v>
      </c>
      <c r="Q42" s="23">
        <f t="shared" si="31"/>
        <v>-0.36725663716814161</v>
      </c>
      <c r="R42" s="69">
        <f>R40/M40-1</f>
        <v>-0.22641509433962259</v>
      </c>
      <c r="S42" s="69">
        <f t="shared" si="31"/>
        <v>0.77272727272727271</v>
      </c>
      <c r="T42" s="69">
        <f t="shared" si="31"/>
        <v>0.86486486486486491</v>
      </c>
      <c r="U42" s="69">
        <f t="shared" ref="U42" si="32">U40/P40-1</f>
        <v>-0.54838709677419351</v>
      </c>
      <c r="V42" s="23">
        <f t="shared" ref="V42" si="33">V40/Q40-1</f>
        <v>0.13986013986013979</v>
      </c>
    </row>
    <row r="43" spans="1:22">
      <c r="A43" s="65" t="s">
        <v>375</v>
      </c>
      <c r="B43" s="35">
        <f>168+41</f>
        <v>209</v>
      </c>
      <c r="C43" s="66">
        <f>46+14</f>
        <v>60</v>
      </c>
      <c r="D43" s="66">
        <v>53</v>
      </c>
      <c r="E43" s="66">
        <f>53+10+6</f>
        <v>69</v>
      </c>
      <c r="F43" s="66">
        <f>G43-E43-D43-C43</f>
        <v>53</v>
      </c>
      <c r="G43" s="35">
        <f>176+40+19</f>
        <v>235</v>
      </c>
      <c r="H43" s="66">
        <f>52+7+3</f>
        <v>62</v>
      </c>
      <c r="I43" s="66">
        <v>75</v>
      </c>
      <c r="J43" s="66">
        <f>66+7+6</f>
        <v>79</v>
      </c>
      <c r="K43" s="66">
        <f>L43-J43-I43-H43</f>
        <v>82</v>
      </c>
      <c r="L43" s="35">
        <f>249+30+19</f>
        <v>298</v>
      </c>
      <c r="M43" s="66">
        <f>54+10</f>
        <v>64</v>
      </c>
      <c r="N43" s="66">
        <f>60+14</f>
        <v>74</v>
      </c>
      <c r="O43" s="66">
        <f>58+11</f>
        <v>69</v>
      </c>
      <c r="P43" s="66">
        <f>Q43-O43-N43-M43</f>
        <v>32</v>
      </c>
      <c r="Q43" s="35">
        <v>239</v>
      </c>
      <c r="R43" s="66">
        <f>30+7</f>
        <v>37</v>
      </c>
      <c r="S43" s="66">
        <f>26+15</f>
        <v>41</v>
      </c>
      <c r="T43" s="66">
        <f>30+8</f>
        <v>38</v>
      </c>
      <c r="U43" s="66">
        <f>V43-T43-S43-R43</f>
        <v>26</v>
      </c>
      <c r="V43" s="35">
        <f>118+24</f>
        <v>142</v>
      </c>
    </row>
    <row r="44" spans="1:22">
      <c r="A44" s="67" t="s">
        <v>7</v>
      </c>
      <c r="B44" s="23"/>
      <c r="C44" s="68"/>
      <c r="D44" s="68">
        <f>D43/C43-1</f>
        <v>-0.1166666666666667</v>
      </c>
      <c r="E44" s="68">
        <f>E43/D43-1</f>
        <v>0.30188679245283012</v>
      </c>
      <c r="F44" s="68">
        <f>F43/E43-1</f>
        <v>-0.23188405797101452</v>
      </c>
      <c r="G44" s="23"/>
      <c r="H44" s="68">
        <f>H43/F43-1</f>
        <v>0.16981132075471694</v>
      </c>
      <c r="I44" s="68">
        <f>I43/H43-1</f>
        <v>0.20967741935483875</v>
      </c>
      <c r="J44" s="68">
        <f>J43/I43-1</f>
        <v>5.3333333333333233E-2</v>
      </c>
      <c r="K44" s="68">
        <f>K43/J43-1</f>
        <v>3.7974683544303778E-2</v>
      </c>
      <c r="L44" s="23"/>
      <c r="M44" s="68">
        <f>M43/K43-1</f>
        <v>-0.21951219512195119</v>
      </c>
      <c r="N44" s="68">
        <f>N43/M43-1</f>
        <v>0.15625</v>
      </c>
      <c r="O44" s="68">
        <f>O43/N43-1</f>
        <v>-6.7567567567567544E-2</v>
      </c>
      <c r="P44" s="68">
        <f>P43/O43-1</f>
        <v>-0.53623188405797095</v>
      </c>
      <c r="Q44" s="23"/>
      <c r="R44" s="68">
        <f>R43/P43-1</f>
        <v>0.15625</v>
      </c>
      <c r="S44" s="68">
        <f>S43/R43-1</f>
        <v>0.10810810810810811</v>
      </c>
      <c r="T44" s="68">
        <f>T43/S43-1</f>
        <v>-7.3170731707317027E-2</v>
      </c>
      <c r="U44" s="68">
        <f>U43/T43-1</f>
        <v>-0.31578947368421051</v>
      </c>
      <c r="V44" s="23"/>
    </row>
    <row r="45" spans="1:22">
      <c r="A45" s="67" t="s">
        <v>8</v>
      </c>
      <c r="B45" s="23"/>
      <c r="C45" s="69"/>
      <c r="D45" s="69"/>
      <c r="E45" s="69"/>
      <c r="F45" s="69"/>
      <c r="G45" s="23">
        <f t="shared" ref="G45:T45" si="34">G43/B43-1</f>
        <v>0.12440191387559807</v>
      </c>
      <c r="H45" s="69">
        <f t="shared" si="34"/>
        <v>3.3333333333333437E-2</v>
      </c>
      <c r="I45" s="69">
        <f t="shared" si="34"/>
        <v>0.41509433962264142</v>
      </c>
      <c r="J45" s="69">
        <f t="shared" si="34"/>
        <v>0.14492753623188404</v>
      </c>
      <c r="K45" s="69">
        <f t="shared" si="34"/>
        <v>0.54716981132075482</v>
      </c>
      <c r="L45" s="23">
        <f t="shared" si="34"/>
        <v>0.26808510638297878</v>
      </c>
      <c r="M45" s="69">
        <f t="shared" si="34"/>
        <v>3.2258064516129004E-2</v>
      </c>
      <c r="N45" s="69">
        <f t="shared" si="34"/>
        <v>-1.3333333333333308E-2</v>
      </c>
      <c r="O45" s="69">
        <f t="shared" si="34"/>
        <v>-0.12658227848101267</v>
      </c>
      <c r="P45" s="69">
        <f t="shared" si="34"/>
        <v>-0.6097560975609756</v>
      </c>
      <c r="Q45" s="23">
        <f t="shared" si="34"/>
        <v>-0.19798657718120805</v>
      </c>
      <c r="R45" s="69">
        <f t="shared" si="34"/>
        <v>-0.421875</v>
      </c>
      <c r="S45" s="69">
        <f t="shared" si="34"/>
        <v>-0.44594594594594594</v>
      </c>
      <c r="T45" s="69">
        <f t="shared" si="34"/>
        <v>-0.44927536231884058</v>
      </c>
      <c r="U45" s="69">
        <f t="shared" ref="U45" si="35">U43/P43-1</f>
        <v>-0.1875</v>
      </c>
      <c r="V45" s="23">
        <f t="shared" ref="V45" si="36">V43/Q43-1</f>
        <v>-0.40585774058577406</v>
      </c>
    </row>
    <row r="46" spans="1:22">
      <c r="A46" s="65" t="s">
        <v>376</v>
      </c>
      <c r="B46" s="35">
        <f>B43-1</f>
        <v>208</v>
      </c>
      <c r="C46" s="66">
        <f>C43</f>
        <v>60</v>
      </c>
      <c r="D46" s="66">
        <f>D43-1</f>
        <v>52</v>
      </c>
      <c r="E46" s="66">
        <f>E43</f>
        <v>69</v>
      </c>
      <c r="F46" s="66">
        <f>G46-E46-D46-C46</f>
        <v>53</v>
      </c>
      <c r="G46" s="35">
        <f>G43-1</f>
        <v>234</v>
      </c>
      <c r="H46" s="66">
        <f>H43</f>
        <v>62</v>
      </c>
      <c r="I46" s="66">
        <f>I43</f>
        <v>75</v>
      </c>
      <c r="J46" s="66">
        <f>J43</f>
        <v>79</v>
      </c>
      <c r="K46" s="66">
        <f>L46-J46-I46-H46</f>
        <v>81</v>
      </c>
      <c r="L46" s="35">
        <f>L43-1</f>
        <v>297</v>
      </c>
      <c r="M46" s="66">
        <f>M43</f>
        <v>64</v>
      </c>
      <c r="N46" s="66">
        <f>N43-1</f>
        <v>73</v>
      </c>
      <c r="O46" s="66">
        <f>O43</f>
        <v>69</v>
      </c>
      <c r="P46" s="66">
        <f>Q46-O46-N46-M46</f>
        <v>32</v>
      </c>
      <c r="Q46" s="35">
        <f>Q43-1</f>
        <v>238</v>
      </c>
      <c r="R46" s="66">
        <f>R43</f>
        <v>37</v>
      </c>
      <c r="S46" s="171">
        <f>S43-1</f>
        <v>40</v>
      </c>
      <c r="T46" s="171">
        <f>T43</f>
        <v>38</v>
      </c>
      <c r="U46" s="66">
        <f>V46-T46-S46-R46</f>
        <v>26</v>
      </c>
      <c r="V46" s="35">
        <f>V43-1</f>
        <v>141</v>
      </c>
    </row>
    <row r="47" spans="1:22">
      <c r="A47" s="67" t="s">
        <v>7</v>
      </c>
      <c r="B47" s="23"/>
      <c r="C47" s="68"/>
      <c r="D47" s="68">
        <f>D46/C46-1</f>
        <v>-0.1333333333333333</v>
      </c>
      <c r="E47" s="68">
        <f>E46/D46-1</f>
        <v>0.32692307692307687</v>
      </c>
      <c r="F47" s="68">
        <f>F46/E46-1</f>
        <v>-0.23188405797101452</v>
      </c>
      <c r="G47" s="23"/>
      <c r="H47" s="68">
        <f>H46/F46-1</f>
        <v>0.16981132075471694</v>
      </c>
      <c r="I47" s="68">
        <f>I46/H46-1</f>
        <v>0.20967741935483875</v>
      </c>
      <c r="J47" s="68">
        <f>J46/I46-1</f>
        <v>5.3333333333333233E-2</v>
      </c>
      <c r="K47" s="68">
        <f>K46/J46-1</f>
        <v>2.5316455696202445E-2</v>
      </c>
      <c r="L47" s="23"/>
      <c r="M47" s="68">
        <f>M46/K46-1</f>
        <v>-0.20987654320987659</v>
      </c>
      <c r="N47" s="68">
        <f>N46/M46-1</f>
        <v>0.140625</v>
      </c>
      <c r="O47" s="68">
        <f>O46/N46-1</f>
        <v>-5.4794520547945202E-2</v>
      </c>
      <c r="P47" s="68">
        <f>P46/O46-1</f>
        <v>-0.53623188405797095</v>
      </c>
      <c r="Q47" s="23"/>
      <c r="R47" s="68">
        <f>R46/P46-1</f>
        <v>0.15625</v>
      </c>
      <c r="S47" s="68">
        <f>S46/R46-1</f>
        <v>8.1081081081081141E-2</v>
      </c>
      <c r="T47" s="68">
        <f>T46/S46-1</f>
        <v>-5.0000000000000044E-2</v>
      </c>
      <c r="U47" s="68">
        <f>U46/T46-1</f>
        <v>-0.31578947368421051</v>
      </c>
      <c r="V47" s="23"/>
    </row>
    <row r="48" spans="1:22">
      <c r="A48" s="67" t="s">
        <v>8</v>
      </c>
      <c r="B48" s="23"/>
      <c r="C48" s="69"/>
      <c r="D48" s="69"/>
      <c r="E48" s="69"/>
      <c r="F48" s="69"/>
      <c r="G48" s="23">
        <f t="shared" ref="G48:S48" si="37">G46/B46-1</f>
        <v>0.125</v>
      </c>
      <c r="H48" s="69">
        <f t="shared" si="37"/>
        <v>3.3333333333333437E-2</v>
      </c>
      <c r="I48" s="69">
        <f t="shared" si="37"/>
        <v>0.44230769230769229</v>
      </c>
      <c r="J48" s="69">
        <f t="shared" si="37"/>
        <v>0.14492753623188404</v>
      </c>
      <c r="K48" s="69">
        <f t="shared" si="37"/>
        <v>0.52830188679245293</v>
      </c>
      <c r="L48" s="23">
        <f t="shared" si="37"/>
        <v>0.26923076923076916</v>
      </c>
      <c r="M48" s="69">
        <f t="shared" si="37"/>
        <v>3.2258064516129004E-2</v>
      </c>
      <c r="N48" s="69">
        <f t="shared" si="37"/>
        <v>-2.6666666666666616E-2</v>
      </c>
      <c r="O48" s="69">
        <f t="shared" si="37"/>
        <v>-0.12658227848101267</v>
      </c>
      <c r="P48" s="69">
        <f t="shared" si="37"/>
        <v>-0.60493827160493829</v>
      </c>
      <c r="Q48" s="23">
        <f t="shared" si="37"/>
        <v>-0.19865319865319864</v>
      </c>
      <c r="R48" s="69">
        <f t="shared" si="37"/>
        <v>-0.421875</v>
      </c>
      <c r="S48" s="69">
        <f t="shared" si="37"/>
        <v>-0.45205479452054798</v>
      </c>
      <c r="T48" s="69">
        <f t="shared" ref="T48" si="38">T46/O46-1</f>
        <v>-0.44927536231884058</v>
      </c>
      <c r="U48" s="69">
        <f t="shared" ref="U48" si="39">U46/P46-1</f>
        <v>-0.1875</v>
      </c>
      <c r="V48" s="23">
        <f t="shared" ref="V48" si="40">V46/Q46-1</f>
        <v>-0.40756302521008403</v>
      </c>
    </row>
    <row r="49" spans="1:22">
      <c r="A49" s="65" t="s">
        <v>212</v>
      </c>
      <c r="B49" s="60" t="s">
        <v>120</v>
      </c>
      <c r="C49" s="171" t="s">
        <v>120</v>
      </c>
      <c r="D49" s="171" t="s">
        <v>120</v>
      </c>
      <c r="E49" s="171" t="s">
        <v>120</v>
      </c>
      <c r="F49" s="171" t="s">
        <v>120</v>
      </c>
      <c r="G49" s="60" t="s">
        <v>120</v>
      </c>
      <c r="H49" s="66">
        <v>8</v>
      </c>
      <c r="I49" s="66">
        <v>8</v>
      </c>
      <c r="J49" s="66">
        <v>9</v>
      </c>
      <c r="K49" s="66">
        <f>L49-J49-I49-H49</f>
        <v>6</v>
      </c>
      <c r="L49" s="35">
        <v>31</v>
      </c>
      <c r="M49" s="66">
        <v>8</v>
      </c>
      <c r="N49" s="66">
        <v>7</v>
      </c>
      <c r="O49" s="66">
        <v>8</v>
      </c>
      <c r="P49" s="66">
        <f>Q49-O49-N49-M49</f>
        <v>7</v>
      </c>
      <c r="Q49" s="35">
        <v>30</v>
      </c>
      <c r="R49" s="66">
        <v>7</v>
      </c>
      <c r="S49" s="66">
        <v>7</v>
      </c>
      <c r="T49" s="66">
        <v>6</v>
      </c>
      <c r="U49" s="66">
        <f>V49-T49-S49-R49</f>
        <v>6</v>
      </c>
      <c r="V49" s="35">
        <v>26</v>
      </c>
    </row>
    <row r="50" spans="1:22">
      <c r="A50" s="65"/>
      <c r="B50" s="23"/>
      <c r="C50" s="69"/>
      <c r="D50" s="69"/>
      <c r="E50" s="69"/>
      <c r="F50" s="69"/>
      <c r="G50" s="23"/>
      <c r="H50" s="66"/>
      <c r="I50" s="66"/>
      <c r="J50" s="66"/>
      <c r="K50" s="66"/>
      <c r="L50" s="35"/>
      <c r="M50" s="66"/>
      <c r="N50" s="66"/>
      <c r="O50" s="66"/>
      <c r="P50" s="66"/>
      <c r="Q50" s="35"/>
      <c r="R50" s="66"/>
      <c r="S50" s="66"/>
      <c r="T50" s="66"/>
      <c r="U50" s="66"/>
      <c r="V50" s="35"/>
    </row>
    <row r="51" spans="1:22">
      <c r="A51" s="65" t="s">
        <v>13</v>
      </c>
      <c r="B51" s="35">
        <f>B40-B46</f>
        <v>421</v>
      </c>
      <c r="C51" s="171">
        <f>C40-C46</f>
        <v>-9</v>
      </c>
      <c r="D51" s="72">
        <f>D40-D46</f>
        <v>117</v>
      </c>
      <c r="E51" s="72">
        <f>E40-E46</f>
        <v>46</v>
      </c>
      <c r="F51" s="66">
        <f>G51-E51-D51-C51</f>
        <v>42</v>
      </c>
      <c r="G51" s="35">
        <f>G40-G46</f>
        <v>196</v>
      </c>
      <c r="H51" s="171">
        <f>H40-H46-H49</f>
        <v>16</v>
      </c>
      <c r="I51" s="171">
        <f>I40-I46-I49</f>
        <v>-23</v>
      </c>
      <c r="J51" s="171">
        <f>J40-J46-J49</f>
        <v>-54</v>
      </c>
      <c r="K51" s="171">
        <f>L51-J51-I51-H51</f>
        <v>-41</v>
      </c>
      <c r="L51" s="165">
        <f>L40-L46-L49</f>
        <v>-102</v>
      </c>
      <c r="M51" s="171">
        <f>M40-M46-M49</f>
        <v>-19</v>
      </c>
      <c r="N51" s="171">
        <f>N40-N46-N49</f>
        <v>-58</v>
      </c>
      <c r="O51" s="171">
        <f>O40-O46-O49</f>
        <v>-40</v>
      </c>
      <c r="P51" s="171">
        <f>Q51-O51-N51-M51</f>
        <v>-8</v>
      </c>
      <c r="Q51" s="165">
        <f>Q40-Q46-Q49</f>
        <v>-125</v>
      </c>
      <c r="R51" s="171">
        <f>R40-R46-R49</f>
        <v>-3</v>
      </c>
      <c r="S51" s="171">
        <f>S40-S46-S49</f>
        <v>-8</v>
      </c>
      <c r="T51" s="171">
        <f>T40-T46-T49</f>
        <v>25</v>
      </c>
      <c r="U51" s="171">
        <f>V51-T51-S51-R51</f>
        <v>-18</v>
      </c>
      <c r="V51" s="165">
        <f>V40-V46-V49</f>
        <v>-4</v>
      </c>
    </row>
    <row r="52" spans="1:22">
      <c r="A52" s="67" t="s">
        <v>7</v>
      </c>
      <c r="B52" s="23"/>
      <c r="C52" s="80"/>
      <c r="D52" s="80" t="s">
        <v>34</v>
      </c>
      <c r="E52" s="68">
        <f>E51/D51-1</f>
        <v>-0.6068376068376069</v>
      </c>
      <c r="F52" s="68">
        <f>F51/E51-1</f>
        <v>-8.6956521739130488E-2</v>
      </c>
      <c r="G52" s="23"/>
      <c r="H52" s="68">
        <f>H51/F51-1</f>
        <v>-0.61904761904761907</v>
      </c>
      <c r="I52" s="80" t="s">
        <v>34</v>
      </c>
      <c r="J52" s="68">
        <f>J51/I51-1</f>
        <v>1.347826086956522</v>
      </c>
      <c r="K52" s="68">
        <f>K51/J51-1</f>
        <v>-0.2407407407407407</v>
      </c>
      <c r="L52" s="23"/>
      <c r="M52" s="68">
        <f>M51/K51-1</f>
        <v>-0.53658536585365857</v>
      </c>
      <c r="N52" s="68">
        <f>N51/M51-1</f>
        <v>2.0526315789473686</v>
      </c>
      <c r="O52" s="68">
        <f>O51/N51-1</f>
        <v>-0.31034482758620685</v>
      </c>
      <c r="P52" s="68">
        <f>P51/O51-1</f>
        <v>-0.8</v>
      </c>
      <c r="Q52" s="23"/>
      <c r="R52" s="68">
        <f>R51/P51-1</f>
        <v>-0.625</v>
      </c>
      <c r="S52" s="68">
        <f>S51/R51-1</f>
        <v>1.6666666666666665</v>
      </c>
      <c r="T52" s="78" t="s">
        <v>34</v>
      </c>
      <c r="U52" s="78" t="s">
        <v>34</v>
      </c>
      <c r="V52" s="23"/>
    </row>
    <row r="53" spans="1:22">
      <c r="A53" s="67" t="s">
        <v>8</v>
      </c>
      <c r="B53" s="23"/>
      <c r="C53" s="80"/>
      <c r="D53" s="69"/>
      <c r="E53" s="69"/>
      <c r="F53" s="69"/>
      <c r="G53" s="23">
        <f t="shared" ref="G53" si="41">G51/B51-1</f>
        <v>-0.53444180522565321</v>
      </c>
      <c r="H53" s="78" t="s">
        <v>34</v>
      </c>
      <c r="I53" s="80" t="s">
        <v>34</v>
      </c>
      <c r="J53" s="80" t="s">
        <v>34</v>
      </c>
      <c r="K53" s="80" t="s">
        <v>34</v>
      </c>
      <c r="L53" s="87" t="s">
        <v>34</v>
      </c>
      <c r="M53" s="78" t="s">
        <v>34</v>
      </c>
      <c r="N53" s="69">
        <f t="shared" ref="N53:O53" si="42">N51/I51-1</f>
        <v>1.5217391304347827</v>
      </c>
      <c r="O53" s="69">
        <f t="shared" si="42"/>
        <v>-0.2592592592592593</v>
      </c>
      <c r="P53" s="80">
        <f>P51/K51-1</f>
        <v>-0.80487804878048785</v>
      </c>
      <c r="Q53" s="87">
        <f>Q51/L51-1</f>
        <v>0.22549019607843146</v>
      </c>
      <c r="R53" s="69">
        <f t="shared" ref="R53:S53" si="43">R51/M51-1</f>
        <v>-0.84210526315789469</v>
      </c>
      <c r="S53" s="69">
        <f t="shared" si="43"/>
        <v>-0.86206896551724133</v>
      </c>
      <c r="T53" s="78" t="s">
        <v>34</v>
      </c>
      <c r="U53" s="80">
        <f>U51/P51-1</f>
        <v>1.25</v>
      </c>
      <c r="V53" s="87">
        <f>V51/Q51-1</f>
        <v>-0.96799999999999997</v>
      </c>
    </row>
    <row r="54" spans="1:22">
      <c r="A54" s="48" t="s">
        <v>19</v>
      </c>
      <c r="B54" s="38"/>
      <c r="C54" s="50"/>
      <c r="D54" s="50"/>
      <c r="E54" s="50"/>
      <c r="F54" s="50"/>
      <c r="G54" s="38"/>
      <c r="H54" s="50"/>
      <c r="I54" s="50"/>
      <c r="J54" s="50"/>
      <c r="K54" s="50"/>
      <c r="L54" s="38"/>
      <c r="M54" s="50"/>
      <c r="N54" s="50"/>
      <c r="O54" s="50"/>
      <c r="P54" s="50"/>
      <c r="Q54" s="38"/>
      <c r="R54" s="50"/>
      <c r="S54" s="50"/>
      <c r="T54" s="50"/>
      <c r="U54" s="50"/>
      <c r="V54" s="38"/>
    </row>
    <row r="55" spans="1:22">
      <c r="A55" s="65" t="s">
        <v>31</v>
      </c>
      <c r="B55" s="175">
        <f t="shared" ref="B55:H55" si="44">B31/B9</f>
        <v>3.8968481375358167E-2</v>
      </c>
      <c r="C55" s="176">
        <f t="shared" si="44"/>
        <v>4.4811320754716978E-2</v>
      </c>
      <c r="D55" s="176">
        <f t="shared" si="44"/>
        <v>-0.36298076923076922</v>
      </c>
      <c r="E55" s="176">
        <f t="shared" si="44"/>
        <v>-0.30295566502463056</v>
      </c>
      <c r="F55" s="176">
        <f t="shared" si="44"/>
        <v>2.7227722772277228E-2</v>
      </c>
      <c r="G55" s="175">
        <f t="shared" si="44"/>
        <v>-0.14787878787878789</v>
      </c>
      <c r="H55" s="176">
        <f t="shared" si="44"/>
        <v>2.6666666666666666E-3</v>
      </c>
      <c r="I55" s="176">
        <v>0</v>
      </c>
      <c r="J55" s="176">
        <f t="shared" ref="J55:R55" si="45">J31/J9</f>
        <v>-5.4495912806539508E-3</v>
      </c>
      <c r="K55" s="176">
        <f t="shared" si="45"/>
        <v>-3.1938202247191012</v>
      </c>
      <c r="L55" s="175">
        <f t="shared" si="45"/>
        <v>-0.77936184657162255</v>
      </c>
      <c r="M55" s="176">
        <f t="shared" si="45"/>
        <v>-0.1457725947521866</v>
      </c>
      <c r="N55" s="176">
        <f t="shared" si="45"/>
        <v>-8.0118694362017809E-2</v>
      </c>
      <c r="O55" s="176">
        <f t="shared" si="45"/>
        <v>4.4910179640718563E-2</v>
      </c>
      <c r="P55" s="176">
        <f t="shared" si="45"/>
        <v>-2.1148036253776436E-2</v>
      </c>
      <c r="Q55" s="175">
        <f t="shared" si="45"/>
        <v>-5.1301115241635685E-2</v>
      </c>
      <c r="R55" s="176">
        <f t="shared" si="45"/>
        <v>4.142011834319527E-2</v>
      </c>
      <c r="S55" s="176">
        <f t="shared" ref="S55:V55" si="46">S31/S9</f>
        <v>5.6426332288401257E-2</v>
      </c>
      <c r="T55" s="176">
        <f t="shared" si="46"/>
        <v>5.1118210862619806E-2</v>
      </c>
      <c r="U55" s="176">
        <f t="shared" si="46"/>
        <v>-7.5709779179810727E-2</v>
      </c>
      <c r="V55" s="175">
        <f t="shared" si="46"/>
        <v>1.8648018648018648E-2</v>
      </c>
    </row>
    <row r="56" spans="1:22">
      <c r="A56" s="65" t="s">
        <v>10</v>
      </c>
      <c r="B56" s="53">
        <f t="shared" ref="B56:R56" si="47">B34/B9</f>
        <v>0.3209169054441261</v>
      </c>
      <c r="C56" s="73">
        <f t="shared" si="47"/>
        <v>0.28773584905660377</v>
      </c>
      <c r="D56" s="73">
        <f t="shared" si="47"/>
        <v>0.28846153846153844</v>
      </c>
      <c r="E56" s="73">
        <f t="shared" si="47"/>
        <v>0.26354679802955666</v>
      </c>
      <c r="F56" s="73">
        <f t="shared" si="47"/>
        <v>0.24504950495049505</v>
      </c>
      <c r="G56" s="53">
        <f t="shared" si="47"/>
        <v>0.27151515151515154</v>
      </c>
      <c r="H56" s="73">
        <f t="shared" si="47"/>
        <v>0.20799999999999999</v>
      </c>
      <c r="I56" s="73">
        <f t="shared" si="47"/>
        <v>0.16533333333333333</v>
      </c>
      <c r="J56" s="73">
        <f t="shared" si="47"/>
        <v>0.22343324250681199</v>
      </c>
      <c r="K56" s="176">
        <f t="shared" si="47"/>
        <v>-2.9634831460674156</v>
      </c>
      <c r="L56" s="175">
        <f t="shared" si="47"/>
        <v>-0.56551255940257972</v>
      </c>
      <c r="M56" s="73">
        <f t="shared" si="47"/>
        <v>2.9154518950437316E-2</v>
      </c>
      <c r="N56" s="73">
        <f t="shared" si="47"/>
        <v>0.13056379821958458</v>
      </c>
      <c r="O56" s="73">
        <f t="shared" si="47"/>
        <v>0.20958083832335328</v>
      </c>
      <c r="P56" s="176">
        <f t="shared" si="47"/>
        <v>0.12084592145015106</v>
      </c>
      <c r="Q56" s="175">
        <f t="shared" si="47"/>
        <v>0.12193308550185873</v>
      </c>
      <c r="R56" s="73">
        <f t="shared" si="47"/>
        <v>0.15680473372781065</v>
      </c>
      <c r="S56" s="73">
        <f t="shared" ref="S56:V56" si="48">S34/S9</f>
        <v>0.22884012539184953</v>
      </c>
      <c r="T56" s="73">
        <f t="shared" si="48"/>
        <v>0.21725239616613418</v>
      </c>
      <c r="U56" s="176">
        <f t="shared" si="48"/>
        <v>0.15141955835962145</v>
      </c>
      <c r="V56" s="175">
        <f t="shared" si="48"/>
        <v>0.18803418803418803</v>
      </c>
    </row>
    <row r="57" spans="1:22">
      <c r="A57" s="65" t="s">
        <v>18</v>
      </c>
      <c r="B57" s="53">
        <f t="shared" ref="B57:R57" si="49">B43/B9</f>
        <v>0.11977077363896849</v>
      </c>
      <c r="C57" s="73">
        <f t="shared" si="49"/>
        <v>0.14150943396226415</v>
      </c>
      <c r="D57" s="73">
        <f t="shared" si="49"/>
        <v>0.12740384615384615</v>
      </c>
      <c r="E57" s="73">
        <f t="shared" si="49"/>
        <v>0.16995073891625614</v>
      </c>
      <c r="F57" s="176">
        <f t="shared" si="49"/>
        <v>0.13118811881188119</v>
      </c>
      <c r="G57" s="53">
        <f t="shared" si="49"/>
        <v>0.14242424242424243</v>
      </c>
      <c r="H57" s="73">
        <f t="shared" si="49"/>
        <v>0.16533333333333333</v>
      </c>
      <c r="I57" s="73">
        <f t="shared" si="49"/>
        <v>0.2</v>
      </c>
      <c r="J57" s="73">
        <f t="shared" si="49"/>
        <v>0.21525885558583105</v>
      </c>
      <c r="K57" s="176">
        <f t="shared" si="49"/>
        <v>0.2303370786516854</v>
      </c>
      <c r="L57" s="53">
        <f t="shared" si="49"/>
        <v>0.2023082145281738</v>
      </c>
      <c r="M57" s="73">
        <f t="shared" si="49"/>
        <v>0.18658892128279883</v>
      </c>
      <c r="N57" s="73">
        <f t="shared" si="49"/>
        <v>0.21958456973293769</v>
      </c>
      <c r="O57" s="73">
        <f t="shared" si="49"/>
        <v>0.20658682634730538</v>
      </c>
      <c r="P57" s="176">
        <f t="shared" si="49"/>
        <v>9.6676737160120846E-2</v>
      </c>
      <c r="Q57" s="53">
        <f t="shared" si="49"/>
        <v>0.17769516728624535</v>
      </c>
      <c r="R57" s="73">
        <f t="shared" si="49"/>
        <v>0.10946745562130178</v>
      </c>
      <c r="S57" s="73">
        <f t="shared" ref="S57:V57" si="50">S43/S9</f>
        <v>0.12852664576802508</v>
      </c>
      <c r="T57" s="73">
        <f t="shared" si="50"/>
        <v>0.12140575079872204</v>
      </c>
      <c r="U57" s="176">
        <f t="shared" si="50"/>
        <v>8.2018927444794956E-2</v>
      </c>
      <c r="V57" s="53">
        <f t="shared" si="50"/>
        <v>0.11033411033411034</v>
      </c>
    </row>
    <row r="58" spans="1:22" hidden="1">
      <c r="A58" s="65" t="s">
        <v>117</v>
      </c>
      <c r="B58" s="60"/>
      <c r="C58" s="71"/>
      <c r="D58" s="71"/>
      <c r="E58" s="71"/>
      <c r="F58" s="71"/>
      <c r="G58" s="60"/>
      <c r="H58" s="71"/>
      <c r="I58" s="71"/>
      <c r="J58" s="71"/>
      <c r="K58" s="71"/>
      <c r="L58" s="60"/>
      <c r="M58" s="71"/>
      <c r="N58" s="71"/>
      <c r="O58" s="71"/>
      <c r="P58" s="71"/>
      <c r="Q58" s="60"/>
      <c r="R58" s="71"/>
      <c r="S58" s="71"/>
      <c r="T58" s="71"/>
      <c r="U58" s="71"/>
      <c r="V58" s="60"/>
    </row>
    <row r="59" spans="1:22" ht="3.75" customHeight="1">
      <c r="A59" s="52"/>
      <c r="B59" s="52"/>
      <c r="C59" s="52"/>
      <c r="D59" s="52"/>
      <c r="E59" s="52"/>
      <c r="F59" s="52"/>
      <c r="G59" s="52"/>
      <c r="H59" s="52"/>
      <c r="I59" s="52"/>
      <c r="J59" s="52"/>
      <c r="K59" s="52"/>
      <c r="L59" s="52"/>
      <c r="M59" s="52"/>
      <c r="N59" s="52"/>
      <c r="O59" s="52"/>
      <c r="P59" s="52"/>
      <c r="Q59" s="52"/>
      <c r="R59" s="52"/>
      <c r="S59" s="52"/>
      <c r="T59" s="52"/>
      <c r="U59" s="52"/>
      <c r="V59" s="52"/>
    </row>
    <row r="60" spans="1:22" ht="20.25">
      <c r="A60" s="33" t="s">
        <v>238</v>
      </c>
      <c r="B60" s="33"/>
      <c r="C60" s="33"/>
      <c r="D60" s="33"/>
      <c r="E60" s="33"/>
      <c r="F60" s="33"/>
      <c r="G60" s="33"/>
      <c r="H60" s="33"/>
      <c r="I60" s="33"/>
      <c r="J60" s="33"/>
      <c r="K60" s="33"/>
      <c r="L60" s="33"/>
      <c r="M60" s="33"/>
      <c r="N60" s="33"/>
      <c r="O60" s="33"/>
      <c r="P60" s="33"/>
      <c r="Q60" s="33"/>
      <c r="R60" s="33"/>
      <c r="S60" s="33"/>
      <c r="T60" s="33"/>
      <c r="U60" s="33"/>
      <c r="V60" s="33"/>
    </row>
    <row r="61" spans="1:22">
      <c r="A61" s="21"/>
      <c r="B61" s="21"/>
      <c r="C61" s="21"/>
      <c r="D61" s="21"/>
      <c r="E61" s="21"/>
      <c r="F61" s="21"/>
      <c r="G61" s="21"/>
      <c r="H61" s="21"/>
      <c r="I61" s="21"/>
      <c r="J61" s="21"/>
      <c r="K61" s="21"/>
      <c r="L61" s="21"/>
      <c r="M61" s="21"/>
      <c r="N61" s="21"/>
      <c r="O61" s="21"/>
      <c r="P61" s="21"/>
      <c r="Q61" s="21"/>
      <c r="R61" s="21"/>
      <c r="S61" s="21"/>
      <c r="T61" s="21"/>
      <c r="U61" s="21"/>
      <c r="V61" s="21"/>
    </row>
    <row r="62" spans="1:22">
      <c r="A62" s="38" t="s">
        <v>59</v>
      </c>
      <c r="B62" s="50"/>
      <c r="C62" s="50"/>
      <c r="D62" s="50"/>
      <c r="E62" s="50"/>
      <c r="F62" s="50"/>
      <c r="G62" s="50"/>
      <c r="H62" s="50"/>
      <c r="I62" s="50"/>
      <c r="J62" s="50"/>
      <c r="K62" s="50"/>
      <c r="L62" s="50"/>
      <c r="M62" s="50"/>
      <c r="N62" s="50"/>
      <c r="O62" s="50"/>
      <c r="P62" s="50"/>
      <c r="Q62" s="50"/>
      <c r="R62" s="50"/>
      <c r="S62" s="50"/>
      <c r="T62" s="50"/>
      <c r="U62" s="50"/>
      <c r="V62" s="50"/>
    </row>
    <row r="63" spans="1:22">
      <c r="A63" s="65" t="s">
        <v>16</v>
      </c>
      <c r="B63" s="87" t="s">
        <v>35</v>
      </c>
      <c r="C63" s="78" t="s">
        <v>35</v>
      </c>
      <c r="D63" s="78" t="s">
        <v>35</v>
      </c>
      <c r="E63" s="78" t="s">
        <v>35</v>
      </c>
      <c r="F63" s="78" t="s">
        <v>35</v>
      </c>
      <c r="G63" s="165">
        <v>1650</v>
      </c>
      <c r="H63" s="66">
        <v>375</v>
      </c>
      <c r="I63" s="66">
        <v>375</v>
      </c>
      <c r="J63" s="66">
        <v>367</v>
      </c>
      <c r="K63" s="66">
        <f>L63-H63-I63-J63</f>
        <v>356</v>
      </c>
      <c r="L63" s="165">
        <v>1473</v>
      </c>
      <c r="M63" s="66">
        <v>343</v>
      </c>
      <c r="N63" s="66">
        <v>337</v>
      </c>
      <c r="O63" s="66">
        <v>334</v>
      </c>
      <c r="P63" s="66">
        <f>Q63-M63-N63-O63</f>
        <v>331</v>
      </c>
      <c r="Q63" s="165">
        <v>1345</v>
      </c>
      <c r="R63" s="66">
        <v>338</v>
      </c>
      <c r="S63" s="66">
        <v>319</v>
      </c>
      <c r="T63" s="66">
        <v>313</v>
      </c>
      <c r="U63" s="66">
        <f>V63-R63-S63-T63</f>
        <v>317</v>
      </c>
      <c r="V63" s="165">
        <v>1287</v>
      </c>
    </row>
    <row r="64" spans="1:22">
      <c r="A64" s="67" t="s">
        <v>7</v>
      </c>
      <c r="B64" s="23"/>
      <c r="C64" s="3"/>
      <c r="D64" s="3"/>
      <c r="E64" s="3"/>
      <c r="F64" s="3"/>
      <c r="G64" s="23"/>
      <c r="H64" s="3"/>
      <c r="I64" s="68">
        <f>I63/H63-1</f>
        <v>0</v>
      </c>
      <c r="J64" s="68">
        <f>J63/I63-1</f>
        <v>-2.1333333333333315E-2</v>
      </c>
      <c r="K64" s="68">
        <f>K63/J63-1</f>
        <v>-2.9972752043596729E-2</v>
      </c>
      <c r="L64" s="23"/>
      <c r="M64" s="68"/>
      <c r="N64" s="68">
        <f>N63/M63-1</f>
        <v>-1.7492711370262426E-2</v>
      </c>
      <c r="O64" s="68">
        <f>O63/N63-1</f>
        <v>-8.9020771513352859E-3</v>
      </c>
      <c r="P64" s="68">
        <f>P63/O63-1</f>
        <v>-8.9820359281437279E-3</v>
      </c>
      <c r="Q64" s="23"/>
      <c r="R64" s="68">
        <f>R63/P63-1</f>
        <v>2.114803625377637E-2</v>
      </c>
      <c r="S64" s="68">
        <f>S63/R63-1</f>
        <v>-5.6213017751479244E-2</v>
      </c>
      <c r="T64" s="68">
        <f>T63/S63-1</f>
        <v>-1.8808777429467072E-2</v>
      </c>
      <c r="U64" s="68">
        <f>U63/T63-1</f>
        <v>1.2779552715654896E-2</v>
      </c>
      <c r="V64" s="23"/>
    </row>
    <row r="65" spans="1:22">
      <c r="A65" s="67" t="s">
        <v>8</v>
      </c>
      <c r="B65" s="23"/>
      <c r="C65" s="3"/>
      <c r="D65" s="3"/>
      <c r="E65" s="3"/>
      <c r="F65" s="3"/>
      <c r="G65" s="23"/>
      <c r="H65" s="3"/>
      <c r="I65" s="3"/>
      <c r="J65" s="3"/>
      <c r="K65" s="3"/>
      <c r="L65" s="23">
        <f t="shared" ref="L65:T65" si="51">L63/G63-1</f>
        <v>-0.1072727272727273</v>
      </c>
      <c r="M65" s="69">
        <f t="shared" si="51"/>
        <v>-8.5333333333333372E-2</v>
      </c>
      <c r="N65" s="69">
        <f t="shared" si="51"/>
        <v>-0.10133333333333339</v>
      </c>
      <c r="O65" s="69">
        <f t="shared" si="51"/>
        <v>-8.9918256130790186E-2</v>
      </c>
      <c r="P65" s="69">
        <f t="shared" si="51"/>
        <v>-7.02247191011236E-2</v>
      </c>
      <c r="Q65" s="23">
        <f t="shared" si="51"/>
        <v>-8.6897488119484056E-2</v>
      </c>
      <c r="R65" s="69">
        <f t="shared" si="51"/>
        <v>-1.4577259475218707E-2</v>
      </c>
      <c r="S65" s="69">
        <f t="shared" si="51"/>
        <v>-5.3412462908011826E-2</v>
      </c>
      <c r="T65" s="69">
        <f t="shared" si="51"/>
        <v>-6.2874251497005984E-2</v>
      </c>
      <c r="U65" s="69">
        <f t="shared" ref="U65" si="52">U63/P63-1</f>
        <v>-4.2296072507552851E-2</v>
      </c>
      <c r="V65" s="23">
        <f t="shared" ref="V65" si="53">V63/Q63-1</f>
        <v>-4.3122676579925634E-2</v>
      </c>
    </row>
    <row r="66" spans="1:22">
      <c r="A66" s="65" t="s">
        <v>240</v>
      </c>
      <c r="B66" s="87" t="s">
        <v>35</v>
      </c>
      <c r="C66" s="78" t="s">
        <v>35</v>
      </c>
      <c r="D66" s="78" t="s">
        <v>35</v>
      </c>
      <c r="E66" s="78" t="s">
        <v>35</v>
      </c>
      <c r="F66" s="78" t="s">
        <v>35</v>
      </c>
      <c r="G66" s="165">
        <v>285</v>
      </c>
      <c r="H66" s="66">
        <v>79</v>
      </c>
      <c r="I66" s="66">
        <v>79</v>
      </c>
      <c r="J66" s="66">
        <v>81</v>
      </c>
      <c r="K66" s="66">
        <f>L66-H66-I66-J66</f>
        <v>84</v>
      </c>
      <c r="L66" s="165">
        <v>323</v>
      </c>
      <c r="M66" s="66">
        <v>78</v>
      </c>
      <c r="N66" s="66">
        <v>81</v>
      </c>
      <c r="O66" s="66">
        <v>93</v>
      </c>
      <c r="P66" s="66">
        <f>Q66-M66-N66-O66</f>
        <v>82</v>
      </c>
      <c r="Q66" s="165">
        <v>334</v>
      </c>
      <c r="R66" s="66">
        <v>76</v>
      </c>
      <c r="S66" s="66">
        <v>78</v>
      </c>
      <c r="T66" s="66">
        <v>76</v>
      </c>
      <c r="U66" s="66">
        <f>V66-R66-S66-T66</f>
        <v>80</v>
      </c>
      <c r="V66" s="165">
        <v>310</v>
      </c>
    </row>
    <row r="67" spans="1:22">
      <c r="A67" s="77" t="s">
        <v>7</v>
      </c>
      <c r="B67" s="23"/>
      <c r="C67" s="3"/>
      <c r="D67" s="3"/>
      <c r="E67" s="3"/>
      <c r="F67" s="3"/>
      <c r="G67" s="165"/>
      <c r="H67" s="3"/>
      <c r="I67" s="68">
        <f>I66/H66-1</f>
        <v>0</v>
      </c>
      <c r="J67" s="68">
        <f>J66/I66-1</f>
        <v>2.5316455696202445E-2</v>
      </c>
      <c r="K67" s="68">
        <f>K66/J66-1</f>
        <v>3.7037037037036979E-2</v>
      </c>
      <c r="L67" s="23"/>
      <c r="M67" s="68"/>
      <c r="N67" s="68">
        <f>N66/M66-1</f>
        <v>3.8461538461538547E-2</v>
      </c>
      <c r="O67" s="68">
        <f>O66/N66-1</f>
        <v>0.14814814814814814</v>
      </c>
      <c r="P67" s="68">
        <f>P66/O66-1</f>
        <v>-0.11827956989247312</v>
      </c>
      <c r="Q67" s="23"/>
      <c r="R67" s="68">
        <f>R66/P66-1</f>
        <v>-7.3170731707317027E-2</v>
      </c>
      <c r="S67" s="68">
        <f>S66/R66-1</f>
        <v>2.6315789473684292E-2</v>
      </c>
      <c r="T67" s="68">
        <f>T66/S66-1</f>
        <v>-2.5641025641025661E-2</v>
      </c>
      <c r="U67" s="68">
        <f>U66/T66-1</f>
        <v>5.2631578947368363E-2</v>
      </c>
      <c r="V67" s="23"/>
    </row>
    <row r="68" spans="1:22">
      <c r="A68" s="77" t="s">
        <v>8</v>
      </c>
      <c r="B68" s="23"/>
      <c r="C68" s="3"/>
      <c r="D68" s="3"/>
      <c r="E68" s="3"/>
      <c r="F68" s="3"/>
      <c r="G68" s="165"/>
      <c r="H68" s="3"/>
      <c r="I68" s="3"/>
      <c r="J68" s="3"/>
      <c r="K68" s="3"/>
      <c r="L68" s="23">
        <f t="shared" ref="L68:T68" si="54">L66/G66-1</f>
        <v>0.1333333333333333</v>
      </c>
      <c r="M68" s="69">
        <f t="shared" si="54"/>
        <v>-1.2658227848101222E-2</v>
      </c>
      <c r="N68" s="69">
        <f t="shared" si="54"/>
        <v>2.5316455696202445E-2</v>
      </c>
      <c r="O68" s="69">
        <f t="shared" si="54"/>
        <v>0.14814814814814814</v>
      </c>
      <c r="P68" s="69">
        <f t="shared" si="54"/>
        <v>-2.3809523809523836E-2</v>
      </c>
      <c r="Q68" s="23">
        <f t="shared" si="54"/>
        <v>3.4055727554179516E-2</v>
      </c>
      <c r="R68" s="69">
        <f t="shared" si="54"/>
        <v>-2.5641025641025661E-2</v>
      </c>
      <c r="S68" s="69">
        <f t="shared" si="54"/>
        <v>-3.703703703703709E-2</v>
      </c>
      <c r="T68" s="69">
        <f t="shared" si="54"/>
        <v>-0.18279569892473113</v>
      </c>
      <c r="U68" s="69">
        <f t="shared" ref="U68" si="55">U66/P66-1</f>
        <v>-2.4390243902439046E-2</v>
      </c>
      <c r="V68" s="23">
        <f t="shared" ref="V68" si="56">V66/Q66-1</f>
        <v>-7.1856287425149712E-2</v>
      </c>
    </row>
    <row r="69" spans="1:22">
      <c r="A69" s="65" t="s">
        <v>75</v>
      </c>
      <c r="B69" s="87" t="s">
        <v>35</v>
      </c>
      <c r="C69" s="78" t="s">
        <v>35</v>
      </c>
      <c r="D69" s="78" t="s">
        <v>35</v>
      </c>
      <c r="E69" s="78" t="s">
        <v>35</v>
      </c>
      <c r="F69" s="78" t="s">
        <v>35</v>
      </c>
      <c r="G69" s="165">
        <v>245</v>
      </c>
      <c r="H69" s="66">
        <v>58</v>
      </c>
      <c r="I69" s="66">
        <v>60</v>
      </c>
      <c r="J69" s="66">
        <v>56</v>
      </c>
      <c r="K69" s="66">
        <f>L69-H69-I69-J69</f>
        <v>59</v>
      </c>
      <c r="L69" s="165">
        <v>233</v>
      </c>
      <c r="M69" s="66">
        <v>55</v>
      </c>
      <c r="N69" s="66">
        <v>51</v>
      </c>
      <c r="O69" s="66">
        <v>50</v>
      </c>
      <c r="P69" s="66">
        <f>Q69-M69-N69-O69</f>
        <v>53</v>
      </c>
      <c r="Q69" s="165">
        <v>209</v>
      </c>
      <c r="R69" s="66">
        <v>51</v>
      </c>
      <c r="S69" s="66">
        <v>47</v>
      </c>
      <c r="T69" s="66">
        <v>48</v>
      </c>
      <c r="U69" s="66">
        <f>V69-R69-S69-T69</f>
        <v>49</v>
      </c>
      <c r="V69" s="165">
        <v>195</v>
      </c>
    </row>
    <row r="70" spans="1:22">
      <c r="A70" s="67" t="s">
        <v>7</v>
      </c>
      <c r="B70" s="23"/>
      <c r="C70" s="3"/>
      <c r="D70" s="3"/>
      <c r="E70" s="3"/>
      <c r="F70" s="3"/>
      <c r="G70" s="165"/>
      <c r="H70" s="3"/>
      <c r="I70" s="68">
        <f>I69/H69-1</f>
        <v>3.4482758620689724E-2</v>
      </c>
      <c r="J70" s="68">
        <f>J69/I69-1</f>
        <v>-6.6666666666666652E-2</v>
      </c>
      <c r="K70" s="68">
        <f>K69/J69-1</f>
        <v>5.3571428571428603E-2</v>
      </c>
      <c r="L70" s="23"/>
      <c r="M70" s="68"/>
      <c r="N70" s="68">
        <f>N69/M69-1</f>
        <v>-7.2727272727272751E-2</v>
      </c>
      <c r="O70" s="68">
        <f>O69/N69-1</f>
        <v>-1.9607843137254943E-2</v>
      </c>
      <c r="P70" s="68">
        <f>P69/O69-1</f>
        <v>6.0000000000000053E-2</v>
      </c>
      <c r="Q70" s="23"/>
      <c r="R70" s="68">
        <f>R69/P69-1</f>
        <v>-3.7735849056603765E-2</v>
      </c>
      <c r="S70" s="68">
        <f>S69/R69-1</f>
        <v>-7.8431372549019662E-2</v>
      </c>
      <c r="T70" s="68">
        <f>T69/S69-1</f>
        <v>2.1276595744680771E-2</v>
      </c>
      <c r="U70" s="68">
        <f>U69/T69-1</f>
        <v>2.0833333333333259E-2</v>
      </c>
      <c r="V70" s="23"/>
    </row>
    <row r="71" spans="1:22">
      <c r="A71" s="67" t="s">
        <v>8</v>
      </c>
      <c r="B71" s="23"/>
      <c r="C71" s="3"/>
      <c r="D71" s="3"/>
      <c r="E71" s="3"/>
      <c r="F71" s="3"/>
      <c r="G71" s="165"/>
      <c r="H71" s="3"/>
      <c r="I71" s="3"/>
      <c r="J71" s="3"/>
      <c r="K71" s="3"/>
      <c r="L71" s="23">
        <f t="shared" ref="L71:T71" si="57">L69/G69-1</f>
        <v>-4.8979591836734726E-2</v>
      </c>
      <c r="M71" s="69">
        <f t="shared" si="57"/>
        <v>-5.1724137931034475E-2</v>
      </c>
      <c r="N71" s="69">
        <f t="shared" si="57"/>
        <v>-0.15000000000000002</v>
      </c>
      <c r="O71" s="69">
        <f t="shared" si="57"/>
        <v>-0.1071428571428571</v>
      </c>
      <c r="P71" s="69">
        <f t="shared" si="57"/>
        <v>-0.10169491525423724</v>
      </c>
      <c r="Q71" s="23">
        <f t="shared" si="57"/>
        <v>-0.10300429184549353</v>
      </c>
      <c r="R71" s="69">
        <f t="shared" si="57"/>
        <v>-7.2727272727272751E-2</v>
      </c>
      <c r="S71" s="69">
        <f t="shared" si="57"/>
        <v>-7.8431372549019662E-2</v>
      </c>
      <c r="T71" s="69">
        <f t="shared" si="57"/>
        <v>-4.0000000000000036E-2</v>
      </c>
      <c r="U71" s="69">
        <f t="shared" ref="U71" si="58">U69/P69-1</f>
        <v>-7.547169811320753E-2</v>
      </c>
      <c r="V71" s="23">
        <f t="shared" ref="V71" si="59">V69/Q69-1</f>
        <v>-6.6985645933014371E-2</v>
      </c>
    </row>
    <row r="72" spans="1:22">
      <c r="A72" s="65" t="s">
        <v>66</v>
      </c>
      <c r="B72" s="87" t="s">
        <v>35</v>
      </c>
      <c r="C72" s="78" t="s">
        <v>35</v>
      </c>
      <c r="D72" s="78" t="s">
        <v>35</v>
      </c>
      <c r="E72" s="78" t="s">
        <v>35</v>
      </c>
      <c r="F72" s="78" t="s">
        <v>35</v>
      </c>
      <c r="G72" s="165">
        <v>957</v>
      </c>
      <c r="H72" s="66">
        <v>237</v>
      </c>
      <c r="I72" s="66">
        <v>246</v>
      </c>
      <c r="J72" s="66">
        <v>229</v>
      </c>
      <c r="K72" s="66">
        <f>L72-H72-I72-J72</f>
        <v>244</v>
      </c>
      <c r="L72" s="165">
        <v>956</v>
      </c>
      <c r="M72" s="66">
        <v>226</v>
      </c>
      <c r="N72" s="66">
        <v>222</v>
      </c>
      <c r="O72" s="66">
        <v>219</v>
      </c>
      <c r="P72" s="66">
        <f>Q72-M72-N72-O72</f>
        <v>228</v>
      </c>
      <c r="Q72" s="165">
        <v>895</v>
      </c>
      <c r="R72" s="66">
        <v>222</v>
      </c>
      <c r="S72" s="66">
        <v>212</v>
      </c>
      <c r="T72" s="66">
        <v>204</v>
      </c>
      <c r="U72" s="66">
        <f>V72-R72-S72-T72</f>
        <v>200</v>
      </c>
      <c r="V72" s="165">
        <v>838</v>
      </c>
    </row>
    <row r="73" spans="1:22">
      <c r="A73" s="67" t="s">
        <v>7</v>
      </c>
      <c r="B73" s="23"/>
      <c r="C73" s="3"/>
      <c r="D73" s="3"/>
      <c r="E73" s="3"/>
      <c r="F73" s="3"/>
      <c r="G73" s="264"/>
      <c r="H73" s="3"/>
      <c r="I73" s="68">
        <f>I72/H72-1</f>
        <v>3.7974683544303778E-2</v>
      </c>
      <c r="J73" s="68">
        <f>J72/I72-1</f>
        <v>-6.9105691056910556E-2</v>
      </c>
      <c r="K73" s="68">
        <f>K72/J72-1</f>
        <v>6.5502183406113579E-2</v>
      </c>
      <c r="L73" s="23"/>
      <c r="M73" s="68"/>
      <c r="N73" s="68">
        <f>N72/M72-1</f>
        <v>-1.7699115044247815E-2</v>
      </c>
      <c r="O73" s="68">
        <f>O72/N72-1</f>
        <v>-1.3513513513513487E-2</v>
      </c>
      <c r="P73" s="68">
        <f>P72/O72-1</f>
        <v>4.1095890410958846E-2</v>
      </c>
      <c r="Q73" s="23"/>
      <c r="R73" s="68">
        <f>R72/P72-1</f>
        <v>-2.6315789473684181E-2</v>
      </c>
      <c r="S73" s="68">
        <f>S72/R72-1</f>
        <v>-4.5045045045045029E-2</v>
      </c>
      <c r="T73" s="68">
        <f>T72/S72-1</f>
        <v>-3.7735849056603765E-2</v>
      </c>
      <c r="U73" s="68">
        <f>U72/T72-1</f>
        <v>-1.9607843137254943E-2</v>
      </c>
      <c r="V73" s="23"/>
    </row>
    <row r="74" spans="1:22">
      <c r="A74" s="67" t="s">
        <v>8</v>
      </c>
      <c r="B74" s="23"/>
      <c r="C74" s="3"/>
      <c r="D74" s="3"/>
      <c r="E74" s="3"/>
      <c r="F74" s="3"/>
      <c r="G74" s="165"/>
      <c r="H74" s="3"/>
      <c r="I74" s="3"/>
      <c r="J74" s="3"/>
      <c r="K74" s="3"/>
      <c r="L74" s="23">
        <f t="shared" ref="L74:T74" si="60">L72/G72-1</f>
        <v>-1.0449320794148065E-3</v>
      </c>
      <c r="M74" s="69">
        <f t="shared" si="60"/>
        <v>-4.641350210970463E-2</v>
      </c>
      <c r="N74" s="69">
        <f t="shared" si="60"/>
        <v>-9.7560975609756073E-2</v>
      </c>
      <c r="O74" s="69">
        <f t="shared" si="60"/>
        <v>-4.3668122270742349E-2</v>
      </c>
      <c r="P74" s="69">
        <f t="shared" si="60"/>
        <v>-6.557377049180324E-2</v>
      </c>
      <c r="Q74" s="23">
        <f t="shared" si="60"/>
        <v>-6.3807531380753124E-2</v>
      </c>
      <c r="R74" s="69">
        <f t="shared" si="60"/>
        <v>-1.7699115044247815E-2</v>
      </c>
      <c r="S74" s="69">
        <f t="shared" si="60"/>
        <v>-4.5045045045045029E-2</v>
      </c>
      <c r="T74" s="69">
        <f t="shared" si="60"/>
        <v>-6.8493150684931559E-2</v>
      </c>
      <c r="U74" s="69">
        <f t="shared" ref="U74" si="61">U72/P72-1</f>
        <v>-0.1228070175438597</v>
      </c>
      <c r="V74" s="23">
        <f t="shared" ref="V74" si="62">V72/Q72-1</f>
        <v>-6.3687150837988815E-2</v>
      </c>
    </row>
    <row r="75" spans="1:22">
      <c r="A75" s="65" t="s">
        <v>220</v>
      </c>
      <c r="B75" s="87" t="s">
        <v>35</v>
      </c>
      <c r="C75" s="78" t="s">
        <v>35</v>
      </c>
      <c r="D75" s="78" t="s">
        <v>35</v>
      </c>
      <c r="E75" s="78" t="s">
        <v>35</v>
      </c>
      <c r="F75" s="78" t="s">
        <v>35</v>
      </c>
      <c r="G75" s="206">
        <v>0</v>
      </c>
      <c r="H75" s="66">
        <v>2</v>
      </c>
      <c r="I75" s="66">
        <v>7</v>
      </c>
      <c r="J75" s="66">
        <v>0</v>
      </c>
      <c r="K75" s="66">
        <f>L75-H75-I75</f>
        <v>8</v>
      </c>
      <c r="L75" s="165">
        <v>17</v>
      </c>
      <c r="M75" s="66">
        <v>43</v>
      </c>
      <c r="N75" s="171">
        <v>-9</v>
      </c>
      <c r="O75" s="171">
        <v>1</v>
      </c>
      <c r="P75" s="66">
        <f>Q75-M75-N75-O75</f>
        <v>7</v>
      </c>
      <c r="Q75" s="165">
        <v>42</v>
      </c>
      <c r="R75" s="66">
        <v>0</v>
      </c>
      <c r="S75" s="171">
        <v>-12</v>
      </c>
      <c r="T75" s="171">
        <v>1</v>
      </c>
      <c r="U75" s="171">
        <f>V75-R75-S75-T75</f>
        <v>-3</v>
      </c>
      <c r="V75" s="165">
        <v>-14</v>
      </c>
    </row>
    <row r="76" spans="1:22">
      <c r="A76" s="67" t="s">
        <v>7</v>
      </c>
      <c r="B76" s="23"/>
      <c r="C76" s="3"/>
      <c r="D76" s="3"/>
      <c r="E76" s="3"/>
      <c r="F76" s="3"/>
      <c r="G76" s="165"/>
      <c r="H76" s="3"/>
      <c r="I76" s="68">
        <f>I75/H75-1</f>
        <v>2.5</v>
      </c>
      <c r="J76" s="80" t="s">
        <v>34</v>
      </c>
      <c r="K76" s="80" t="s">
        <v>34</v>
      </c>
      <c r="L76" s="165"/>
      <c r="M76" s="68"/>
      <c r="N76" s="3"/>
      <c r="O76" s="80" t="s">
        <v>34</v>
      </c>
      <c r="P76" s="68">
        <f>P75/O75-1</f>
        <v>6</v>
      </c>
      <c r="Q76" s="165"/>
      <c r="R76" s="80" t="s">
        <v>34</v>
      </c>
      <c r="S76" s="80" t="s">
        <v>34</v>
      </c>
      <c r="T76" s="80" t="s">
        <v>34</v>
      </c>
      <c r="U76" s="80" t="s">
        <v>34</v>
      </c>
      <c r="V76" s="165"/>
    </row>
    <row r="77" spans="1:22">
      <c r="A77" s="67" t="s">
        <v>8</v>
      </c>
      <c r="B77" s="23"/>
      <c r="C77" s="3"/>
      <c r="D77" s="3"/>
      <c r="E77" s="3"/>
      <c r="F77" s="3"/>
      <c r="G77" s="165"/>
      <c r="H77" s="3"/>
      <c r="I77" s="3"/>
      <c r="J77" s="3"/>
      <c r="K77" s="3"/>
      <c r="L77" s="87" t="s">
        <v>34</v>
      </c>
      <c r="M77" s="69"/>
      <c r="N77" s="3"/>
      <c r="O77" s="80" t="s">
        <v>34</v>
      </c>
      <c r="P77" s="69">
        <f t="shared" ref="P77:Q77" si="63">P75/K75-1</f>
        <v>-0.125</v>
      </c>
      <c r="Q77" s="23">
        <f t="shared" si="63"/>
        <v>1.4705882352941178</v>
      </c>
      <c r="R77" s="80" t="s">
        <v>34</v>
      </c>
      <c r="S77" s="69">
        <f t="shared" ref="S77:T77" si="64">S75/N75-1</f>
        <v>0.33333333333333326</v>
      </c>
      <c r="T77" s="69">
        <f t="shared" si="64"/>
        <v>0</v>
      </c>
      <c r="U77" s="80" t="s">
        <v>34</v>
      </c>
      <c r="V77" s="23">
        <f t="shared" ref="V77" si="65">V75/Q75-1</f>
        <v>-1.3333333333333333</v>
      </c>
    </row>
    <row r="78" spans="1:22">
      <c r="A78" s="65" t="s">
        <v>218</v>
      </c>
      <c r="B78" s="87" t="s">
        <v>35</v>
      </c>
      <c r="C78" s="78" t="s">
        <v>35</v>
      </c>
      <c r="D78" s="78" t="s">
        <v>35</v>
      </c>
      <c r="E78" s="78" t="s">
        <v>35</v>
      </c>
      <c r="F78" s="78" t="s">
        <v>35</v>
      </c>
      <c r="G78" s="165">
        <f>G63-G66-G69-G72-G75</f>
        <v>163</v>
      </c>
      <c r="H78" s="171">
        <v>-1</v>
      </c>
      <c r="I78" s="171">
        <v>-17</v>
      </c>
      <c r="J78" s="66">
        <v>1</v>
      </c>
      <c r="K78" s="171">
        <f>L78-H78-I78-J78</f>
        <v>-39</v>
      </c>
      <c r="L78" s="165">
        <f>L63-L66-L69-L72-L75</f>
        <v>-56</v>
      </c>
      <c r="M78" s="171">
        <f>M63-M66-M69-M72-M75</f>
        <v>-59</v>
      </c>
      <c r="N78" s="171">
        <f>N63-N66-N69-N72-N75</f>
        <v>-8</v>
      </c>
      <c r="O78" s="171">
        <f>O63-O66-O69-O72-O75</f>
        <v>-29</v>
      </c>
      <c r="P78" s="171">
        <f>Q78-M78-N78-O78</f>
        <v>-39</v>
      </c>
      <c r="Q78" s="165">
        <f>Q63-Q66-Q69-Q72-Q75</f>
        <v>-135</v>
      </c>
      <c r="R78" s="171">
        <f>R63-R66-R69-R72-R75</f>
        <v>-11</v>
      </c>
      <c r="S78" s="171">
        <f>S63-S66-S69-S72-S75</f>
        <v>-6</v>
      </c>
      <c r="T78" s="171">
        <f>T63-T66-T69-T72-T75</f>
        <v>-16</v>
      </c>
      <c r="U78" s="171">
        <f>V78-R78-S78-T78</f>
        <v>-9</v>
      </c>
      <c r="V78" s="165">
        <f>V63-V66-V69-V72-V75</f>
        <v>-42</v>
      </c>
    </row>
    <row r="79" spans="1:22">
      <c r="A79" s="67" t="s">
        <v>7</v>
      </c>
      <c r="B79" s="23"/>
      <c r="C79" s="3"/>
      <c r="D79" s="3"/>
      <c r="E79" s="3"/>
      <c r="F79" s="3"/>
      <c r="G79" s="165"/>
      <c r="H79" s="3"/>
      <c r="I79" s="68">
        <f>I78/H78-1</f>
        <v>16</v>
      </c>
      <c r="J79" s="80" t="s">
        <v>34</v>
      </c>
      <c r="K79" s="80" t="s">
        <v>34</v>
      </c>
      <c r="L79" s="165"/>
      <c r="M79" s="3"/>
      <c r="N79" s="68">
        <f>N78/M78-1</f>
        <v>-0.86440677966101698</v>
      </c>
      <c r="O79" s="68">
        <f>O78/N78-1</f>
        <v>2.625</v>
      </c>
      <c r="P79" s="68">
        <f>P78/O78-1</f>
        <v>0.34482758620689657</v>
      </c>
      <c r="Q79" s="165"/>
      <c r="R79" s="68">
        <f>R78/P78-1</f>
        <v>-0.71794871794871795</v>
      </c>
      <c r="S79" s="68">
        <f>S78/R78-1</f>
        <v>-0.45454545454545459</v>
      </c>
      <c r="T79" s="68">
        <f>T78/S78-1</f>
        <v>1.6666666666666665</v>
      </c>
      <c r="U79" s="68">
        <f>U78/T78-1</f>
        <v>-0.4375</v>
      </c>
      <c r="V79" s="165"/>
    </row>
    <row r="80" spans="1:22">
      <c r="A80" s="67" t="s">
        <v>8</v>
      </c>
      <c r="B80" s="23"/>
      <c r="C80" s="3"/>
      <c r="D80" s="3"/>
      <c r="E80" s="3"/>
      <c r="F80" s="3"/>
      <c r="G80" s="165"/>
      <c r="H80" s="3"/>
      <c r="I80" s="3"/>
      <c r="J80" s="3"/>
      <c r="K80" s="171"/>
      <c r="L80" s="87" t="s">
        <v>34</v>
      </c>
      <c r="M80" s="3"/>
      <c r="N80" s="69">
        <f t="shared" ref="N80" si="66">N78/I78-1</f>
        <v>-0.52941176470588236</v>
      </c>
      <c r="O80" s="80" t="s">
        <v>34</v>
      </c>
      <c r="P80" s="69">
        <f t="shared" ref="P80:T80" si="67">P78/K78-1</f>
        <v>0</v>
      </c>
      <c r="Q80" s="23">
        <f t="shared" si="67"/>
        <v>1.4107142857142856</v>
      </c>
      <c r="R80" s="69">
        <f t="shared" si="67"/>
        <v>-0.81355932203389836</v>
      </c>
      <c r="S80" s="69">
        <f t="shared" si="67"/>
        <v>-0.25</v>
      </c>
      <c r="T80" s="69">
        <f t="shared" si="67"/>
        <v>-0.44827586206896552</v>
      </c>
      <c r="U80" s="69">
        <f t="shared" ref="U80" si="68">U78/P78-1</f>
        <v>-0.76923076923076916</v>
      </c>
      <c r="V80" s="23">
        <f t="shared" ref="V80" si="69">V78/Q78-1</f>
        <v>-0.68888888888888888</v>
      </c>
    </row>
    <row r="81" spans="1:22">
      <c r="A81" s="65" t="s">
        <v>73</v>
      </c>
      <c r="B81" s="87" t="s">
        <v>35</v>
      </c>
      <c r="C81" s="78" t="s">
        <v>35</v>
      </c>
      <c r="D81" s="78" t="s">
        <v>35</v>
      </c>
      <c r="E81" s="78" t="s">
        <v>35</v>
      </c>
      <c r="F81" s="78" t="s">
        <v>35</v>
      </c>
      <c r="G81" s="165">
        <v>71</v>
      </c>
      <c r="H81" s="171">
        <v>-3</v>
      </c>
      <c r="I81" s="171">
        <v>-7</v>
      </c>
      <c r="J81" s="171">
        <v>3</v>
      </c>
      <c r="K81" s="171">
        <f>L81-H81-I81-J81</f>
        <v>-4</v>
      </c>
      <c r="L81" s="165">
        <v>-11</v>
      </c>
      <c r="M81" s="171">
        <v>5</v>
      </c>
      <c r="N81" s="171">
        <v>2</v>
      </c>
      <c r="O81" s="171">
        <v>4</v>
      </c>
      <c r="P81" s="171">
        <f>Q81-M81-N81-O81</f>
        <v>1</v>
      </c>
      <c r="Q81" s="165">
        <v>12</v>
      </c>
      <c r="R81" s="171">
        <v>-5</v>
      </c>
      <c r="S81" s="171">
        <v>4</v>
      </c>
      <c r="T81" s="171">
        <v>1</v>
      </c>
      <c r="U81" s="171">
        <f>V81-R81-S81-T81</f>
        <v>13</v>
      </c>
      <c r="V81" s="165">
        <v>13</v>
      </c>
    </row>
    <row r="82" spans="1:22">
      <c r="A82" s="67" t="s">
        <v>7</v>
      </c>
      <c r="B82" s="23"/>
      <c r="C82" s="3"/>
      <c r="D82" s="3"/>
      <c r="E82" s="3"/>
      <c r="F82" s="3"/>
      <c r="G82" s="165"/>
      <c r="H82" s="3"/>
      <c r="I82" s="68">
        <f>I81/H81-1</f>
        <v>1.3333333333333335</v>
      </c>
      <c r="J82" s="80" t="s">
        <v>34</v>
      </c>
      <c r="K82" s="80" t="s">
        <v>34</v>
      </c>
      <c r="L82" s="165"/>
      <c r="M82" s="3"/>
      <c r="N82" s="3"/>
      <c r="O82" s="68">
        <f>O81/N81-1</f>
        <v>1</v>
      </c>
      <c r="P82" s="68">
        <f>P81/O81-1</f>
        <v>-0.75</v>
      </c>
      <c r="Q82" s="165"/>
      <c r="R82" s="80" t="s">
        <v>34</v>
      </c>
      <c r="S82" s="80" t="s">
        <v>34</v>
      </c>
      <c r="T82" s="68">
        <f>T81/S81-1</f>
        <v>-0.75</v>
      </c>
      <c r="U82" s="68">
        <f>U81/T81-1</f>
        <v>12</v>
      </c>
      <c r="V82" s="165"/>
    </row>
    <row r="83" spans="1:22">
      <c r="A83" s="67" t="s">
        <v>8</v>
      </c>
      <c r="B83" s="23"/>
      <c r="C83" s="3"/>
      <c r="D83" s="3"/>
      <c r="E83" s="3"/>
      <c r="F83" s="3"/>
      <c r="G83" s="165"/>
      <c r="H83" s="3"/>
      <c r="I83" s="3"/>
      <c r="J83" s="3"/>
      <c r="K83" s="171"/>
      <c r="L83" s="87" t="s">
        <v>34</v>
      </c>
      <c r="M83" s="3"/>
      <c r="N83" s="3"/>
      <c r="O83" s="69">
        <f t="shared" ref="O83" si="70">O81/J81-1</f>
        <v>0.33333333333333326</v>
      </c>
      <c r="P83" s="80" t="s">
        <v>34</v>
      </c>
      <c r="Q83" s="87" t="s">
        <v>34</v>
      </c>
      <c r="R83" s="80" t="s">
        <v>34</v>
      </c>
      <c r="S83" s="69">
        <f t="shared" ref="S83:T83" si="71">S81/N81-1</f>
        <v>1</v>
      </c>
      <c r="T83" s="69">
        <f t="shared" si="71"/>
        <v>-0.75</v>
      </c>
      <c r="U83" s="80" t="s">
        <v>34</v>
      </c>
      <c r="V83" s="87" t="s">
        <v>34</v>
      </c>
    </row>
    <row r="84" spans="1:22">
      <c r="A84" s="65" t="s">
        <v>315</v>
      </c>
      <c r="B84" s="87" t="s">
        <v>35</v>
      </c>
      <c r="C84" s="78" t="s">
        <v>35</v>
      </c>
      <c r="D84" s="78" t="s">
        <v>35</v>
      </c>
      <c r="E84" s="78" t="s">
        <v>35</v>
      </c>
      <c r="F84" s="78" t="s">
        <v>35</v>
      </c>
      <c r="G84" s="165">
        <v>-244</v>
      </c>
      <c r="H84" s="171">
        <v>1</v>
      </c>
      <c r="I84" s="171">
        <v>-10</v>
      </c>
      <c r="J84" s="171">
        <v>-2</v>
      </c>
      <c r="K84" s="171">
        <f>L84-H84-I84-J84</f>
        <v>-37</v>
      </c>
      <c r="L84" s="165">
        <v>-48</v>
      </c>
      <c r="M84" s="171">
        <v>-64</v>
      </c>
      <c r="N84" s="171">
        <v>-11</v>
      </c>
      <c r="O84" s="171">
        <v>-34</v>
      </c>
      <c r="P84" s="171">
        <f>Q84-M84-N84-O84</f>
        <v>-40</v>
      </c>
      <c r="Q84" s="165">
        <v>-149</v>
      </c>
      <c r="R84" s="171">
        <v>-6</v>
      </c>
      <c r="S84" s="171">
        <v>-11</v>
      </c>
      <c r="T84" s="171">
        <v>-18</v>
      </c>
      <c r="U84" s="171">
        <f>V84-R84-S84-T84</f>
        <v>-22</v>
      </c>
      <c r="V84" s="165">
        <v>-57</v>
      </c>
    </row>
    <row r="85" spans="1:22">
      <c r="A85" s="67" t="s">
        <v>7</v>
      </c>
      <c r="B85" s="23"/>
      <c r="C85" s="3"/>
      <c r="D85" s="3"/>
      <c r="E85" s="3"/>
      <c r="F85" s="3"/>
      <c r="G85" s="165"/>
      <c r="H85" s="3"/>
      <c r="I85" s="80" t="s">
        <v>34</v>
      </c>
      <c r="J85" s="68">
        <f>J84/I84-1</f>
        <v>-0.8</v>
      </c>
      <c r="K85" s="68">
        <f>K84/J84-1</f>
        <v>17.5</v>
      </c>
      <c r="L85" s="23"/>
      <c r="M85" s="3"/>
      <c r="N85" s="68">
        <f>N84/M84-1</f>
        <v>-0.828125</v>
      </c>
      <c r="O85" s="68">
        <f>O84/N84-1</f>
        <v>2.0909090909090908</v>
      </c>
      <c r="P85" s="68">
        <f>P84/O84-1</f>
        <v>0.17647058823529416</v>
      </c>
      <c r="Q85" s="23"/>
      <c r="R85" s="68">
        <f>R84/P84-1</f>
        <v>-0.85</v>
      </c>
      <c r="S85" s="68">
        <f>S84/R84-1</f>
        <v>0.83333333333333326</v>
      </c>
      <c r="T85" s="68">
        <f>T84/S84-1</f>
        <v>0.63636363636363646</v>
      </c>
      <c r="U85" s="68">
        <f>U84/T84-1</f>
        <v>0.22222222222222232</v>
      </c>
      <c r="V85" s="23"/>
    </row>
    <row r="86" spans="1:22">
      <c r="A86" s="67" t="s">
        <v>8</v>
      </c>
      <c r="B86" s="23"/>
      <c r="C86" s="3"/>
      <c r="D86" s="3"/>
      <c r="E86" s="3"/>
      <c r="F86" s="3"/>
      <c r="G86" s="165"/>
      <c r="H86" s="3"/>
      <c r="I86" s="3"/>
      <c r="J86" s="3"/>
      <c r="K86" s="3"/>
      <c r="L86" s="23">
        <f t="shared" ref="L86" si="72">L84/G84-1</f>
        <v>-0.80327868852459017</v>
      </c>
      <c r="M86" s="3"/>
      <c r="N86" s="69">
        <f t="shared" ref="N86:T86" si="73">N84/I84-1</f>
        <v>0.10000000000000009</v>
      </c>
      <c r="O86" s="69">
        <f t="shared" si="73"/>
        <v>16</v>
      </c>
      <c r="P86" s="69">
        <f t="shared" si="73"/>
        <v>8.1081081081081141E-2</v>
      </c>
      <c r="Q86" s="23">
        <f t="shared" si="73"/>
        <v>2.1041666666666665</v>
      </c>
      <c r="R86" s="69">
        <f t="shared" si="73"/>
        <v>-0.90625</v>
      </c>
      <c r="S86" s="69">
        <f t="shared" si="73"/>
        <v>0</v>
      </c>
      <c r="T86" s="69">
        <f t="shared" si="73"/>
        <v>-0.47058823529411764</v>
      </c>
      <c r="U86" s="69">
        <f t="shared" ref="U86" si="74">U84/P84-1</f>
        <v>-0.44999999999999996</v>
      </c>
      <c r="V86" s="23">
        <f t="shared" ref="V86" si="75">V84/Q84-1</f>
        <v>-0.6174496644295302</v>
      </c>
    </row>
    <row r="87" spans="1:22">
      <c r="A87" s="84" t="s">
        <v>377</v>
      </c>
      <c r="B87" s="87" t="s">
        <v>35</v>
      </c>
      <c r="C87" s="78" t="s">
        <v>35</v>
      </c>
      <c r="D87" s="78" t="s">
        <v>35</v>
      </c>
      <c r="E87" s="78" t="s">
        <v>35</v>
      </c>
      <c r="F87" s="78" t="s">
        <v>35</v>
      </c>
      <c r="G87" s="165">
        <f>G84+G75</f>
        <v>-244</v>
      </c>
      <c r="H87" s="171">
        <f>H84+H75</f>
        <v>3</v>
      </c>
      <c r="I87" s="171">
        <f>I84+I75</f>
        <v>-3</v>
      </c>
      <c r="J87" s="171">
        <f>J84+J75</f>
        <v>-2</v>
      </c>
      <c r="K87" s="171">
        <f>L87-H87-I87-J87</f>
        <v>-29</v>
      </c>
      <c r="L87" s="165">
        <f>L84+L75</f>
        <v>-31</v>
      </c>
      <c r="M87" s="171">
        <f>M84+M75</f>
        <v>-21</v>
      </c>
      <c r="N87" s="171">
        <f>N84+N75</f>
        <v>-20</v>
      </c>
      <c r="O87" s="171">
        <f>O84+O75</f>
        <v>-33</v>
      </c>
      <c r="P87" s="171">
        <f>Q87-M87-N87-O87</f>
        <v>-33</v>
      </c>
      <c r="Q87" s="165">
        <f>Q84+Q75</f>
        <v>-107</v>
      </c>
      <c r="R87" s="171">
        <f>R84+R75</f>
        <v>-6</v>
      </c>
      <c r="S87" s="171">
        <f>S84+S75</f>
        <v>-23</v>
      </c>
      <c r="T87" s="171">
        <f>T84+T75</f>
        <v>-17</v>
      </c>
      <c r="U87" s="171">
        <f>V87-R87-S87-T87</f>
        <v>-25</v>
      </c>
      <c r="V87" s="165">
        <f>V84+V75</f>
        <v>-71</v>
      </c>
    </row>
    <row r="88" spans="1:22">
      <c r="A88" s="67" t="s">
        <v>7</v>
      </c>
      <c r="B88" s="23"/>
      <c r="C88" s="3"/>
      <c r="D88" s="3"/>
      <c r="E88" s="3"/>
      <c r="F88" s="3"/>
      <c r="G88" s="165"/>
      <c r="H88" s="68"/>
      <c r="I88" s="80" t="s">
        <v>34</v>
      </c>
      <c r="J88" s="68">
        <f>J87/I87-1</f>
        <v>-0.33333333333333337</v>
      </c>
      <c r="K88" s="68">
        <f>K87/J87-1</f>
        <v>13.5</v>
      </c>
      <c r="L88" s="23"/>
      <c r="M88" s="68">
        <f>M87/K87-1</f>
        <v>-0.27586206896551724</v>
      </c>
      <c r="N88" s="68">
        <f>N87/M87-1</f>
        <v>-4.7619047619047672E-2</v>
      </c>
      <c r="O88" s="68">
        <f>O87/N87-1</f>
        <v>0.64999999999999991</v>
      </c>
      <c r="P88" s="68">
        <f>P87/O87-1</f>
        <v>0</v>
      </c>
      <c r="Q88" s="23"/>
      <c r="R88" s="68">
        <f>R87/P87-1</f>
        <v>-0.81818181818181812</v>
      </c>
      <c r="S88" s="68">
        <f>S87/R87-1</f>
        <v>2.8333333333333335</v>
      </c>
      <c r="T88" s="68">
        <f>T87/S87-1</f>
        <v>-0.26086956521739135</v>
      </c>
      <c r="U88" s="68">
        <f>U87/T87-1</f>
        <v>0.47058823529411775</v>
      </c>
      <c r="V88" s="23"/>
    </row>
    <row r="89" spans="1:22">
      <c r="A89" s="67" t="s">
        <v>8</v>
      </c>
      <c r="B89" s="23"/>
      <c r="C89" s="3"/>
      <c r="D89" s="3"/>
      <c r="E89" s="3"/>
      <c r="F89" s="3"/>
      <c r="G89" s="165"/>
      <c r="H89" s="69"/>
      <c r="I89" s="69"/>
      <c r="J89" s="69"/>
      <c r="K89" s="69"/>
      <c r="L89" s="23">
        <f t="shared" ref="L89" si="76">L87/G87-1</f>
        <v>-0.87295081967213117</v>
      </c>
      <c r="M89" s="80" t="s">
        <v>34</v>
      </c>
      <c r="N89" s="69">
        <f t="shared" ref="N89" si="77">N87/I87-1</f>
        <v>5.666666666666667</v>
      </c>
      <c r="O89" s="69">
        <f t="shared" ref="O89" si="78">O87/J87-1</f>
        <v>15.5</v>
      </c>
      <c r="P89" s="69">
        <f t="shared" ref="P89" si="79">P87/K87-1</f>
        <v>0.13793103448275867</v>
      </c>
      <c r="Q89" s="23">
        <f t="shared" ref="Q89" si="80">Q87/L87-1</f>
        <v>2.4516129032258065</v>
      </c>
      <c r="R89" s="69">
        <f>R87/M87-1</f>
        <v>-0.7142857142857143</v>
      </c>
      <c r="S89" s="69">
        <f t="shared" ref="S89:T89" si="81">S87/N87-1</f>
        <v>0.14999999999999991</v>
      </c>
      <c r="T89" s="69">
        <f t="shared" si="81"/>
        <v>-0.48484848484848486</v>
      </c>
      <c r="U89" s="69">
        <f t="shared" ref="U89" si="82">U87/P87-1</f>
        <v>-0.24242424242424243</v>
      </c>
      <c r="V89" s="23">
        <f t="shared" ref="V89" si="83">V87/Q87-1</f>
        <v>-0.33644859813084116</v>
      </c>
    </row>
    <row r="90" spans="1:22">
      <c r="A90" s="65" t="s">
        <v>9</v>
      </c>
      <c r="B90" s="87" t="s">
        <v>35</v>
      </c>
      <c r="C90" s="78" t="s">
        <v>35</v>
      </c>
      <c r="D90" s="78" t="s">
        <v>35</v>
      </c>
      <c r="E90" s="78" t="s">
        <v>35</v>
      </c>
      <c r="F90" s="78" t="s">
        <v>35</v>
      </c>
      <c r="G90" s="165">
        <f>G78+G66</f>
        <v>448</v>
      </c>
      <c r="H90" s="171">
        <f>H78+H66</f>
        <v>78</v>
      </c>
      <c r="I90" s="171">
        <f>I78+I66</f>
        <v>62</v>
      </c>
      <c r="J90" s="171">
        <f>J78+J66</f>
        <v>82</v>
      </c>
      <c r="K90" s="66">
        <f>L90-H90-I90-J90</f>
        <v>45</v>
      </c>
      <c r="L90" s="165">
        <f>L78+L66</f>
        <v>267</v>
      </c>
      <c r="M90" s="171">
        <f>M78+M66</f>
        <v>19</v>
      </c>
      <c r="N90" s="171">
        <f>N78+N66</f>
        <v>73</v>
      </c>
      <c r="O90" s="171">
        <f>O78+O66</f>
        <v>64</v>
      </c>
      <c r="P90" s="66">
        <f>Q90-M90-N90-O90</f>
        <v>43</v>
      </c>
      <c r="Q90" s="165">
        <f>Q78+Q66</f>
        <v>199</v>
      </c>
      <c r="R90" s="171">
        <f>R78+R66</f>
        <v>65</v>
      </c>
      <c r="S90" s="171">
        <f>S78+S66</f>
        <v>72</v>
      </c>
      <c r="T90" s="171">
        <f>T78+T66</f>
        <v>60</v>
      </c>
      <c r="U90" s="66">
        <f>V90-R90-S90-T90</f>
        <v>71</v>
      </c>
      <c r="V90" s="165">
        <f>V78+V66</f>
        <v>268</v>
      </c>
    </row>
    <row r="91" spans="1:22">
      <c r="A91" s="67" t="s">
        <v>7</v>
      </c>
      <c r="B91" s="23"/>
      <c r="C91" s="3"/>
      <c r="D91" s="3"/>
      <c r="E91" s="3"/>
      <c r="F91" s="3"/>
      <c r="G91" s="165"/>
      <c r="H91" s="3"/>
      <c r="I91" s="68">
        <f>I90/H90-1</f>
        <v>-0.20512820512820518</v>
      </c>
      <c r="J91" s="68">
        <f>J90/I90-1</f>
        <v>0.32258064516129026</v>
      </c>
      <c r="K91" s="68">
        <f>K90/J90-1</f>
        <v>-0.45121951219512191</v>
      </c>
      <c r="L91" s="23"/>
      <c r="M91" s="68"/>
      <c r="N91" s="68">
        <f>N90/M90-1</f>
        <v>2.8421052631578947</v>
      </c>
      <c r="O91" s="68">
        <f>O90/N90-1</f>
        <v>-0.12328767123287676</v>
      </c>
      <c r="P91" s="68">
        <f>P90/O90-1</f>
        <v>-0.328125</v>
      </c>
      <c r="Q91" s="23"/>
      <c r="R91" s="68">
        <f>R90/P90-1</f>
        <v>0.51162790697674421</v>
      </c>
      <c r="S91" s="68">
        <f>S90/R90-1</f>
        <v>0.10769230769230775</v>
      </c>
      <c r="T91" s="68">
        <f>T90/S90-1</f>
        <v>-0.16666666666666663</v>
      </c>
      <c r="U91" s="68">
        <f>U90/T90-1</f>
        <v>0.18333333333333335</v>
      </c>
      <c r="V91" s="23"/>
    </row>
    <row r="92" spans="1:22">
      <c r="A92" s="67" t="s">
        <v>8</v>
      </c>
      <c r="B92" s="23"/>
      <c r="C92" s="3"/>
      <c r="D92" s="3"/>
      <c r="E92" s="3"/>
      <c r="F92" s="3"/>
      <c r="G92" s="165"/>
      <c r="H92" s="3"/>
      <c r="I92" s="3"/>
      <c r="J92" s="3"/>
      <c r="K92" s="3"/>
      <c r="L92" s="23">
        <f t="shared" ref="L92:T92" si="84">L90/G90-1</f>
        <v>-0.4040178571428571</v>
      </c>
      <c r="M92" s="69">
        <f t="shared" si="84"/>
        <v>-0.75641025641025639</v>
      </c>
      <c r="N92" s="69">
        <f t="shared" si="84"/>
        <v>0.17741935483870974</v>
      </c>
      <c r="O92" s="69">
        <f t="shared" si="84"/>
        <v>-0.21951219512195119</v>
      </c>
      <c r="P92" s="69">
        <f t="shared" si="84"/>
        <v>-4.4444444444444398E-2</v>
      </c>
      <c r="Q92" s="23">
        <f t="shared" si="84"/>
        <v>-0.25468164794007486</v>
      </c>
      <c r="R92" s="69">
        <f t="shared" si="84"/>
        <v>2.4210526315789473</v>
      </c>
      <c r="S92" s="69">
        <f t="shared" si="84"/>
        <v>-1.3698630136986356E-2</v>
      </c>
      <c r="T92" s="69">
        <f t="shared" si="84"/>
        <v>-6.25E-2</v>
      </c>
      <c r="U92" s="69">
        <f t="shared" ref="U92" si="85">U90/P90-1</f>
        <v>0.65116279069767447</v>
      </c>
      <c r="V92" s="23">
        <f t="shared" ref="V92" si="86">V90/Q90-1</f>
        <v>0.3467336683417086</v>
      </c>
    </row>
    <row r="93" spans="1:22">
      <c r="A93" s="84" t="s">
        <v>362</v>
      </c>
      <c r="B93" s="87" t="s">
        <v>35</v>
      </c>
      <c r="C93" s="78" t="s">
        <v>35</v>
      </c>
      <c r="D93" s="78" t="s">
        <v>35</v>
      </c>
      <c r="E93" s="78" t="s">
        <v>35</v>
      </c>
      <c r="F93" s="78" t="s">
        <v>35</v>
      </c>
      <c r="G93" s="165">
        <f>G90</f>
        <v>448</v>
      </c>
      <c r="H93" s="171">
        <f>H90+H75</f>
        <v>80</v>
      </c>
      <c r="I93" s="171">
        <f t="shared" ref="I93" si="87">I90+I75</f>
        <v>69</v>
      </c>
      <c r="J93" s="171">
        <f>J90</f>
        <v>82</v>
      </c>
      <c r="K93" s="66">
        <f>L93-H93-I93-J93</f>
        <v>53</v>
      </c>
      <c r="L93" s="165">
        <f>L90+L75</f>
        <v>284</v>
      </c>
      <c r="M93" s="171">
        <f>M90+M75</f>
        <v>62</v>
      </c>
      <c r="N93" s="171">
        <f t="shared" ref="N93:O93" si="88">N90+N75</f>
        <v>64</v>
      </c>
      <c r="O93" s="171">
        <f t="shared" si="88"/>
        <v>65</v>
      </c>
      <c r="P93" s="66">
        <f>Q93-M93-N93-O93</f>
        <v>50</v>
      </c>
      <c r="Q93" s="165">
        <f>Q90+Q75</f>
        <v>241</v>
      </c>
      <c r="R93" s="171">
        <f>R90+R75</f>
        <v>65</v>
      </c>
      <c r="S93" s="171">
        <f t="shared" ref="S93:T93" si="89">S90+S75</f>
        <v>60</v>
      </c>
      <c r="T93" s="171">
        <f t="shared" si="89"/>
        <v>61</v>
      </c>
      <c r="U93" s="66">
        <f>V93-R93-S93-T93</f>
        <v>68</v>
      </c>
      <c r="V93" s="165">
        <f>V90+V75</f>
        <v>254</v>
      </c>
    </row>
    <row r="94" spans="1:22">
      <c r="A94" s="67" t="s">
        <v>7</v>
      </c>
      <c r="B94" s="23"/>
      <c r="C94" s="3"/>
      <c r="D94" s="3"/>
      <c r="E94" s="3"/>
      <c r="F94" s="3"/>
      <c r="G94" s="165"/>
      <c r="H94" s="68"/>
      <c r="I94" s="68">
        <f>I93/H93-1</f>
        <v>-0.13749999999999996</v>
      </c>
      <c r="J94" s="68">
        <f>J93/I93-1</f>
        <v>0.18840579710144922</v>
      </c>
      <c r="K94" s="68">
        <f>K93/J93-1</f>
        <v>-0.35365853658536583</v>
      </c>
      <c r="L94" s="23"/>
      <c r="M94" s="68">
        <f>M93/K93-1</f>
        <v>0.16981132075471694</v>
      </c>
      <c r="N94" s="68">
        <f>N93/M93-1</f>
        <v>3.2258064516129004E-2</v>
      </c>
      <c r="O94" s="68">
        <f>O93/N93-1</f>
        <v>1.5625E-2</v>
      </c>
      <c r="P94" s="68">
        <f>P93/O93-1</f>
        <v>-0.23076923076923073</v>
      </c>
      <c r="Q94" s="23"/>
      <c r="R94" s="68">
        <f>R93/P93-1</f>
        <v>0.30000000000000004</v>
      </c>
      <c r="S94" s="68">
        <f>S93/R93-1</f>
        <v>-7.6923076923076872E-2</v>
      </c>
      <c r="T94" s="68">
        <f>T93/S93-1</f>
        <v>1.6666666666666607E-2</v>
      </c>
      <c r="U94" s="68">
        <f>U93/T93-1</f>
        <v>0.11475409836065564</v>
      </c>
      <c r="V94" s="23"/>
    </row>
    <row r="95" spans="1:22">
      <c r="A95" s="67" t="s">
        <v>8</v>
      </c>
      <c r="B95" s="23"/>
      <c r="C95" s="3"/>
      <c r="D95" s="3"/>
      <c r="E95" s="3"/>
      <c r="F95" s="3"/>
      <c r="G95" s="165"/>
      <c r="H95" s="69"/>
      <c r="I95" s="69"/>
      <c r="J95" s="69"/>
      <c r="K95" s="69"/>
      <c r="L95" s="23">
        <f t="shared" ref="L95" si="90">L93/G93-1</f>
        <v>-0.3660714285714286</v>
      </c>
      <c r="M95" s="69">
        <f>M93/H93-1</f>
        <v>-0.22499999999999998</v>
      </c>
      <c r="N95" s="69">
        <f t="shared" ref="N95" si="91">N93/I93-1</f>
        <v>-7.2463768115942018E-2</v>
      </c>
      <c r="O95" s="69">
        <f t="shared" ref="O95" si="92">O93/J93-1</f>
        <v>-0.20731707317073167</v>
      </c>
      <c r="P95" s="69">
        <f t="shared" ref="P95" si="93">P93/K93-1</f>
        <v>-5.6603773584905648E-2</v>
      </c>
      <c r="Q95" s="23">
        <f t="shared" ref="Q95" si="94">Q93/L93-1</f>
        <v>-0.15140845070422537</v>
      </c>
      <c r="R95" s="69">
        <f>R93/M93-1</f>
        <v>4.8387096774193505E-2</v>
      </c>
      <c r="S95" s="69">
        <f t="shared" ref="S95:T95" si="95">S93/N93-1</f>
        <v>-6.25E-2</v>
      </c>
      <c r="T95" s="69">
        <f t="shared" si="95"/>
        <v>-6.1538461538461542E-2</v>
      </c>
      <c r="U95" s="69">
        <f t="shared" ref="U95" si="96">U93/P93-1</f>
        <v>0.3600000000000001</v>
      </c>
      <c r="V95" s="23">
        <f t="shared" ref="V95" si="97">V93/Q93-1</f>
        <v>5.3941908713692976E-2</v>
      </c>
    </row>
    <row r="96" spans="1:22" ht="3" customHeight="1">
      <c r="A96" s="42"/>
      <c r="B96" s="42"/>
      <c r="C96" s="42"/>
      <c r="D96" s="42"/>
      <c r="E96" s="42"/>
      <c r="F96" s="42"/>
      <c r="G96" s="42"/>
      <c r="H96" s="42"/>
      <c r="I96" s="42"/>
      <c r="J96" s="42"/>
      <c r="K96" s="42"/>
      <c r="L96" s="42"/>
      <c r="M96" s="42"/>
      <c r="N96" s="42"/>
      <c r="O96" s="42"/>
      <c r="P96" s="42"/>
      <c r="Q96" s="42"/>
      <c r="R96" s="42"/>
      <c r="S96" s="42"/>
      <c r="T96" s="42"/>
      <c r="U96" s="42"/>
      <c r="V96" s="42"/>
    </row>
  </sheetData>
  <pageMargins left="0.39370078740157483" right="0.39370078740157483" top="0.39370078740157483" bottom="0.19685039370078741" header="0.31496062992125984" footer="0.31496062992125984"/>
  <pageSetup paperSize="9" scale="70" orientation="landscape" r:id="rId1"/>
  <headerFooter>
    <oddHeader>&amp;CBezeq- the Israel Telcommunication Corp. Ltd.</oddHeader>
    <oddFooter>&amp;R&amp;P of &amp;N
yes financial metrics</oddFooter>
  </headerFooter>
  <rowBreaks count="1" manualBreakCount="1">
    <brk id="59"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69"/>
  <sheetViews>
    <sheetView showGridLines="0" zoomScaleNormal="100" workbookViewId="0">
      <pane xSplit="1" ySplit="7" topLeftCell="B59" activePane="bottomRight" state="frozen"/>
      <selection activeCell="M18" sqref="M18"/>
      <selection pane="topRight" activeCell="M18" sqref="M18"/>
      <selection pane="bottomLeft" activeCell="M18" sqref="M18"/>
      <selection pane="bottomRight" activeCell="P62" sqref="P62"/>
    </sheetView>
  </sheetViews>
  <sheetFormatPr defaultRowHeight="12.75"/>
  <cols>
    <col min="1" max="1" width="50.7109375" bestFit="1" customWidth="1"/>
    <col min="3" max="6" width="9.140625" hidden="1" customWidth="1"/>
  </cols>
  <sheetData>
    <row r="1" spans="1:17">
      <c r="A1" s="29"/>
      <c r="B1" s="3"/>
      <c r="C1" s="3"/>
      <c r="D1" s="3"/>
      <c r="E1" s="3"/>
      <c r="F1" s="3"/>
      <c r="G1" s="3"/>
      <c r="H1" s="3"/>
      <c r="I1" s="3"/>
      <c r="J1" s="3"/>
      <c r="K1" s="3"/>
      <c r="L1" s="3"/>
      <c r="M1" s="3"/>
    </row>
    <row r="2" spans="1:17">
      <c r="A2" s="29"/>
      <c r="B2" s="3"/>
      <c r="C2" s="3"/>
      <c r="D2" s="3"/>
      <c r="E2" s="3"/>
      <c r="F2" s="3"/>
      <c r="G2" s="3"/>
      <c r="H2" s="3"/>
      <c r="I2" s="3"/>
      <c r="J2" s="3"/>
      <c r="K2" s="3"/>
      <c r="L2" s="3"/>
      <c r="M2" s="3"/>
    </row>
    <row r="3" spans="1:17">
      <c r="A3" s="30"/>
      <c r="B3" s="45" t="s">
        <v>5</v>
      </c>
      <c r="C3" s="45" t="s">
        <v>74</v>
      </c>
      <c r="D3" s="45" t="s">
        <v>0</v>
      </c>
      <c r="E3" s="45" t="s">
        <v>1</v>
      </c>
      <c r="F3" s="45" t="s">
        <v>2</v>
      </c>
      <c r="G3" s="45" t="s">
        <v>5</v>
      </c>
      <c r="H3" s="45" t="s">
        <v>74</v>
      </c>
      <c r="I3" s="45" t="s">
        <v>0</v>
      </c>
      <c r="J3" s="45" t="s">
        <v>1</v>
      </c>
      <c r="K3" s="45" t="s">
        <v>2</v>
      </c>
      <c r="L3" s="45" t="s">
        <v>5</v>
      </c>
      <c r="M3" s="45" t="s">
        <v>74</v>
      </c>
      <c r="N3" s="45" t="s">
        <v>0</v>
      </c>
      <c r="O3" s="45" t="s">
        <v>1</v>
      </c>
      <c r="P3" s="45" t="s">
        <v>2</v>
      </c>
      <c r="Q3" s="45" t="s">
        <v>5</v>
      </c>
    </row>
    <row r="4" spans="1:17">
      <c r="A4" s="267" t="s">
        <v>311</v>
      </c>
      <c r="B4" s="45">
        <v>2017</v>
      </c>
      <c r="C4" s="45">
        <v>2018</v>
      </c>
      <c r="D4" s="45">
        <v>2018</v>
      </c>
      <c r="E4" s="45">
        <v>2018</v>
      </c>
      <c r="F4" s="45">
        <v>2018</v>
      </c>
      <c r="G4" s="45">
        <v>2018</v>
      </c>
      <c r="H4" s="45">
        <v>2019</v>
      </c>
      <c r="I4" s="45">
        <v>2019</v>
      </c>
      <c r="J4" s="45">
        <v>2019</v>
      </c>
      <c r="K4" s="45">
        <v>2019</v>
      </c>
      <c r="L4" s="45">
        <v>2019</v>
      </c>
      <c r="M4" s="45">
        <v>2020</v>
      </c>
      <c r="N4" s="45">
        <v>2020</v>
      </c>
      <c r="O4" s="45">
        <v>2020</v>
      </c>
      <c r="P4" s="45">
        <v>2020</v>
      </c>
      <c r="Q4" s="45">
        <v>2020</v>
      </c>
    </row>
    <row r="5" spans="1:17" ht="3.75" customHeight="1">
      <c r="A5" s="42"/>
      <c r="B5" s="43"/>
      <c r="C5" s="43"/>
      <c r="D5" s="43"/>
      <c r="E5" s="43"/>
      <c r="F5" s="43"/>
      <c r="G5" s="43"/>
      <c r="H5" s="43"/>
      <c r="I5" s="43"/>
      <c r="J5" s="43"/>
      <c r="K5" s="43"/>
      <c r="L5" s="43"/>
      <c r="M5" s="43"/>
      <c r="N5" s="43"/>
      <c r="O5" s="43"/>
      <c r="P5" s="43"/>
      <c r="Q5" s="43"/>
    </row>
    <row r="6" spans="1:17" ht="20.25">
      <c r="A6" s="33" t="s">
        <v>365</v>
      </c>
      <c r="B6" s="27"/>
      <c r="C6" s="27"/>
      <c r="D6" s="27"/>
      <c r="E6" s="27"/>
      <c r="F6" s="27"/>
      <c r="G6" s="27"/>
      <c r="H6" s="27"/>
      <c r="I6" s="27"/>
      <c r="J6" s="27"/>
      <c r="K6" s="27"/>
      <c r="L6" s="27"/>
      <c r="M6" s="27"/>
      <c r="N6" s="27"/>
      <c r="O6" s="27"/>
      <c r="P6" s="27"/>
      <c r="Q6" s="27"/>
    </row>
    <row r="7" spans="1:17">
      <c r="A7" s="21"/>
      <c r="B7" s="21"/>
      <c r="C7" s="20"/>
      <c r="D7" s="20"/>
      <c r="E7" s="20"/>
      <c r="F7" s="20"/>
      <c r="G7" s="21"/>
      <c r="H7" s="20"/>
      <c r="I7" s="20"/>
      <c r="J7" s="20"/>
      <c r="K7" s="20"/>
      <c r="L7" s="21"/>
      <c r="M7" s="20"/>
      <c r="N7" s="20"/>
      <c r="O7" s="20"/>
      <c r="P7" s="20"/>
      <c r="Q7" s="21"/>
    </row>
    <row r="8" spans="1:17">
      <c r="A8" s="38" t="s">
        <v>59</v>
      </c>
      <c r="B8" s="39"/>
      <c r="C8" s="40"/>
      <c r="D8" s="40"/>
      <c r="E8" s="40"/>
      <c r="F8" s="40"/>
      <c r="G8" s="39"/>
      <c r="H8" s="40"/>
      <c r="I8" s="40"/>
      <c r="J8" s="40"/>
      <c r="K8" s="40"/>
      <c r="L8" s="39"/>
      <c r="M8" s="40"/>
      <c r="N8" s="40"/>
      <c r="O8" s="40"/>
      <c r="P8" s="40"/>
      <c r="Q8" s="39"/>
    </row>
    <row r="9" spans="1:17">
      <c r="A9" s="65" t="s">
        <v>16</v>
      </c>
      <c r="B9" s="35">
        <f>yes!G63+'B. Intl'!F8+Pelephone!G8</f>
        <v>5733</v>
      </c>
      <c r="C9" s="66">
        <f>yes!H63+'B. Intl'!G8+Pelephone!H8</f>
        <v>1346</v>
      </c>
      <c r="D9" s="66">
        <f>yes!I63+'B. Intl'!H8+Pelephone!I8</f>
        <v>1313</v>
      </c>
      <c r="E9" s="66">
        <f>yes!J63+'B. Intl'!I8+Pelephone!J8</f>
        <v>1304</v>
      </c>
      <c r="F9" s="66">
        <f>G9-E9-D9-C9</f>
        <v>1344</v>
      </c>
      <c r="G9" s="35">
        <f>yes!L63+'B. Intl'!K8+Pelephone!L8</f>
        <v>5307</v>
      </c>
      <c r="H9" s="66">
        <f>yes!M63+'B. Intl'!L8+Pelephone!M8</f>
        <v>1262</v>
      </c>
      <c r="I9" s="66">
        <f>yes!N63+'B. Intl'!M8+Pelephone!N8</f>
        <v>1246</v>
      </c>
      <c r="J9" s="66">
        <f>yes!O63+'B. Intl'!N8+Pelephone!O8</f>
        <v>1275</v>
      </c>
      <c r="K9" s="66">
        <f>L9-J9-I9-H9</f>
        <v>1263</v>
      </c>
      <c r="L9" s="35">
        <f>yes!Q63+'B. Intl'!P8+Pelephone!Q8</f>
        <v>5046</v>
      </c>
      <c r="M9" s="66">
        <f>yes!R63+'B. Intl'!Q8+Pelephone!R8</f>
        <v>1228</v>
      </c>
      <c r="N9" s="66">
        <f>yes!S63+'B. Intl'!R8+Pelephone!S8</f>
        <v>1168</v>
      </c>
      <c r="O9" s="66">
        <f>yes!T63+'B. Intl'!S8+Pelephone!T8</f>
        <v>1173</v>
      </c>
      <c r="P9" s="66">
        <f>Q9-O9-N9-M9</f>
        <v>1175</v>
      </c>
      <c r="Q9" s="35">
        <f>yes!V63+'B. Intl'!U8+Pelephone!V8</f>
        <v>4744</v>
      </c>
    </row>
    <row r="10" spans="1:17">
      <c r="A10" s="67" t="s">
        <v>7</v>
      </c>
      <c r="B10" s="23"/>
      <c r="C10" s="68"/>
      <c r="D10" s="68">
        <f>D9/C9-1</f>
        <v>-2.4517087667161985E-2</v>
      </c>
      <c r="E10" s="68">
        <f>E9/D9-1</f>
        <v>-6.8545316070068862E-3</v>
      </c>
      <c r="F10" s="68">
        <f>F9/E9-1</f>
        <v>3.0674846625766916E-2</v>
      </c>
      <c r="G10" s="23"/>
      <c r="H10" s="68">
        <f>H9/F9-1</f>
        <v>-6.1011904761904767E-2</v>
      </c>
      <c r="I10" s="68">
        <f>I9/H9-1</f>
        <v>-1.2678288431061779E-2</v>
      </c>
      <c r="J10" s="68">
        <f>J9/I9-1</f>
        <v>2.327447833065821E-2</v>
      </c>
      <c r="K10" s="68">
        <f>K9/J9-1</f>
        <v>-9.4117647058823417E-3</v>
      </c>
      <c r="L10" s="23"/>
      <c r="M10" s="68">
        <f>M9/K9-1</f>
        <v>-2.7711797307996888E-2</v>
      </c>
      <c r="N10" s="68">
        <f>N9/M9-1</f>
        <v>-4.8859934853420217E-2</v>
      </c>
      <c r="O10" s="68">
        <f>O9/N9-1</f>
        <v>4.2808219178083196E-3</v>
      </c>
      <c r="P10" s="68">
        <f>P9/O9-1</f>
        <v>1.7050298380221207E-3</v>
      </c>
      <c r="Q10" s="23"/>
    </row>
    <row r="11" spans="1:17">
      <c r="A11" s="67" t="s">
        <v>8</v>
      </c>
      <c r="B11" s="23"/>
      <c r="C11" s="69"/>
      <c r="D11" s="69"/>
      <c r="E11" s="69"/>
      <c r="F11" s="69"/>
      <c r="G11" s="23">
        <f t="shared" ref="G11:O11" si="0">G9/B9-1</f>
        <v>-7.4306645735217169E-2</v>
      </c>
      <c r="H11" s="69">
        <f t="shared" si="0"/>
        <v>-6.2407132243684993E-2</v>
      </c>
      <c r="I11" s="69">
        <f t="shared" si="0"/>
        <v>-5.1028179741051005E-2</v>
      </c>
      <c r="J11" s="69">
        <f t="shared" si="0"/>
        <v>-2.223926380368102E-2</v>
      </c>
      <c r="K11" s="69">
        <f t="shared" si="0"/>
        <v>-6.0267857142857095E-2</v>
      </c>
      <c r="L11" s="23">
        <f t="shared" si="0"/>
        <v>-4.9180327868852514E-2</v>
      </c>
      <c r="M11" s="69">
        <f t="shared" si="0"/>
        <v>-2.6941362916006351E-2</v>
      </c>
      <c r="N11" s="69">
        <f t="shared" si="0"/>
        <v>-6.2600321027287298E-2</v>
      </c>
      <c r="O11" s="69">
        <f t="shared" si="0"/>
        <v>-7.999999999999996E-2</v>
      </c>
      <c r="P11" s="69">
        <f t="shared" ref="P11" si="1">P9/K9-1</f>
        <v>-6.9675376088677798E-2</v>
      </c>
      <c r="Q11" s="23">
        <f t="shared" ref="Q11" si="2">Q9/L9-1</f>
        <v>-5.9849385652001597E-2</v>
      </c>
    </row>
    <row r="12" spans="1:17">
      <c r="A12" s="65" t="s">
        <v>224</v>
      </c>
      <c r="B12" s="35">
        <f>yes!G66+'B. Intl'!F22+Pelephone!G23</f>
        <v>803</v>
      </c>
      <c r="C12" s="66">
        <f>yes!H66+'B. Intl'!G22+Pelephone!H23</f>
        <v>280</v>
      </c>
      <c r="D12" s="66">
        <f>yes!I66+'B. Intl'!H22+Pelephone!I23</f>
        <v>283</v>
      </c>
      <c r="E12" s="66">
        <f>yes!J66+'B. Intl'!I22+Pelephone!J23</f>
        <v>288</v>
      </c>
      <c r="F12" s="66">
        <f>G12-E12-D12-C12</f>
        <v>321</v>
      </c>
      <c r="G12" s="35">
        <f>yes!L66+'B. Intl'!K22+Pelephone!L23</f>
        <v>1172</v>
      </c>
      <c r="H12" s="66">
        <f>yes!M66+'B. Intl'!L22+Pelephone!M23</f>
        <v>281</v>
      </c>
      <c r="I12" s="66">
        <f>yes!N66+'B. Intl'!M22+Pelephone!N23</f>
        <v>283</v>
      </c>
      <c r="J12" s="66">
        <f>yes!O66+'B. Intl'!N22+Pelephone!O23</f>
        <v>297</v>
      </c>
      <c r="K12" s="66">
        <f>L12-J12-I12-H12</f>
        <v>296</v>
      </c>
      <c r="L12" s="35">
        <f>yes!Q66+'B. Intl'!P22+Pelephone!Q23</f>
        <v>1157</v>
      </c>
      <c r="M12" s="66">
        <f>yes!R66+'B. Intl'!Q22+Pelephone!R23</f>
        <v>269</v>
      </c>
      <c r="N12" s="66">
        <f>yes!S66+'B. Intl'!R22+Pelephone!S23</f>
        <v>267</v>
      </c>
      <c r="O12" s="66">
        <f>yes!T66+'B. Intl'!S22+Pelephone!T23</f>
        <v>265</v>
      </c>
      <c r="P12" s="66">
        <f>Q12-O12-N12-M12</f>
        <v>257</v>
      </c>
      <c r="Q12" s="35">
        <f>yes!V66+'B. Intl'!U22+Pelephone!V23</f>
        <v>1058</v>
      </c>
    </row>
    <row r="13" spans="1:17">
      <c r="A13" s="77" t="s">
        <v>7</v>
      </c>
      <c r="B13" s="23"/>
      <c r="C13" s="68"/>
      <c r="D13" s="68">
        <f>D12/C12-1</f>
        <v>1.0714285714285676E-2</v>
      </c>
      <c r="E13" s="68">
        <f>E12/D12-1</f>
        <v>1.7667844522968101E-2</v>
      </c>
      <c r="F13" s="68">
        <f>F12/E12-1</f>
        <v>0.11458333333333326</v>
      </c>
      <c r="G13" s="23"/>
      <c r="H13" s="68">
        <f>H12/F12-1</f>
        <v>-0.12461059190031154</v>
      </c>
      <c r="I13" s="68">
        <f>I12/H12-1</f>
        <v>7.1174377224199059E-3</v>
      </c>
      <c r="J13" s="68">
        <f>J12/I12-1</f>
        <v>4.9469964664310861E-2</v>
      </c>
      <c r="K13" s="68">
        <f>K12/J12-1</f>
        <v>-3.3670033670033517E-3</v>
      </c>
      <c r="L13" s="23"/>
      <c r="M13" s="68">
        <f>M12/K12-1</f>
        <v>-9.1216216216216228E-2</v>
      </c>
      <c r="N13" s="68">
        <f>N12/M12-1</f>
        <v>-7.4349442379182396E-3</v>
      </c>
      <c r="O13" s="68">
        <f>O12/N12-1</f>
        <v>-7.4906367041198685E-3</v>
      </c>
      <c r="P13" s="68">
        <f>P12/O12-1</f>
        <v>-3.0188679245283012E-2</v>
      </c>
      <c r="Q13" s="23"/>
    </row>
    <row r="14" spans="1:17">
      <c r="A14" s="77" t="s">
        <v>8</v>
      </c>
      <c r="B14" s="23"/>
      <c r="C14" s="69"/>
      <c r="D14" s="69"/>
      <c r="E14" s="69"/>
      <c r="F14" s="69"/>
      <c r="G14" s="23">
        <f t="shared" ref="G14:O14" si="3">G12/B12-1</f>
        <v>0.45952677459526781</v>
      </c>
      <c r="H14" s="69">
        <f t="shared" si="3"/>
        <v>3.5714285714285587E-3</v>
      </c>
      <c r="I14" s="69">
        <f t="shared" si="3"/>
        <v>0</v>
      </c>
      <c r="J14" s="69">
        <f t="shared" si="3"/>
        <v>3.125E-2</v>
      </c>
      <c r="K14" s="69">
        <f t="shared" si="3"/>
        <v>-7.7881619937694713E-2</v>
      </c>
      <c r="L14" s="23">
        <f t="shared" si="3"/>
        <v>-1.2798634812286713E-2</v>
      </c>
      <c r="M14" s="69">
        <f t="shared" si="3"/>
        <v>-4.2704626334519546E-2</v>
      </c>
      <c r="N14" s="69">
        <f t="shared" si="3"/>
        <v>-5.6537102473498191E-2</v>
      </c>
      <c r="O14" s="69">
        <f t="shared" si="3"/>
        <v>-0.1077441077441077</v>
      </c>
      <c r="P14" s="69">
        <f t="shared" ref="P14" si="4">P12/K12-1</f>
        <v>-0.1317567567567568</v>
      </c>
      <c r="Q14" s="23">
        <f t="shared" ref="Q14" si="5">Q12/L12-1</f>
        <v>-8.5566119273984498E-2</v>
      </c>
    </row>
    <row r="15" spans="1:17">
      <c r="A15" s="65" t="s">
        <v>75</v>
      </c>
      <c r="B15" s="35">
        <f>yes!G69+'B. Intl'!F25+Pelephone!G26</f>
        <v>957</v>
      </c>
      <c r="C15" s="66">
        <f>yes!H69+'B. Intl'!G25+Pelephone!H26</f>
        <v>242</v>
      </c>
      <c r="D15" s="66">
        <f>yes!I69+'B. Intl'!H25+Pelephone!I26</f>
        <v>230</v>
      </c>
      <c r="E15" s="66">
        <f>yes!J69+'B. Intl'!I25+Pelephone!J26</f>
        <v>221</v>
      </c>
      <c r="F15" s="66">
        <f>G15-E15-D15-C15</f>
        <v>219</v>
      </c>
      <c r="G15" s="35">
        <f>yes!L69+'B. Intl'!K25+Pelephone!L26</f>
        <v>912</v>
      </c>
      <c r="H15" s="66">
        <f>yes!M69+'B. Intl'!L25+Pelephone!M26</f>
        <v>217</v>
      </c>
      <c r="I15" s="66">
        <f>yes!N69+'B. Intl'!M25+Pelephone!N26</f>
        <v>213</v>
      </c>
      <c r="J15" s="66">
        <f>yes!O69+'B. Intl'!N25+Pelephone!O26</f>
        <v>203</v>
      </c>
      <c r="K15" s="66">
        <f>L15-J15-I15-H15</f>
        <v>210</v>
      </c>
      <c r="L15" s="35">
        <f>yes!Q69+'B. Intl'!P25+Pelephone!Q26</f>
        <v>843</v>
      </c>
      <c r="M15" s="66">
        <f>yes!R69+'B. Intl'!Q25+Pelephone!R26</f>
        <v>205</v>
      </c>
      <c r="N15" s="66">
        <f>yes!S69+'B. Intl'!R25+Pelephone!S26</f>
        <v>179</v>
      </c>
      <c r="O15" s="66">
        <f>yes!T69+'B. Intl'!S25+Pelephone!T26</f>
        <v>190</v>
      </c>
      <c r="P15" s="66">
        <f>Q15-O15-N15-M15</f>
        <v>193</v>
      </c>
      <c r="Q15" s="35">
        <f>yes!V69+'B. Intl'!U25+Pelephone!V26</f>
        <v>767</v>
      </c>
    </row>
    <row r="16" spans="1:17">
      <c r="A16" s="67" t="s">
        <v>7</v>
      </c>
      <c r="B16" s="23"/>
      <c r="C16" s="68"/>
      <c r="D16" s="68">
        <f>D15/C15-1</f>
        <v>-4.9586776859504078E-2</v>
      </c>
      <c r="E16" s="68">
        <f>E15/D15-1</f>
        <v>-3.9130434782608692E-2</v>
      </c>
      <c r="F16" s="68">
        <f>F15/E15-1</f>
        <v>-9.0497737556560764E-3</v>
      </c>
      <c r="G16" s="23"/>
      <c r="H16" s="68">
        <f>H15/F15-1</f>
        <v>-9.1324200913242004E-3</v>
      </c>
      <c r="I16" s="68">
        <f>I15/H15-1</f>
        <v>-1.8433179723502335E-2</v>
      </c>
      <c r="J16" s="68">
        <f>J15/I15-1</f>
        <v>-4.6948356807511749E-2</v>
      </c>
      <c r="K16" s="68">
        <f>K15/J15-1</f>
        <v>3.4482758620689724E-2</v>
      </c>
      <c r="L16" s="23"/>
      <c r="M16" s="68">
        <f>M15/K15-1</f>
        <v>-2.3809523809523836E-2</v>
      </c>
      <c r="N16" s="68">
        <f>N15/M15-1</f>
        <v>-0.12682926829268293</v>
      </c>
      <c r="O16" s="68">
        <f>O15/N15-1</f>
        <v>6.1452513966480549E-2</v>
      </c>
      <c r="P16" s="68">
        <f>P15/O15-1</f>
        <v>1.5789473684210575E-2</v>
      </c>
      <c r="Q16" s="23"/>
    </row>
    <row r="17" spans="1:17">
      <c r="A17" s="67" t="s">
        <v>8</v>
      </c>
      <c r="B17" s="23"/>
      <c r="C17" s="69"/>
      <c r="D17" s="69"/>
      <c r="E17" s="69"/>
      <c r="F17" s="69"/>
      <c r="G17" s="23">
        <f t="shared" ref="G17:O17" si="6">G15/B15-1</f>
        <v>-4.7021943573667735E-2</v>
      </c>
      <c r="H17" s="69">
        <f t="shared" si="6"/>
        <v>-0.10330578512396693</v>
      </c>
      <c r="I17" s="69">
        <f t="shared" si="6"/>
        <v>-7.3913043478260887E-2</v>
      </c>
      <c r="J17" s="69">
        <f t="shared" si="6"/>
        <v>-8.1447963800905021E-2</v>
      </c>
      <c r="K17" s="69">
        <f t="shared" si="6"/>
        <v>-4.1095890410958957E-2</v>
      </c>
      <c r="L17" s="23">
        <f t="shared" si="6"/>
        <v>-7.5657894736842146E-2</v>
      </c>
      <c r="M17" s="69">
        <f t="shared" si="6"/>
        <v>-5.5299539170506895E-2</v>
      </c>
      <c r="N17" s="69">
        <f t="shared" si="6"/>
        <v>-0.15962441314553988</v>
      </c>
      <c r="O17" s="69">
        <f t="shared" si="6"/>
        <v>-6.4039408866995107E-2</v>
      </c>
      <c r="P17" s="69">
        <f t="shared" ref="P17" si="7">P15/K15-1</f>
        <v>-8.0952380952380998E-2</v>
      </c>
      <c r="Q17" s="23">
        <f t="shared" ref="Q17" si="8">Q15/L15-1</f>
        <v>-9.0154211150652475E-2</v>
      </c>
    </row>
    <row r="18" spans="1:17">
      <c r="A18" s="65" t="s">
        <v>66</v>
      </c>
      <c r="B18" s="35">
        <f>yes!G72+'B. Intl'!F28+Pelephone!G29</f>
        <v>3570</v>
      </c>
      <c r="C18" s="66">
        <f>yes!H72+'B. Intl'!G28+Pelephone!H29</f>
        <v>793</v>
      </c>
      <c r="D18" s="66">
        <f>yes!I72+'B. Intl'!H28+Pelephone!I29</f>
        <v>786</v>
      </c>
      <c r="E18" s="66">
        <f>yes!J72+'B. Intl'!I28+Pelephone!J29</f>
        <v>764</v>
      </c>
      <c r="F18" s="66">
        <f>G18-E18-D18-C18</f>
        <v>827</v>
      </c>
      <c r="G18" s="35">
        <f>yes!L72+'B. Intl'!K28+Pelephone!L29</f>
        <v>3170</v>
      </c>
      <c r="H18" s="66">
        <f>yes!M72+'B. Intl'!L28+Pelephone!M29</f>
        <v>764</v>
      </c>
      <c r="I18" s="66">
        <f>yes!N72+'B. Intl'!M28+Pelephone!N29</f>
        <v>749</v>
      </c>
      <c r="J18" s="66">
        <f>yes!O72+'B. Intl'!N28+Pelephone!O29</f>
        <v>780</v>
      </c>
      <c r="K18" s="66">
        <f>L18-J18-I18-H18</f>
        <v>802</v>
      </c>
      <c r="L18" s="35">
        <f>yes!Q72+'B. Intl'!P28+Pelephone!Q29</f>
        <v>3095</v>
      </c>
      <c r="M18" s="66">
        <f>yes!R72+'B. Intl'!Q28+Pelephone!R29</f>
        <v>748</v>
      </c>
      <c r="N18" s="66">
        <f>yes!S72+'B. Intl'!R28+Pelephone!S29</f>
        <v>725</v>
      </c>
      <c r="O18" s="66">
        <f>yes!T72+'B. Intl'!S28+Pelephone!T29</f>
        <v>753</v>
      </c>
      <c r="P18" s="66">
        <f>Q18-O18-N18-M18</f>
        <v>743</v>
      </c>
      <c r="Q18" s="35">
        <f>yes!V72+'B. Intl'!U28+Pelephone!V29</f>
        <v>2969</v>
      </c>
    </row>
    <row r="19" spans="1:17">
      <c r="A19" s="67" t="s">
        <v>7</v>
      </c>
      <c r="B19" s="23"/>
      <c r="C19" s="68"/>
      <c r="D19" s="68">
        <f>D18/C18-1</f>
        <v>-8.8272383354350836E-3</v>
      </c>
      <c r="E19" s="68">
        <f>E18/D18-1</f>
        <v>-2.7989821882951627E-2</v>
      </c>
      <c r="F19" s="68">
        <f>F18/E18-1</f>
        <v>8.2460732984293239E-2</v>
      </c>
      <c r="G19" s="23"/>
      <c r="H19" s="68">
        <f>H18/F18-1</f>
        <v>-7.6178960096735193E-2</v>
      </c>
      <c r="I19" s="68">
        <f>I18/H18-1</f>
        <v>-1.963350785340312E-2</v>
      </c>
      <c r="J19" s="68">
        <f>J18/I18-1</f>
        <v>4.1388518024032095E-2</v>
      </c>
      <c r="K19" s="68">
        <f>K18/J18-1</f>
        <v>2.8205128205128105E-2</v>
      </c>
      <c r="L19" s="23"/>
      <c r="M19" s="68">
        <f>M18/K18-1</f>
        <v>-6.7331670822942669E-2</v>
      </c>
      <c r="N19" s="68">
        <f>N18/M18-1</f>
        <v>-3.074866310160429E-2</v>
      </c>
      <c r="O19" s="68">
        <f>O18/N18-1</f>
        <v>3.8620689655172402E-2</v>
      </c>
      <c r="P19" s="68">
        <f>P18/O18-1</f>
        <v>-1.3280212483399723E-2</v>
      </c>
      <c r="Q19" s="23"/>
    </row>
    <row r="20" spans="1:17">
      <c r="A20" s="67" t="s">
        <v>8</v>
      </c>
      <c r="B20" s="23"/>
      <c r="C20" s="69"/>
      <c r="D20" s="69"/>
      <c r="E20" s="69"/>
      <c r="F20" s="69"/>
      <c r="G20" s="23">
        <f t="shared" ref="G20:O20" si="9">G18/B18-1</f>
        <v>-0.11204481792717091</v>
      </c>
      <c r="H20" s="69">
        <f t="shared" si="9"/>
        <v>-3.6569987389659553E-2</v>
      </c>
      <c r="I20" s="69">
        <f t="shared" si="9"/>
        <v>-4.7073791348600458E-2</v>
      </c>
      <c r="J20" s="69">
        <f t="shared" si="9"/>
        <v>2.0942408376963373E-2</v>
      </c>
      <c r="K20" s="69">
        <f t="shared" si="9"/>
        <v>-3.0229746070132957E-2</v>
      </c>
      <c r="L20" s="23">
        <f t="shared" si="9"/>
        <v>-2.3659305993690816E-2</v>
      </c>
      <c r="M20" s="69">
        <f t="shared" si="9"/>
        <v>-2.0942408376963373E-2</v>
      </c>
      <c r="N20" s="69">
        <f t="shared" si="9"/>
        <v>-3.2042723631508729E-2</v>
      </c>
      <c r="O20" s="69">
        <f t="shared" si="9"/>
        <v>-3.4615384615384603E-2</v>
      </c>
      <c r="P20" s="69">
        <f t="shared" ref="P20" si="10">P18/K18-1</f>
        <v>-7.3566084788029951E-2</v>
      </c>
      <c r="Q20" s="23">
        <f t="shared" ref="Q20" si="11">Q18/L18-1</f>
        <v>-4.0710823909531513E-2</v>
      </c>
    </row>
    <row r="21" spans="1:17">
      <c r="A21" s="65" t="s">
        <v>220</v>
      </c>
      <c r="B21" s="35">
        <f>yes!G75+'B. Intl'!F31+Pelephone!G32</f>
        <v>12</v>
      </c>
      <c r="C21" s="71">
        <f>yes!H75+'B. Intl'!G31+Pelephone!H32</f>
        <v>4</v>
      </c>
      <c r="D21" s="71">
        <f>yes!I75+'B. Intl'!H31+Pelephone!I32</f>
        <v>7</v>
      </c>
      <c r="E21" s="71">
        <f>yes!J75+'B. Intl'!I31+Pelephone!J32</f>
        <v>9</v>
      </c>
      <c r="F21" s="66">
        <f>G21-E21-D21-C21</f>
        <v>14</v>
      </c>
      <c r="G21" s="35">
        <f>yes!L75+'B. Intl'!K31+Pelephone!L32</f>
        <v>34</v>
      </c>
      <c r="H21" s="71">
        <f>yes!M75+'B. Intl'!L31+Pelephone!M32</f>
        <v>43</v>
      </c>
      <c r="I21" s="71">
        <f>yes!N75+'B. Intl'!M31+Pelephone!N32</f>
        <v>10</v>
      </c>
      <c r="J21" s="71">
        <f>yes!O75+'B. Intl'!N31+Pelephone!O32</f>
        <v>48</v>
      </c>
      <c r="K21" s="66">
        <f>L21-J21-I21-H21</f>
        <v>280</v>
      </c>
      <c r="L21" s="35">
        <f>yes!Q75+'B. Intl'!P31+Pelephone!Q32</f>
        <v>381</v>
      </c>
      <c r="M21" s="71">
        <f>yes!R75+'B. Intl'!Q31+Pelephone!R32</f>
        <v>1</v>
      </c>
      <c r="N21" s="171">
        <f>yes!S75+'B. Intl'!R31+Pelephone!S32</f>
        <v>-16</v>
      </c>
      <c r="O21" s="171">
        <f>yes!T75+'B. Intl'!S31+Pelephone!T32</f>
        <v>283</v>
      </c>
      <c r="P21" s="66">
        <f>Q21-O21-N21-M21</f>
        <v>49</v>
      </c>
      <c r="Q21" s="35">
        <f>yes!V75+'B. Intl'!U31+Pelephone!V32</f>
        <v>317</v>
      </c>
    </row>
    <row r="22" spans="1:17">
      <c r="A22" s="65"/>
      <c r="B22" s="35"/>
      <c r="C22" s="71"/>
      <c r="D22" s="71"/>
      <c r="E22" s="71"/>
      <c r="F22" s="141"/>
      <c r="G22" s="35"/>
      <c r="H22" s="71"/>
      <c r="I22" s="71"/>
      <c r="J22" s="71"/>
      <c r="K22" s="141"/>
      <c r="L22" s="35"/>
      <c r="M22" s="71"/>
      <c r="N22" s="71"/>
      <c r="O22" s="71"/>
      <c r="P22" s="141"/>
      <c r="Q22" s="35"/>
    </row>
    <row r="23" spans="1:17">
      <c r="A23" s="65" t="s">
        <v>218</v>
      </c>
      <c r="B23" s="165">
        <f>yes!G78+'B. Intl'!F33+Pelephone!G34</f>
        <v>391</v>
      </c>
      <c r="C23" s="171">
        <f>yes!H78+'B. Intl'!G33+Pelephone!H34</f>
        <v>27</v>
      </c>
      <c r="D23" s="171">
        <f>yes!I78+'B. Intl'!H33+Pelephone!I34</f>
        <v>7</v>
      </c>
      <c r="E23" s="171">
        <f>yes!J78+'B. Intl'!I33+Pelephone!J34</f>
        <v>22</v>
      </c>
      <c r="F23" s="171">
        <f>G23-E23-D23-C23</f>
        <v>-37</v>
      </c>
      <c r="G23" s="165">
        <f>yes!L78+'B. Intl'!K33+Pelephone!L34</f>
        <v>19</v>
      </c>
      <c r="H23" s="171">
        <f>yes!M78+'B. Intl'!L33+Pelephone!M34</f>
        <v>-43</v>
      </c>
      <c r="I23" s="171">
        <f>yes!N78+'B. Intl'!M33+Pelephone!N34</f>
        <v>-9</v>
      </c>
      <c r="J23" s="171">
        <f>yes!O78+'B. Intl'!N33+Pelephone!O34</f>
        <v>-53</v>
      </c>
      <c r="K23" s="171">
        <f>L23-J23-I23-H23</f>
        <v>-325</v>
      </c>
      <c r="L23" s="165">
        <f>yes!Q78+'B. Intl'!P33+Pelephone!Q34</f>
        <v>-430</v>
      </c>
      <c r="M23" s="171">
        <f>yes!R78+'B. Intl'!Q33+Pelephone!R34</f>
        <v>5</v>
      </c>
      <c r="N23" s="171">
        <f>yes!S78+'B. Intl'!R33+Pelephone!S34</f>
        <v>13</v>
      </c>
      <c r="O23" s="171">
        <f>yes!T78+'B. Intl'!S33+Pelephone!T34</f>
        <v>-318</v>
      </c>
      <c r="P23" s="171">
        <f>Q23-O23-N23-M23</f>
        <v>-67</v>
      </c>
      <c r="Q23" s="165">
        <f>yes!V78+'B. Intl'!U33+Pelephone!V34</f>
        <v>-367</v>
      </c>
    </row>
    <row r="24" spans="1:17">
      <c r="A24" s="67" t="s">
        <v>7</v>
      </c>
      <c r="B24" s="23"/>
      <c r="C24" s="68"/>
      <c r="D24" s="68">
        <f>D23/C23-1</f>
        <v>-0.7407407407407407</v>
      </c>
      <c r="E24" s="68">
        <f>E23/D23-1</f>
        <v>2.1428571428571428</v>
      </c>
      <c r="F24" s="80" t="s">
        <v>34</v>
      </c>
      <c r="G24" s="23"/>
      <c r="H24" s="68">
        <f>H23/F23-1</f>
        <v>0.16216216216216206</v>
      </c>
      <c r="I24" s="80" t="s">
        <v>34</v>
      </c>
      <c r="J24" s="80" t="s">
        <v>34</v>
      </c>
      <c r="K24" s="68">
        <f>K23/J23-1</f>
        <v>5.132075471698113</v>
      </c>
      <c r="L24" s="23"/>
      <c r="M24" s="68">
        <f>M23/K23-1</f>
        <v>-1.0153846153846153</v>
      </c>
      <c r="N24" s="68">
        <f>N23/M23-1</f>
        <v>1.6</v>
      </c>
      <c r="O24" s="80" t="s">
        <v>34</v>
      </c>
      <c r="P24" s="68">
        <f>P23/O23-1</f>
        <v>-0.78930817610062887</v>
      </c>
      <c r="Q24" s="23"/>
    </row>
    <row r="25" spans="1:17">
      <c r="A25" s="67" t="s">
        <v>8</v>
      </c>
      <c r="B25" s="23"/>
      <c r="C25" s="69"/>
      <c r="D25" s="69"/>
      <c r="E25" s="69"/>
      <c r="F25" s="69"/>
      <c r="G25" s="23">
        <f>G23/B23-1</f>
        <v>-0.95140664961636834</v>
      </c>
      <c r="H25" s="80" t="s">
        <v>34</v>
      </c>
      <c r="I25" s="69">
        <f>I23/D23-1</f>
        <v>-2.2857142857142856</v>
      </c>
      <c r="J25" s="80" t="s">
        <v>34</v>
      </c>
      <c r="K25" s="69">
        <f>K23/F23-1</f>
        <v>7.7837837837837842</v>
      </c>
      <c r="L25" s="87" t="s">
        <v>34</v>
      </c>
      <c r="M25" s="69">
        <f>M23/H23-1</f>
        <v>-1.1162790697674418</v>
      </c>
      <c r="N25" s="69">
        <f>N23/I23-1</f>
        <v>-2.4444444444444446</v>
      </c>
      <c r="O25" s="69">
        <f>O23/J23-1</f>
        <v>5</v>
      </c>
      <c r="P25" s="69">
        <f>P23/K23-1</f>
        <v>-0.79384615384615387</v>
      </c>
      <c r="Q25" s="87" t="s">
        <v>34</v>
      </c>
    </row>
    <row r="26" spans="1:17">
      <c r="A26" s="65" t="s">
        <v>315</v>
      </c>
      <c r="B26" s="165">
        <f>'B. Intl'!F36+Pelephone!G37+yes!G84</f>
        <v>-34</v>
      </c>
      <c r="C26" s="171">
        <f>yes!H84+'B. Intl'!G36+Pelephone!H37</f>
        <v>28</v>
      </c>
      <c r="D26" s="171">
        <f>yes!I84+'B. Intl'!H36+Pelephone!I37</f>
        <v>11</v>
      </c>
      <c r="E26" s="171">
        <f>yes!J84+'B. Intl'!I36+Pelephone!J37</f>
        <v>18</v>
      </c>
      <c r="F26" s="171">
        <f>G26-E26-D26-C26</f>
        <v>-30</v>
      </c>
      <c r="G26" s="165">
        <f>'B. Intl'!K36+Pelephone!L37+yes!L84</f>
        <v>27</v>
      </c>
      <c r="H26" s="171">
        <f>yes!M84+'B. Intl'!L36+Pelephone!M37</f>
        <v>-42</v>
      </c>
      <c r="I26" s="171">
        <f>yes!N84+'B. Intl'!M36+Pelephone!N37</f>
        <v>-5</v>
      </c>
      <c r="J26" s="171">
        <f>yes!O84+'B. Intl'!N36+Pelephone!O37</f>
        <v>-48</v>
      </c>
      <c r="K26" s="171">
        <f>L26-J26-I26-H26</f>
        <v>-258</v>
      </c>
      <c r="L26" s="165">
        <f>'B. Intl'!P36+Pelephone!Q37+yes!Q84</f>
        <v>-353</v>
      </c>
      <c r="M26" s="171">
        <f>yes!R84+'B. Intl'!Q36+Pelephone!R37</f>
        <v>14</v>
      </c>
      <c r="N26" s="171">
        <f>yes!S84+'B. Intl'!R36+Pelephone!S37</f>
        <v>11</v>
      </c>
      <c r="O26" s="171">
        <f>yes!T84+'B. Intl'!S36+Pelephone!T37</f>
        <v>-335</v>
      </c>
      <c r="P26" s="171">
        <f>Q26-O26-N26-M26</f>
        <v>-47</v>
      </c>
      <c r="Q26" s="165">
        <f>'B. Intl'!U36+Pelephone!V37+yes!V84</f>
        <v>-357</v>
      </c>
    </row>
    <row r="27" spans="1:17">
      <c r="A27" s="67" t="s">
        <v>7</v>
      </c>
      <c r="B27" s="23"/>
      <c r="C27" s="68"/>
      <c r="D27" s="68">
        <f>D26/C26-1</f>
        <v>-0.60714285714285721</v>
      </c>
      <c r="E27" s="68">
        <f>E26/D26-1</f>
        <v>0.63636363636363646</v>
      </c>
      <c r="F27" s="80" t="s">
        <v>34</v>
      </c>
      <c r="G27" s="23"/>
      <c r="H27" s="68">
        <f>H26/F26-1</f>
        <v>0.39999999999999991</v>
      </c>
      <c r="I27" s="80" t="s">
        <v>34</v>
      </c>
      <c r="J27" s="80" t="s">
        <v>34</v>
      </c>
      <c r="K27" s="68">
        <f>K26/J26-1</f>
        <v>4.375</v>
      </c>
      <c r="L27" s="23"/>
      <c r="M27" s="68">
        <f>M26/K26-1</f>
        <v>-1.054263565891473</v>
      </c>
      <c r="N27" s="68">
        <f>N26/M26-1</f>
        <v>-0.2142857142857143</v>
      </c>
      <c r="O27" s="80" t="s">
        <v>34</v>
      </c>
      <c r="P27" s="68">
        <f>P26/O26-1</f>
        <v>-0.85970149253731343</v>
      </c>
      <c r="Q27" s="23"/>
    </row>
    <row r="28" spans="1:17">
      <c r="A28" s="67" t="s">
        <v>8</v>
      </c>
      <c r="B28" s="23"/>
      <c r="C28" s="69"/>
      <c r="D28" s="69"/>
      <c r="E28" s="69"/>
      <c r="F28" s="69"/>
      <c r="G28" s="87" t="s">
        <v>34</v>
      </c>
      <c r="H28" s="80" t="s">
        <v>34</v>
      </c>
      <c r="I28" s="69">
        <f>I26/D26-1</f>
        <v>-1.4545454545454546</v>
      </c>
      <c r="J28" s="80" t="s">
        <v>34</v>
      </c>
      <c r="K28" s="69">
        <f>K26/F26-1</f>
        <v>7.6</v>
      </c>
      <c r="L28" s="87" t="s">
        <v>34</v>
      </c>
      <c r="M28" s="69">
        <f>M26/H26-1</f>
        <v>-1.3333333333333333</v>
      </c>
      <c r="N28" s="69">
        <f>N26/I26-1</f>
        <v>-3.2</v>
      </c>
      <c r="O28" s="69">
        <f>O26/J26-1</f>
        <v>5.979166666666667</v>
      </c>
      <c r="P28" s="69">
        <f>P26/K26-1</f>
        <v>-0.81782945736434109</v>
      </c>
      <c r="Q28" s="87" t="s">
        <v>34</v>
      </c>
    </row>
    <row r="29" spans="1:17">
      <c r="A29" s="65" t="s">
        <v>211</v>
      </c>
      <c r="B29" s="165">
        <f>B12+B23</f>
        <v>1194</v>
      </c>
      <c r="C29" s="72">
        <f>C23+C12</f>
        <v>307</v>
      </c>
      <c r="D29" s="72">
        <f>D23+D12</f>
        <v>290</v>
      </c>
      <c r="E29" s="72">
        <f>E23+E12</f>
        <v>310</v>
      </c>
      <c r="F29" s="66">
        <f>G29-E29-D29-C29</f>
        <v>284</v>
      </c>
      <c r="G29" s="165">
        <f>G12+G23</f>
        <v>1191</v>
      </c>
      <c r="H29" s="72">
        <f>H23+H12</f>
        <v>238</v>
      </c>
      <c r="I29" s="72">
        <f>I23+I12</f>
        <v>274</v>
      </c>
      <c r="J29" s="72">
        <f>J23+J12</f>
        <v>244</v>
      </c>
      <c r="K29" s="66">
        <f>L29-J29-I29-H29</f>
        <v>-29</v>
      </c>
      <c r="L29" s="165">
        <f>L12+L23</f>
        <v>727</v>
      </c>
      <c r="M29" s="72">
        <f>M23+M12</f>
        <v>274</v>
      </c>
      <c r="N29" s="72">
        <f>N23+N12</f>
        <v>280</v>
      </c>
      <c r="O29" s="171">
        <f>O23+O12</f>
        <v>-53</v>
      </c>
      <c r="P29" s="66">
        <f>Q29-O29-N29-M29</f>
        <v>190</v>
      </c>
      <c r="Q29" s="165">
        <f>Q12+Q23</f>
        <v>691</v>
      </c>
    </row>
    <row r="30" spans="1:17">
      <c r="A30" s="67" t="s">
        <v>7</v>
      </c>
      <c r="B30" s="23"/>
      <c r="C30" s="68"/>
      <c r="D30" s="68">
        <f>D29/C29-1</f>
        <v>-5.5374592833876246E-2</v>
      </c>
      <c r="E30" s="68">
        <f>E29/D29-1</f>
        <v>6.8965517241379226E-2</v>
      </c>
      <c r="F30" s="68">
        <f>F29/E29-1</f>
        <v>-8.3870967741935476E-2</v>
      </c>
      <c r="G30" s="23"/>
      <c r="H30" s="68">
        <f>H29/F29-1</f>
        <v>-0.1619718309859155</v>
      </c>
      <c r="I30" s="68">
        <f>I29/H29-1</f>
        <v>0.15126050420168058</v>
      </c>
      <c r="J30" s="68">
        <f>J29/I29-1</f>
        <v>-0.10948905109489049</v>
      </c>
      <c r="K30" s="68">
        <f>K29/J29-1</f>
        <v>-1.1188524590163935</v>
      </c>
      <c r="L30" s="23"/>
      <c r="M30" s="68">
        <f>M29/K29-1</f>
        <v>-10.448275862068966</v>
      </c>
      <c r="N30" s="68">
        <f>N29/M29-1</f>
        <v>2.1897810218978186E-2</v>
      </c>
      <c r="O30" s="68">
        <f>O29/N29-1</f>
        <v>-1.1892857142857143</v>
      </c>
      <c r="P30" s="68">
        <f>P29/O29-1</f>
        <v>-4.584905660377359</v>
      </c>
      <c r="Q30" s="23"/>
    </row>
    <row r="31" spans="1:17">
      <c r="A31" s="67" t="s">
        <v>8</v>
      </c>
      <c r="B31" s="23"/>
      <c r="C31" s="69"/>
      <c r="D31" s="69"/>
      <c r="E31" s="69"/>
      <c r="F31" s="69"/>
      <c r="G31" s="23">
        <f t="shared" ref="G31:O31" si="12">G29/B29-1</f>
        <v>-2.5125628140703071E-3</v>
      </c>
      <c r="H31" s="69">
        <f t="shared" si="12"/>
        <v>-0.22475570032573289</v>
      </c>
      <c r="I31" s="69">
        <f t="shared" si="12"/>
        <v>-5.5172413793103448E-2</v>
      </c>
      <c r="J31" s="69">
        <f t="shared" si="12"/>
        <v>-0.2129032258064516</v>
      </c>
      <c r="K31" s="69">
        <f t="shared" si="12"/>
        <v>-1.102112676056338</v>
      </c>
      <c r="L31" s="23">
        <f t="shared" si="12"/>
        <v>-0.38958858102434923</v>
      </c>
      <c r="M31" s="69">
        <f t="shared" si="12"/>
        <v>0.15126050420168058</v>
      </c>
      <c r="N31" s="69">
        <f t="shared" si="12"/>
        <v>2.1897810218978186E-2</v>
      </c>
      <c r="O31" s="69">
        <f t="shared" si="12"/>
        <v>-1.2172131147540983</v>
      </c>
      <c r="P31" s="69">
        <f t="shared" ref="P31" si="13">P29/K29-1</f>
        <v>-7.5517241379310347</v>
      </c>
      <c r="Q31" s="23">
        <f t="shared" ref="Q31" si="14">Q29/L29-1</f>
        <v>-4.9518569463548823E-2</v>
      </c>
    </row>
    <row r="32" spans="1:17">
      <c r="A32" s="38" t="s">
        <v>24</v>
      </c>
      <c r="B32" s="39"/>
      <c r="C32" s="51"/>
      <c r="D32" s="51"/>
      <c r="E32" s="51"/>
      <c r="F32" s="51"/>
      <c r="G32" s="39"/>
      <c r="H32" s="51"/>
      <c r="I32" s="51"/>
      <c r="J32" s="51"/>
      <c r="K32" s="51"/>
      <c r="L32" s="39"/>
      <c r="M32" s="51"/>
      <c r="N32" s="51"/>
      <c r="O32" s="51"/>
      <c r="P32" s="51"/>
      <c r="Q32" s="39"/>
    </row>
    <row r="33" spans="1:17">
      <c r="A33" s="65" t="s">
        <v>12</v>
      </c>
      <c r="B33" s="35">
        <f>yes!G40+'B. Intl'!F49+Pelephone!G48</f>
        <v>1312</v>
      </c>
      <c r="C33" s="66">
        <f>yes!H40+'B. Intl'!G49+Pelephone!H48</f>
        <v>392</v>
      </c>
      <c r="D33" s="66">
        <f>yes!I40+'B. Intl'!H49+Pelephone!I48</f>
        <v>295</v>
      </c>
      <c r="E33" s="66">
        <f>yes!J40+'B. Intl'!I49+Pelephone!J48</f>
        <v>301</v>
      </c>
      <c r="F33" s="66">
        <f>G33-E33-D33-C33</f>
        <v>308</v>
      </c>
      <c r="G33" s="35">
        <f>yes!L40+'B. Intl'!K49+Pelephone!L48</f>
        <v>1296</v>
      </c>
      <c r="H33" s="66">
        <f>yes!M40+'B. Intl'!L49+Pelephone!M48</f>
        <v>304</v>
      </c>
      <c r="I33" s="66">
        <f>yes!N40+'B. Intl'!M49+Pelephone!N48</f>
        <v>206</v>
      </c>
      <c r="J33" s="66">
        <f>yes!O40+'B. Intl'!N49+Pelephone!O48</f>
        <v>301</v>
      </c>
      <c r="K33" s="66">
        <f>L33-J33-I33-H33</f>
        <v>264</v>
      </c>
      <c r="L33" s="35">
        <f>yes!Q40+'B. Intl'!P49+Pelephone!Q48</f>
        <v>1075</v>
      </c>
      <c r="M33" s="66">
        <f>yes!R40+'B. Intl'!Q49+Pelephone!R48</f>
        <v>265</v>
      </c>
      <c r="N33" s="66">
        <f>yes!S40+'B. Intl'!R49+Pelephone!S48</f>
        <v>236</v>
      </c>
      <c r="O33" s="66">
        <f>yes!T40+'B. Intl'!S49+Pelephone!T48</f>
        <v>259</v>
      </c>
      <c r="P33" s="66">
        <f>Q33-O33-N33-M33</f>
        <v>330</v>
      </c>
      <c r="Q33" s="35">
        <f>yes!V40+'B. Intl'!U49+Pelephone!V48</f>
        <v>1090</v>
      </c>
    </row>
    <row r="34" spans="1:17">
      <c r="A34" s="77" t="s">
        <v>7</v>
      </c>
      <c r="B34" s="23"/>
      <c r="C34" s="68"/>
      <c r="D34" s="68">
        <f>D33/C33-1</f>
        <v>-0.24744897959183676</v>
      </c>
      <c r="E34" s="68">
        <f>E33/D33-1</f>
        <v>2.0338983050847359E-2</v>
      </c>
      <c r="F34" s="68">
        <f>F33/E33-1</f>
        <v>2.3255813953488413E-2</v>
      </c>
      <c r="G34" s="23"/>
      <c r="H34" s="68">
        <f>H33/F33-1</f>
        <v>-1.2987012987012991E-2</v>
      </c>
      <c r="I34" s="68">
        <f>I33/H33-1</f>
        <v>-0.32236842105263153</v>
      </c>
      <c r="J34" s="68">
        <f>J33/I33-1</f>
        <v>0.46116504854368934</v>
      </c>
      <c r="K34" s="68">
        <f>K33/J33-1</f>
        <v>-0.12292358803986714</v>
      </c>
      <c r="L34" s="23"/>
      <c r="M34" s="68">
        <f>M33/K33-1</f>
        <v>3.7878787878788955E-3</v>
      </c>
      <c r="N34" s="68">
        <f>N33/M33-1</f>
        <v>-0.10943396226415092</v>
      </c>
      <c r="O34" s="68">
        <f>O33/N33-1</f>
        <v>9.745762711864403E-2</v>
      </c>
      <c r="P34" s="68">
        <f>P33/O33-1</f>
        <v>0.27413127413127403</v>
      </c>
      <c r="Q34" s="23"/>
    </row>
    <row r="35" spans="1:17">
      <c r="A35" s="77" t="s">
        <v>8</v>
      </c>
      <c r="B35" s="23"/>
      <c r="C35" s="69"/>
      <c r="D35" s="69"/>
      <c r="E35" s="69"/>
      <c r="F35" s="69"/>
      <c r="G35" s="23">
        <f t="shared" ref="G35:O35" si="15">G33/B33-1</f>
        <v>-1.2195121951219523E-2</v>
      </c>
      <c r="H35" s="69">
        <f t="shared" si="15"/>
        <v>-0.22448979591836737</v>
      </c>
      <c r="I35" s="69">
        <f t="shared" si="15"/>
        <v>-0.30169491525423731</v>
      </c>
      <c r="J35" s="69">
        <f t="shared" si="15"/>
        <v>0</v>
      </c>
      <c r="K35" s="69">
        <f t="shared" si="15"/>
        <v>-0.1428571428571429</v>
      </c>
      <c r="L35" s="23">
        <f t="shared" si="15"/>
        <v>-0.17052469135802473</v>
      </c>
      <c r="M35" s="69">
        <f t="shared" si="15"/>
        <v>-0.12828947368421051</v>
      </c>
      <c r="N35" s="69">
        <f t="shared" si="15"/>
        <v>0.14563106796116498</v>
      </c>
      <c r="O35" s="69">
        <f t="shared" si="15"/>
        <v>-0.13953488372093026</v>
      </c>
      <c r="P35" s="69">
        <f t="shared" ref="P35" si="16">P33/K33-1</f>
        <v>0.25</v>
      </c>
      <c r="Q35" s="23">
        <f t="shared" ref="Q35" si="17">Q33/L33-1</f>
        <v>1.3953488372093092E-2</v>
      </c>
    </row>
    <row r="36" spans="1:17">
      <c r="A36" s="65" t="s">
        <v>38</v>
      </c>
      <c r="B36" s="35">
        <f>yes!G43+'B. Intl'!F52+Pelephone!G51</f>
        <v>687</v>
      </c>
      <c r="C36" s="66">
        <f>yes!H43+'B. Intl'!G52+Pelephone!H51</f>
        <v>162</v>
      </c>
      <c r="D36" s="66">
        <f>yes!I43+'B. Intl'!H52+Pelephone!I51</f>
        <v>209</v>
      </c>
      <c r="E36" s="66">
        <f>yes!J43+'B. Intl'!I52+Pelephone!J51</f>
        <v>178</v>
      </c>
      <c r="F36" s="66">
        <f>G36-E36-D36-C36</f>
        <v>186</v>
      </c>
      <c r="G36" s="35">
        <f>yes!L43+'B. Intl'!K52+Pelephone!L51</f>
        <v>735</v>
      </c>
      <c r="H36" s="66">
        <f>yes!M43+'B. Intl'!L52+Pelephone!M51</f>
        <v>160</v>
      </c>
      <c r="I36" s="66">
        <f>yes!N43+'B. Intl'!M52+Pelephone!N51</f>
        <v>191</v>
      </c>
      <c r="J36" s="66">
        <f>yes!O43+'B. Intl'!N52+Pelephone!O51</f>
        <v>181</v>
      </c>
      <c r="K36" s="66">
        <f>L36-J36-I36-H36</f>
        <v>128</v>
      </c>
      <c r="L36" s="35">
        <f>yes!Q43+'B. Intl'!P52+Pelephone!Q51</f>
        <v>660</v>
      </c>
      <c r="M36" s="66">
        <f>yes!R43+'B. Intl'!Q52+Pelephone!R51</f>
        <v>136</v>
      </c>
      <c r="N36" s="66">
        <f>yes!S43+'B. Intl'!R52+Pelephone!S51</f>
        <v>147</v>
      </c>
      <c r="O36" s="66">
        <f>yes!T43+'B. Intl'!S52+Pelephone!T51</f>
        <v>166</v>
      </c>
      <c r="P36" s="66">
        <f>Q36-O36-N36-M36</f>
        <v>128</v>
      </c>
      <c r="Q36" s="35">
        <f>yes!V43+'B. Intl'!U52+Pelephone!V51</f>
        <v>577</v>
      </c>
    </row>
    <row r="37" spans="1:17">
      <c r="A37" s="67" t="s">
        <v>7</v>
      </c>
      <c r="B37" s="23"/>
      <c r="C37" s="68"/>
      <c r="D37" s="68">
        <f>D36/C36-1</f>
        <v>0.29012345679012341</v>
      </c>
      <c r="E37" s="68">
        <f>E36/D36-1</f>
        <v>-0.14832535885167464</v>
      </c>
      <c r="F37" s="68">
        <f>F36/E36-1</f>
        <v>4.4943820224719211E-2</v>
      </c>
      <c r="G37" s="23"/>
      <c r="H37" s="68">
        <f>H36/F36-1</f>
        <v>-0.13978494623655913</v>
      </c>
      <c r="I37" s="68">
        <f>I36/H36-1</f>
        <v>0.19375000000000009</v>
      </c>
      <c r="J37" s="68">
        <f>J36/I36-1</f>
        <v>-5.2356020942408432E-2</v>
      </c>
      <c r="K37" s="68">
        <f>K36/J36-1</f>
        <v>-0.29281767955801108</v>
      </c>
      <c r="L37" s="23"/>
      <c r="M37" s="68">
        <f>M36/K36-1</f>
        <v>6.25E-2</v>
      </c>
      <c r="N37" s="68">
        <f>N36/M36-1</f>
        <v>8.0882352941176405E-2</v>
      </c>
      <c r="O37" s="68">
        <f>O36/N36-1</f>
        <v>0.12925170068027203</v>
      </c>
      <c r="P37" s="68">
        <f>P36/O36-1</f>
        <v>-0.22891566265060237</v>
      </c>
      <c r="Q37" s="23"/>
    </row>
    <row r="38" spans="1:17">
      <c r="A38" s="67" t="s">
        <v>8</v>
      </c>
      <c r="B38" s="23"/>
      <c r="C38" s="69"/>
      <c r="D38" s="69"/>
      <c r="E38" s="69"/>
      <c r="F38" s="69"/>
      <c r="G38" s="23">
        <f t="shared" ref="G38:O38" si="18">G36/B36-1</f>
        <v>6.9868995633187714E-2</v>
      </c>
      <c r="H38" s="69">
        <f t="shared" si="18"/>
        <v>-1.2345679012345734E-2</v>
      </c>
      <c r="I38" s="69">
        <f t="shared" si="18"/>
        <v>-8.6124401913875603E-2</v>
      </c>
      <c r="J38" s="69">
        <f t="shared" si="18"/>
        <v>1.6853932584269593E-2</v>
      </c>
      <c r="K38" s="69">
        <f t="shared" si="18"/>
        <v>-0.31182795698924726</v>
      </c>
      <c r="L38" s="23">
        <f t="shared" si="18"/>
        <v>-0.10204081632653061</v>
      </c>
      <c r="M38" s="69">
        <f t="shared" si="18"/>
        <v>-0.15000000000000002</v>
      </c>
      <c r="N38" s="69">
        <f t="shared" si="18"/>
        <v>-0.23036649214659688</v>
      </c>
      <c r="O38" s="69">
        <f t="shared" si="18"/>
        <v>-8.2872928176795591E-2</v>
      </c>
      <c r="P38" s="69">
        <f t="shared" ref="P38" si="19">P36/K36-1</f>
        <v>0</v>
      </c>
      <c r="Q38" s="23">
        <f t="shared" ref="Q38" si="20">Q36/L36-1</f>
        <v>-0.12575757575757573</v>
      </c>
    </row>
    <row r="39" spans="1:17">
      <c r="A39" s="65" t="s">
        <v>39</v>
      </c>
      <c r="B39" s="35">
        <f>yes!G46+'B. Intl'!F55+Pelephone!G54</f>
        <v>682</v>
      </c>
      <c r="C39" s="66">
        <f>yes!H46+'B. Intl'!G55+Pelephone!H54</f>
        <v>162</v>
      </c>
      <c r="D39" s="66">
        <f>yes!I46+'B. Intl'!H55+Pelephone!I54</f>
        <v>209</v>
      </c>
      <c r="E39" s="66">
        <f>yes!J46+'B. Intl'!I55+Pelephone!J54</f>
        <v>173</v>
      </c>
      <c r="F39" s="66">
        <f>G39-E39-D39-C39</f>
        <v>185</v>
      </c>
      <c r="G39" s="35">
        <f>yes!L46+'B. Intl'!K55+Pelephone!L54</f>
        <v>729</v>
      </c>
      <c r="H39" s="66">
        <f>yes!M46+'B. Intl'!L55+Pelephone!M54</f>
        <v>160</v>
      </c>
      <c r="I39" s="66">
        <f>yes!N46+'B. Intl'!M55+Pelephone!N54</f>
        <v>189</v>
      </c>
      <c r="J39" s="66">
        <f>yes!O46+'B. Intl'!N55+Pelephone!O54</f>
        <v>181</v>
      </c>
      <c r="K39" s="66">
        <f>L39-J39-I39-H39</f>
        <v>128</v>
      </c>
      <c r="L39" s="35">
        <f>yes!Q46+'B. Intl'!P55+Pelephone!Q54</f>
        <v>658</v>
      </c>
      <c r="M39" s="66">
        <f>yes!R46+'B. Intl'!Q55+Pelephone!R54</f>
        <v>136</v>
      </c>
      <c r="N39" s="66">
        <f>yes!S46+'B. Intl'!R55+Pelephone!S54</f>
        <v>146</v>
      </c>
      <c r="O39" s="66">
        <f>yes!T46+'B. Intl'!S55+Pelephone!T54</f>
        <v>166</v>
      </c>
      <c r="P39" s="66">
        <f>Q39-O39-N39-M39</f>
        <v>127</v>
      </c>
      <c r="Q39" s="35">
        <f>yes!V46+'B. Intl'!U55+Pelephone!V54</f>
        <v>575</v>
      </c>
    </row>
    <row r="40" spans="1:17">
      <c r="A40" s="67" t="s">
        <v>7</v>
      </c>
      <c r="B40" s="23"/>
      <c r="C40" s="68"/>
      <c r="D40" s="68">
        <f>D39/C39-1</f>
        <v>0.29012345679012341</v>
      </c>
      <c r="E40" s="68">
        <f>E39/D39-1</f>
        <v>-0.17224880382775121</v>
      </c>
      <c r="F40" s="68">
        <f>F39/E39-1</f>
        <v>6.9364161849710948E-2</v>
      </c>
      <c r="G40" s="23"/>
      <c r="H40" s="68">
        <f>H39/F39-1</f>
        <v>-0.13513513513513509</v>
      </c>
      <c r="I40" s="68">
        <f>I39/H39-1</f>
        <v>0.18124999999999991</v>
      </c>
      <c r="J40" s="68">
        <f>J39/I39-1</f>
        <v>-4.2328042328042326E-2</v>
      </c>
      <c r="K40" s="68">
        <f>K39/J39-1</f>
        <v>-0.29281767955801108</v>
      </c>
      <c r="L40" s="23"/>
      <c r="M40" s="68">
        <f>M39/K39-1</f>
        <v>6.25E-2</v>
      </c>
      <c r="N40" s="68">
        <f>N39/M39-1</f>
        <v>7.3529411764705843E-2</v>
      </c>
      <c r="O40" s="68">
        <f>O39/N39-1</f>
        <v>0.13698630136986312</v>
      </c>
      <c r="P40" s="68">
        <f>P39/O39-1</f>
        <v>-0.23493975903614461</v>
      </c>
      <c r="Q40" s="23"/>
    </row>
    <row r="41" spans="1:17">
      <c r="A41" s="67" t="s">
        <v>8</v>
      </c>
      <c r="B41" s="23"/>
      <c r="C41" s="69"/>
      <c r="D41" s="69"/>
      <c r="E41" s="69"/>
      <c r="F41" s="69"/>
      <c r="G41" s="23">
        <f t="shared" ref="G41:O41" si="21">G39/B39-1</f>
        <v>6.8914956011730144E-2</v>
      </c>
      <c r="H41" s="69">
        <f t="shared" si="21"/>
        <v>-1.2345679012345734E-2</v>
      </c>
      <c r="I41" s="69">
        <f t="shared" si="21"/>
        <v>-9.5693779904306275E-2</v>
      </c>
      <c r="J41" s="69">
        <f t="shared" si="21"/>
        <v>4.6242774566473965E-2</v>
      </c>
      <c r="K41" s="69">
        <f t="shared" si="21"/>
        <v>-0.30810810810810807</v>
      </c>
      <c r="L41" s="23">
        <f t="shared" si="21"/>
        <v>-9.7393689986282617E-2</v>
      </c>
      <c r="M41" s="69">
        <f t="shared" si="21"/>
        <v>-0.15000000000000002</v>
      </c>
      <c r="N41" s="69">
        <f t="shared" si="21"/>
        <v>-0.22751322751322756</v>
      </c>
      <c r="O41" s="69">
        <f t="shared" si="21"/>
        <v>-8.2872928176795591E-2</v>
      </c>
      <c r="P41" s="69">
        <f t="shared" ref="P41" si="22">P39/K39-1</f>
        <v>-7.8125E-3</v>
      </c>
      <c r="Q41" s="23">
        <f t="shared" ref="Q41" si="23">Q39/L39-1</f>
        <v>-0.12613981762917936</v>
      </c>
    </row>
    <row r="42" spans="1:17">
      <c r="A42" s="65" t="s">
        <v>212</v>
      </c>
      <c r="B42" s="268">
        <v>0</v>
      </c>
      <c r="C42" s="66">
        <f>yes!H49+'B. Intl'!G58+Pelephone!H57</f>
        <v>92</v>
      </c>
      <c r="D42" s="66">
        <f>yes!I49+'B. Intl'!H58+Pelephone!I57</f>
        <v>67</v>
      </c>
      <c r="E42" s="66">
        <f>yes!J49+'B. Intl'!I58+Pelephone!J57</f>
        <v>82</v>
      </c>
      <c r="F42" s="66">
        <f>G42-E42-D42-C42</f>
        <v>85</v>
      </c>
      <c r="G42" s="35">
        <f>yes!L49+'B. Intl'!K58+Pelephone!L57</f>
        <v>326</v>
      </c>
      <c r="H42" s="66">
        <f>yes!M49+'B. Intl'!L58+Pelephone!M57</f>
        <v>85</v>
      </c>
      <c r="I42" s="66">
        <f>yes!N49+'B. Intl'!M58+Pelephone!N57</f>
        <v>61</v>
      </c>
      <c r="J42" s="66">
        <f>yes!O49+'B. Intl'!N58+Pelephone!O57</f>
        <v>92</v>
      </c>
      <c r="K42" s="66">
        <f>L42-J42-I42-H42</f>
        <v>66</v>
      </c>
      <c r="L42" s="35">
        <f>yes!Q49+'B. Intl'!P58+Pelephone!Q57</f>
        <v>304</v>
      </c>
      <c r="M42" s="66">
        <f>yes!R49+'B. Intl'!Q58+Pelephone!R57</f>
        <v>82</v>
      </c>
      <c r="N42" s="66">
        <f>yes!S49+'B. Intl'!R58+Pelephone!S57</f>
        <v>63</v>
      </c>
      <c r="O42" s="66">
        <f>yes!T49+'B. Intl'!S58+Pelephone!T57</f>
        <v>80</v>
      </c>
      <c r="P42" s="66">
        <f>Q42-O42-N42-M42</f>
        <v>61</v>
      </c>
      <c r="Q42" s="35">
        <f>yes!V49+'B. Intl'!U58+Pelephone!V57</f>
        <v>286</v>
      </c>
    </row>
    <row r="43" spans="1:17">
      <c r="A43" s="65"/>
      <c r="B43" s="35"/>
      <c r="C43" s="66"/>
      <c r="D43" s="66"/>
      <c r="E43" s="66"/>
      <c r="F43" s="66"/>
      <c r="G43" s="35"/>
      <c r="H43" s="66"/>
      <c r="I43" s="66"/>
      <c r="J43" s="66"/>
      <c r="K43" s="66"/>
      <c r="L43" s="35"/>
      <c r="M43" s="66"/>
      <c r="N43" s="66"/>
      <c r="O43" s="66"/>
      <c r="P43" s="66"/>
      <c r="Q43" s="35"/>
    </row>
    <row r="44" spans="1:17">
      <c r="A44" s="65" t="s">
        <v>13</v>
      </c>
      <c r="B44" s="165">
        <f>B33-B39-B42</f>
        <v>630</v>
      </c>
      <c r="C44" s="171">
        <f>C33-C39-C42</f>
        <v>138</v>
      </c>
      <c r="D44" s="171">
        <f>D33-D39-D42</f>
        <v>19</v>
      </c>
      <c r="E44" s="171">
        <f>E33-E39-E42</f>
        <v>46</v>
      </c>
      <c r="F44" s="66">
        <f>G44-E44-D44-C44</f>
        <v>38</v>
      </c>
      <c r="G44" s="165">
        <f>G33-G39-G42</f>
        <v>241</v>
      </c>
      <c r="H44" s="171">
        <f>H33-H39-H42</f>
        <v>59</v>
      </c>
      <c r="I44" s="171">
        <f>I33-I39-I42</f>
        <v>-44</v>
      </c>
      <c r="J44" s="171">
        <f>J33-J39-J42</f>
        <v>28</v>
      </c>
      <c r="K44" s="66">
        <f>L44-J44-I44-H44</f>
        <v>70</v>
      </c>
      <c r="L44" s="165">
        <f>L33-L39-L42</f>
        <v>113</v>
      </c>
      <c r="M44" s="171">
        <f>M33-M39-M42</f>
        <v>47</v>
      </c>
      <c r="N44" s="171">
        <f>N33-N39-N42</f>
        <v>27</v>
      </c>
      <c r="O44" s="171">
        <f>O33-O39-O42</f>
        <v>13</v>
      </c>
      <c r="P44" s="66">
        <f>Q44-O44-N44-M44</f>
        <v>142</v>
      </c>
      <c r="Q44" s="165">
        <f>Q33-Q39-Q42</f>
        <v>229</v>
      </c>
    </row>
    <row r="45" spans="1:17">
      <c r="A45" s="67" t="s">
        <v>7</v>
      </c>
      <c r="B45" s="23"/>
      <c r="C45" s="68"/>
      <c r="D45" s="68">
        <f>D44/C44-1</f>
        <v>-0.8623188405797102</v>
      </c>
      <c r="E45" s="68">
        <f>E44/D44-1</f>
        <v>1.4210526315789473</v>
      </c>
      <c r="F45" s="68">
        <f>F44/E44-1</f>
        <v>-0.17391304347826086</v>
      </c>
      <c r="G45" s="23"/>
      <c r="H45" s="68">
        <f>H44/F44-1</f>
        <v>0.55263157894736836</v>
      </c>
      <c r="I45" s="80" t="s">
        <v>34</v>
      </c>
      <c r="J45" s="68">
        <f>J44/I44-1</f>
        <v>-1.6363636363636362</v>
      </c>
      <c r="K45" s="68">
        <f>K44/J44-1</f>
        <v>1.5</v>
      </c>
      <c r="L45" s="23"/>
      <c r="M45" s="68">
        <f>M44/K44-1</f>
        <v>-0.32857142857142863</v>
      </c>
      <c r="N45" s="68">
        <f>N44/M44-1</f>
        <v>-0.42553191489361697</v>
      </c>
      <c r="O45" s="68">
        <f>O44/N44-1</f>
        <v>-0.5185185185185186</v>
      </c>
      <c r="P45" s="68">
        <f>P44/O44-1</f>
        <v>9.9230769230769234</v>
      </c>
      <c r="Q45" s="23"/>
    </row>
    <row r="46" spans="1:17">
      <c r="A46" s="67" t="s">
        <v>8</v>
      </c>
      <c r="B46" s="23"/>
      <c r="C46" s="69"/>
      <c r="D46" s="69"/>
      <c r="E46" s="69"/>
      <c r="F46" s="69"/>
      <c r="G46" s="23">
        <f>G44/B44-1</f>
        <v>-0.61746031746031749</v>
      </c>
      <c r="H46" s="69">
        <f>H44/C44-1</f>
        <v>-0.57246376811594202</v>
      </c>
      <c r="I46" s="80" t="s">
        <v>34</v>
      </c>
      <c r="J46" s="69">
        <f t="shared" ref="J46:O46" si="24">J44/E44-1</f>
        <v>-0.39130434782608692</v>
      </c>
      <c r="K46" s="69">
        <f t="shared" si="24"/>
        <v>0.84210526315789469</v>
      </c>
      <c r="L46" s="23">
        <f t="shared" si="24"/>
        <v>-0.53112033195020747</v>
      </c>
      <c r="M46" s="69">
        <f t="shared" si="24"/>
        <v>-0.20338983050847459</v>
      </c>
      <c r="N46" s="69">
        <f t="shared" si="24"/>
        <v>-1.6136363636363638</v>
      </c>
      <c r="O46" s="69">
        <f t="shared" si="24"/>
        <v>-0.5357142857142857</v>
      </c>
      <c r="P46" s="69">
        <f t="shared" ref="P46" si="25">P44/K44-1</f>
        <v>1.0285714285714285</v>
      </c>
      <c r="Q46" s="23">
        <f t="shared" ref="Q46" si="26">Q44/L44-1</f>
        <v>1.0265486725663715</v>
      </c>
    </row>
    <row r="47" spans="1:17" ht="3" customHeight="1">
      <c r="A47" s="42"/>
      <c r="B47" s="43"/>
      <c r="C47" s="43"/>
      <c r="D47" s="43"/>
      <c r="E47" s="43"/>
      <c r="F47" s="43"/>
      <c r="G47" s="43"/>
      <c r="H47" s="43"/>
      <c r="I47" s="43"/>
      <c r="J47" s="43"/>
      <c r="K47" s="43"/>
      <c r="L47" s="43"/>
      <c r="M47" s="43"/>
      <c r="N47" s="43"/>
      <c r="O47" s="43"/>
      <c r="P47" s="43"/>
      <c r="Q47" s="43"/>
    </row>
    <row r="48" spans="1:17" ht="4.5" customHeight="1">
      <c r="A48" s="42"/>
      <c r="B48" s="42"/>
      <c r="C48" s="42"/>
      <c r="D48" s="42"/>
      <c r="E48" s="42"/>
      <c r="F48" s="42"/>
      <c r="G48" s="42"/>
      <c r="H48" s="42"/>
      <c r="I48" s="42"/>
      <c r="J48" s="42"/>
      <c r="K48" s="42"/>
      <c r="L48" s="42"/>
      <c r="M48" s="42"/>
      <c r="N48" s="42"/>
      <c r="O48" s="42"/>
      <c r="P48" s="42"/>
      <c r="Q48" s="42"/>
    </row>
    <row r="51" spans="1:17">
      <c r="A51" s="38" t="s">
        <v>372</v>
      </c>
      <c r="B51" s="39"/>
      <c r="C51" s="51"/>
      <c r="D51" s="51"/>
      <c r="E51" s="51"/>
      <c r="F51" s="51"/>
      <c r="G51" s="39"/>
      <c r="H51" s="51"/>
      <c r="I51" s="51"/>
      <c r="J51" s="51"/>
      <c r="K51" s="51"/>
      <c r="L51" s="39"/>
      <c r="M51" s="51"/>
      <c r="N51" s="51"/>
      <c r="O51" s="51"/>
      <c r="P51" s="51"/>
      <c r="Q51" s="51"/>
    </row>
    <row r="52" spans="1:17">
      <c r="A52" s="215" t="s">
        <v>347</v>
      </c>
      <c r="B52" s="165">
        <f>Pelephone!G46</f>
        <v>464</v>
      </c>
      <c r="C52" s="171">
        <f>Pelephone!H46</f>
        <v>160</v>
      </c>
      <c r="D52" s="171">
        <f>Pelephone!I46</f>
        <v>162</v>
      </c>
      <c r="E52" s="171">
        <f>Pelephone!J46</f>
        <v>166</v>
      </c>
      <c r="F52" s="171">
        <f>Pelephone!K46</f>
        <v>174</v>
      </c>
      <c r="G52" s="165">
        <f>Pelephone!L46</f>
        <v>662</v>
      </c>
      <c r="H52" s="171">
        <f>Pelephone!M46</f>
        <v>147</v>
      </c>
      <c r="I52" s="171">
        <f>Pelephone!N46</f>
        <v>151</v>
      </c>
      <c r="J52" s="171">
        <f>Pelephone!O46</f>
        <v>175</v>
      </c>
      <c r="K52" s="171">
        <f>Pelephone!P46</f>
        <v>143</v>
      </c>
      <c r="L52" s="165">
        <f>Pelephone!Q46</f>
        <v>616</v>
      </c>
      <c r="M52" s="171">
        <f>Pelephone!R46</f>
        <v>138</v>
      </c>
      <c r="N52" s="171">
        <f>Pelephone!S46</f>
        <v>139</v>
      </c>
      <c r="O52" s="171">
        <f>Pelephone!T46</f>
        <v>120</v>
      </c>
      <c r="P52" s="171">
        <f>Pelephone!U46</f>
        <v>136</v>
      </c>
      <c r="Q52" s="165">
        <f>Pelephone!V46</f>
        <v>533</v>
      </c>
    </row>
    <row r="53" spans="1:17">
      <c r="A53" s="215" t="s">
        <v>348</v>
      </c>
      <c r="B53" s="165">
        <f>'B. Intl'!F45</f>
        <v>294</v>
      </c>
      <c r="C53" s="171">
        <f>'B. Intl'!G45</f>
        <v>71</v>
      </c>
      <c r="D53" s="171">
        <f>'B. Intl'!H45</f>
        <v>66</v>
      </c>
      <c r="E53" s="171">
        <f>'B. Intl'!I45</f>
        <v>71</v>
      </c>
      <c r="F53" s="171">
        <f>'B. Intl'!J45</f>
        <v>71</v>
      </c>
      <c r="G53" s="165">
        <f>'B. Intl'!K45</f>
        <v>279</v>
      </c>
      <c r="H53" s="171">
        <f>'B. Intl'!L45</f>
        <v>72</v>
      </c>
      <c r="I53" s="171">
        <f>'B. Intl'!M45</f>
        <v>69</v>
      </c>
      <c r="J53" s="171">
        <f>'B. Intl'!N45</f>
        <v>52</v>
      </c>
      <c r="K53" s="171">
        <f>'B. Intl'!O45</f>
        <v>58</v>
      </c>
      <c r="L53" s="165">
        <f>'B. Intl'!P45</f>
        <v>251</v>
      </c>
      <c r="M53" s="171">
        <f>'B. Intl'!Q45</f>
        <v>72</v>
      </c>
      <c r="N53" s="171">
        <f>'B. Intl'!R45</f>
        <v>65</v>
      </c>
      <c r="O53" s="171">
        <f>'B. Intl'!S45</f>
        <v>49</v>
      </c>
      <c r="P53" s="171">
        <f>'B. Intl'!T45</f>
        <v>35</v>
      </c>
      <c r="Q53" s="165">
        <f>'B. Intl'!U45</f>
        <v>221</v>
      </c>
    </row>
    <row r="54" spans="1:17">
      <c r="A54" s="215" t="s">
        <v>349</v>
      </c>
      <c r="B54" s="301">
        <f>yes!G93</f>
        <v>448</v>
      </c>
      <c r="C54" s="303">
        <f>yes!H93</f>
        <v>80</v>
      </c>
      <c r="D54" s="303">
        <f>yes!I93</f>
        <v>69</v>
      </c>
      <c r="E54" s="303">
        <f>yes!J93</f>
        <v>82</v>
      </c>
      <c r="F54" s="303">
        <f>yes!K93</f>
        <v>53</v>
      </c>
      <c r="G54" s="301">
        <f>yes!L93</f>
        <v>284</v>
      </c>
      <c r="H54" s="303">
        <f>yes!M93</f>
        <v>62</v>
      </c>
      <c r="I54" s="303">
        <f>yes!N93</f>
        <v>64</v>
      </c>
      <c r="J54" s="303">
        <f>yes!O93</f>
        <v>65</v>
      </c>
      <c r="K54" s="303">
        <f>yes!P93</f>
        <v>50</v>
      </c>
      <c r="L54" s="301">
        <f>yes!Q93</f>
        <v>241</v>
      </c>
      <c r="M54" s="303">
        <f>yes!R93</f>
        <v>65</v>
      </c>
      <c r="N54" s="303">
        <f>yes!S93</f>
        <v>60</v>
      </c>
      <c r="O54" s="303">
        <f>yes!T93</f>
        <v>61</v>
      </c>
      <c r="P54" s="303">
        <f>yes!U93</f>
        <v>68</v>
      </c>
      <c r="Q54" s="301">
        <f>yes!V93</f>
        <v>254</v>
      </c>
    </row>
    <row r="55" spans="1:17">
      <c r="A55" s="215"/>
      <c r="B55" s="165"/>
      <c r="C55" s="300"/>
      <c r="D55" s="300"/>
      <c r="E55" s="300"/>
      <c r="F55" s="300"/>
      <c r="G55" s="165"/>
      <c r="H55" s="300"/>
      <c r="I55" s="300"/>
      <c r="J55" s="300"/>
      <c r="K55" s="300"/>
      <c r="L55" s="165"/>
      <c r="M55" s="300"/>
      <c r="N55" s="300"/>
      <c r="O55" s="300"/>
      <c r="P55" s="300"/>
      <c r="Q55" s="165"/>
    </row>
    <row r="56" spans="1:17" ht="18" customHeight="1">
      <c r="A56" s="302" t="s">
        <v>378</v>
      </c>
      <c r="B56" s="301">
        <f t="shared" ref="B56:J56" si="27">SUM(B52:B54)</f>
        <v>1206</v>
      </c>
      <c r="C56" s="303">
        <f t="shared" si="27"/>
        <v>311</v>
      </c>
      <c r="D56" s="303">
        <f t="shared" si="27"/>
        <v>297</v>
      </c>
      <c r="E56" s="303">
        <f t="shared" si="27"/>
        <v>319</v>
      </c>
      <c r="F56" s="303">
        <f t="shared" si="27"/>
        <v>298</v>
      </c>
      <c r="G56" s="301">
        <f t="shared" si="27"/>
        <v>1225</v>
      </c>
      <c r="H56" s="303">
        <f t="shared" si="27"/>
        <v>281</v>
      </c>
      <c r="I56" s="303">
        <f t="shared" si="27"/>
        <v>284</v>
      </c>
      <c r="J56" s="303">
        <f t="shared" si="27"/>
        <v>292</v>
      </c>
      <c r="K56" s="303">
        <f t="shared" ref="K56:L56" si="28">SUM(K52:K54)</f>
        <v>251</v>
      </c>
      <c r="L56" s="301">
        <f t="shared" si="28"/>
        <v>1108</v>
      </c>
      <c r="M56" s="303">
        <f t="shared" ref="M56:N56" si="29">SUM(M52:M54)</f>
        <v>275</v>
      </c>
      <c r="N56" s="303">
        <f t="shared" si="29"/>
        <v>264</v>
      </c>
      <c r="O56" s="303">
        <f>SUM(O52:O54)</f>
        <v>230</v>
      </c>
      <c r="P56" s="303">
        <f>SUM(P52:P54)</f>
        <v>239</v>
      </c>
      <c r="Q56" s="301">
        <f>SUM(Q52:Q54)</f>
        <v>1008</v>
      </c>
    </row>
    <row r="57" spans="1:17" ht="15.75" customHeight="1">
      <c r="A57" s="67" t="s">
        <v>7</v>
      </c>
      <c r="B57" s="165"/>
      <c r="C57" s="300"/>
      <c r="D57" s="300"/>
      <c r="E57" s="300"/>
      <c r="F57" s="300"/>
      <c r="G57" s="165"/>
      <c r="H57" s="68">
        <f>H56/F56-1</f>
        <v>-5.7046979865771785E-2</v>
      </c>
      <c r="I57" s="68">
        <f t="shared" ref="I57" si="30">I56/H56-1</f>
        <v>1.067615658362997E-2</v>
      </c>
      <c r="J57" s="68">
        <f t="shared" ref="J57" si="31">J56/I56-1</f>
        <v>2.8169014084507005E-2</v>
      </c>
      <c r="K57" s="68">
        <f>K56/J56-1</f>
        <v>-0.1404109589041096</v>
      </c>
      <c r="L57" s="23"/>
      <c r="M57" s="68">
        <f>M56/K56-1</f>
        <v>9.5617529880478003E-2</v>
      </c>
      <c r="N57" s="68">
        <f t="shared" ref="N57:O57" si="32">N56/M56-1</f>
        <v>-4.0000000000000036E-2</v>
      </c>
      <c r="O57" s="68">
        <f t="shared" si="32"/>
        <v>-0.12878787878787878</v>
      </c>
      <c r="P57" s="68">
        <f>P56/O56-1</f>
        <v>3.9130434782608692E-2</v>
      </c>
      <c r="Q57" s="23"/>
    </row>
    <row r="58" spans="1:17">
      <c r="A58" s="67" t="s">
        <v>8</v>
      </c>
      <c r="B58" s="165"/>
      <c r="C58" s="300"/>
      <c r="D58" s="300"/>
      <c r="E58" s="300"/>
      <c r="F58" s="300"/>
      <c r="G58" s="23">
        <f>G56/B56-1</f>
        <v>1.5754560530679917E-2</v>
      </c>
      <c r="H58" s="69">
        <f t="shared" ref="H58" si="33">H56/C56-1</f>
        <v>-9.6463022508038621E-2</v>
      </c>
      <c r="I58" s="69">
        <f t="shared" ref="I58" si="34">I56/D56-1</f>
        <v>-4.3771043771043794E-2</v>
      </c>
      <c r="J58" s="69">
        <f t="shared" ref="J58" si="35">J56/E56-1</f>
        <v>-8.4639498432601878E-2</v>
      </c>
      <c r="K58" s="69">
        <f>K56/F56-1</f>
        <v>-0.15771812080536918</v>
      </c>
      <c r="L58" s="23">
        <f>L56/G56-1</f>
        <v>-9.5510204081632688E-2</v>
      </c>
      <c r="M58" s="69">
        <f t="shared" ref="M58:O58" si="36">M56/H56-1</f>
        <v>-2.1352313167259829E-2</v>
      </c>
      <c r="N58" s="69">
        <f t="shared" si="36"/>
        <v>-7.0422535211267623E-2</v>
      </c>
      <c r="O58" s="69">
        <f t="shared" si="36"/>
        <v>-0.21232876712328763</v>
      </c>
      <c r="P58" s="69">
        <f>P56/K56-1</f>
        <v>-4.7808764940239001E-2</v>
      </c>
      <c r="Q58" s="23">
        <f>Q56/L56-1</f>
        <v>-9.0252707581227387E-2</v>
      </c>
    </row>
    <row r="59" spans="1:17">
      <c r="A59" s="67"/>
      <c r="B59" s="165"/>
      <c r="C59" s="300"/>
      <c r="D59" s="300"/>
      <c r="E59" s="300"/>
      <c r="F59" s="300"/>
      <c r="G59" s="23"/>
      <c r="H59" s="69"/>
      <c r="I59" s="69"/>
      <c r="J59" s="69"/>
      <c r="K59" s="69"/>
      <c r="L59" s="23"/>
      <c r="M59" s="69"/>
      <c r="N59" s="69"/>
      <c r="O59" s="69"/>
      <c r="P59" s="69"/>
      <c r="Q59" s="23"/>
    </row>
    <row r="60" spans="1:17">
      <c r="B60" s="165"/>
      <c r="C60" s="171"/>
      <c r="D60" s="171"/>
      <c r="E60" s="171"/>
      <c r="F60" s="171"/>
      <c r="G60" s="165"/>
      <c r="H60" s="171"/>
      <c r="I60" s="171"/>
      <c r="J60" s="171"/>
      <c r="K60" s="171"/>
      <c r="L60" s="165"/>
      <c r="M60" s="171"/>
      <c r="N60" s="171"/>
      <c r="O60" s="171"/>
      <c r="Q60" s="165"/>
    </row>
    <row r="61" spans="1:17">
      <c r="A61" s="38" t="s">
        <v>373</v>
      </c>
      <c r="B61" s="51"/>
      <c r="C61" s="51"/>
      <c r="D61" s="51"/>
      <c r="E61" s="51"/>
      <c r="F61" s="51"/>
      <c r="G61" s="51"/>
      <c r="H61" s="51"/>
      <c r="I61" s="51"/>
      <c r="J61" s="51"/>
      <c r="K61" s="51"/>
      <c r="L61" s="51"/>
      <c r="M61" s="51"/>
      <c r="N61" s="51"/>
      <c r="O61" s="51"/>
      <c r="P61" s="51"/>
      <c r="Q61" s="51"/>
    </row>
    <row r="62" spans="1:17">
      <c r="A62" s="215" t="s">
        <v>350</v>
      </c>
      <c r="B62" s="165">
        <f>Pelephone!G40</f>
        <v>101.93</v>
      </c>
      <c r="C62" s="171">
        <f>Pelephone!H40</f>
        <v>9</v>
      </c>
      <c r="D62" s="171">
        <f>Pelephone!I40</f>
        <v>7.77</v>
      </c>
      <c r="E62" s="171">
        <f>Pelephone!J40</f>
        <v>11.39</v>
      </c>
      <c r="F62" s="171">
        <f>Pelephone!K40</f>
        <v>2.7699999999999996</v>
      </c>
      <c r="G62" s="165">
        <f>Pelephone!L40</f>
        <v>30.93</v>
      </c>
      <c r="H62" s="171">
        <f>Pelephone!M40</f>
        <v>2</v>
      </c>
      <c r="I62" s="171">
        <f>Pelephone!N40</f>
        <v>4.3100000000000005</v>
      </c>
      <c r="J62" s="171">
        <f>Pelephone!O40</f>
        <v>19.54</v>
      </c>
      <c r="K62" s="171">
        <f>Pelephone!P40</f>
        <v>-9.7099999999999991</v>
      </c>
      <c r="L62" s="165">
        <f>Pelephone!Q40</f>
        <v>16.14</v>
      </c>
      <c r="M62" s="171">
        <f>Pelephone!R40</f>
        <v>-1.23</v>
      </c>
      <c r="N62" s="171">
        <f>Pelephone!S40</f>
        <v>-2.08</v>
      </c>
      <c r="O62" s="171">
        <f>Pelephone!T40</f>
        <v>-12</v>
      </c>
      <c r="P62" s="171">
        <f>Pelephone!U40</f>
        <v>4.17</v>
      </c>
      <c r="Q62" s="165">
        <f>Pelephone!V40</f>
        <v>-11.14</v>
      </c>
    </row>
    <row r="63" spans="1:17">
      <c r="A63" s="215" t="s">
        <v>351</v>
      </c>
      <c r="B63" s="165">
        <f>'B. Intl'!F39</f>
        <v>117.31</v>
      </c>
      <c r="C63" s="171">
        <f>'B. Intl'!G39</f>
        <v>19.54</v>
      </c>
      <c r="D63" s="171">
        <f>'B. Intl'!H39</f>
        <v>13.23</v>
      </c>
      <c r="E63" s="171">
        <f>'B. Intl'!I39</f>
        <v>15.54</v>
      </c>
      <c r="F63" s="171">
        <f>'B. Intl'!J39</f>
        <v>8.8499999999999979</v>
      </c>
      <c r="G63" s="165">
        <f>'B. Intl'!K39</f>
        <v>57.16</v>
      </c>
      <c r="H63" s="171">
        <f>'B. Intl'!L39</f>
        <v>20</v>
      </c>
      <c r="I63" s="171">
        <f>'B. Intl'!M39</f>
        <v>16.32</v>
      </c>
      <c r="J63" s="171">
        <f>'B. Intl'!N39</f>
        <v>2.6499999999999986</v>
      </c>
      <c r="K63" s="171">
        <f>'B. Intl'!O39</f>
        <v>1.9200000000000159</v>
      </c>
      <c r="L63" s="165">
        <f>'B. Intl'!P39</f>
        <v>40.890000000000015</v>
      </c>
      <c r="M63" s="171">
        <f>'B. Intl'!Q39</f>
        <v>22</v>
      </c>
      <c r="N63" s="171">
        <f>'B. Intl'!R39</f>
        <v>21</v>
      </c>
      <c r="O63" s="171">
        <f>'B. Intl'!S39</f>
        <v>-23</v>
      </c>
      <c r="P63" s="171">
        <f>'B. Intl'!T39</f>
        <v>18</v>
      </c>
      <c r="Q63" s="165">
        <f>'B. Intl'!U39</f>
        <v>38</v>
      </c>
    </row>
    <row r="64" spans="1:17">
      <c r="A64" s="215" t="s">
        <v>352</v>
      </c>
      <c r="B64" s="301">
        <f>yes!G87</f>
        <v>-244</v>
      </c>
      <c r="C64" s="303">
        <f>yes!H87</f>
        <v>3</v>
      </c>
      <c r="D64" s="303">
        <f>yes!I87</f>
        <v>-3</v>
      </c>
      <c r="E64" s="303">
        <f>yes!J87</f>
        <v>-2</v>
      </c>
      <c r="F64" s="303">
        <f>yes!K87</f>
        <v>-29</v>
      </c>
      <c r="G64" s="301">
        <f>yes!L87</f>
        <v>-31</v>
      </c>
      <c r="H64" s="303">
        <f>yes!M87</f>
        <v>-21</v>
      </c>
      <c r="I64" s="303">
        <f>yes!N87</f>
        <v>-20</v>
      </c>
      <c r="J64" s="303">
        <f>yes!O87</f>
        <v>-33</v>
      </c>
      <c r="K64" s="303">
        <f>yes!P87</f>
        <v>-33</v>
      </c>
      <c r="L64" s="301">
        <f>yes!Q87</f>
        <v>-107</v>
      </c>
      <c r="M64" s="303">
        <f>yes!R87</f>
        <v>-6</v>
      </c>
      <c r="N64" s="303">
        <f>yes!S87</f>
        <v>-23</v>
      </c>
      <c r="O64" s="303">
        <f>yes!T87</f>
        <v>-17</v>
      </c>
      <c r="P64" s="303">
        <f>yes!U87</f>
        <v>-25</v>
      </c>
      <c r="Q64" s="301">
        <f>yes!V87</f>
        <v>-71</v>
      </c>
    </row>
    <row r="65" spans="1:17">
      <c r="A65" s="215"/>
      <c r="B65" s="165"/>
      <c r="C65" s="300"/>
      <c r="D65" s="300"/>
      <c r="E65" s="300"/>
      <c r="F65" s="300"/>
      <c r="G65" s="165"/>
      <c r="H65" s="300"/>
      <c r="I65" s="300"/>
      <c r="J65" s="300"/>
      <c r="K65" s="300"/>
      <c r="L65" s="165"/>
      <c r="M65" s="300"/>
      <c r="N65" s="300"/>
      <c r="O65" s="300"/>
      <c r="P65" s="300"/>
      <c r="Q65" s="165"/>
    </row>
    <row r="66" spans="1:17">
      <c r="A66" s="302" t="s">
        <v>379</v>
      </c>
      <c r="B66" s="301">
        <f t="shared" ref="B66:Q66" si="37">SUM(B62:B64)</f>
        <v>-24.759999999999991</v>
      </c>
      <c r="C66" s="303">
        <f t="shared" si="37"/>
        <v>31.54</v>
      </c>
      <c r="D66" s="303">
        <f t="shared" si="37"/>
        <v>18</v>
      </c>
      <c r="E66" s="303">
        <f t="shared" si="37"/>
        <v>24.93</v>
      </c>
      <c r="F66" s="303">
        <f t="shared" si="37"/>
        <v>-17.380000000000003</v>
      </c>
      <c r="G66" s="301">
        <f t="shared" si="37"/>
        <v>57.09</v>
      </c>
      <c r="H66" s="303">
        <f t="shared" si="37"/>
        <v>1</v>
      </c>
      <c r="I66" s="303">
        <f t="shared" si="37"/>
        <v>0.63000000000000256</v>
      </c>
      <c r="J66" s="303">
        <f t="shared" si="37"/>
        <v>-10.810000000000002</v>
      </c>
      <c r="K66" s="303">
        <f t="shared" si="37"/>
        <v>-40.789999999999985</v>
      </c>
      <c r="L66" s="301">
        <f t="shared" si="37"/>
        <v>-49.969999999999985</v>
      </c>
      <c r="M66" s="303">
        <f t="shared" si="37"/>
        <v>14.77</v>
      </c>
      <c r="N66" s="303">
        <f t="shared" si="37"/>
        <v>-4.0799999999999983</v>
      </c>
      <c r="O66" s="303">
        <f t="shared" si="37"/>
        <v>-52</v>
      </c>
      <c r="P66" s="303">
        <f t="shared" si="37"/>
        <v>-2.8299999999999983</v>
      </c>
      <c r="Q66" s="301">
        <f t="shared" si="37"/>
        <v>-44.14</v>
      </c>
    </row>
    <row r="67" spans="1:17" ht="16.5" customHeight="1">
      <c r="A67" s="67" t="s">
        <v>7</v>
      </c>
      <c r="B67" s="165"/>
      <c r="C67" s="300"/>
      <c r="D67" s="300"/>
      <c r="E67" s="300"/>
      <c r="F67" s="300"/>
      <c r="G67" s="165"/>
      <c r="H67" s="68">
        <f>H66/F66-1</f>
        <v>-1.0575373993095512</v>
      </c>
      <c r="I67" s="68">
        <v>0</v>
      </c>
      <c r="J67" s="80" t="s">
        <v>34</v>
      </c>
      <c r="K67" s="68">
        <f>K66/J66-1</f>
        <v>2.7733580018501365</v>
      </c>
      <c r="L67" s="23"/>
      <c r="M67" s="80" t="s">
        <v>34</v>
      </c>
      <c r="N67" s="80" t="s">
        <v>34</v>
      </c>
      <c r="O67" s="68">
        <f t="shared" ref="O67" si="38">O66/N66-1</f>
        <v>11.745098039215691</v>
      </c>
      <c r="P67" s="68">
        <f>P66/O66-1</f>
        <v>-0.94557692307692309</v>
      </c>
      <c r="Q67" s="23"/>
    </row>
    <row r="68" spans="1:17" ht="15" customHeight="1">
      <c r="A68" s="67" t="s">
        <v>8</v>
      </c>
      <c r="B68" s="165"/>
      <c r="C68" s="300"/>
      <c r="D68" s="300"/>
      <c r="E68" s="300"/>
      <c r="F68" s="300"/>
      <c r="G68" s="87" t="s">
        <v>34</v>
      </c>
      <c r="H68" s="69">
        <f t="shared" ref="H68" si="39">H66/C66-1</f>
        <v>-0.96829422954977806</v>
      </c>
      <c r="I68" s="69">
        <f t="shared" ref="I68" si="40">I66/D66-1</f>
        <v>-0.96499999999999986</v>
      </c>
      <c r="J68" s="80" t="s">
        <v>34</v>
      </c>
      <c r="K68" s="69">
        <f>K66/F66-1</f>
        <v>1.3469505178365924</v>
      </c>
      <c r="L68" s="23">
        <f>L66/G66-1</f>
        <v>-1.8752846382904185</v>
      </c>
      <c r="M68" s="69">
        <f t="shared" ref="M68" si="41">M66/H66-1</f>
        <v>13.77</v>
      </c>
      <c r="N68" s="80" t="s">
        <v>34</v>
      </c>
      <c r="O68" s="69">
        <f t="shared" ref="O68" si="42">O66/J66-1</f>
        <v>3.8103607770582784</v>
      </c>
      <c r="P68" s="69">
        <f>P66/K66-1</f>
        <v>-0.93062025006128957</v>
      </c>
      <c r="Q68" s="23">
        <f>Q66/L66-1</f>
        <v>-0.11667000200120048</v>
      </c>
    </row>
    <row r="69" spans="1:17" ht="5.25" customHeight="1">
      <c r="A69" s="42"/>
      <c r="B69" s="42"/>
      <c r="C69" s="42"/>
      <c r="D69" s="42"/>
      <c r="E69" s="42"/>
      <c r="F69" s="42"/>
      <c r="G69" s="42"/>
      <c r="H69" s="42"/>
      <c r="I69" s="42"/>
      <c r="J69" s="42"/>
      <c r="K69" s="42"/>
      <c r="L69" s="42"/>
      <c r="M69" s="42"/>
      <c r="N69" s="42"/>
      <c r="O69" s="42"/>
      <c r="P69" s="42"/>
      <c r="Q69" s="42"/>
    </row>
  </sheetData>
  <pageMargins left="0.39370078740157483" right="0.39370078740157483" top="0.31496062992125984" bottom="0.19685039370078741" header="0.31496062992125984" footer="0.31496062992125984"/>
  <pageSetup paperSize="9" scale="85" orientation="landscape" r:id="rId1"/>
  <headerFooter>
    <oddHeader>&amp;CBezeq - The Israel Telecommunication Corp. Ltd.</oddHeader>
    <oddFooter>&amp;R&amp;P of &amp;N
Total subs financial metrics</oddFooter>
  </headerFooter>
  <rowBreaks count="1" manualBreakCount="1">
    <brk id="47"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GT430"/>
  <sheetViews>
    <sheetView showGridLines="0" zoomScale="110" zoomScaleNormal="110" zoomScalePageLayoutView="90" workbookViewId="0">
      <pane xSplit="1" ySplit="4" topLeftCell="BE122" activePane="bottomRight" state="frozen"/>
      <selection activeCell="M18" sqref="M18"/>
      <selection pane="topRight" activeCell="M18" sqref="M18"/>
      <selection pane="bottomLeft" activeCell="M18" sqref="M18"/>
      <selection pane="bottomRight" activeCell="M18" sqref="M18"/>
    </sheetView>
  </sheetViews>
  <sheetFormatPr defaultColWidth="8.7109375" defaultRowHeight="12.75"/>
  <cols>
    <col min="1" max="1" width="43" customWidth="1"/>
    <col min="2" max="2" width="10.42578125" hidden="1" customWidth="1"/>
    <col min="3" max="7" width="10.42578125" style="1" hidden="1" customWidth="1"/>
    <col min="8" max="10" width="9.42578125" style="1" hidden="1" customWidth="1"/>
    <col min="11" max="11" width="8.7109375" style="1" hidden="1" customWidth="1"/>
    <col min="12" max="12" width="8.28515625" style="1" hidden="1" customWidth="1"/>
    <col min="13" max="15" width="8.7109375" style="1" hidden="1" customWidth="1"/>
    <col min="16" max="16" width="8.28515625" style="1" hidden="1" customWidth="1"/>
    <col min="17" max="17" width="8.7109375" style="1" customWidth="1"/>
    <col min="18" max="18" width="8.7109375" style="1" hidden="1" customWidth="1"/>
    <col min="19" max="21" width="8.42578125" style="1" hidden="1" customWidth="1"/>
    <col min="22" max="22" width="8.7109375" style="1" customWidth="1"/>
    <col min="23" max="23" width="8.42578125" style="1" hidden="1" customWidth="1"/>
    <col min="24" max="24" width="8.7109375" style="1" hidden="1" customWidth="1"/>
    <col min="25" max="26" width="9.28515625" style="1" hidden="1" customWidth="1"/>
    <col min="27" max="27" width="9.28515625" style="1" customWidth="1"/>
    <col min="28" max="31" width="9.28515625" style="1" hidden="1" customWidth="1"/>
    <col min="32" max="32" width="9.28515625" style="1" customWidth="1"/>
    <col min="33" max="36" width="9.28515625" style="1" hidden="1" customWidth="1"/>
    <col min="37" max="37" width="9.28515625" style="1" customWidth="1"/>
    <col min="38" max="41" width="8.7109375" style="1" hidden="1" customWidth="1"/>
    <col min="42" max="42" width="8.7109375" style="1"/>
    <col min="43" max="46" width="0" style="1" hidden="1" customWidth="1"/>
    <col min="47" max="47" width="8.7109375" style="1"/>
    <col min="48" max="51" width="0" style="1" hidden="1" customWidth="1"/>
    <col min="52" max="52" width="8.7109375" style="1"/>
    <col min="53" max="56" width="0" style="1" hidden="1" customWidth="1"/>
    <col min="57" max="60" width="8.7109375" style="1"/>
    <col min="61" max="16384" width="8.7109375" style="3"/>
  </cols>
  <sheetData>
    <row r="1" spans="1:202" ht="15.75">
      <c r="A1" s="29"/>
      <c r="B1" s="29"/>
      <c r="C1" s="63"/>
      <c r="D1" s="63"/>
      <c r="E1" s="63"/>
      <c r="F1" s="63"/>
      <c r="G1" s="63"/>
      <c r="H1" s="63"/>
      <c r="I1" s="63"/>
      <c r="J1" s="63"/>
      <c r="K1" s="63"/>
      <c r="L1" s="63"/>
      <c r="M1" s="63"/>
      <c r="N1" s="31"/>
      <c r="O1" s="31"/>
    </row>
    <row r="2" spans="1:202">
      <c r="A2" s="29"/>
      <c r="B2" s="29"/>
      <c r="C2" s="29"/>
      <c r="D2" s="29"/>
      <c r="E2" s="29"/>
      <c r="F2" s="29"/>
      <c r="G2" s="29"/>
      <c r="H2" s="29"/>
      <c r="I2" s="29"/>
      <c r="J2" s="29"/>
      <c r="K2" s="29"/>
      <c r="L2" s="29"/>
      <c r="M2" s="29"/>
      <c r="N2" s="31"/>
      <c r="O2" s="31"/>
    </row>
    <row r="3" spans="1:202">
      <c r="A3" s="30"/>
      <c r="B3" s="45" t="s">
        <v>5</v>
      </c>
      <c r="C3" s="45" t="s">
        <v>6</v>
      </c>
      <c r="D3" s="45" t="s">
        <v>0</v>
      </c>
      <c r="E3" s="45" t="s">
        <v>1</v>
      </c>
      <c r="F3" s="45" t="s">
        <v>2</v>
      </c>
      <c r="G3" s="45" t="s">
        <v>5</v>
      </c>
      <c r="H3" s="45" t="s">
        <v>6</v>
      </c>
      <c r="I3" s="45" t="s">
        <v>0</v>
      </c>
      <c r="J3" s="45" t="s">
        <v>1</v>
      </c>
      <c r="K3" s="45" t="s">
        <v>2</v>
      </c>
      <c r="L3" s="45" t="s">
        <v>5</v>
      </c>
      <c r="M3" s="45" t="s">
        <v>6</v>
      </c>
      <c r="N3" s="45" t="s">
        <v>44</v>
      </c>
      <c r="O3" s="45" t="s">
        <v>1</v>
      </c>
      <c r="P3" s="45" t="s">
        <v>2</v>
      </c>
      <c r="Q3" s="45" t="s">
        <v>5</v>
      </c>
      <c r="R3" s="45" t="s">
        <v>6</v>
      </c>
      <c r="S3" s="45" t="s">
        <v>0</v>
      </c>
      <c r="T3" s="45" t="s">
        <v>1</v>
      </c>
      <c r="U3" s="45" t="s">
        <v>2</v>
      </c>
      <c r="V3" s="45" t="s">
        <v>5</v>
      </c>
      <c r="W3" s="45" t="s">
        <v>6</v>
      </c>
      <c r="X3" s="45" t="s">
        <v>0</v>
      </c>
      <c r="Y3" s="45" t="s">
        <v>1</v>
      </c>
      <c r="Z3" s="45" t="s">
        <v>2</v>
      </c>
      <c r="AA3" s="45" t="s">
        <v>5</v>
      </c>
      <c r="AB3" s="45" t="s">
        <v>6</v>
      </c>
      <c r="AC3" s="45" t="s">
        <v>0</v>
      </c>
      <c r="AD3" s="45" t="s">
        <v>1</v>
      </c>
      <c r="AE3" s="45" t="s">
        <v>2</v>
      </c>
      <c r="AF3" s="45" t="s">
        <v>5</v>
      </c>
      <c r="AG3" s="45" t="s">
        <v>6</v>
      </c>
      <c r="AH3" s="45" t="s">
        <v>0</v>
      </c>
      <c r="AI3" s="45" t="s">
        <v>1</v>
      </c>
      <c r="AJ3" s="45" t="s">
        <v>2</v>
      </c>
      <c r="AK3" s="45" t="s">
        <v>5</v>
      </c>
      <c r="AL3" s="45" t="s">
        <v>6</v>
      </c>
      <c r="AM3" s="45" t="s">
        <v>0</v>
      </c>
      <c r="AN3" s="45" t="s">
        <v>1</v>
      </c>
      <c r="AO3" s="45" t="s">
        <v>2</v>
      </c>
      <c r="AP3" s="45" t="s">
        <v>5</v>
      </c>
      <c r="AQ3" s="45" t="s">
        <v>6</v>
      </c>
      <c r="AR3" s="45" t="s">
        <v>0</v>
      </c>
      <c r="AS3" s="45" t="s">
        <v>1</v>
      </c>
      <c r="AT3" s="45" t="s">
        <v>2</v>
      </c>
      <c r="AU3" s="45" t="s">
        <v>5</v>
      </c>
      <c r="AV3" s="45" t="s">
        <v>6</v>
      </c>
      <c r="AW3" s="45" t="s">
        <v>0</v>
      </c>
      <c r="AX3" s="45" t="s">
        <v>1</v>
      </c>
      <c r="AY3" s="45" t="s">
        <v>2</v>
      </c>
      <c r="AZ3" s="45" t="s">
        <v>5</v>
      </c>
      <c r="BA3" s="45" t="s">
        <v>6</v>
      </c>
      <c r="BB3" s="45" t="s">
        <v>0</v>
      </c>
      <c r="BC3" s="45" t="s">
        <v>1</v>
      </c>
      <c r="BD3" s="45" t="s">
        <v>2</v>
      </c>
      <c r="BE3" s="45" t="s">
        <v>5</v>
      </c>
      <c r="BF3" s="45" t="s">
        <v>6</v>
      </c>
      <c r="BG3" s="45" t="s">
        <v>0</v>
      </c>
      <c r="BH3" s="45" t="s">
        <v>1</v>
      </c>
      <c r="BI3" s="45" t="s">
        <v>2</v>
      </c>
      <c r="BJ3" s="45" t="s">
        <v>5</v>
      </c>
      <c r="BK3" s="45" t="s">
        <v>6</v>
      </c>
      <c r="BL3" s="45" t="s">
        <v>0</v>
      </c>
      <c r="BM3" s="45" t="s">
        <v>1</v>
      </c>
      <c r="BN3" s="45" t="s">
        <v>2</v>
      </c>
      <c r="BO3" s="45" t="s">
        <v>5</v>
      </c>
    </row>
    <row r="4" spans="1:202">
      <c r="A4" s="46"/>
      <c r="B4" s="30">
        <v>2007</v>
      </c>
      <c r="C4" s="30">
        <v>2008</v>
      </c>
      <c r="D4" s="30">
        <v>2008</v>
      </c>
      <c r="E4" s="30">
        <v>2008</v>
      </c>
      <c r="F4" s="30">
        <v>2008</v>
      </c>
      <c r="G4" s="30">
        <v>2008</v>
      </c>
      <c r="H4" s="30">
        <v>2009</v>
      </c>
      <c r="I4" s="30">
        <v>2009</v>
      </c>
      <c r="J4" s="30">
        <v>2009</v>
      </c>
      <c r="K4" s="45">
        <v>2009</v>
      </c>
      <c r="L4" s="45">
        <v>2009</v>
      </c>
      <c r="M4" s="30">
        <v>2010</v>
      </c>
      <c r="N4" s="30">
        <v>2010</v>
      </c>
      <c r="O4" s="30">
        <v>2010</v>
      </c>
      <c r="P4" s="45">
        <v>2010</v>
      </c>
      <c r="Q4" s="45">
        <v>2010</v>
      </c>
      <c r="R4" s="30">
        <v>2011</v>
      </c>
      <c r="S4" s="30">
        <v>2011</v>
      </c>
      <c r="T4" s="30">
        <v>2011</v>
      </c>
      <c r="U4" s="45">
        <v>2011</v>
      </c>
      <c r="V4" s="45">
        <v>2011</v>
      </c>
      <c r="W4" s="30">
        <v>2012</v>
      </c>
      <c r="X4" s="30">
        <v>2012</v>
      </c>
      <c r="Y4" s="30">
        <v>2012</v>
      </c>
      <c r="Z4" s="45">
        <v>2012</v>
      </c>
      <c r="AA4" s="45">
        <v>2012</v>
      </c>
      <c r="AB4" s="30">
        <v>2013</v>
      </c>
      <c r="AC4" s="30">
        <v>2013</v>
      </c>
      <c r="AD4" s="30">
        <v>2013</v>
      </c>
      <c r="AE4" s="45">
        <v>2013</v>
      </c>
      <c r="AF4" s="45">
        <v>2013</v>
      </c>
      <c r="AG4" s="30">
        <v>2014</v>
      </c>
      <c r="AH4" s="30">
        <v>2014</v>
      </c>
      <c r="AI4" s="30">
        <v>2014</v>
      </c>
      <c r="AJ4" s="45">
        <v>2014</v>
      </c>
      <c r="AK4" s="45">
        <v>2014</v>
      </c>
      <c r="AL4" s="30">
        <v>2015</v>
      </c>
      <c r="AM4" s="30">
        <v>2015</v>
      </c>
      <c r="AN4" s="30">
        <v>2015</v>
      </c>
      <c r="AO4" s="45">
        <v>2015</v>
      </c>
      <c r="AP4" s="45">
        <v>2015</v>
      </c>
      <c r="AQ4" s="30">
        <v>2016</v>
      </c>
      <c r="AR4" s="30">
        <v>2016</v>
      </c>
      <c r="AS4" s="30">
        <v>2016</v>
      </c>
      <c r="AT4" s="45">
        <v>2016</v>
      </c>
      <c r="AU4" s="45">
        <v>2016</v>
      </c>
      <c r="AV4" s="30">
        <v>2017</v>
      </c>
      <c r="AW4" s="30">
        <v>2017</v>
      </c>
      <c r="AX4" s="30">
        <v>2017</v>
      </c>
      <c r="AY4" s="45">
        <v>2017</v>
      </c>
      <c r="AZ4" s="45">
        <v>2017</v>
      </c>
      <c r="BA4" s="30">
        <v>2018</v>
      </c>
      <c r="BB4" s="30">
        <v>2018</v>
      </c>
      <c r="BC4" s="30">
        <v>2018</v>
      </c>
      <c r="BD4" s="45">
        <v>2018</v>
      </c>
      <c r="BE4" s="45">
        <v>2018</v>
      </c>
      <c r="BF4" s="30">
        <v>2019</v>
      </c>
      <c r="BG4" s="30">
        <v>2019</v>
      </c>
      <c r="BH4" s="30">
        <v>2019</v>
      </c>
      <c r="BI4" s="45">
        <v>2019</v>
      </c>
      <c r="BJ4" s="45">
        <v>2019</v>
      </c>
      <c r="BK4" s="30">
        <v>2020</v>
      </c>
      <c r="BL4" s="30">
        <v>2020</v>
      </c>
      <c r="BM4" s="30">
        <v>2020</v>
      </c>
      <c r="BN4" s="45">
        <v>2020</v>
      </c>
      <c r="BO4" s="45">
        <v>2020</v>
      </c>
    </row>
    <row r="5" spans="1:202" s="44" customFormat="1" ht="6.75" customHeight="1">
      <c r="A5" s="42"/>
      <c r="B5" s="42"/>
      <c r="K5" s="43"/>
      <c r="L5" s="43"/>
      <c r="P5" s="43"/>
      <c r="Q5" s="43"/>
      <c r="U5" s="43"/>
      <c r="V5" s="43"/>
      <c r="Z5" s="43"/>
      <c r="AA5" s="43"/>
      <c r="AE5" s="43"/>
      <c r="AF5" s="43"/>
      <c r="AJ5" s="43"/>
      <c r="AK5" s="43"/>
      <c r="AO5" s="43"/>
      <c r="AP5" s="43"/>
      <c r="AT5" s="43"/>
      <c r="AU5" s="43"/>
      <c r="AY5" s="43"/>
      <c r="AZ5" s="43"/>
      <c r="BD5" s="43"/>
      <c r="BE5" s="43"/>
      <c r="BI5" s="43"/>
      <c r="BJ5" s="43"/>
      <c r="BN5" s="43"/>
      <c r="BO5" s="43"/>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row>
    <row r="6" spans="1:202" s="25" customFormat="1" ht="6" customHeight="1">
      <c r="A6" s="56"/>
      <c r="B6" s="56"/>
      <c r="C6" s="56"/>
      <c r="D6" s="56"/>
      <c r="E6" s="56"/>
      <c r="F6" s="56"/>
      <c r="G6" s="56"/>
      <c r="H6" s="56"/>
      <c r="I6" s="56"/>
      <c r="J6" s="56"/>
      <c r="K6" s="57"/>
      <c r="L6" s="57"/>
      <c r="M6" s="56"/>
      <c r="N6" s="56"/>
      <c r="O6" s="56"/>
      <c r="P6" s="57"/>
      <c r="Q6" s="57"/>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row>
    <row r="7" spans="1:202" ht="18.600000000000001" customHeight="1">
      <c r="A7" s="33" t="s">
        <v>43</v>
      </c>
      <c r="B7" s="33"/>
      <c r="C7" s="20"/>
      <c r="D7" s="20"/>
      <c r="E7" s="20"/>
      <c r="F7" s="20"/>
      <c r="G7" s="20"/>
      <c r="H7" s="20"/>
      <c r="I7" s="20"/>
      <c r="J7" s="20"/>
      <c r="K7" s="26"/>
      <c r="L7" s="26"/>
      <c r="M7" s="20"/>
      <c r="N7" s="20"/>
      <c r="O7" s="20"/>
      <c r="P7" s="26"/>
      <c r="Q7" s="26"/>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row>
    <row r="8" spans="1:202" ht="5.0999999999999996" customHeight="1">
      <c r="A8" s="58"/>
      <c r="B8" s="58"/>
      <c r="C8" s="58"/>
      <c r="D8" s="58"/>
      <c r="E8" s="58"/>
      <c r="F8" s="58"/>
      <c r="G8" s="58"/>
      <c r="H8" s="58"/>
      <c r="I8" s="58"/>
      <c r="J8" s="58"/>
      <c r="K8" s="59"/>
      <c r="L8" s="59"/>
      <c r="M8" s="58"/>
      <c r="N8" s="58"/>
      <c r="O8" s="58"/>
      <c r="P8" s="59"/>
      <c r="Q8" s="59"/>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row>
    <row r="9" spans="1:202" s="41" customFormat="1">
      <c r="A9" s="38" t="s">
        <v>25</v>
      </c>
      <c r="B9" s="38"/>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row>
    <row r="10" spans="1:202">
      <c r="A10" s="81"/>
      <c r="B10" s="23"/>
      <c r="C10" s="82"/>
      <c r="D10" s="82"/>
      <c r="E10" s="82"/>
      <c r="F10" s="82"/>
      <c r="G10" s="21"/>
      <c r="H10" s="82"/>
      <c r="I10" s="82"/>
      <c r="J10" s="82"/>
      <c r="L10" s="23"/>
      <c r="M10" s="82"/>
      <c r="N10" s="82"/>
      <c r="O10" s="82"/>
      <c r="Q10" s="23"/>
      <c r="R10" s="82"/>
      <c r="S10" s="82"/>
      <c r="T10" s="82"/>
      <c r="V10" s="26"/>
      <c r="W10" s="82"/>
      <c r="X10" s="82"/>
      <c r="Y10" s="82"/>
      <c r="AA10" s="26"/>
      <c r="AB10" s="82"/>
      <c r="AC10" s="82"/>
      <c r="AD10" s="82"/>
      <c r="AF10" s="26"/>
      <c r="AG10" s="82"/>
      <c r="AH10" s="82"/>
      <c r="AI10" s="82"/>
      <c r="AK10" s="26"/>
      <c r="AL10" s="82"/>
      <c r="AM10" s="82"/>
      <c r="AN10" s="82"/>
      <c r="AP10" s="26"/>
      <c r="AQ10" s="82"/>
      <c r="AR10" s="82"/>
      <c r="AS10" s="82"/>
      <c r="AU10" s="26"/>
      <c r="AV10" s="82"/>
      <c r="AW10" s="82"/>
      <c r="AX10" s="82"/>
      <c r="AZ10" s="26"/>
      <c r="BA10" s="82"/>
      <c r="BB10" s="82"/>
      <c r="BC10" s="82"/>
      <c r="BE10" s="26"/>
      <c r="BF10" s="82"/>
      <c r="BG10" s="82"/>
      <c r="BH10" s="82"/>
      <c r="BI10" s="1"/>
      <c r="BJ10" s="26"/>
      <c r="BK10" s="82"/>
      <c r="BL10" s="82"/>
      <c r="BM10" s="82"/>
      <c r="BN10" s="1"/>
      <c r="BO10" s="26"/>
    </row>
    <row r="11" spans="1:202">
      <c r="A11" s="65" t="s">
        <v>61</v>
      </c>
      <c r="B11" s="35">
        <v>14711</v>
      </c>
      <c r="C11" s="66">
        <v>3473</v>
      </c>
      <c r="D11" s="66">
        <v>3306</v>
      </c>
      <c r="E11" s="66">
        <v>3379</v>
      </c>
      <c r="F11" s="66">
        <v>3103</v>
      </c>
      <c r="G11" s="35">
        <v>13260</v>
      </c>
      <c r="H11" s="66">
        <v>3077</v>
      </c>
      <c r="I11" s="66">
        <v>2972</v>
      </c>
      <c r="J11" s="66">
        <v>3051</v>
      </c>
      <c r="K11" s="66">
        <v>2917</v>
      </c>
      <c r="L11" s="35">
        <v>12017</v>
      </c>
      <c r="M11" s="66">
        <v>2732</v>
      </c>
      <c r="N11" s="66">
        <v>2717</v>
      </c>
      <c r="O11" s="66">
        <v>2629</v>
      </c>
      <c r="P11" s="66">
        <v>2621</v>
      </c>
      <c r="Q11" s="35">
        <v>10699</v>
      </c>
      <c r="R11" s="66">
        <v>2521</v>
      </c>
      <c r="S11" s="66">
        <v>2415</v>
      </c>
      <c r="T11" s="66">
        <v>2482</v>
      </c>
      <c r="U11" s="66">
        <v>2339</v>
      </c>
      <c r="V11" s="35">
        <v>9758</v>
      </c>
      <c r="W11" s="66">
        <v>2360</v>
      </c>
      <c r="X11" s="66">
        <v>2228</v>
      </c>
      <c r="Y11" s="66">
        <v>2127</v>
      </c>
      <c r="Z11" s="66">
        <v>1979</v>
      </c>
      <c r="AA11" s="35">
        <v>8694</v>
      </c>
      <c r="AB11" s="66">
        <v>1788</v>
      </c>
      <c r="AC11" s="66">
        <v>1805</v>
      </c>
      <c r="AD11" s="66">
        <v>1712</v>
      </c>
      <c r="AE11" s="66">
        <f>AF11-AD11-AC11-AB11</f>
        <v>1742</v>
      </c>
      <c r="AF11" s="35">
        <v>7047</v>
      </c>
      <c r="AG11" s="66">
        <v>1608</v>
      </c>
      <c r="AH11" s="66">
        <v>1522</v>
      </c>
      <c r="AI11" s="66">
        <v>1588</v>
      </c>
      <c r="AJ11" s="66">
        <f>AK11-AI11-AH11-AG11</f>
        <v>1482</v>
      </c>
      <c r="AK11" s="35">
        <v>6200</v>
      </c>
      <c r="AL11" s="66">
        <v>1459</v>
      </c>
      <c r="AM11" s="66">
        <v>1396</v>
      </c>
      <c r="AN11" s="66">
        <v>1373</v>
      </c>
      <c r="AO11" s="66">
        <f>AP11-AN11-AM11-AL11</f>
        <v>1379</v>
      </c>
      <c r="AP11" s="35">
        <v>5607</v>
      </c>
      <c r="AQ11" s="66">
        <v>1316</v>
      </c>
      <c r="AR11" s="66">
        <v>1257</v>
      </c>
      <c r="AS11" s="66">
        <v>1297</v>
      </c>
      <c r="AT11" s="66">
        <f>AU11-AS11-AR11-AQ11</f>
        <v>1136</v>
      </c>
      <c r="AU11" s="35">
        <v>5006</v>
      </c>
      <c r="AV11" s="66">
        <v>1177</v>
      </c>
      <c r="AW11" s="66">
        <v>1098</v>
      </c>
      <c r="AX11" s="66">
        <v>1132</v>
      </c>
      <c r="AY11" s="66">
        <f>AZ11-AX11-AW11-AV11</f>
        <v>1068</v>
      </c>
      <c r="AZ11" s="35">
        <v>4475</v>
      </c>
      <c r="BA11" s="66">
        <v>1055</v>
      </c>
      <c r="BB11" s="66">
        <v>1010</v>
      </c>
      <c r="BC11" s="66">
        <v>960</v>
      </c>
      <c r="BD11" s="66">
        <f>BE11-BC11-BB11-BA11</f>
        <v>989</v>
      </c>
      <c r="BE11" s="35">
        <v>4014</v>
      </c>
      <c r="BF11" s="66">
        <v>926</v>
      </c>
      <c r="BG11" s="66">
        <v>865</v>
      </c>
      <c r="BH11" s="66">
        <v>888</v>
      </c>
      <c r="BI11" s="66">
        <f>BJ11-BH11-BG11-BF11</f>
        <v>820</v>
      </c>
      <c r="BJ11" s="35">
        <v>3499</v>
      </c>
      <c r="BK11" s="66">
        <v>883</v>
      </c>
      <c r="BL11" s="66">
        <v>1079</v>
      </c>
      <c r="BM11" s="66">
        <v>1019</v>
      </c>
      <c r="BN11" s="66">
        <f>BO11-BM11-BL11-BK11</f>
        <v>1004</v>
      </c>
      <c r="BO11" s="35">
        <v>3985</v>
      </c>
    </row>
    <row r="12" spans="1:202">
      <c r="A12" s="67" t="s">
        <v>7</v>
      </c>
      <c r="B12" s="23"/>
      <c r="C12" s="68"/>
      <c r="D12" s="68">
        <f>D11/C11-1</f>
        <v>-4.8085228908724464E-2</v>
      </c>
      <c r="E12" s="68">
        <f>E11/D11-1</f>
        <v>2.2081064730792521E-2</v>
      </c>
      <c r="F12" s="68">
        <f>F11/E11-1</f>
        <v>-8.1680970701390909E-2</v>
      </c>
      <c r="G12" s="23"/>
      <c r="H12" s="68">
        <f>H11/F11-1</f>
        <v>-8.3789880760554158E-3</v>
      </c>
      <c r="I12" s="68">
        <f>I11/H11-1</f>
        <v>-3.412414689632759E-2</v>
      </c>
      <c r="J12" s="68">
        <f>J11/I11-1</f>
        <v>2.6581426648721429E-2</v>
      </c>
      <c r="K12" s="68">
        <f>K11/J11-1</f>
        <v>-4.3920026220911179E-2</v>
      </c>
      <c r="L12" s="26"/>
      <c r="M12" s="68">
        <f>M11/K11-1</f>
        <v>-6.3421323277339736E-2</v>
      </c>
      <c r="N12" s="68">
        <f>N11/M11-1</f>
        <v>-5.4904831625183226E-3</v>
      </c>
      <c r="O12" s="68">
        <f>O11/N11-1</f>
        <v>-3.2388663967611309E-2</v>
      </c>
      <c r="P12" s="68">
        <f>P11/O11-1</f>
        <v>-3.042982122479998E-3</v>
      </c>
      <c r="Q12" s="26"/>
      <c r="R12" s="68">
        <f>R11/P11-1</f>
        <v>-3.815337657382678E-2</v>
      </c>
      <c r="S12" s="68">
        <f>S11/R11-1</f>
        <v>-4.2046806822689464E-2</v>
      </c>
      <c r="T12" s="68">
        <f>T11/S11-1</f>
        <v>2.7743271221532195E-2</v>
      </c>
      <c r="U12" s="68">
        <f>U11/T11-1</f>
        <v>-5.7614826752618864E-2</v>
      </c>
      <c r="V12" s="26"/>
      <c r="W12" s="68">
        <f>W11/U11-1</f>
        <v>8.9781958101753379E-3</v>
      </c>
      <c r="X12" s="68">
        <f>X11/W11-1</f>
        <v>-5.5932203389830515E-2</v>
      </c>
      <c r="Y12" s="68">
        <f>Y11/X11-1</f>
        <v>-4.5332136445242366E-2</v>
      </c>
      <c r="Z12" s="68">
        <f>Z11/Y11-1</f>
        <v>-6.9581570286788907E-2</v>
      </c>
      <c r="AA12" s="26"/>
      <c r="AB12" s="68">
        <f>AB11/Z11-1</f>
        <v>-9.6513390601313809E-2</v>
      </c>
      <c r="AC12" s="68">
        <f>AC11/AB11-1</f>
        <v>9.5078299776285569E-3</v>
      </c>
      <c r="AD12" s="68">
        <f>AD11/AC11-1</f>
        <v>-5.1523545706371188E-2</v>
      </c>
      <c r="AE12" s="68">
        <f>AE11/AD11-1</f>
        <v>1.7523364485981352E-2</v>
      </c>
      <c r="AF12" s="26"/>
      <c r="AG12" s="68">
        <f>AG11/AE11-1</f>
        <v>-7.6923076923076872E-2</v>
      </c>
      <c r="AH12" s="68">
        <f>AH11/AG11-1</f>
        <v>-5.3482587064676568E-2</v>
      </c>
      <c r="AI12" s="68">
        <f>AI11/AH11-1</f>
        <v>4.3363994743758294E-2</v>
      </c>
      <c r="AJ12" s="68">
        <f>AJ11/AI11-1</f>
        <v>-6.6750629722921895E-2</v>
      </c>
      <c r="AK12" s="26"/>
      <c r="AL12" s="68">
        <f>AL11/AJ11-1</f>
        <v>-1.5519568151147078E-2</v>
      </c>
      <c r="AM12" s="68">
        <f>AM11/AL11-1</f>
        <v>-4.3180260452364672E-2</v>
      </c>
      <c r="AN12" s="68">
        <f>AN11/AM11-1</f>
        <v>-1.6475644699140424E-2</v>
      </c>
      <c r="AO12" s="68">
        <f>AO11/AN11-1</f>
        <v>4.3699927166787056E-3</v>
      </c>
      <c r="AP12" s="26"/>
      <c r="AQ12" s="68">
        <f>AQ11/AO11-1</f>
        <v>-4.5685279187817285E-2</v>
      </c>
      <c r="AR12" s="68">
        <f>AR11/AQ11-1</f>
        <v>-4.4832826747720378E-2</v>
      </c>
      <c r="AS12" s="68">
        <f>AS11/AR11-1</f>
        <v>3.1821797931583129E-2</v>
      </c>
      <c r="AT12" s="68">
        <f>AT11/AS11-1</f>
        <v>-0.12413261372397844</v>
      </c>
      <c r="AU12" s="26"/>
      <c r="AV12" s="68">
        <f>AV11/AT11-1</f>
        <v>3.6091549295774739E-2</v>
      </c>
      <c r="AW12" s="68">
        <f>AW11/AV11-1</f>
        <v>-6.7119796091758666E-2</v>
      </c>
      <c r="AX12" s="68">
        <f>AX11/AW11-1</f>
        <v>3.0965391621129434E-2</v>
      </c>
      <c r="AY12" s="68">
        <f>AY11/AX11-1</f>
        <v>-5.6537102473498191E-2</v>
      </c>
      <c r="AZ12" s="26"/>
      <c r="BA12" s="68">
        <f>BA11/AY11-1</f>
        <v>-1.2172284644194731E-2</v>
      </c>
      <c r="BB12" s="68">
        <f>BB11/BA11-1</f>
        <v>-4.2654028436018954E-2</v>
      </c>
      <c r="BC12" s="68">
        <f>BC11/BB11-1</f>
        <v>-4.9504950495049549E-2</v>
      </c>
      <c r="BD12" s="68">
        <f>BD11/BC11-1</f>
        <v>3.0208333333333393E-2</v>
      </c>
      <c r="BE12" s="26"/>
      <c r="BF12" s="68">
        <f>BF11/BD11-1</f>
        <v>-6.3700707785642074E-2</v>
      </c>
      <c r="BG12" s="68">
        <f>BG11/BF11-1</f>
        <v>-6.5874730021598271E-2</v>
      </c>
      <c r="BH12" s="68">
        <f>BH11/BG11-1</f>
        <v>2.6589595375722475E-2</v>
      </c>
      <c r="BI12" s="68">
        <f>BI11/BH11-1</f>
        <v>-7.6576576576576572E-2</v>
      </c>
      <c r="BJ12" s="26"/>
      <c r="BK12" s="68">
        <f>BK11/BI11-1</f>
        <v>7.6829268292682995E-2</v>
      </c>
      <c r="BL12" s="68">
        <f>BL11/BK11-1</f>
        <v>0.22197055492638729</v>
      </c>
      <c r="BM12" s="68">
        <f>BM11/BL11-1</f>
        <v>-5.5607043558850822E-2</v>
      </c>
      <c r="BN12" s="68">
        <f>BN11/BM11-1</f>
        <v>-1.4720314033366044E-2</v>
      </c>
      <c r="BO12" s="26"/>
    </row>
    <row r="13" spans="1:202">
      <c r="A13" s="67" t="s">
        <v>8</v>
      </c>
      <c r="B13" s="23"/>
      <c r="C13" s="69"/>
      <c r="D13" s="69"/>
      <c r="E13" s="69"/>
      <c r="F13" s="69"/>
      <c r="G13" s="23">
        <f t="shared" ref="G13:N13" si="0">G11/B11-1</f>
        <v>-9.8633675480932603E-2</v>
      </c>
      <c r="H13" s="69">
        <f t="shared" si="0"/>
        <v>-0.11402245896919094</v>
      </c>
      <c r="I13" s="69">
        <f t="shared" si="0"/>
        <v>-0.10102843315184518</v>
      </c>
      <c r="J13" s="69">
        <f t="shared" si="0"/>
        <v>-9.7070139094406649E-2</v>
      </c>
      <c r="K13" s="68">
        <f t="shared" si="0"/>
        <v>-5.9941991621011881E-2</v>
      </c>
      <c r="L13" s="23">
        <f t="shared" si="0"/>
        <v>-9.3740573152337858E-2</v>
      </c>
      <c r="M13" s="69">
        <f t="shared" si="0"/>
        <v>-0.11212219694507641</v>
      </c>
      <c r="N13" s="69">
        <f t="shared" si="0"/>
        <v>-8.5800807537012136E-2</v>
      </c>
      <c r="O13" s="69">
        <f t="shared" ref="O13:Y13" si="1">O11/J11-1</f>
        <v>-0.13831530645689938</v>
      </c>
      <c r="P13" s="68">
        <f t="shared" si="1"/>
        <v>-0.10147411724374356</v>
      </c>
      <c r="Q13" s="23">
        <f t="shared" si="1"/>
        <v>-0.10967795622867604</v>
      </c>
      <c r="R13" s="69">
        <f t="shared" si="1"/>
        <v>-7.7232796486090827E-2</v>
      </c>
      <c r="S13" s="69">
        <f t="shared" si="1"/>
        <v>-0.11115200588884799</v>
      </c>
      <c r="T13" s="69">
        <f t="shared" si="1"/>
        <v>-5.5914796500570518E-2</v>
      </c>
      <c r="U13" s="68">
        <f t="shared" si="1"/>
        <v>-0.10759252193819158</v>
      </c>
      <c r="V13" s="23">
        <f t="shared" si="1"/>
        <v>-8.7952145060286036E-2</v>
      </c>
      <c r="W13" s="69">
        <f t="shared" si="1"/>
        <v>-6.3863546211820665E-2</v>
      </c>
      <c r="X13" s="69">
        <f t="shared" si="1"/>
        <v>-7.7432712215320887E-2</v>
      </c>
      <c r="Y13" s="69">
        <f t="shared" si="1"/>
        <v>-0.14302981466559228</v>
      </c>
      <c r="Z13" s="68">
        <f t="shared" ref="Z13:AI13" si="2">Z11/U11-1</f>
        <v>-0.15391192817443355</v>
      </c>
      <c r="AA13" s="23">
        <f t="shared" si="2"/>
        <v>-0.10903873744619796</v>
      </c>
      <c r="AB13" s="69">
        <f t="shared" si="2"/>
        <v>-0.24237288135593216</v>
      </c>
      <c r="AC13" s="69">
        <f t="shared" si="2"/>
        <v>-0.18985637342908435</v>
      </c>
      <c r="AD13" s="69">
        <f t="shared" si="2"/>
        <v>-0.19511048425011757</v>
      </c>
      <c r="AE13" s="68">
        <f t="shared" si="2"/>
        <v>-0.11975745325922182</v>
      </c>
      <c r="AF13" s="23">
        <f t="shared" si="2"/>
        <v>-0.18944099378881984</v>
      </c>
      <c r="AG13" s="69">
        <f t="shared" si="2"/>
        <v>-0.10067114093959728</v>
      </c>
      <c r="AH13" s="69">
        <f t="shared" si="2"/>
        <v>-0.15678670360110802</v>
      </c>
      <c r="AI13" s="69">
        <f t="shared" si="2"/>
        <v>-7.2429906542056055E-2</v>
      </c>
      <c r="AJ13" s="68">
        <f t="shared" ref="AJ13:AS13" si="3">AJ11/AE11-1</f>
        <v>-0.14925373134328357</v>
      </c>
      <c r="AK13" s="23">
        <f t="shared" si="3"/>
        <v>-0.12019298992479066</v>
      </c>
      <c r="AL13" s="69">
        <f t="shared" si="3"/>
        <v>-9.2661691542288538E-2</v>
      </c>
      <c r="AM13" s="69">
        <f t="shared" si="3"/>
        <v>-8.2785808147174733E-2</v>
      </c>
      <c r="AN13" s="69">
        <f t="shared" si="3"/>
        <v>-0.13539042821158687</v>
      </c>
      <c r="AO13" s="68">
        <f t="shared" si="3"/>
        <v>-6.9500674763832704E-2</v>
      </c>
      <c r="AP13" s="23">
        <f t="shared" si="3"/>
        <v>-9.5645161290322633E-2</v>
      </c>
      <c r="AQ13" s="69">
        <f t="shared" si="3"/>
        <v>-9.8012337217272094E-2</v>
      </c>
      <c r="AR13" s="69">
        <f t="shared" si="3"/>
        <v>-9.957020057306587E-2</v>
      </c>
      <c r="AS13" s="69">
        <f t="shared" si="3"/>
        <v>-5.5353241077931492E-2</v>
      </c>
      <c r="AT13" s="68">
        <f t="shared" ref="AT13" si="4">AT11/AO11-1</f>
        <v>-0.17621464829586653</v>
      </c>
      <c r="AU13" s="23">
        <f t="shared" ref="AU13:AX13" si="5">AU11/AP11-1</f>
        <v>-0.10718744426609594</v>
      </c>
      <c r="AV13" s="69">
        <f t="shared" si="5"/>
        <v>-0.10562310030395139</v>
      </c>
      <c r="AW13" s="69">
        <f t="shared" si="5"/>
        <v>-0.12649164677804292</v>
      </c>
      <c r="AX13" s="69">
        <f t="shared" si="5"/>
        <v>-0.1272166538164996</v>
      </c>
      <c r="AY13" s="68">
        <f t="shared" ref="AY13" si="6">AY11/AT11-1</f>
        <v>-5.9859154929577496E-2</v>
      </c>
      <c r="AZ13" s="23">
        <f t="shared" ref="AZ13:BC13" si="7">AZ11/AU11-1</f>
        <v>-0.10607271274470631</v>
      </c>
      <c r="BA13" s="69">
        <f t="shared" si="7"/>
        <v>-0.10365335598980463</v>
      </c>
      <c r="BB13" s="69">
        <f t="shared" si="7"/>
        <v>-8.0145719489981837E-2</v>
      </c>
      <c r="BC13" s="69">
        <f t="shared" si="7"/>
        <v>-0.15194346289752647</v>
      </c>
      <c r="BD13" s="68">
        <f t="shared" ref="BD13" si="8">BD11/AY11-1</f>
        <v>-7.3970037453183535E-2</v>
      </c>
      <c r="BE13" s="23">
        <f t="shared" ref="BE13:BH13" si="9">BE11/AZ11-1</f>
        <v>-0.10301675977653635</v>
      </c>
      <c r="BF13" s="69">
        <f t="shared" si="9"/>
        <v>-0.12227488151658772</v>
      </c>
      <c r="BG13" s="69">
        <f t="shared" si="9"/>
        <v>-0.14356435643564358</v>
      </c>
      <c r="BH13" s="69">
        <f t="shared" si="9"/>
        <v>-7.4999999999999956E-2</v>
      </c>
      <c r="BI13" s="68">
        <f t="shared" ref="BI13" si="10">BI11/BD11-1</f>
        <v>-0.17087967644084934</v>
      </c>
      <c r="BJ13" s="23">
        <f t="shared" ref="BJ13:BM13" si="11">BJ11/BE11-1</f>
        <v>-0.12830094668659686</v>
      </c>
      <c r="BK13" s="69">
        <f t="shared" si="11"/>
        <v>-4.643628509719222E-2</v>
      </c>
      <c r="BL13" s="69">
        <f t="shared" si="11"/>
        <v>0.24739884393063583</v>
      </c>
      <c r="BM13" s="69">
        <f t="shared" si="11"/>
        <v>0.14752252252252251</v>
      </c>
      <c r="BN13" s="68">
        <f t="shared" ref="BN13" si="12">BN11/BI11-1</f>
        <v>0.224390243902439</v>
      </c>
      <c r="BO13" s="23">
        <f t="shared" ref="BO13" si="13">BO11/BJ11-1</f>
        <v>0.13889682766504707</v>
      </c>
    </row>
    <row r="14" spans="1:202">
      <c r="A14" s="67"/>
      <c r="B14" s="23"/>
      <c r="C14" s="69"/>
      <c r="D14" s="69"/>
      <c r="E14" s="69"/>
      <c r="F14" s="69"/>
      <c r="G14" s="23"/>
      <c r="H14" s="69"/>
      <c r="I14" s="69"/>
      <c r="J14" s="69"/>
      <c r="K14" s="68"/>
      <c r="L14" s="23"/>
      <c r="M14" s="69"/>
      <c r="N14" s="69"/>
      <c r="O14" s="69"/>
      <c r="P14" s="68"/>
      <c r="Q14" s="23"/>
      <c r="R14" s="69"/>
      <c r="S14" s="69"/>
      <c r="T14" s="69"/>
      <c r="U14" s="68"/>
      <c r="V14" s="23"/>
      <c r="W14" s="69"/>
      <c r="X14" s="69"/>
      <c r="Y14" s="69"/>
      <c r="Z14" s="68"/>
      <c r="AA14" s="23"/>
      <c r="AB14" s="69"/>
      <c r="AC14" s="69"/>
      <c r="AD14" s="69"/>
      <c r="AE14" s="68"/>
      <c r="AF14" s="23"/>
      <c r="AG14" s="69"/>
      <c r="AH14" s="69"/>
      <c r="AI14" s="69"/>
      <c r="AJ14" s="68"/>
      <c r="AK14" s="23"/>
      <c r="AL14" s="69"/>
      <c r="AM14" s="69"/>
      <c r="AN14" s="69"/>
      <c r="AO14" s="68"/>
      <c r="AP14" s="23"/>
      <c r="AQ14" s="69"/>
      <c r="AR14" s="69"/>
      <c r="AS14" s="69"/>
      <c r="AT14" s="68"/>
      <c r="AU14" s="23"/>
      <c r="AV14" s="69"/>
      <c r="AW14" s="69"/>
      <c r="AX14" s="69"/>
      <c r="AY14" s="68"/>
      <c r="AZ14" s="23"/>
      <c r="BA14" s="69"/>
      <c r="BB14" s="69"/>
      <c r="BC14" s="69"/>
      <c r="BD14" s="68"/>
      <c r="BE14" s="23"/>
      <c r="BF14" s="69"/>
      <c r="BG14" s="69"/>
      <c r="BH14" s="69"/>
      <c r="BI14" s="68"/>
      <c r="BJ14" s="23"/>
      <c r="BK14" s="69"/>
      <c r="BL14" s="69"/>
      <c r="BM14" s="69"/>
      <c r="BN14" s="68"/>
      <c r="BO14" s="23"/>
    </row>
    <row r="15" spans="1:202">
      <c r="A15" s="65" t="s">
        <v>37</v>
      </c>
      <c r="B15" s="36">
        <v>6411</v>
      </c>
      <c r="C15" s="83">
        <v>1673</v>
      </c>
      <c r="D15" s="83">
        <v>1651</v>
      </c>
      <c r="E15" s="83">
        <v>1719</v>
      </c>
      <c r="F15" s="66">
        <f>G15-E15-D15-C15</f>
        <v>1648</v>
      </c>
      <c r="G15" s="36">
        <v>6691</v>
      </c>
      <c r="H15" s="83">
        <v>1654</v>
      </c>
      <c r="I15" s="83">
        <v>1659</v>
      </c>
      <c r="J15" s="83">
        <v>1731</v>
      </c>
      <c r="K15" s="66">
        <f>L15-J15-I15-H15</f>
        <v>1674</v>
      </c>
      <c r="L15" s="35">
        <v>6718</v>
      </c>
      <c r="M15" s="83">
        <v>1623</v>
      </c>
      <c r="N15" s="83">
        <v>1634</v>
      </c>
      <c r="O15" s="83">
        <v>1646</v>
      </c>
      <c r="P15" s="66">
        <f>Q15-O15-N15-M15</f>
        <v>1644</v>
      </c>
      <c r="Q15" s="35">
        <v>6547</v>
      </c>
      <c r="R15" s="83">
        <v>1577</v>
      </c>
      <c r="S15" s="83">
        <v>1535</v>
      </c>
      <c r="T15" s="83">
        <v>1602</v>
      </c>
      <c r="U15" s="66">
        <f>V15-T15-S15-R15</f>
        <v>1526</v>
      </c>
      <c r="V15" s="35">
        <v>6240</v>
      </c>
      <c r="W15" s="83">
        <v>1543</v>
      </c>
      <c r="X15" s="83">
        <v>1516</v>
      </c>
      <c r="Y15" s="83">
        <v>1595</v>
      </c>
      <c r="Z15" s="66">
        <f>AA15-Y15-X15-W15</f>
        <v>1571</v>
      </c>
      <c r="AA15" s="35">
        <v>6225</v>
      </c>
      <c r="AB15" s="83">
        <v>1503</v>
      </c>
      <c r="AC15" s="83">
        <v>1550</v>
      </c>
      <c r="AD15" s="83">
        <v>1521</v>
      </c>
      <c r="AE15" s="66">
        <f>AF15-AD15-AC15-AB15</f>
        <v>1541</v>
      </c>
      <c r="AF15" s="35">
        <v>6115</v>
      </c>
      <c r="AG15" s="83">
        <v>1467</v>
      </c>
      <c r="AH15" s="83">
        <v>1424</v>
      </c>
      <c r="AI15" s="83">
        <v>1498</v>
      </c>
      <c r="AJ15" s="66">
        <f>AK15-AI15-AH15-AG15</f>
        <v>1440</v>
      </c>
      <c r="AK15" s="35">
        <v>5829</v>
      </c>
      <c r="AL15" s="83">
        <v>1429</v>
      </c>
      <c r="AM15" s="83">
        <v>1386</v>
      </c>
      <c r="AN15" s="83">
        <v>1410</v>
      </c>
      <c r="AO15" s="66">
        <f>AP15-AN15-AM15-AL15</f>
        <v>1403</v>
      </c>
      <c r="AP15" s="35">
        <v>5628</v>
      </c>
      <c r="AQ15" s="83">
        <v>1348</v>
      </c>
      <c r="AR15" s="83">
        <v>1314</v>
      </c>
      <c r="AS15" s="83">
        <v>1383</v>
      </c>
      <c r="AT15" s="66">
        <f>AU15-AS15-AR15-AQ15</f>
        <v>1252</v>
      </c>
      <c r="AU15" s="35">
        <v>5297</v>
      </c>
      <c r="AV15" s="83">
        <v>1281</v>
      </c>
      <c r="AW15" s="83">
        <v>1220</v>
      </c>
      <c r="AX15" s="83">
        <v>1266</v>
      </c>
      <c r="AY15" s="66">
        <f>AZ15-AX15-AW15-AV15</f>
        <v>1205</v>
      </c>
      <c r="AZ15" s="35">
        <v>4972</v>
      </c>
      <c r="BA15" s="83">
        <v>1191</v>
      </c>
      <c r="BB15" s="83">
        <v>1151</v>
      </c>
      <c r="BC15" s="83">
        <v>1125</v>
      </c>
      <c r="BD15" s="66">
        <f>BE15-BC15-BB15-BA15</f>
        <v>1160</v>
      </c>
      <c r="BE15" s="35">
        <v>4627</v>
      </c>
      <c r="BF15" s="83">
        <v>1090</v>
      </c>
      <c r="BG15" s="83">
        <v>1056</v>
      </c>
      <c r="BH15" s="83">
        <v>1099</v>
      </c>
      <c r="BI15" s="66">
        <f>BJ15-BH15-BG15-BF15</f>
        <v>1046</v>
      </c>
      <c r="BJ15" s="35">
        <v>4291</v>
      </c>
      <c r="BK15" s="83">
        <v>1120</v>
      </c>
      <c r="BL15" s="83">
        <v>1293</v>
      </c>
      <c r="BM15" s="83">
        <v>1368</v>
      </c>
      <c r="BN15" s="66">
        <f>BO15-BM15-BL15-BK15</f>
        <v>1326</v>
      </c>
      <c r="BO15" s="35">
        <v>5107</v>
      </c>
    </row>
    <row r="16" spans="1:202">
      <c r="A16" s="67" t="s">
        <v>7</v>
      </c>
      <c r="B16" s="23"/>
      <c r="C16" s="68"/>
      <c r="D16" s="68">
        <f>D15/C15-1</f>
        <v>-1.3150029886431547E-2</v>
      </c>
      <c r="E16" s="68">
        <f>E15/D15-1</f>
        <v>4.1187159297395581E-2</v>
      </c>
      <c r="F16" s="68">
        <f>F15/E15-1</f>
        <v>-4.1303083187899992E-2</v>
      </c>
      <c r="G16" s="23"/>
      <c r="H16" s="68">
        <f>H15/F15-1</f>
        <v>3.6407766990291801E-3</v>
      </c>
      <c r="I16" s="68">
        <f>I15/H15-1</f>
        <v>3.0229746070133956E-3</v>
      </c>
      <c r="J16" s="68">
        <f>J15/I15-1</f>
        <v>4.3399638336347302E-2</v>
      </c>
      <c r="K16" s="68">
        <f>K15/J15-1</f>
        <v>-3.2928942807625705E-2</v>
      </c>
      <c r="L16" s="26"/>
      <c r="M16" s="68">
        <f>M15/K15-1</f>
        <v>-3.046594982078854E-2</v>
      </c>
      <c r="N16" s="68">
        <f>N15/M15-1</f>
        <v>6.7775723967959944E-3</v>
      </c>
      <c r="O16" s="68">
        <f>O15/N15-1</f>
        <v>7.3439412484699318E-3</v>
      </c>
      <c r="P16" s="68">
        <f>P15/O15-1</f>
        <v>-1.2150668286755595E-3</v>
      </c>
      <c r="Q16" s="26"/>
      <c r="R16" s="68">
        <f>R15/P15-1</f>
        <v>-4.0754257907542613E-2</v>
      </c>
      <c r="S16" s="68">
        <f>S15/R15-1</f>
        <v>-2.6632847178186481E-2</v>
      </c>
      <c r="T16" s="68">
        <f>T15/S15-1</f>
        <v>4.3648208469055483E-2</v>
      </c>
      <c r="U16" s="68">
        <f>U15/T15-1</f>
        <v>-4.7440699126092389E-2</v>
      </c>
      <c r="V16" s="26"/>
      <c r="W16" s="68">
        <f>W15/U15-1</f>
        <v>1.1140235910878094E-2</v>
      </c>
      <c r="X16" s="68">
        <f>X15/W15-1</f>
        <v>-1.7498379779650075E-2</v>
      </c>
      <c r="Y16" s="68">
        <f>Y15/X15-1</f>
        <v>5.2110817941952492E-2</v>
      </c>
      <c r="Z16" s="68">
        <f>Z15/Y15-1</f>
        <v>-1.5047021943573657E-2</v>
      </c>
      <c r="AA16" s="26"/>
      <c r="AB16" s="68">
        <f>AB15/Z15-1</f>
        <v>-4.3284532145130505E-2</v>
      </c>
      <c r="AC16" s="68">
        <f>AC15/AB15-1</f>
        <v>3.1270791749833604E-2</v>
      </c>
      <c r="AD16" s="68">
        <f>AD15/AC15-1</f>
        <v>-1.8709677419354809E-2</v>
      </c>
      <c r="AE16" s="68">
        <f>AE15/AD15-1</f>
        <v>1.3149243918474607E-2</v>
      </c>
      <c r="AF16" s="26"/>
      <c r="AG16" s="68">
        <f>AG15/AE15-1</f>
        <v>-4.8020765736534687E-2</v>
      </c>
      <c r="AH16" s="68">
        <f>AH15/AG15-1</f>
        <v>-2.9311520109066125E-2</v>
      </c>
      <c r="AI16" s="68">
        <f>AI15/AH15-1</f>
        <v>5.1966292134831393E-2</v>
      </c>
      <c r="AJ16" s="68">
        <f>AJ15/AI15-1</f>
        <v>-3.8718291054739673E-2</v>
      </c>
      <c r="AK16" s="26"/>
      <c r="AL16" s="68">
        <f>AL15/AJ15-1</f>
        <v>-7.6388888888888618E-3</v>
      </c>
      <c r="AM16" s="68">
        <f>AM15/AL15-1</f>
        <v>-3.0090972708187502E-2</v>
      </c>
      <c r="AN16" s="68">
        <f>AN15/AM15-1</f>
        <v>1.7316017316017396E-2</v>
      </c>
      <c r="AO16" s="68">
        <f>AO15/AN15-1</f>
        <v>-4.9645390070921502E-3</v>
      </c>
      <c r="AP16" s="26"/>
      <c r="AQ16" s="68">
        <f>AQ15/AO15-1</f>
        <v>-3.9201710620099806E-2</v>
      </c>
      <c r="AR16" s="68">
        <f>AR15/AQ15-1</f>
        <v>-2.5222551928783421E-2</v>
      </c>
      <c r="AS16" s="68">
        <f>AS15/AR15-1</f>
        <v>5.2511415525114069E-2</v>
      </c>
      <c r="AT16" s="68">
        <f>AT15/AS15-1</f>
        <v>-9.4721619667389678E-2</v>
      </c>
      <c r="AU16" s="26"/>
      <c r="AV16" s="68">
        <f>AV15/AT15-1</f>
        <v>2.3162939297124652E-2</v>
      </c>
      <c r="AW16" s="68">
        <f>AW15/AV15-1</f>
        <v>-4.7619047619047672E-2</v>
      </c>
      <c r="AX16" s="68">
        <f>AX15/AW15-1</f>
        <v>3.770491803278686E-2</v>
      </c>
      <c r="AY16" s="68">
        <f>AY15/AX15-1</f>
        <v>-4.8183254344391746E-2</v>
      </c>
      <c r="AZ16" s="26"/>
      <c r="BA16" s="68">
        <f>BA15/AY15-1</f>
        <v>-1.1618257261410747E-2</v>
      </c>
      <c r="BB16" s="68">
        <f>BB15/BA15-1</f>
        <v>-3.3585222502099055E-2</v>
      </c>
      <c r="BC16" s="68">
        <f>BC15/BB15-1</f>
        <v>-2.2589052997393555E-2</v>
      </c>
      <c r="BD16" s="68">
        <f>BD15/BC15-1</f>
        <v>3.1111111111111089E-2</v>
      </c>
      <c r="BE16" s="26"/>
      <c r="BF16" s="68">
        <f>BF15/BD15-1</f>
        <v>-6.0344827586206851E-2</v>
      </c>
      <c r="BG16" s="68">
        <f>BG15/BF15-1</f>
        <v>-3.1192660550458662E-2</v>
      </c>
      <c r="BH16" s="68">
        <f>BH15/BG15-1</f>
        <v>4.0719696969697017E-2</v>
      </c>
      <c r="BI16" s="68">
        <f>BI15/BH15-1</f>
        <v>-4.8225659690627865E-2</v>
      </c>
      <c r="BJ16" s="26"/>
      <c r="BK16" s="68">
        <f>BK15/BI15-1</f>
        <v>7.074569789674956E-2</v>
      </c>
      <c r="BL16" s="68">
        <f>BL15/BK15-1</f>
        <v>0.15446428571428572</v>
      </c>
      <c r="BM16" s="68">
        <f>BM15/BL15-1</f>
        <v>5.8004640371229765E-2</v>
      </c>
      <c r="BN16" s="68">
        <f>BN15/BM15-1</f>
        <v>-3.0701754385964897E-2</v>
      </c>
      <c r="BO16" s="26"/>
    </row>
    <row r="17" spans="1:67">
      <c r="A17" s="67" t="s">
        <v>8</v>
      </c>
      <c r="B17" s="23"/>
      <c r="C17" s="69"/>
      <c r="D17" s="69"/>
      <c r="E17" s="69"/>
      <c r="F17" s="69"/>
      <c r="G17" s="23">
        <f t="shared" ref="G17:N17" si="14">G15/B15-1</f>
        <v>4.3674933707689823E-2</v>
      </c>
      <c r="H17" s="69">
        <f t="shared" si="14"/>
        <v>-1.1356843992827215E-2</v>
      </c>
      <c r="I17" s="69">
        <f t="shared" si="14"/>
        <v>4.8455481526348265E-3</v>
      </c>
      <c r="J17" s="69">
        <f t="shared" si="14"/>
        <v>6.9808027923210503E-3</v>
      </c>
      <c r="K17" s="68">
        <f t="shared" si="14"/>
        <v>1.5776699029126151E-2</v>
      </c>
      <c r="L17" s="23">
        <f t="shared" si="14"/>
        <v>4.0352712599014406E-3</v>
      </c>
      <c r="M17" s="69">
        <f t="shared" si="14"/>
        <v>-1.8742442563482453E-2</v>
      </c>
      <c r="N17" s="69">
        <f t="shared" si="14"/>
        <v>-1.5069318866787196E-2</v>
      </c>
      <c r="O17" s="69">
        <f t="shared" ref="O17:Y17" si="15">O15/J15-1</f>
        <v>-4.9104563835932979E-2</v>
      </c>
      <c r="P17" s="68">
        <f t="shared" si="15"/>
        <v>-1.7921146953404965E-2</v>
      </c>
      <c r="Q17" s="23">
        <f t="shared" si="15"/>
        <v>-2.5454004167907107E-2</v>
      </c>
      <c r="R17" s="69">
        <f t="shared" si="15"/>
        <v>-2.8342575477510734E-2</v>
      </c>
      <c r="S17" s="69">
        <f t="shared" si="15"/>
        <v>-6.0587515299877603E-2</v>
      </c>
      <c r="T17" s="69">
        <f t="shared" si="15"/>
        <v>-2.6731470230862753E-2</v>
      </c>
      <c r="U17" s="68">
        <f t="shared" si="15"/>
        <v>-7.1776155717761525E-2</v>
      </c>
      <c r="V17" s="23">
        <f t="shared" si="15"/>
        <v>-4.6891706124942756E-2</v>
      </c>
      <c r="W17" s="69">
        <f t="shared" si="15"/>
        <v>-2.1559923906150913E-2</v>
      </c>
      <c r="X17" s="69">
        <f t="shared" si="15"/>
        <v>-1.2377850162866411E-2</v>
      </c>
      <c r="Y17" s="69">
        <f t="shared" si="15"/>
        <v>-4.3695380774032566E-3</v>
      </c>
      <c r="Z17" s="68">
        <f t="shared" ref="Z17:AI17" si="16">Z15/U15-1</f>
        <v>2.9488859764089215E-2</v>
      </c>
      <c r="AA17" s="23">
        <f t="shared" si="16"/>
        <v>-2.4038461538461453E-3</v>
      </c>
      <c r="AB17" s="69">
        <f t="shared" si="16"/>
        <v>-2.5923525599481523E-2</v>
      </c>
      <c r="AC17" s="69">
        <f t="shared" si="16"/>
        <v>2.2427440633245421E-2</v>
      </c>
      <c r="AD17" s="69">
        <f t="shared" si="16"/>
        <v>-4.6394984326018851E-2</v>
      </c>
      <c r="AE17" s="68">
        <f t="shared" si="16"/>
        <v>-1.9096117122851641E-2</v>
      </c>
      <c r="AF17" s="23">
        <f t="shared" si="16"/>
        <v>-1.7670682730923648E-2</v>
      </c>
      <c r="AG17" s="69">
        <f t="shared" si="16"/>
        <v>-2.39520958083832E-2</v>
      </c>
      <c r="AH17" s="69">
        <f t="shared" si="16"/>
        <v>-8.1290322580645169E-2</v>
      </c>
      <c r="AI17" s="69">
        <f t="shared" si="16"/>
        <v>-1.5121630506245931E-2</v>
      </c>
      <c r="AJ17" s="68">
        <f t="shared" ref="AJ17:AS17" si="17">AJ15/AE15-1</f>
        <v>-6.5541855937702787E-2</v>
      </c>
      <c r="AK17" s="23">
        <f t="shared" si="17"/>
        <v>-4.6770237121831593E-2</v>
      </c>
      <c r="AL17" s="69">
        <f t="shared" si="17"/>
        <v>-2.5903203817314258E-2</v>
      </c>
      <c r="AM17" s="69">
        <f t="shared" si="17"/>
        <v>-2.6685393258427004E-2</v>
      </c>
      <c r="AN17" s="69">
        <f t="shared" si="17"/>
        <v>-5.8744993324432615E-2</v>
      </c>
      <c r="AO17" s="68">
        <f t="shared" si="17"/>
        <v>-2.5694444444444464E-2</v>
      </c>
      <c r="AP17" s="23">
        <f t="shared" si="17"/>
        <v>-3.4482758620689613E-2</v>
      </c>
      <c r="AQ17" s="69">
        <f t="shared" si="17"/>
        <v>-5.6682995101469569E-2</v>
      </c>
      <c r="AR17" s="69">
        <f t="shared" si="17"/>
        <v>-5.1948051948051965E-2</v>
      </c>
      <c r="AS17" s="69">
        <f t="shared" si="17"/>
        <v>-1.9148936170212738E-2</v>
      </c>
      <c r="AT17" s="68">
        <f t="shared" ref="AT17" si="18">AT15/AO15-1</f>
        <v>-0.10762651461154671</v>
      </c>
      <c r="AU17" s="23">
        <f t="shared" ref="AU17:AX17" si="19">AU15/AP15-1</f>
        <v>-5.8813077469793917E-2</v>
      </c>
      <c r="AV17" s="69">
        <f t="shared" si="19"/>
        <v>-4.9703264094955513E-2</v>
      </c>
      <c r="AW17" s="69">
        <f t="shared" si="19"/>
        <v>-7.1537290715372959E-2</v>
      </c>
      <c r="AX17" s="69">
        <f t="shared" si="19"/>
        <v>-8.4598698481561874E-2</v>
      </c>
      <c r="AY17" s="68">
        <f t="shared" ref="AY17" si="20">AY15/AT15-1</f>
        <v>-3.7539936102236382E-2</v>
      </c>
      <c r="AZ17" s="23">
        <f t="shared" ref="AZ17:BC17" si="21">AZ15/AU15-1</f>
        <v>-6.1355484236360169E-2</v>
      </c>
      <c r="BA17" s="69">
        <f t="shared" si="21"/>
        <v>-7.0257611241217766E-2</v>
      </c>
      <c r="BB17" s="69">
        <f t="shared" si="21"/>
        <v>-5.6557377049180291E-2</v>
      </c>
      <c r="BC17" s="69">
        <f t="shared" si="21"/>
        <v>-0.11137440758293837</v>
      </c>
      <c r="BD17" s="68">
        <f t="shared" ref="BD17" si="22">BD15/AY15-1</f>
        <v>-3.7344398340248941E-2</v>
      </c>
      <c r="BE17" s="23">
        <f t="shared" ref="BE17:BH17" si="23">BE15/AZ15-1</f>
        <v>-6.938857602574422E-2</v>
      </c>
      <c r="BF17" s="69">
        <f t="shared" si="23"/>
        <v>-8.4802686817800121E-2</v>
      </c>
      <c r="BG17" s="69">
        <f t="shared" si="23"/>
        <v>-8.2536924413553425E-2</v>
      </c>
      <c r="BH17" s="69">
        <f t="shared" si="23"/>
        <v>-2.3111111111111082E-2</v>
      </c>
      <c r="BI17" s="68">
        <f t="shared" ref="BI17" si="24">BI15/BD15-1</f>
        <v>-9.8275862068965547E-2</v>
      </c>
      <c r="BJ17" s="23">
        <f t="shared" ref="BJ17:BM17" si="25">BJ15/BE15-1</f>
        <v>-7.2617246596066609E-2</v>
      </c>
      <c r="BK17" s="69">
        <f t="shared" si="25"/>
        <v>2.7522935779816571E-2</v>
      </c>
      <c r="BL17" s="69">
        <f t="shared" si="25"/>
        <v>0.22443181818181812</v>
      </c>
      <c r="BM17" s="69">
        <f t="shared" si="25"/>
        <v>0.24476797088262048</v>
      </c>
      <c r="BN17" s="68">
        <f t="shared" ref="BN17" si="26">BN15/BI15-1</f>
        <v>0.26768642447418745</v>
      </c>
      <c r="BO17" s="23">
        <f t="shared" ref="BO17" si="27">BO15/BJ15-1</f>
        <v>0.19016546259613154</v>
      </c>
    </row>
    <row r="18" spans="1:67">
      <c r="A18" s="67"/>
      <c r="B18" s="23"/>
      <c r="C18" s="69"/>
      <c r="D18" s="69"/>
      <c r="E18" s="69"/>
      <c r="F18" s="69"/>
      <c r="G18" s="23"/>
      <c r="H18" s="69"/>
      <c r="I18" s="69"/>
      <c r="J18" s="69"/>
      <c r="K18" s="68"/>
      <c r="L18" s="23"/>
      <c r="M18" s="69"/>
      <c r="N18" s="69"/>
      <c r="O18" s="69"/>
      <c r="P18" s="68"/>
      <c r="Q18" s="23"/>
      <c r="R18" s="69"/>
      <c r="S18" s="69"/>
      <c r="T18" s="69"/>
      <c r="U18" s="68"/>
      <c r="V18" s="23"/>
      <c r="W18" s="69"/>
      <c r="X18" s="69"/>
      <c r="Y18" s="69"/>
      <c r="Z18" s="68"/>
      <c r="AA18" s="23">
        <v>-14</v>
      </c>
      <c r="AB18" s="69"/>
      <c r="AC18" s="69"/>
      <c r="AD18" s="69"/>
      <c r="AE18" s="68"/>
      <c r="AF18" s="23"/>
      <c r="AG18" s="69"/>
      <c r="AH18" s="69"/>
      <c r="AI18" s="69"/>
      <c r="AJ18" s="68"/>
      <c r="AK18" s="23"/>
      <c r="AL18" s="69"/>
      <c r="AM18" s="69"/>
      <c r="AN18" s="69"/>
      <c r="AO18" s="68"/>
      <c r="AP18" s="23"/>
      <c r="AQ18" s="69"/>
      <c r="AR18" s="69"/>
      <c r="AS18" s="69"/>
      <c r="AT18" s="68"/>
      <c r="AU18" s="23"/>
      <c r="AV18" s="69"/>
      <c r="AW18" s="69"/>
      <c r="AX18" s="69"/>
      <c r="AY18" s="68"/>
      <c r="AZ18" s="23"/>
      <c r="BA18" s="69"/>
      <c r="BB18" s="69"/>
      <c r="BC18" s="69"/>
      <c r="BD18" s="68"/>
      <c r="BE18" s="23"/>
      <c r="BF18" s="69"/>
      <c r="BG18" s="69"/>
      <c r="BH18" s="69"/>
      <c r="BI18" s="68"/>
      <c r="BJ18" s="23"/>
      <c r="BK18" s="69"/>
      <c r="BL18" s="69"/>
      <c r="BM18" s="69"/>
      <c r="BN18" s="68"/>
      <c r="BO18" s="23"/>
    </row>
    <row r="19" spans="1:67">
      <c r="A19" s="84" t="s">
        <v>62</v>
      </c>
      <c r="B19" s="36">
        <v>2749</v>
      </c>
      <c r="C19" s="71">
        <v>2701</v>
      </c>
      <c r="D19" s="71">
        <v>2670</v>
      </c>
      <c r="E19" s="71">
        <v>2634</v>
      </c>
      <c r="F19" s="71">
        <v>2604</v>
      </c>
      <c r="G19" s="36">
        <v>2604</v>
      </c>
      <c r="H19" s="71">
        <v>2571</v>
      </c>
      <c r="I19" s="71">
        <v>2540</v>
      </c>
      <c r="J19" s="71">
        <v>2513</v>
      </c>
      <c r="K19" s="66">
        <v>2483</v>
      </c>
      <c r="L19" s="35">
        <v>2483</v>
      </c>
      <c r="M19" s="71">
        <v>2454</v>
      </c>
      <c r="N19" s="71">
        <v>2422</v>
      </c>
      <c r="O19" s="71">
        <v>2394</v>
      </c>
      <c r="P19" s="66">
        <v>2366</v>
      </c>
      <c r="Q19" s="35">
        <v>2366</v>
      </c>
      <c r="R19" s="71">
        <v>2358</v>
      </c>
      <c r="S19" s="71">
        <v>2356</v>
      </c>
      <c r="T19" s="71">
        <v>2363</v>
      </c>
      <c r="U19" s="66">
        <v>2367</v>
      </c>
      <c r="V19" s="35">
        <v>2367</v>
      </c>
      <c r="W19" s="71">
        <v>2368</v>
      </c>
      <c r="X19" s="71">
        <v>2335</v>
      </c>
      <c r="Y19" s="71">
        <v>2299</v>
      </c>
      <c r="Z19" s="66">
        <v>2268</v>
      </c>
      <c r="AA19" s="35">
        <v>2268</v>
      </c>
      <c r="AB19" s="71">
        <v>2242</v>
      </c>
      <c r="AC19" s="71">
        <v>2224</v>
      </c>
      <c r="AD19" s="71">
        <v>2223</v>
      </c>
      <c r="AE19" s="66">
        <v>2216</v>
      </c>
      <c r="AF19" s="35">
        <v>2216</v>
      </c>
      <c r="AG19" s="71">
        <v>2214</v>
      </c>
      <c r="AH19" s="71">
        <v>2205</v>
      </c>
      <c r="AI19" s="71">
        <v>2205</v>
      </c>
      <c r="AJ19" s="66">
        <v>2205</v>
      </c>
      <c r="AK19" s="35">
        <v>2205</v>
      </c>
      <c r="AL19" s="71">
        <v>2125</v>
      </c>
      <c r="AM19" s="71">
        <v>2117</v>
      </c>
      <c r="AN19" s="71">
        <v>2103</v>
      </c>
      <c r="AO19" s="66">
        <v>2087</v>
      </c>
      <c r="AP19" s="35">
        <v>2087</v>
      </c>
      <c r="AQ19" s="71">
        <v>2068</v>
      </c>
      <c r="AR19" s="71">
        <v>2050</v>
      </c>
      <c r="AS19" s="71">
        <v>2031</v>
      </c>
      <c r="AT19" s="66">
        <v>2010</v>
      </c>
      <c r="AU19" s="35">
        <v>2010</v>
      </c>
      <c r="AV19" s="71">
        <v>1986</v>
      </c>
      <c r="AW19" s="71">
        <v>1961</v>
      </c>
      <c r="AX19" s="71">
        <v>1942</v>
      </c>
      <c r="AY19" s="66">
        <v>1916</v>
      </c>
      <c r="AZ19" s="35">
        <v>1916</v>
      </c>
      <c r="BA19" s="71">
        <v>1889</v>
      </c>
      <c r="BB19" s="71">
        <v>1865</v>
      </c>
      <c r="BC19" s="71">
        <v>1843</v>
      </c>
      <c r="BD19" s="66">
        <f>BE19</f>
        <v>1818</v>
      </c>
      <c r="BE19" s="35">
        <v>1818</v>
      </c>
      <c r="BF19" s="71">
        <v>1792</v>
      </c>
      <c r="BG19" s="71">
        <v>1768</v>
      </c>
      <c r="BH19" s="71">
        <v>1743</v>
      </c>
      <c r="BI19" s="66">
        <f>BJ19</f>
        <v>1718</v>
      </c>
      <c r="BJ19" s="35">
        <v>1718</v>
      </c>
      <c r="BK19" s="71">
        <v>1694</v>
      </c>
      <c r="BL19" s="71">
        <v>1675</v>
      </c>
      <c r="BM19" s="71">
        <v>1653</v>
      </c>
      <c r="BN19" s="66">
        <f>BO19</f>
        <v>1639</v>
      </c>
      <c r="BO19" s="35">
        <v>1639</v>
      </c>
    </row>
    <row r="20" spans="1:67">
      <c r="A20" s="67" t="s">
        <v>7</v>
      </c>
      <c r="B20" s="23"/>
      <c r="C20" s="68"/>
      <c r="D20" s="68">
        <f>D19/C19-1</f>
        <v>-1.1477230655312809E-2</v>
      </c>
      <c r="E20" s="68">
        <f>E19/D19-1</f>
        <v>-1.3483146067415741E-2</v>
      </c>
      <c r="F20" s="68">
        <f>F19/E19-1</f>
        <v>-1.1389521640091105E-2</v>
      </c>
      <c r="G20" s="23"/>
      <c r="H20" s="68">
        <f>H19/F19-1</f>
        <v>-1.2672811059907807E-2</v>
      </c>
      <c r="I20" s="68">
        <f>I19/H19-1</f>
        <v>-1.2057565149747207E-2</v>
      </c>
      <c r="J20" s="68">
        <f>J19/I19-1</f>
        <v>-1.0629921259842523E-2</v>
      </c>
      <c r="K20" s="68">
        <f>K19/J19-1</f>
        <v>-1.1937922801432577E-2</v>
      </c>
      <c r="L20" s="26"/>
      <c r="M20" s="68">
        <f>M19/K19-1</f>
        <v>-1.1679420056383449E-2</v>
      </c>
      <c r="N20" s="68">
        <f>N19/M19-1</f>
        <v>-1.3039934800325947E-2</v>
      </c>
      <c r="O20" s="68">
        <f>O19/N19-1</f>
        <v>-1.1560693641618491E-2</v>
      </c>
      <c r="P20" s="68">
        <f>P19/O19-1</f>
        <v>-1.1695906432748537E-2</v>
      </c>
      <c r="Q20" s="26"/>
      <c r="R20" s="68">
        <f>R19/P19-1</f>
        <v>-3.3812341504648735E-3</v>
      </c>
      <c r="S20" s="68">
        <f>S19/R19-1</f>
        <v>-8.4817642069545673E-4</v>
      </c>
      <c r="T20" s="68">
        <f>T19/S19-1</f>
        <v>2.9711375212224667E-3</v>
      </c>
      <c r="U20" s="68">
        <f>U19/T19-1</f>
        <v>1.6927634363097521E-3</v>
      </c>
      <c r="V20" s="26"/>
      <c r="W20" s="68">
        <f>W19/U19-1</f>
        <v>4.2247570764675224E-4</v>
      </c>
      <c r="X20" s="68">
        <f>X19/W19-1</f>
        <v>-1.3935810810810856E-2</v>
      </c>
      <c r="Y20" s="68">
        <f>Y19/X19-1</f>
        <v>-1.5417558886509641E-2</v>
      </c>
      <c r="Z20" s="68">
        <f>Z19/Y19-1</f>
        <v>-1.3484123531970371E-2</v>
      </c>
      <c r="AA20" s="26"/>
      <c r="AB20" s="68">
        <f>AB19/Z19-1</f>
        <v>-1.1463844797178102E-2</v>
      </c>
      <c r="AC20" s="68">
        <f>AC19/AB19-1</f>
        <v>-8.0285459411240101E-3</v>
      </c>
      <c r="AD20" s="68">
        <f>AD19/AC19-1</f>
        <v>-4.4964028776983689E-4</v>
      </c>
      <c r="AE20" s="68">
        <f>AE19/AD19-1</f>
        <v>-3.1488978857400207E-3</v>
      </c>
      <c r="AF20" s="26"/>
      <c r="AG20" s="68">
        <f>AG19/AE19-1</f>
        <v>-9.0252707581228719E-4</v>
      </c>
      <c r="AH20" s="68">
        <f>AH19/AG19-1</f>
        <v>-4.0650406504064707E-3</v>
      </c>
      <c r="AI20" s="68">
        <f>AI19/AH19-1</f>
        <v>0</v>
      </c>
      <c r="AJ20" s="68">
        <f>AJ19/AI19-1</f>
        <v>0</v>
      </c>
      <c r="AK20" s="26"/>
      <c r="AL20" s="68">
        <f>AL19/AJ19-1</f>
        <v>-3.6281179138321962E-2</v>
      </c>
      <c r="AM20" s="68">
        <f>AM19/AL19-1</f>
        <v>-3.7647058823528923E-3</v>
      </c>
      <c r="AN20" s="68">
        <f>AN19/AM19-1</f>
        <v>-6.6131317902692333E-3</v>
      </c>
      <c r="AO20" s="68">
        <f>AO19/AN19-1</f>
        <v>-7.6081787922016586E-3</v>
      </c>
      <c r="AP20" s="26"/>
      <c r="AQ20" s="68">
        <f>AQ19/AO19-1</f>
        <v>-9.1039770004791576E-3</v>
      </c>
      <c r="AR20" s="68">
        <f>AR19/AQ19-1</f>
        <v>-8.704061895551285E-3</v>
      </c>
      <c r="AS20" s="68">
        <f>AS19/AR19-1</f>
        <v>-9.2682926829268375E-3</v>
      </c>
      <c r="AT20" s="68">
        <f>AT19/AS19-1</f>
        <v>-1.0339734121122546E-2</v>
      </c>
      <c r="AU20" s="26"/>
      <c r="AV20" s="68">
        <f>AV19/AT19-1</f>
        <v>-1.1940298507462699E-2</v>
      </c>
      <c r="AW20" s="68">
        <f>AW19/AV19-1</f>
        <v>-1.2588116817724093E-2</v>
      </c>
      <c r="AX20" s="68">
        <f>AX19/AW19-1</f>
        <v>-9.6889342172361559E-3</v>
      </c>
      <c r="AY20" s="68">
        <f>AY19/AX19-1</f>
        <v>-1.3388259526261548E-2</v>
      </c>
      <c r="AZ20" s="26"/>
      <c r="BA20" s="68">
        <f>BA19/AY19-1</f>
        <v>-1.4091858037578286E-2</v>
      </c>
      <c r="BB20" s="68">
        <f>BB19/BA19-1</f>
        <v>-1.2705134992059275E-2</v>
      </c>
      <c r="BC20" s="68">
        <f>BC19/BB19-1</f>
        <v>-1.1796246648793529E-2</v>
      </c>
      <c r="BD20" s="68">
        <f>BD19/BC19-1</f>
        <v>-1.3564839934888773E-2</v>
      </c>
      <c r="BE20" s="26"/>
      <c r="BF20" s="68">
        <f>BF19/BD19-1</f>
        <v>-1.4301430143014326E-2</v>
      </c>
      <c r="BG20" s="68">
        <f>BG19/BF19-1</f>
        <v>-1.3392857142857095E-2</v>
      </c>
      <c r="BH20" s="68">
        <f>BH19/BG19-1</f>
        <v>-1.4140271493212619E-2</v>
      </c>
      <c r="BI20" s="68">
        <f>BI19/BH19-1</f>
        <v>-1.4343086632243263E-2</v>
      </c>
      <c r="BJ20" s="26"/>
      <c r="BK20" s="68">
        <f>BK19/BI19-1</f>
        <v>-1.396973224679865E-2</v>
      </c>
      <c r="BL20" s="68">
        <f>BL19/BK19-1</f>
        <v>-1.1216056670602104E-2</v>
      </c>
      <c r="BM20" s="68">
        <f>BM19/BL19-1</f>
        <v>-1.3134328358208935E-2</v>
      </c>
      <c r="BN20" s="68">
        <f>BN19/BM19-1</f>
        <v>-8.4694494857834313E-3</v>
      </c>
      <c r="BO20" s="26"/>
    </row>
    <row r="21" spans="1:67">
      <c r="A21" s="67" t="s">
        <v>8</v>
      </c>
      <c r="B21" s="23"/>
      <c r="C21" s="69"/>
      <c r="D21" s="69"/>
      <c r="E21" s="69"/>
      <c r="F21" s="69"/>
      <c r="G21" s="23">
        <f t="shared" ref="G21:O21" si="28">G19/B19-1</f>
        <v>-5.2746453255729353E-2</v>
      </c>
      <c r="H21" s="69">
        <f t="shared" si="28"/>
        <v>-4.8130322102924894E-2</v>
      </c>
      <c r="I21" s="69">
        <f t="shared" si="28"/>
        <v>-4.8689138576779034E-2</v>
      </c>
      <c r="J21" s="69">
        <f t="shared" si="28"/>
        <v>-4.5937737281700808E-2</v>
      </c>
      <c r="K21" s="68">
        <f t="shared" si="28"/>
        <v>-4.64669738863287E-2</v>
      </c>
      <c r="L21" s="23">
        <f t="shared" si="28"/>
        <v>-4.64669738863287E-2</v>
      </c>
      <c r="M21" s="69">
        <f t="shared" si="28"/>
        <v>-4.5507584597432871E-2</v>
      </c>
      <c r="N21" s="69">
        <f t="shared" si="28"/>
        <v>-4.6456692913385833E-2</v>
      </c>
      <c r="O21" s="69">
        <f t="shared" si="28"/>
        <v>-4.7353760445682402E-2</v>
      </c>
      <c r="P21" s="68">
        <f t="shared" ref="P21:Y21" si="29">P19/K19-1</f>
        <v>-4.7120418848167533E-2</v>
      </c>
      <c r="Q21" s="23">
        <f t="shared" si="29"/>
        <v>-4.7120418848167533E-2</v>
      </c>
      <c r="R21" s="69">
        <v>0.15</v>
      </c>
      <c r="S21" s="69">
        <f t="shared" si="29"/>
        <v>-2.725020644095788E-2</v>
      </c>
      <c r="T21" s="69">
        <f t="shared" si="29"/>
        <v>-1.294903926482871E-2</v>
      </c>
      <c r="U21" s="68">
        <f t="shared" si="29"/>
        <v>4.226542688081647E-4</v>
      </c>
      <c r="V21" s="23">
        <f t="shared" si="29"/>
        <v>4.226542688081647E-4</v>
      </c>
      <c r="W21" s="69">
        <f t="shared" si="29"/>
        <v>4.2408821034776167E-3</v>
      </c>
      <c r="X21" s="69">
        <f t="shared" si="29"/>
        <v>-8.9134125636671779E-3</v>
      </c>
      <c r="Y21" s="69">
        <f t="shared" si="29"/>
        <v>-2.7084214980956367E-2</v>
      </c>
      <c r="Z21" s="68">
        <f t="shared" ref="Z21:AI21" si="30">Z19/U19-1</f>
        <v>-4.1825095057034245E-2</v>
      </c>
      <c r="AA21" s="23">
        <f t="shared" si="30"/>
        <v>-4.1825095057034245E-2</v>
      </c>
      <c r="AB21" s="69">
        <f t="shared" si="30"/>
        <v>-5.3209459459459429E-2</v>
      </c>
      <c r="AC21" s="69">
        <f t="shared" si="30"/>
        <v>-4.7537473233404737E-2</v>
      </c>
      <c r="AD21" s="69">
        <f t="shared" si="30"/>
        <v>-3.3057851239669422E-2</v>
      </c>
      <c r="AE21" s="68">
        <f t="shared" si="30"/>
        <v>-2.2927689594356315E-2</v>
      </c>
      <c r="AF21" s="23">
        <f t="shared" si="30"/>
        <v>-2.2927689594356315E-2</v>
      </c>
      <c r="AG21" s="69">
        <f t="shared" si="30"/>
        <v>-1.2488849241748423E-2</v>
      </c>
      <c r="AH21" s="69">
        <f t="shared" si="30"/>
        <v>-8.5431654676259017E-3</v>
      </c>
      <c r="AI21" s="69">
        <f t="shared" si="30"/>
        <v>-8.0971659919027994E-3</v>
      </c>
      <c r="AJ21" s="68">
        <f t="shared" ref="AJ21:AS21" si="31">AJ19/AE19-1</f>
        <v>-4.9638989169674685E-3</v>
      </c>
      <c r="AK21" s="23">
        <f t="shared" si="31"/>
        <v>-4.9638989169674685E-3</v>
      </c>
      <c r="AL21" s="69">
        <f t="shared" si="31"/>
        <v>-4.0198735320686518E-2</v>
      </c>
      <c r="AM21" s="69">
        <f t="shared" si="31"/>
        <v>-3.990929705215418E-2</v>
      </c>
      <c r="AN21" s="69">
        <f t="shared" si="31"/>
        <v>-4.6258503401360507E-2</v>
      </c>
      <c r="AO21" s="68">
        <f t="shared" si="31"/>
        <v>-5.3514739229024944E-2</v>
      </c>
      <c r="AP21" s="23">
        <f t="shared" si="31"/>
        <v>-5.3514739229024944E-2</v>
      </c>
      <c r="AQ21" s="69">
        <f t="shared" si="31"/>
        <v>-2.6823529411764691E-2</v>
      </c>
      <c r="AR21" s="69">
        <f t="shared" si="31"/>
        <v>-3.1648559282002831E-2</v>
      </c>
      <c r="AS21" s="69">
        <f t="shared" si="31"/>
        <v>-3.4236804564907297E-2</v>
      </c>
      <c r="AT21" s="68">
        <f t="shared" ref="AT21" si="32">AT19/AO19-1</f>
        <v>-3.6895064686152335E-2</v>
      </c>
      <c r="AU21" s="23">
        <f t="shared" ref="AU21:AX21" si="33">AU19/AP19-1</f>
        <v>-3.6895064686152335E-2</v>
      </c>
      <c r="AV21" s="69">
        <f t="shared" si="33"/>
        <v>-3.9651837524178002E-2</v>
      </c>
      <c r="AW21" s="69">
        <f t="shared" si="33"/>
        <v>-4.3414634146341502E-2</v>
      </c>
      <c r="AX21" s="69">
        <f t="shared" si="33"/>
        <v>-4.3820777941900535E-2</v>
      </c>
      <c r="AY21" s="68">
        <f t="shared" ref="AY21" si="34">AY19/AT19-1</f>
        <v>-4.676616915422882E-2</v>
      </c>
      <c r="AZ21" s="23">
        <f t="shared" ref="AZ21:BC21" si="35">AZ19/AU19-1</f>
        <v>-4.676616915422882E-2</v>
      </c>
      <c r="BA21" s="69">
        <f t="shared" si="35"/>
        <v>-4.8841893252769331E-2</v>
      </c>
      <c r="BB21" s="69">
        <f t="shared" si="35"/>
        <v>-4.8954614992350876E-2</v>
      </c>
      <c r="BC21" s="69">
        <f t="shared" si="35"/>
        <v>-5.09783728115345E-2</v>
      </c>
      <c r="BD21" s="68">
        <f t="shared" ref="BD21" si="36">BD19/AY19-1</f>
        <v>-5.1148225469728636E-2</v>
      </c>
      <c r="BE21" s="23">
        <f t="shared" ref="BE21:BH21" si="37">BE19/AZ19-1</f>
        <v>-5.1148225469728636E-2</v>
      </c>
      <c r="BF21" s="69">
        <f t="shared" si="37"/>
        <v>-5.1349920592906328E-2</v>
      </c>
      <c r="BG21" s="69">
        <f t="shared" si="37"/>
        <v>-5.2010723860589803E-2</v>
      </c>
      <c r="BH21" s="69">
        <f t="shared" si="37"/>
        <v>-5.4259359739555091E-2</v>
      </c>
      <c r="BI21" s="68">
        <f t="shared" ref="BI21" si="38">BI19/BD19-1</f>
        <v>-5.5005500550055042E-2</v>
      </c>
      <c r="BJ21" s="23">
        <f t="shared" ref="BJ21:BM21" si="39">BJ19/BE19-1</f>
        <v>-5.5005500550055042E-2</v>
      </c>
      <c r="BK21" s="69">
        <f t="shared" si="39"/>
        <v>-5.46875E-2</v>
      </c>
      <c r="BL21" s="69">
        <f t="shared" si="39"/>
        <v>-5.2601809954751166E-2</v>
      </c>
      <c r="BM21" s="69">
        <f t="shared" si="39"/>
        <v>-5.1635111876075723E-2</v>
      </c>
      <c r="BN21" s="68">
        <f t="shared" ref="BN21" si="40">BN19/BI19-1</f>
        <v>-4.5983701979045444E-2</v>
      </c>
      <c r="BO21" s="23">
        <f t="shared" ref="BO21" si="41">BO19/BJ19-1</f>
        <v>-4.5983701979045444E-2</v>
      </c>
    </row>
    <row r="22" spans="1:67">
      <c r="A22" s="67" t="s">
        <v>166</v>
      </c>
      <c r="B22" s="23"/>
      <c r="C22" s="69"/>
      <c r="D22" s="69"/>
      <c r="E22" s="69"/>
      <c r="F22" s="69"/>
      <c r="G22" s="183">
        <f>G19-B19</f>
        <v>-145</v>
      </c>
      <c r="H22" s="69"/>
      <c r="I22" s="69"/>
      <c r="J22" s="69"/>
      <c r="K22" s="68"/>
      <c r="L22" s="183">
        <f>L19-G19</f>
        <v>-121</v>
      </c>
      <c r="M22" s="69"/>
      <c r="N22" s="69"/>
      <c r="O22" s="69"/>
      <c r="P22" s="68"/>
      <c r="Q22" s="183">
        <f>Q19-L19</f>
        <v>-117</v>
      </c>
      <c r="R22" s="69"/>
      <c r="S22" s="69"/>
      <c r="T22" s="69"/>
      <c r="U22" s="68"/>
      <c r="V22" s="183">
        <f>V19-Q19</f>
        <v>1</v>
      </c>
      <c r="W22" s="69"/>
      <c r="X22" s="69"/>
      <c r="Y22" s="69"/>
      <c r="Z22" s="68"/>
      <c r="AA22" s="183">
        <f>AA19-V19</f>
        <v>-99</v>
      </c>
      <c r="AB22" s="69"/>
      <c r="AC22" s="69"/>
      <c r="AD22" s="69"/>
      <c r="AE22" s="68"/>
      <c r="AF22" s="183">
        <f>AF19-AA19</f>
        <v>-52</v>
      </c>
      <c r="AG22" s="69"/>
      <c r="AH22" s="69"/>
      <c r="AI22" s="69"/>
      <c r="AJ22" s="68"/>
      <c r="AK22" s="183">
        <f>AK19-AF19</f>
        <v>-11</v>
      </c>
      <c r="AL22" s="180"/>
      <c r="AM22" s="180">
        <f>AM19-AL19</f>
        <v>-8</v>
      </c>
      <c r="AN22" s="180">
        <f t="shared" ref="AN22:AO22" si="42">AN19-AM19</f>
        <v>-14</v>
      </c>
      <c r="AO22" s="180">
        <f t="shared" si="42"/>
        <v>-16</v>
      </c>
      <c r="AP22" s="183">
        <f>AP19-AK19</f>
        <v>-118</v>
      </c>
      <c r="AQ22" s="182">
        <f>AQ19-AO19</f>
        <v>-19</v>
      </c>
      <c r="AR22" s="182">
        <f>AR19-AQ19</f>
        <v>-18</v>
      </c>
      <c r="AS22" s="182">
        <f t="shared" ref="AS22:AT22" si="43">AS19-AR19</f>
        <v>-19</v>
      </c>
      <c r="AT22" s="182">
        <f t="shared" si="43"/>
        <v>-21</v>
      </c>
      <c r="AU22" s="183">
        <f>AU19-AP19</f>
        <v>-77</v>
      </c>
      <c r="AV22" s="182">
        <f>AV19-AT19</f>
        <v>-24</v>
      </c>
      <c r="AW22" s="182">
        <f>AW19-AV19</f>
        <v>-25</v>
      </c>
      <c r="AX22" s="182">
        <f>AX19-AW19</f>
        <v>-19</v>
      </c>
      <c r="AY22" s="182">
        <f t="shared" ref="AY22" si="44">AY19-AX19</f>
        <v>-26</v>
      </c>
      <c r="AZ22" s="183">
        <f>AZ19-AU19</f>
        <v>-94</v>
      </c>
      <c r="BA22" s="182">
        <f>BA19-AY19</f>
        <v>-27</v>
      </c>
      <c r="BB22" s="182">
        <f>BB19-BA19</f>
        <v>-24</v>
      </c>
      <c r="BC22" s="182">
        <f>BC19-BB19</f>
        <v>-22</v>
      </c>
      <c r="BD22" s="182">
        <f t="shared" ref="BD22" si="45">BD19-BC19</f>
        <v>-25</v>
      </c>
      <c r="BE22" s="183">
        <f>BE19-AZ19</f>
        <v>-98</v>
      </c>
      <c r="BF22" s="182">
        <f>BF19-BD19</f>
        <v>-26</v>
      </c>
      <c r="BG22" s="182">
        <f>BG19-BF19</f>
        <v>-24</v>
      </c>
      <c r="BH22" s="182">
        <f>BH19-BG19</f>
        <v>-25</v>
      </c>
      <c r="BI22" s="182">
        <f t="shared" ref="BI22" si="46">BI19-BH19</f>
        <v>-25</v>
      </c>
      <c r="BJ22" s="183">
        <f>BJ19-BE19</f>
        <v>-100</v>
      </c>
      <c r="BK22" s="182">
        <f>BK19-BI19</f>
        <v>-24</v>
      </c>
      <c r="BL22" s="182">
        <f>BL19-BK19</f>
        <v>-19</v>
      </c>
      <c r="BM22" s="182">
        <f>BM19-BL19</f>
        <v>-22</v>
      </c>
      <c r="BN22" s="182">
        <f t="shared" ref="BN22" si="47">BN19-BM19</f>
        <v>-14</v>
      </c>
      <c r="BO22" s="183">
        <f>BO19-BJ19</f>
        <v>-79</v>
      </c>
    </row>
    <row r="23" spans="1:67">
      <c r="A23" s="67"/>
      <c r="B23" s="23"/>
      <c r="C23" s="69"/>
      <c r="D23" s="69"/>
      <c r="E23" s="69"/>
      <c r="F23" s="69"/>
      <c r="G23" s="23"/>
      <c r="H23" s="69"/>
      <c r="I23" s="69"/>
      <c r="J23" s="69"/>
      <c r="K23" s="68"/>
      <c r="L23" s="23"/>
      <c r="M23" s="69"/>
      <c r="N23" s="69"/>
      <c r="O23" s="69"/>
      <c r="P23" s="68"/>
      <c r="Q23" s="23"/>
      <c r="R23" s="69"/>
      <c r="S23" s="69"/>
      <c r="T23" s="69"/>
      <c r="U23" s="68"/>
      <c r="V23" s="23"/>
      <c r="W23" s="69"/>
      <c r="X23" s="69"/>
      <c r="Y23" s="69"/>
      <c r="Z23" s="68"/>
      <c r="AA23" s="23"/>
      <c r="AB23" s="69"/>
      <c r="AC23" s="69"/>
      <c r="AD23" s="69"/>
      <c r="AE23" s="68"/>
      <c r="AF23" s="23"/>
      <c r="AG23" s="69"/>
      <c r="AH23" s="69"/>
      <c r="AI23" s="69"/>
      <c r="AJ23" s="68"/>
      <c r="AK23" s="23"/>
      <c r="AL23" s="69"/>
      <c r="AM23" s="69"/>
      <c r="AN23" s="69"/>
      <c r="AO23" s="68"/>
      <c r="AP23" s="23"/>
      <c r="AQ23" s="69"/>
      <c r="AR23" s="69"/>
      <c r="AS23" s="69"/>
      <c r="AT23" s="68"/>
      <c r="AU23" s="23"/>
      <c r="AV23" s="69"/>
      <c r="AW23" s="69"/>
      <c r="AX23" s="69"/>
      <c r="AY23" s="68"/>
      <c r="AZ23" s="23"/>
      <c r="BA23" s="69"/>
      <c r="BB23" s="69"/>
      <c r="BC23" s="69"/>
      <c r="BD23" s="68"/>
      <c r="BE23" s="23"/>
      <c r="BF23" s="69"/>
      <c r="BG23" s="69"/>
      <c r="BH23" s="69"/>
      <c r="BI23" s="68"/>
      <c r="BJ23" s="23"/>
      <c r="BK23" s="69"/>
      <c r="BL23" s="69"/>
      <c r="BM23" s="69"/>
      <c r="BN23" s="68"/>
      <c r="BO23" s="23"/>
    </row>
    <row r="24" spans="1:67">
      <c r="A24" s="177" t="s">
        <v>165</v>
      </c>
      <c r="B24" s="95" t="s">
        <v>40</v>
      </c>
      <c r="C24" s="71">
        <v>114</v>
      </c>
      <c r="D24" s="71">
        <v>109</v>
      </c>
      <c r="E24" s="71">
        <v>113</v>
      </c>
      <c r="F24" s="71">
        <v>109</v>
      </c>
      <c r="G24" s="60">
        <v>111</v>
      </c>
      <c r="H24" s="71">
        <v>108</v>
      </c>
      <c r="I24" s="71">
        <v>108</v>
      </c>
      <c r="J24" s="71">
        <v>111</v>
      </c>
      <c r="K24" s="66">
        <v>110</v>
      </c>
      <c r="L24" s="27">
        <v>109</v>
      </c>
      <c r="M24" s="71">
        <v>106</v>
      </c>
      <c r="N24" s="71">
        <v>109</v>
      </c>
      <c r="O24" s="71">
        <v>109</v>
      </c>
      <c r="P24" s="66">
        <v>111</v>
      </c>
      <c r="Q24" s="27">
        <v>109</v>
      </c>
      <c r="R24" s="71">
        <v>87</v>
      </c>
      <c r="S24" s="71">
        <v>86</v>
      </c>
      <c r="T24" s="71">
        <v>87</v>
      </c>
      <c r="U24" s="66">
        <v>78</v>
      </c>
      <c r="V24" s="27">
        <v>85</v>
      </c>
      <c r="W24" s="71">
        <v>83</v>
      </c>
      <c r="X24" s="71">
        <v>81</v>
      </c>
      <c r="Y24" s="71">
        <v>80</v>
      </c>
      <c r="Z24" s="66">
        <v>78</v>
      </c>
      <c r="AA24" s="27">
        <v>81</v>
      </c>
      <c r="AB24" s="71">
        <v>75</v>
      </c>
      <c r="AC24" s="71">
        <v>75</v>
      </c>
      <c r="AD24" s="71">
        <v>73</v>
      </c>
      <c r="AE24" s="66">
        <v>70</v>
      </c>
      <c r="AF24" s="27">
        <v>74</v>
      </c>
      <c r="AG24" s="71">
        <v>64</v>
      </c>
      <c r="AH24" s="71">
        <v>63</v>
      </c>
      <c r="AI24" s="71">
        <v>63</v>
      </c>
      <c r="AJ24" s="66">
        <v>62</v>
      </c>
      <c r="AK24" s="27">
        <v>63</v>
      </c>
      <c r="AL24" s="71">
        <v>60</v>
      </c>
      <c r="AM24" s="71">
        <v>59</v>
      </c>
      <c r="AN24" s="71">
        <v>59</v>
      </c>
      <c r="AO24" s="66">
        <v>59</v>
      </c>
      <c r="AP24" s="27">
        <v>59</v>
      </c>
      <c r="AQ24" s="71">
        <v>58</v>
      </c>
      <c r="AR24" s="71">
        <v>57</v>
      </c>
      <c r="AS24" s="71">
        <v>57</v>
      </c>
      <c r="AT24" s="66">
        <v>55</v>
      </c>
      <c r="AU24" s="27">
        <v>57</v>
      </c>
      <c r="AV24" s="71">
        <v>56</v>
      </c>
      <c r="AW24" s="71">
        <v>54</v>
      </c>
      <c r="AX24" s="71">
        <v>54</v>
      </c>
      <c r="AY24" s="66">
        <v>53</v>
      </c>
      <c r="AZ24" s="27">
        <v>54</v>
      </c>
      <c r="BA24" s="71">
        <v>53</v>
      </c>
      <c r="BB24" s="71">
        <v>52</v>
      </c>
      <c r="BC24" s="71">
        <v>51</v>
      </c>
      <c r="BD24" s="66">
        <v>51</v>
      </c>
      <c r="BE24" s="27">
        <v>52</v>
      </c>
      <c r="BF24" s="71">
        <v>50</v>
      </c>
      <c r="BG24" s="71">
        <v>49</v>
      </c>
      <c r="BH24" s="71">
        <v>49</v>
      </c>
      <c r="BI24" s="66">
        <v>48</v>
      </c>
      <c r="BJ24" s="27">
        <v>49</v>
      </c>
      <c r="BK24" s="71">
        <v>48</v>
      </c>
      <c r="BL24" s="71">
        <v>51</v>
      </c>
      <c r="BM24" s="71">
        <v>51</v>
      </c>
      <c r="BN24" s="66">
        <v>50</v>
      </c>
      <c r="BO24" s="27">
        <v>50</v>
      </c>
    </row>
    <row r="25" spans="1:67">
      <c r="A25" s="67" t="s">
        <v>7</v>
      </c>
      <c r="B25" s="23"/>
      <c r="C25" s="68"/>
      <c r="D25" s="68">
        <f>D24/C24-1</f>
        <v>-4.3859649122807043E-2</v>
      </c>
      <c r="E25" s="68">
        <f>E24/D24-1</f>
        <v>3.669724770642202E-2</v>
      </c>
      <c r="F25" s="68">
        <f>F24/E24-1</f>
        <v>-3.539823008849563E-2</v>
      </c>
      <c r="G25" s="23"/>
      <c r="H25" s="68">
        <f>H24/F24-1</f>
        <v>-9.1743119266054496E-3</v>
      </c>
      <c r="I25" s="68">
        <f>I24/H24-1</f>
        <v>0</v>
      </c>
      <c r="J25" s="68">
        <f>J24/I24-1</f>
        <v>2.7777777777777679E-2</v>
      </c>
      <c r="K25" s="68">
        <f>K24/J24-1</f>
        <v>-9.009009009009028E-3</v>
      </c>
      <c r="L25" s="26"/>
      <c r="M25" s="68">
        <f>M24/K24-1</f>
        <v>-3.6363636363636376E-2</v>
      </c>
      <c r="N25" s="68">
        <f>N24/M24-1</f>
        <v>2.8301886792452935E-2</v>
      </c>
      <c r="O25" s="68">
        <f>O24/N24-1</f>
        <v>0</v>
      </c>
      <c r="P25" s="68">
        <f>P24/O24-1</f>
        <v>1.8348623853210899E-2</v>
      </c>
      <c r="Q25" s="26"/>
      <c r="R25" s="68">
        <f>R24/P24-1</f>
        <v>-0.21621621621621623</v>
      </c>
      <c r="S25" s="68">
        <f>S24/R24-1</f>
        <v>-1.1494252873563204E-2</v>
      </c>
      <c r="T25" s="68">
        <f>T24/S24-1</f>
        <v>1.1627906976744207E-2</v>
      </c>
      <c r="U25" s="68">
        <f>U24/T24-1</f>
        <v>-0.10344827586206895</v>
      </c>
      <c r="V25" s="26"/>
      <c r="W25" s="68">
        <f>W24/U24-1</f>
        <v>6.4102564102564097E-2</v>
      </c>
      <c r="X25" s="68">
        <f>X24/W24-1</f>
        <v>-2.4096385542168641E-2</v>
      </c>
      <c r="Y25" s="68">
        <f>Y24/X24-1</f>
        <v>-1.2345679012345734E-2</v>
      </c>
      <c r="Z25" s="68">
        <f>Z24/Y24-1</f>
        <v>-2.5000000000000022E-2</v>
      </c>
      <c r="AA25" s="26"/>
      <c r="AB25" s="68">
        <f>AB24/Z24-1</f>
        <v>-3.8461538461538436E-2</v>
      </c>
      <c r="AC25" s="68">
        <f>AC24/AB24-1</f>
        <v>0</v>
      </c>
      <c r="AD25" s="68">
        <f>AD24/AC24-1</f>
        <v>-2.6666666666666616E-2</v>
      </c>
      <c r="AE25" s="68">
        <f>AE24/AD24-1</f>
        <v>-4.1095890410958957E-2</v>
      </c>
      <c r="AF25" s="26"/>
      <c r="AG25" s="68">
        <f>AG24/AE24-1</f>
        <v>-8.5714285714285743E-2</v>
      </c>
      <c r="AH25" s="68">
        <f>AH24/AG24-1</f>
        <v>-1.5625E-2</v>
      </c>
      <c r="AI25" s="68">
        <f>AI24/AH24-1</f>
        <v>0</v>
      </c>
      <c r="AJ25" s="68">
        <f>AJ24/AI24-1</f>
        <v>-1.5873015873015928E-2</v>
      </c>
      <c r="AK25" s="26"/>
      <c r="AL25" s="68">
        <f>AL24/AJ24-1</f>
        <v>-3.2258064516129004E-2</v>
      </c>
      <c r="AM25" s="68">
        <f>AM24/AL24-1</f>
        <v>-1.6666666666666718E-2</v>
      </c>
      <c r="AN25" s="68">
        <f>AN24/AM24-1</f>
        <v>0</v>
      </c>
      <c r="AO25" s="68">
        <f>AO24/AN24-1</f>
        <v>0</v>
      </c>
      <c r="AP25" s="26"/>
      <c r="AQ25" s="68">
        <f>AQ24/AO24-1</f>
        <v>-1.6949152542372836E-2</v>
      </c>
      <c r="AR25" s="68">
        <f>AR24/AQ24-1</f>
        <v>-1.7241379310344862E-2</v>
      </c>
      <c r="AS25" s="68">
        <f>AS24/AR24-1</f>
        <v>0</v>
      </c>
      <c r="AT25" s="68">
        <f>AT24/AS24-1</f>
        <v>-3.5087719298245612E-2</v>
      </c>
      <c r="AU25" s="26"/>
      <c r="AV25" s="68">
        <f>AV24/AT24-1</f>
        <v>1.8181818181818077E-2</v>
      </c>
      <c r="AW25" s="68">
        <f>AW24/AV24-1</f>
        <v>-3.5714285714285698E-2</v>
      </c>
      <c r="AX25" s="68">
        <f>AX24/AW24-1</f>
        <v>0</v>
      </c>
      <c r="AY25" s="68">
        <f>AY24/AX24-1</f>
        <v>-1.851851851851849E-2</v>
      </c>
      <c r="AZ25" s="26"/>
      <c r="BA25" s="68">
        <f>BA24/AY24-1</f>
        <v>0</v>
      </c>
      <c r="BB25" s="68">
        <f>BB24/BA24-1</f>
        <v>-1.8867924528301883E-2</v>
      </c>
      <c r="BC25" s="68">
        <f>BC24/BB24-1</f>
        <v>-1.9230769230769273E-2</v>
      </c>
      <c r="BD25" s="68">
        <f>BD24/BC24-1</f>
        <v>0</v>
      </c>
      <c r="BE25" s="26"/>
      <c r="BF25" s="68">
        <f>BF24/BD24-1</f>
        <v>-1.9607843137254943E-2</v>
      </c>
      <c r="BG25" s="68">
        <f>BG24/BF24-1</f>
        <v>-2.0000000000000018E-2</v>
      </c>
      <c r="BH25" s="68">
        <f>BH24/BG24-1</f>
        <v>0</v>
      </c>
      <c r="BI25" s="68">
        <f>BI24/BH24-1</f>
        <v>-2.0408163265306145E-2</v>
      </c>
      <c r="BJ25" s="26"/>
      <c r="BK25" s="68">
        <f>BK24/BI24-1</f>
        <v>0</v>
      </c>
      <c r="BL25" s="68">
        <f>BL24/BK24-1</f>
        <v>6.25E-2</v>
      </c>
      <c r="BM25" s="68">
        <f>BM24/BL24-1</f>
        <v>0</v>
      </c>
      <c r="BN25" s="68">
        <f>BN24/BM24-1</f>
        <v>-1.9607843137254943E-2</v>
      </c>
      <c r="BO25" s="26"/>
    </row>
    <row r="26" spans="1:67">
      <c r="A26" s="67" t="s">
        <v>8</v>
      </c>
      <c r="B26" s="23"/>
      <c r="C26" s="69"/>
      <c r="D26" s="69"/>
      <c r="E26" s="69"/>
      <c r="F26" s="69"/>
      <c r="G26" s="23"/>
      <c r="H26" s="69">
        <f t="shared" ref="H26:AI26" si="48">H24/C24-1</f>
        <v>-5.2631578947368474E-2</v>
      </c>
      <c r="I26" s="69">
        <f t="shared" si="48"/>
        <v>-9.1743119266054496E-3</v>
      </c>
      <c r="J26" s="69">
        <f t="shared" si="48"/>
        <v>-1.7699115044247815E-2</v>
      </c>
      <c r="K26" s="68">
        <f t="shared" si="48"/>
        <v>9.1743119266054496E-3</v>
      </c>
      <c r="L26" s="23">
        <f t="shared" si="48"/>
        <v>-1.8018018018018056E-2</v>
      </c>
      <c r="M26" s="69">
        <f t="shared" si="48"/>
        <v>-1.851851851851849E-2</v>
      </c>
      <c r="N26" s="69">
        <f t="shared" si="48"/>
        <v>9.2592592592593004E-3</v>
      </c>
      <c r="O26" s="69">
        <f t="shared" si="48"/>
        <v>-1.8018018018018056E-2</v>
      </c>
      <c r="P26" s="68">
        <f t="shared" si="48"/>
        <v>9.0909090909090384E-3</v>
      </c>
      <c r="Q26" s="23">
        <f t="shared" si="48"/>
        <v>0</v>
      </c>
      <c r="R26" s="69">
        <f t="shared" si="48"/>
        <v>-0.17924528301886788</v>
      </c>
      <c r="S26" s="69">
        <f t="shared" si="48"/>
        <v>-0.21100917431192656</v>
      </c>
      <c r="T26" s="69">
        <f t="shared" si="48"/>
        <v>-0.20183486238532111</v>
      </c>
      <c r="U26" s="68">
        <f t="shared" si="48"/>
        <v>-0.29729729729729726</v>
      </c>
      <c r="V26" s="23">
        <f t="shared" si="48"/>
        <v>-0.22018348623853212</v>
      </c>
      <c r="W26" s="69">
        <f t="shared" si="48"/>
        <v>-4.5977011494252928E-2</v>
      </c>
      <c r="X26" s="69">
        <f t="shared" si="48"/>
        <v>-5.8139534883720922E-2</v>
      </c>
      <c r="Y26" s="69">
        <f t="shared" si="48"/>
        <v>-8.0459770114942541E-2</v>
      </c>
      <c r="Z26" s="68">
        <f t="shared" si="48"/>
        <v>0</v>
      </c>
      <c r="AA26" s="23">
        <f t="shared" si="48"/>
        <v>-4.705882352941182E-2</v>
      </c>
      <c r="AB26" s="69">
        <f t="shared" si="48"/>
        <v>-9.6385542168674676E-2</v>
      </c>
      <c r="AC26" s="69">
        <f t="shared" si="48"/>
        <v>-7.407407407407407E-2</v>
      </c>
      <c r="AD26" s="69">
        <f t="shared" si="48"/>
        <v>-8.7500000000000022E-2</v>
      </c>
      <c r="AE26" s="68">
        <f t="shared" si="48"/>
        <v>-0.10256410256410253</v>
      </c>
      <c r="AF26" s="23">
        <f t="shared" si="48"/>
        <v>-8.6419753086419804E-2</v>
      </c>
      <c r="AG26" s="69">
        <f t="shared" si="48"/>
        <v>-0.14666666666666661</v>
      </c>
      <c r="AH26" s="69">
        <f t="shared" si="48"/>
        <v>-0.16000000000000003</v>
      </c>
      <c r="AI26" s="69">
        <f t="shared" si="48"/>
        <v>-0.13698630136986301</v>
      </c>
      <c r="AJ26" s="68">
        <f t="shared" ref="AJ26:AS26" si="49">AJ24/AE24-1</f>
        <v>-0.11428571428571432</v>
      </c>
      <c r="AK26" s="23">
        <f t="shared" si="49"/>
        <v>-0.14864864864864868</v>
      </c>
      <c r="AL26" s="69">
        <f t="shared" si="49"/>
        <v>-6.25E-2</v>
      </c>
      <c r="AM26" s="69">
        <f t="shared" si="49"/>
        <v>-6.3492063492063489E-2</v>
      </c>
      <c r="AN26" s="69">
        <f t="shared" si="49"/>
        <v>-6.3492063492063489E-2</v>
      </c>
      <c r="AO26" s="68">
        <f t="shared" si="49"/>
        <v>-4.8387096774193505E-2</v>
      </c>
      <c r="AP26" s="23">
        <f t="shared" si="49"/>
        <v>-6.3492063492063489E-2</v>
      </c>
      <c r="AQ26" s="69">
        <f t="shared" si="49"/>
        <v>-3.3333333333333326E-2</v>
      </c>
      <c r="AR26" s="69">
        <f t="shared" si="49"/>
        <v>-3.3898305084745783E-2</v>
      </c>
      <c r="AS26" s="69">
        <f t="shared" si="49"/>
        <v>-3.3898305084745783E-2</v>
      </c>
      <c r="AT26" s="68">
        <f t="shared" ref="AT26" si="50">AT24/AO24-1</f>
        <v>-6.7796610169491567E-2</v>
      </c>
      <c r="AU26" s="23">
        <f t="shared" ref="AU26:AX26" si="51">AU24/AP24-1</f>
        <v>-3.3898305084745783E-2</v>
      </c>
      <c r="AV26" s="69">
        <f t="shared" si="51"/>
        <v>-3.4482758620689613E-2</v>
      </c>
      <c r="AW26" s="69">
        <f t="shared" si="51"/>
        <v>-5.2631578947368474E-2</v>
      </c>
      <c r="AX26" s="69">
        <f t="shared" si="51"/>
        <v>-5.2631578947368474E-2</v>
      </c>
      <c r="AY26" s="68">
        <f t="shared" ref="AY26" si="52">AY24/AT24-1</f>
        <v>-3.6363636363636376E-2</v>
      </c>
      <c r="AZ26" s="23">
        <f t="shared" ref="AZ26:BC26" si="53">AZ24/AU24-1</f>
        <v>-5.2631578947368474E-2</v>
      </c>
      <c r="BA26" s="69">
        <f t="shared" si="53"/>
        <v>-5.3571428571428603E-2</v>
      </c>
      <c r="BB26" s="69">
        <f t="shared" si="53"/>
        <v>-3.703703703703709E-2</v>
      </c>
      <c r="BC26" s="69">
        <f t="shared" si="53"/>
        <v>-5.555555555555558E-2</v>
      </c>
      <c r="BD26" s="68">
        <f t="shared" ref="BD26" si="54">BD24/AY24-1</f>
        <v>-3.7735849056603765E-2</v>
      </c>
      <c r="BE26" s="23">
        <f t="shared" ref="BE26:BH26" si="55">BE24/AZ24-1</f>
        <v>-3.703703703703709E-2</v>
      </c>
      <c r="BF26" s="69">
        <f t="shared" si="55"/>
        <v>-5.6603773584905648E-2</v>
      </c>
      <c r="BG26" s="69">
        <f t="shared" si="55"/>
        <v>-5.7692307692307709E-2</v>
      </c>
      <c r="BH26" s="69">
        <f t="shared" si="55"/>
        <v>-3.9215686274509776E-2</v>
      </c>
      <c r="BI26" s="68">
        <f t="shared" ref="BI26" si="56">BI24/BD24-1</f>
        <v>-5.8823529411764719E-2</v>
      </c>
      <c r="BJ26" s="23">
        <f t="shared" ref="BJ26:BM26" si="57">BJ24/BE24-1</f>
        <v>-5.7692307692307709E-2</v>
      </c>
      <c r="BK26" s="69">
        <f t="shared" si="57"/>
        <v>-4.0000000000000036E-2</v>
      </c>
      <c r="BL26" s="69">
        <f t="shared" si="57"/>
        <v>4.081632653061229E-2</v>
      </c>
      <c r="BM26" s="69">
        <f t="shared" si="57"/>
        <v>4.081632653061229E-2</v>
      </c>
      <c r="BN26" s="68">
        <f t="shared" ref="BN26" si="58">BN24/BI24-1</f>
        <v>4.1666666666666741E-2</v>
      </c>
      <c r="BO26" s="23">
        <f t="shared" ref="BO26" si="59">BO24/BJ24-1</f>
        <v>2.0408163265306145E-2</v>
      </c>
    </row>
    <row r="27" spans="1:67" ht="3" customHeight="1">
      <c r="A27" s="67"/>
      <c r="B27" s="23"/>
      <c r="C27" s="69"/>
      <c r="D27" s="69"/>
      <c r="E27" s="69"/>
      <c r="F27" s="69"/>
      <c r="G27" s="23"/>
      <c r="H27" s="69"/>
      <c r="I27" s="69"/>
      <c r="J27" s="69"/>
      <c r="K27" s="68"/>
      <c r="L27" s="23"/>
      <c r="M27" s="69"/>
      <c r="N27" s="69"/>
      <c r="O27" s="69"/>
      <c r="P27" s="68"/>
      <c r="Q27" s="23"/>
      <c r="R27" s="69"/>
      <c r="S27" s="69"/>
      <c r="T27" s="69"/>
      <c r="U27" s="68"/>
      <c r="V27" s="23"/>
      <c r="W27" s="69"/>
      <c r="X27" s="69"/>
      <c r="Y27" s="69"/>
      <c r="Z27" s="68"/>
      <c r="AA27" s="23"/>
      <c r="AB27" s="69"/>
      <c r="AC27" s="69"/>
      <c r="AD27" s="69"/>
      <c r="AE27" s="68"/>
      <c r="AF27" s="23"/>
      <c r="AG27" s="69"/>
      <c r="AH27" s="69"/>
      <c r="AI27" s="69"/>
      <c r="AJ27" s="68"/>
      <c r="AK27" s="23"/>
      <c r="AL27" s="69"/>
      <c r="AM27" s="69"/>
      <c r="AN27" s="69"/>
      <c r="AO27" s="68"/>
      <c r="AP27" s="23"/>
      <c r="AQ27" s="69"/>
      <c r="AR27" s="69"/>
      <c r="AS27" s="69"/>
      <c r="AT27" s="68"/>
      <c r="AU27" s="23"/>
      <c r="AV27" s="69"/>
      <c r="AW27" s="69"/>
      <c r="AX27" s="69"/>
      <c r="AY27" s="68"/>
      <c r="AZ27" s="23"/>
      <c r="BA27" s="69"/>
      <c r="BB27" s="69"/>
      <c r="BC27" s="69"/>
      <c r="BD27" s="68"/>
      <c r="BE27" s="23"/>
      <c r="BF27" s="69"/>
      <c r="BG27" s="69"/>
      <c r="BH27" s="69"/>
      <c r="BI27" s="68"/>
      <c r="BJ27" s="23"/>
      <c r="BK27" s="69"/>
      <c r="BL27" s="69"/>
      <c r="BM27" s="69"/>
      <c r="BN27" s="68"/>
      <c r="BO27" s="23"/>
    </row>
    <row r="28" spans="1:67" hidden="1">
      <c r="A28" s="65" t="s">
        <v>63</v>
      </c>
      <c r="B28" s="36">
        <v>87</v>
      </c>
      <c r="C28" s="71">
        <v>85</v>
      </c>
      <c r="D28" s="71">
        <v>82</v>
      </c>
      <c r="E28" s="71">
        <v>85</v>
      </c>
      <c r="F28" s="71">
        <v>82</v>
      </c>
      <c r="G28" s="60">
        <v>83</v>
      </c>
      <c r="H28" s="71">
        <v>82</v>
      </c>
      <c r="I28" s="71">
        <v>81</v>
      </c>
      <c r="J28" s="71">
        <v>83</v>
      </c>
      <c r="K28" s="66">
        <v>83</v>
      </c>
      <c r="L28" s="27">
        <v>82</v>
      </c>
      <c r="M28" s="71">
        <v>80</v>
      </c>
      <c r="N28" s="71">
        <v>81</v>
      </c>
      <c r="O28" s="71">
        <v>82</v>
      </c>
      <c r="P28" s="66">
        <v>83</v>
      </c>
      <c r="Q28" s="27">
        <v>81</v>
      </c>
      <c r="R28" s="71">
        <v>79</v>
      </c>
      <c r="S28" s="71">
        <v>77</v>
      </c>
      <c r="T28" s="71">
        <v>78</v>
      </c>
      <c r="U28" s="66">
        <v>70</v>
      </c>
      <c r="V28" s="27">
        <v>76</v>
      </c>
      <c r="W28" s="71">
        <v>74</v>
      </c>
      <c r="X28" s="71">
        <v>73</v>
      </c>
      <c r="Y28" s="71">
        <v>73</v>
      </c>
      <c r="Z28" s="66">
        <v>71</v>
      </c>
      <c r="AA28" s="27">
        <v>73</v>
      </c>
      <c r="AB28" s="71">
        <v>69</v>
      </c>
      <c r="AC28" s="71">
        <v>68</v>
      </c>
      <c r="AD28" s="71">
        <v>67</v>
      </c>
      <c r="AE28" s="66">
        <v>64</v>
      </c>
      <c r="AF28" s="27">
        <v>67</v>
      </c>
      <c r="AG28" s="71">
        <v>69</v>
      </c>
      <c r="AH28" s="71">
        <v>68</v>
      </c>
      <c r="AI28" s="71">
        <v>68</v>
      </c>
      <c r="AJ28" s="66">
        <v>64</v>
      </c>
      <c r="AK28" s="27">
        <v>-586</v>
      </c>
      <c r="AL28" s="71">
        <v>69</v>
      </c>
      <c r="AM28" s="71">
        <v>68</v>
      </c>
      <c r="AN28" s="71">
        <v>68</v>
      </c>
      <c r="AO28" s="66">
        <v>64</v>
      </c>
      <c r="AP28" s="27">
        <v>-586</v>
      </c>
      <c r="AQ28" s="71">
        <v>69</v>
      </c>
      <c r="AR28" s="71">
        <v>68</v>
      </c>
      <c r="AS28" s="71">
        <v>68</v>
      </c>
      <c r="AT28" s="66">
        <v>64</v>
      </c>
      <c r="AU28" s="27">
        <v>-586</v>
      </c>
      <c r="AV28" s="71">
        <v>69</v>
      </c>
      <c r="AW28" s="71">
        <v>69</v>
      </c>
      <c r="AX28" s="71">
        <v>69</v>
      </c>
      <c r="AY28" s="66">
        <v>64</v>
      </c>
      <c r="AZ28" s="27">
        <v>-586</v>
      </c>
      <c r="BA28" s="71">
        <v>69</v>
      </c>
      <c r="BB28" s="71">
        <v>69</v>
      </c>
      <c r="BC28" s="71">
        <v>69</v>
      </c>
      <c r="BD28" s="66">
        <v>64</v>
      </c>
      <c r="BE28" s="27">
        <v>-586</v>
      </c>
      <c r="BF28" s="71">
        <v>69</v>
      </c>
      <c r="BG28" s="71">
        <v>69</v>
      </c>
      <c r="BH28" s="71">
        <v>70</v>
      </c>
      <c r="BI28" s="66">
        <v>64</v>
      </c>
      <c r="BJ28" s="27">
        <v>-586</v>
      </c>
      <c r="BK28" s="71">
        <v>69</v>
      </c>
      <c r="BL28" s="71">
        <v>69</v>
      </c>
      <c r="BM28" s="71">
        <v>69</v>
      </c>
      <c r="BN28" s="66">
        <v>64</v>
      </c>
      <c r="BO28" s="27">
        <v>-586</v>
      </c>
    </row>
    <row r="29" spans="1:67" hidden="1">
      <c r="A29" s="67" t="s">
        <v>7</v>
      </c>
      <c r="B29" s="23"/>
      <c r="C29" s="68"/>
      <c r="D29" s="68">
        <f>D28/C28-1</f>
        <v>-3.5294117647058809E-2</v>
      </c>
      <c r="E29" s="68">
        <f>E28/D28-1</f>
        <v>3.6585365853658569E-2</v>
      </c>
      <c r="F29" s="68">
        <f>F28/E28-1</f>
        <v>-3.5294117647058809E-2</v>
      </c>
      <c r="G29" s="23"/>
      <c r="H29" s="68">
        <f>H28/F28-1</f>
        <v>0</v>
      </c>
      <c r="I29" s="68">
        <f>I28/H28-1</f>
        <v>-1.2195121951219523E-2</v>
      </c>
      <c r="J29" s="68">
        <f>J28/I28-1</f>
        <v>2.4691358024691468E-2</v>
      </c>
      <c r="K29" s="68">
        <f>K28/J28-1</f>
        <v>0</v>
      </c>
      <c r="L29" s="26"/>
      <c r="M29" s="68">
        <f>M28/K28-1</f>
        <v>-3.6144578313253017E-2</v>
      </c>
      <c r="N29" s="68">
        <f>N28/M28-1</f>
        <v>1.2499999999999956E-2</v>
      </c>
      <c r="O29" s="68">
        <f>O28/N28-1</f>
        <v>1.2345679012345734E-2</v>
      </c>
      <c r="P29" s="68">
        <f>P28/O28-1</f>
        <v>1.2195121951219523E-2</v>
      </c>
      <c r="Q29" s="26"/>
      <c r="R29" s="68">
        <f>R28/P28-1</f>
        <v>-4.8192771084337394E-2</v>
      </c>
      <c r="S29" s="68">
        <f>S28/R28-1</f>
        <v>-2.5316455696202556E-2</v>
      </c>
      <c r="T29" s="68">
        <f>T28/S28-1</f>
        <v>1.298701298701288E-2</v>
      </c>
      <c r="U29" s="68">
        <f>U28/T28-1</f>
        <v>-0.10256410256410253</v>
      </c>
      <c r="V29" s="26"/>
      <c r="W29" s="68">
        <f>W28/U28-1</f>
        <v>5.7142857142857162E-2</v>
      </c>
      <c r="X29" s="68">
        <f>X28/W28-1</f>
        <v>-1.3513513513513487E-2</v>
      </c>
      <c r="Y29" s="68">
        <f>Y28/X28-1</f>
        <v>0</v>
      </c>
      <c r="Z29" s="68">
        <f>Z28/Y28-1</f>
        <v>-2.7397260273972601E-2</v>
      </c>
      <c r="AA29" s="26"/>
      <c r="AB29" s="68">
        <f>AB28/Z28-1</f>
        <v>-2.8169014084507005E-2</v>
      </c>
      <c r="AC29" s="68">
        <f>AC28/AB28-1</f>
        <v>-1.4492753623188359E-2</v>
      </c>
      <c r="AD29" s="68">
        <f>AD28/AC28-1</f>
        <v>-1.4705882352941124E-2</v>
      </c>
      <c r="AE29" s="68">
        <f>AE28/AD28-1</f>
        <v>-4.4776119402985093E-2</v>
      </c>
      <c r="AF29" s="26"/>
      <c r="AG29" s="68">
        <f>AG28/AE28-1</f>
        <v>7.8125E-2</v>
      </c>
      <c r="AH29" s="68">
        <f>AH28/AG28-1</f>
        <v>-1.4492753623188359E-2</v>
      </c>
      <c r="AI29" s="68">
        <f>AI28/AH28-1</f>
        <v>0</v>
      </c>
      <c r="AJ29" s="68">
        <f>AJ28/AI28-1</f>
        <v>-5.8823529411764719E-2</v>
      </c>
      <c r="AK29" s="26"/>
      <c r="AL29" s="68">
        <f>AL28/AJ28-1</f>
        <v>7.8125E-2</v>
      </c>
      <c r="AM29" s="68">
        <f>AM28/AL28-1</f>
        <v>-1.4492753623188359E-2</v>
      </c>
      <c r="AN29" s="68">
        <f>AN28/AM28-1</f>
        <v>0</v>
      </c>
      <c r="AO29" s="68">
        <f>AO28/AN28-1</f>
        <v>-5.8823529411764719E-2</v>
      </c>
      <c r="AP29" s="26"/>
      <c r="AQ29" s="68">
        <f>AQ28/AO28-1</f>
        <v>7.8125E-2</v>
      </c>
      <c r="AR29" s="68">
        <f>AR28/AQ28-1</f>
        <v>-1.4492753623188359E-2</v>
      </c>
      <c r="AS29" s="68">
        <f>AS28/AR28-1</f>
        <v>0</v>
      </c>
      <c r="AT29" s="68">
        <f>AT28/AS28-1</f>
        <v>-5.8823529411764719E-2</v>
      </c>
      <c r="AU29" s="26"/>
      <c r="AV29" s="68">
        <f>AV28/AT28-1</f>
        <v>7.8125E-2</v>
      </c>
      <c r="AW29" s="68">
        <f>AW28/AU28-1</f>
        <v>-1.1177474402730376</v>
      </c>
      <c r="AX29" s="68">
        <f>AX28/AV28-1</f>
        <v>0</v>
      </c>
      <c r="AY29" s="68">
        <f>AY28/AX28-1</f>
        <v>-7.2463768115942018E-2</v>
      </c>
      <c r="AZ29" s="26"/>
      <c r="BA29" s="68">
        <f>BA28/AY28-1</f>
        <v>7.8125E-2</v>
      </c>
      <c r="BB29" s="68">
        <f>BB28/AZ28-1</f>
        <v>-1.1177474402730376</v>
      </c>
      <c r="BC29" s="68">
        <f>BC28/BA28-1</f>
        <v>0</v>
      </c>
      <c r="BD29" s="68">
        <f>BD28/BC28-1</f>
        <v>-7.2463768115942018E-2</v>
      </c>
      <c r="BE29" s="26"/>
      <c r="BF29" s="68">
        <f>BF28/BD28-1</f>
        <v>7.8125E-2</v>
      </c>
      <c r="BG29" s="68">
        <f>BG28/BE28-1</f>
        <v>-1.1177474402730376</v>
      </c>
      <c r="BH29" s="68">
        <f>BH28/BF28-1</f>
        <v>1.449275362318847E-2</v>
      </c>
      <c r="BI29" s="68">
        <f>BI28/BH28-1</f>
        <v>-8.5714285714285743E-2</v>
      </c>
      <c r="BJ29" s="26"/>
      <c r="BK29" s="68">
        <f>BK28/BI28-1</f>
        <v>7.8125E-2</v>
      </c>
      <c r="BL29" s="68">
        <f>BL28/BJ28-1</f>
        <v>-1.1177474402730376</v>
      </c>
      <c r="BM29" s="68">
        <f>BM28/BK28-1</f>
        <v>0</v>
      </c>
      <c r="BN29" s="68">
        <f>BN28/BM28-1</f>
        <v>-7.2463768115942018E-2</v>
      </c>
      <c r="BO29" s="26"/>
    </row>
    <row r="30" spans="1:67" ht="18.75" customHeight="1">
      <c r="A30" s="65" t="s">
        <v>265</v>
      </c>
      <c r="B30" s="23"/>
      <c r="C30" s="69"/>
      <c r="D30" s="69"/>
      <c r="E30" s="69"/>
      <c r="F30" s="69"/>
      <c r="G30" s="23"/>
      <c r="H30" s="69"/>
      <c r="I30" s="69"/>
      <c r="J30" s="69"/>
      <c r="K30" s="68"/>
      <c r="L30" s="95" t="s">
        <v>40</v>
      </c>
      <c r="M30" s="95" t="s">
        <v>40</v>
      </c>
      <c r="N30" s="95" t="s">
        <v>40</v>
      </c>
      <c r="O30" s="95" t="s">
        <v>40</v>
      </c>
      <c r="P30" s="95" t="s">
        <v>40</v>
      </c>
      <c r="Q30" s="95" t="s">
        <v>40</v>
      </c>
      <c r="R30" s="95" t="s">
        <v>40</v>
      </c>
      <c r="S30" s="95" t="s">
        <v>40</v>
      </c>
      <c r="T30" s="95" t="s">
        <v>40</v>
      </c>
      <c r="U30" s="95" t="s">
        <v>40</v>
      </c>
      <c r="V30" s="95" t="s">
        <v>40</v>
      </c>
      <c r="W30" s="95" t="s">
        <v>40</v>
      </c>
      <c r="X30" s="95" t="s">
        <v>40</v>
      </c>
      <c r="Y30" s="95" t="s">
        <v>40</v>
      </c>
      <c r="Z30" s="95" t="s">
        <v>40</v>
      </c>
      <c r="AA30" s="95" t="s">
        <v>40</v>
      </c>
      <c r="AB30" s="95" t="s">
        <v>40</v>
      </c>
      <c r="AC30" s="95" t="s">
        <v>40</v>
      </c>
      <c r="AD30" s="95" t="s">
        <v>40</v>
      </c>
      <c r="AE30" s="95" t="s">
        <v>40</v>
      </c>
      <c r="AF30" s="95" t="s">
        <v>40</v>
      </c>
      <c r="AG30" s="95" t="s">
        <v>40</v>
      </c>
      <c r="AH30" s="95" t="s">
        <v>40</v>
      </c>
      <c r="AI30" s="95" t="s">
        <v>40</v>
      </c>
      <c r="AJ30" s="95" t="s">
        <v>40</v>
      </c>
      <c r="AK30" s="95" t="s">
        <v>40</v>
      </c>
      <c r="AL30" s="95" t="s">
        <v>40</v>
      </c>
      <c r="AM30" s="95" t="s">
        <v>40</v>
      </c>
      <c r="AN30" s="95" t="s">
        <v>40</v>
      </c>
      <c r="AO30" s="95" t="s">
        <v>40</v>
      </c>
      <c r="AP30" s="95" t="s">
        <v>40</v>
      </c>
      <c r="AQ30" s="95" t="s">
        <v>40</v>
      </c>
      <c r="AR30" s="95" t="s">
        <v>40</v>
      </c>
      <c r="AS30" s="95" t="s">
        <v>40</v>
      </c>
      <c r="AT30" s="95" t="s">
        <v>40</v>
      </c>
      <c r="AU30" s="95" t="s">
        <v>40</v>
      </c>
      <c r="AV30" s="95" t="s">
        <v>40</v>
      </c>
      <c r="AW30" s="95" t="s">
        <v>40</v>
      </c>
      <c r="AX30" s="95" t="s">
        <v>40</v>
      </c>
      <c r="AY30" s="95" t="s">
        <v>40</v>
      </c>
      <c r="AZ30" s="95" t="s">
        <v>40</v>
      </c>
      <c r="BA30" s="78" t="s">
        <v>35</v>
      </c>
      <c r="BB30" s="78" t="s">
        <v>35</v>
      </c>
      <c r="BC30" s="78" t="s">
        <v>35</v>
      </c>
      <c r="BD30" s="66">
        <v>100</v>
      </c>
      <c r="BE30" s="27">
        <v>100</v>
      </c>
      <c r="BF30" s="66">
        <v>159</v>
      </c>
      <c r="BG30" s="66">
        <v>215</v>
      </c>
      <c r="BH30" s="66">
        <v>272</v>
      </c>
      <c r="BI30" s="66">
        <v>321</v>
      </c>
      <c r="BJ30" s="27">
        <v>321</v>
      </c>
      <c r="BK30" s="66">
        <v>378</v>
      </c>
      <c r="BL30" s="66">
        <v>433</v>
      </c>
      <c r="BM30" s="66">
        <v>487</v>
      </c>
      <c r="BN30" s="66">
        <f>BO30</f>
        <v>537</v>
      </c>
      <c r="BO30" s="27">
        <v>537</v>
      </c>
    </row>
    <row r="31" spans="1:67" ht="8.25" customHeight="1">
      <c r="A31" s="65"/>
      <c r="B31" s="23"/>
      <c r="C31" s="69"/>
      <c r="D31" s="69"/>
      <c r="E31" s="69"/>
      <c r="F31" s="69"/>
      <c r="G31" s="23"/>
      <c r="H31" s="69"/>
      <c r="I31" s="69"/>
      <c r="J31" s="69"/>
      <c r="K31" s="68"/>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78"/>
      <c r="BB31" s="78"/>
      <c r="BC31" s="78"/>
      <c r="BD31" s="66"/>
      <c r="BE31" s="27"/>
      <c r="BF31" s="66"/>
      <c r="BG31" s="66"/>
      <c r="BH31" s="66"/>
      <c r="BI31" s="66"/>
      <c r="BJ31" s="27"/>
      <c r="BK31" s="66"/>
      <c r="BL31" s="66"/>
      <c r="BM31" s="66"/>
      <c r="BN31" s="66"/>
      <c r="BO31" s="27"/>
    </row>
    <row r="32" spans="1:67" ht="14.25" customHeight="1">
      <c r="A32" s="65" t="s">
        <v>309</v>
      </c>
      <c r="B32" s="23"/>
      <c r="C32" s="69"/>
      <c r="D32" s="69"/>
      <c r="E32" s="69"/>
      <c r="F32" s="69"/>
      <c r="G32" s="23"/>
      <c r="H32" s="69"/>
      <c r="I32" s="69"/>
      <c r="J32" s="69"/>
      <c r="K32" s="68"/>
      <c r="L32" s="23"/>
      <c r="M32" s="69"/>
      <c r="N32" s="69"/>
      <c r="O32" s="69"/>
      <c r="P32" s="68"/>
      <c r="Q32" s="23"/>
      <c r="R32" s="69"/>
      <c r="S32" s="69"/>
      <c r="T32" s="69"/>
      <c r="U32" s="68"/>
      <c r="V32" s="23"/>
      <c r="W32" s="69"/>
      <c r="X32" s="69"/>
      <c r="Y32" s="69"/>
      <c r="Z32" s="68"/>
      <c r="AA32" s="23"/>
      <c r="AB32" s="69"/>
      <c r="AC32" s="69"/>
      <c r="AD32" s="69"/>
      <c r="AE32" s="68"/>
      <c r="AF32" s="23"/>
      <c r="AG32" s="69"/>
      <c r="AH32" s="69"/>
      <c r="AI32" s="69"/>
      <c r="AJ32" s="68"/>
      <c r="AK32" s="23"/>
      <c r="AL32" s="69"/>
      <c r="AM32" s="69"/>
      <c r="AN32" s="69"/>
      <c r="AO32" s="68"/>
      <c r="AP32" s="23"/>
      <c r="AQ32" s="69"/>
      <c r="AR32" s="69"/>
      <c r="AS32" s="69"/>
      <c r="AT32" s="68"/>
      <c r="AU32" s="23"/>
      <c r="AV32" s="69"/>
      <c r="AW32" s="69"/>
      <c r="AX32" s="69"/>
      <c r="AY32" s="68"/>
      <c r="AZ32" s="23"/>
      <c r="BA32" s="69"/>
      <c r="BB32" s="69"/>
      <c r="BC32" s="69"/>
      <c r="BD32" s="68"/>
      <c r="BE32" s="23"/>
      <c r="BF32" s="66">
        <v>60</v>
      </c>
      <c r="BG32" s="66">
        <v>77</v>
      </c>
      <c r="BH32" s="66">
        <v>100</v>
      </c>
      <c r="BI32" s="66">
        <v>116</v>
      </c>
      <c r="BJ32" s="27">
        <v>116</v>
      </c>
      <c r="BK32" s="66">
        <v>144</v>
      </c>
      <c r="BL32" s="66">
        <v>177</v>
      </c>
      <c r="BM32" s="66">
        <v>218</v>
      </c>
      <c r="BN32" s="66">
        <f>BO32</f>
        <v>248</v>
      </c>
      <c r="BO32" s="27">
        <v>248</v>
      </c>
    </row>
    <row r="33" spans="1:67" ht="9.75" customHeight="1">
      <c r="A33" s="65"/>
      <c r="B33" s="23"/>
      <c r="C33" s="69"/>
      <c r="D33" s="69"/>
      <c r="E33" s="69"/>
      <c r="F33" s="69"/>
      <c r="G33" s="23"/>
      <c r="H33" s="69"/>
      <c r="I33" s="69"/>
      <c r="J33" s="69"/>
      <c r="K33" s="68"/>
      <c r="L33" s="23"/>
      <c r="M33" s="69"/>
      <c r="N33" s="69"/>
      <c r="O33" s="69"/>
      <c r="P33" s="68"/>
      <c r="Q33" s="23"/>
      <c r="R33" s="69"/>
      <c r="S33" s="69"/>
      <c r="T33" s="69"/>
      <c r="U33" s="68"/>
      <c r="V33" s="23"/>
      <c r="W33" s="69"/>
      <c r="X33" s="69"/>
      <c r="Y33" s="69"/>
      <c r="Z33" s="68"/>
      <c r="AA33" s="23"/>
      <c r="AB33" s="69"/>
      <c r="AC33" s="69"/>
      <c r="AD33" s="69"/>
      <c r="AE33" s="68"/>
      <c r="AF33" s="23"/>
      <c r="AG33" s="69"/>
      <c r="AH33" s="69"/>
      <c r="AI33" s="69"/>
      <c r="AJ33" s="68"/>
      <c r="AK33" s="23"/>
      <c r="AL33" s="69"/>
      <c r="AM33" s="69"/>
      <c r="AN33" s="69"/>
      <c r="AO33" s="68"/>
      <c r="AP33" s="23"/>
      <c r="AQ33" s="69"/>
      <c r="AR33" s="69"/>
      <c r="AS33" s="69"/>
      <c r="AT33" s="68"/>
      <c r="AU33" s="23"/>
      <c r="AV33" s="69"/>
      <c r="AW33" s="69"/>
      <c r="AX33" s="69"/>
      <c r="AY33" s="68"/>
      <c r="AZ33" s="23"/>
      <c r="BA33" s="69"/>
      <c r="BB33" s="69"/>
      <c r="BC33" s="69"/>
      <c r="BD33" s="68"/>
      <c r="BE33" s="23"/>
      <c r="BF33" s="66"/>
      <c r="BG33" s="66"/>
      <c r="BH33" s="66"/>
      <c r="BI33" s="66"/>
      <c r="BJ33" s="27"/>
      <c r="BK33" s="66"/>
      <c r="BL33" s="66"/>
      <c r="BM33" s="66"/>
      <c r="BN33" s="66"/>
      <c r="BO33" s="27"/>
    </row>
    <row r="34" spans="1:67">
      <c r="A34" s="65" t="s">
        <v>137</v>
      </c>
      <c r="B34" s="37">
        <v>9.5000000000000001E-2</v>
      </c>
      <c r="C34" s="85">
        <v>3.6999999999999998E-2</v>
      </c>
      <c r="D34" s="85">
        <v>2.8000000000000001E-2</v>
      </c>
      <c r="E34" s="85">
        <v>3.1E-2</v>
      </c>
      <c r="F34" s="85">
        <v>2.9000000000000001E-2</v>
      </c>
      <c r="G34" s="95" t="s">
        <v>40</v>
      </c>
      <c r="H34" s="112" t="s">
        <v>35</v>
      </c>
      <c r="I34" s="112" t="s">
        <v>35</v>
      </c>
      <c r="J34" s="112" t="s">
        <v>35</v>
      </c>
      <c r="K34" s="112" t="s">
        <v>35</v>
      </c>
      <c r="L34" s="95" t="s">
        <v>40</v>
      </c>
      <c r="M34" s="112" t="s">
        <v>35</v>
      </c>
      <c r="N34" s="112" t="s">
        <v>35</v>
      </c>
      <c r="O34" s="112" t="s">
        <v>35</v>
      </c>
      <c r="P34" s="112" t="s">
        <v>35</v>
      </c>
      <c r="Q34" s="95" t="s">
        <v>40</v>
      </c>
      <c r="R34" s="85">
        <v>3.3000000000000002E-2</v>
      </c>
      <c r="S34" s="85">
        <v>2.8000000000000001E-2</v>
      </c>
      <c r="T34" s="85">
        <v>2.8000000000000001E-2</v>
      </c>
      <c r="U34" s="85">
        <v>2.8000000000000001E-2</v>
      </c>
      <c r="V34" s="37">
        <v>0.11600000000000001</v>
      </c>
      <c r="W34" s="85">
        <v>3.2000000000000001E-2</v>
      </c>
      <c r="X34" s="85">
        <v>3.9E-2</v>
      </c>
      <c r="Y34" s="85">
        <v>4.2000000000000003E-2</v>
      </c>
      <c r="Z34" s="85">
        <v>0.04</v>
      </c>
      <c r="AA34" s="37">
        <v>0.153</v>
      </c>
      <c r="AB34" s="85">
        <v>3.6999999999999998E-2</v>
      </c>
      <c r="AC34" s="85">
        <v>3.5000000000000003E-2</v>
      </c>
      <c r="AD34" s="85">
        <v>2.8000000000000001E-2</v>
      </c>
      <c r="AE34" s="85">
        <f>AF34-AD34-AC34-AB34</f>
        <v>3.1000000000000007E-2</v>
      </c>
      <c r="AF34" s="37">
        <v>0.13100000000000001</v>
      </c>
      <c r="AG34" s="85">
        <v>0.03</v>
      </c>
      <c r="AH34" s="85">
        <v>2.8000000000000001E-2</v>
      </c>
      <c r="AI34" s="85">
        <v>2.8000000000000001E-2</v>
      </c>
      <c r="AJ34" s="85">
        <v>2.5000000000000001E-2</v>
      </c>
      <c r="AK34" s="37">
        <v>0.111</v>
      </c>
      <c r="AL34" s="85">
        <v>2.4E-2</v>
      </c>
      <c r="AM34" s="85">
        <v>2.4E-2</v>
      </c>
      <c r="AN34" s="85">
        <v>2.5999999999999999E-2</v>
      </c>
      <c r="AO34" s="85">
        <v>2.7E-2</v>
      </c>
      <c r="AP34" s="37">
        <v>0.10100000000000001</v>
      </c>
      <c r="AQ34" s="85">
        <v>2.8000000000000001E-2</v>
      </c>
      <c r="AR34" s="85">
        <v>2.4E-2</v>
      </c>
      <c r="AS34" s="85">
        <v>2.5999999999999999E-2</v>
      </c>
      <c r="AT34" s="85">
        <v>2.4E-2</v>
      </c>
      <c r="AU34" s="37">
        <v>0.10199999999999999</v>
      </c>
      <c r="AV34" s="85">
        <v>2.7E-2</v>
      </c>
      <c r="AW34" s="85">
        <v>2.4E-2</v>
      </c>
      <c r="AX34" s="85">
        <v>2.3E-2</v>
      </c>
      <c r="AY34" s="85">
        <v>2.4E-2</v>
      </c>
      <c r="AZ34" s="37">
        <v>9.8000000000000004E-2</v>
      </c>
      <c r="BA34" s="85">
        <v>0.03</v>
      </c>
      <c r="BB34" s="85">
        <v>2.8000000000000001E-2</v>
      </c>
      <c r="BC34" s="85">
        <v>2.7E-2</v>
      </c>
      <c r="BD34" s="85">
        <v>3.1E-2</v>
      </c>
      <c r="BE34" s="37">
        <v>0.11600000000000001</v>
      </c>
      <c r="BF34" s="85">
        <v>0.03</v>
      </c>
      <c r="BG34" s="85">
        <v>2.7E-2</v>
      </c>
      <c r="BH34" s="85">
        <v>0.03</v>
      </c>
      <c r="BI34" s="85">
        <v>2.9000000000000001E-2</v>
      </c>
      <c r="BJ34" s="37">
        <v>0.11700000000000001</v>
      </c>
      <c r="BK34" s="85">
        <v>3.2000000000000001E-2</v>
      </c>
      <c r="BL34" s="85">
        <v>2.7E-2</v>
      </c>
      <c r="BM34" s="85">
        <v>3.4000000000000002E-2</v>
      </c>
      <c r="BN34" s="85">
        <f>BO34-BM34-BL34-BK34</f>
        <v>3.2000000000000001E-2</v>
      </c>
      <c r="BO34" s="37">
        <v>0.125</v>
      </c>
    </row>
    <row r="35" spans="1:67">
      <c r="A35" s="67"/>
      <c r="B35" s="23"/>
      <c r="C35" s="69"/>
      <c r="D35" s="69"/>
      <c r="E35" s="69"/>
      <c r="F35" s="69"/>
      <c r="G35" s="23"/>
      <c r="H35" s="69"/>
      <c r="I35" s="69"/>
      <c r="J35" s="69"/>
      <c r="K35" s="68"/>
      <c r="L35" s="23"/>
      <c r="M35" s="69"/>
      <c r="N35" s="69"/>
      <c r="O35" s="69"/>
      <c r="P35" s="68"/>
      <c r="Q35" s="23"/>
      <c r="R35" s="69"/>
      <c r="S35" s="69"/>
      <c r="T35" s="69"/>
      <c r="U35" s="68"/>
      <c r="V35" s="23"/>
      <c r="W35" s="69"/>
      <c r="X35" s="69"/>
      <c r="Y35" s="69"/>
      <c r="Z35" s="68"/>
      <c r="AA35" s="23"/>
      <c r="AB35" s="69"/>
      <c r="AC35" s="69"/>
      <c r="AD35" s="69"/>
      <c r="AE35" s="68"/>
      <c r="AF35" s="23"/>
      <c r="AG35" s="69"/>
      <c r="AH35" s="69"/>
      <c r="AI35" s="69"/>
      <c r="AJ35" s="68"/>
      <c r="AK35" s="23"/>
      <c r="AL35" s="69"/>
      <c r="AM35" s="69"/>
      <c r="AN35" s="69"/>
      <c r="AO35" s="68"/>
      <c r="AP35" s="23"/>
      <c r="AQ35" s="69"/>
      <c r="AR35" s="69"/>
      <c r="AS35" s="69"/>
      <c r="AT35" s="68"/>
      <c r="AU35" s="23"/>
      <c r="AV35" s="69"/>
      <c r="AW35" s="69"/>
      <c r="AX35" s="69"/>
      <c r="AY35" s="68"/>
      <c r="AZ35" s="23"/>
      <c r="BA35" s="69"/>
      <c r="BB35" s="69"/>
      <c r="BC35" s="69"/>
      <c r="BD35" s="68"/>
      <c r="BE35" s="23"/>
      <c r="BF35" s="69"/>
      <c r="BG35" s="69"/>
      <c r="BH35" s="69"/>
      <c r="BI35" s="68"/>
      <c r="BJ35" s="23"/>
      <c r="BK35" s="69"/>
      <c r="BL35" s="69"/>
      <c r="BM35" s="69"/>
      <c r="BN35" s="68"/>
      <c r="BO35" s="23"/>
    </row>
    <row r="36" spans="1:67">
      <c r="A36" s="65" t="s">
        <v>122</v>
      </c>
      <c r="B36" s="36">
        <v>963</v>
      </c>
      <c r="C36" s="65">
        <v>970</v>
      </c>
      <c r="D36" s="65">
        <v>982</v>
      </c>
      <c r="E36" s="65">
        <v>994</v>
      </c>
      <c r="F36" s="66">
        <v>1005</v>
      </c>
      <c r="G36" s="36">
        <v>1005</v>
      </c>
      <c r="H36" s="66">
        <v>1011</v>
      </c>
      <c r="I36" s="66">
        <v>1016</v>
      </c>
      <c r="J36" s="66">
        <v>1026</v>
      </c>
      <c r="K36" s="66">
        <v>1035</v>
      </c>
      <c r="L36" s="35">
        <v>1035</v>
      </c>
      <c r="M36" s="66">
        <v>1045</v>
      </c>
      <c r="N36" s="66">
        <v>1051</v>
      </c>
      <c r="O36" s="66">
        <v>1056</v>
      </c>
      <c r="P36" s="66">
        <v>1066</v>
      </c>
      <c r="Q36" s="35">
        <v>1066</v>
      </c>
      <c r="R36" s="66">
        <v>1079</v>
      </c>
      <c r="S36" s="66">
        <v>1088</v>
      </c>
      <c r="T36" s="66">
        <v>1100</v>
      </c>
      <c r="U36" s="66">
        <v>1111</v>
      </c>
      <c r="V36" s="35">
        <v>1111</v>
      </c>
      <c r="W36" s="66">
        <v>1121</v>
      </c>
      <c r="X36" s="66">
        <v>1136</v>
      </c>
      <c r="Y36" s="66">
        <v>1153</v>
      </c>
      <c r="Z36" s="66">
        <v>1169</v>
      </c>
      <c r="AA36" s="35">
        <v>1169</v>
      </c>
      <c r="AB36" s="66">
        <v>1185</v>
      </c>
      <c r="AC36" s="66">
        <v>1202</v>
      </c>
      <c r="AD36" s="66">
        <v>1230</v>
      </c>
      <c r="AE36" s="66">
        <v>1263</v>
      </c>
      <c r="AF36" s="35">
        <v>1263</v>
      </c>
      <c r="AG36" s="66">
        <v>1289</v>
      </c>
      <c r="AH36" s="66">
        <v>1308</v>
      </c>
      <c r="AI36" s="66">
        <v>1335</v>
      </c>
      <c r="AJ36" s="66">
        <v>1364</v>
      </c>
      <c r="AK36" s="35">
        <v>1364</v>
      </c>
      <c r="AL36" s="66">
        <f>1379+11</f>
        <v>1390</v>
      </c>
      <c r="AM36" s="66">
        <v>1418</v>
      </c>
      <c r="AN36" s="66">
        <v>1448</v>
      </c>
      <c r="AO36" s="66">
        <v>1479</v>
      </c>
      <c r="AP36" s="35">
        <v>1479</v>
      </c>
      <c r="AQ36" s="66">
        <v>1503</v>
      </c>
      <c r="AR36" s="66">
        <v>1521</v>
      </c>
      <c r="AS36" s="66">
        <v>1539</v>
      </c>
      <c r="AT36" s="66">
        <v>1558</v>
      </c>
      <c r="AU36" s="35">
        <v>1558</v>
      </c>
      <c r="AV36" s="66">
        <v>1580</v>
      </c>
      <c r="AW36" s="66">
        <f>AW41+AW47</f>
        <v>1593</v>
      </c>
      <c r="AX36" s="66">
        <v>1608</v>
      </c>
      <c r="AY36" s="66">
        <v>1635</v>
      </c>
      <c r="AZ36" s="35">
        <v>1635</v>
      </c>
      <c r="BA36" s="66">
        <f>BA41+BA47</f>
        <v>1653</v>
      </c>
      <c r="BB36" s="66">
        <f>BB41+BB47</f>
        <v>1662</v>
      </c>
      <c r="BC36" s="66">
        <f>BC41+BC47</f>
        <v>1663</v>
      </c>
      <c r="BD36" s="66">
        <f>BE36</f>
        <v>1656</v>
      </c>
      <c r="BE36" s="35">
        <v>1656</v>
      </c>
      <c r="BF36" s="66">
        <f>BF41+BF47</f>
        <v>1635</v>
      </c>
      <c r="BG36" s="66">
        <f>BG41+BG47</f>
        <v>1613</v>
      </c>
      <c r="BH36" s="66">
        <f>BH41+BH47</f>
        <v>1589</v>
      </c>
      <c r="BI36" s="66">
        <f>BJ36</f>
        <v>1575</v>
      </c>
      <c r="BJ36" s="35">
        <f>BJ41+BJ47</f>
        <v>1575</v>
      </c>
      <c r="BK36" s="66">
        <f>BK41+BK47</f>
        <v>1566</v>
      </c>
      <c r="BL36" s="66">
        <f>BL41+BL47</f>
        <v>1571</v>
      </c>
      <c r="BM36" s="66">
        <f>BM41+BM47</f>
        <v>1565</v>
      </c>
      <c r="BN36" s="66">
        <f>BO36</f>
        <v>1556</v>
      </c>
      <c r="BO36" s="35">
        <f>BO41+BO47</f>
        <v>1556</v>
      </c>
    </row>
    <row r="37" spans="1:67">
      <c r="A37" s="208" t="s">
        <v>7</v>
      </c>
      <c r="B37" s="23"/>
      <c r="C37" s="68"/>
      <c r="D37" s="68">
        <f>D36/C36-1</f>
        <v>1.2371134020618513E-2</v>
      </c>
      <c r="E37" s="68">
        <f>E36/D36-1</f>
        <v>1.2219959266802416E-2</v>
      </c>
      <c r="F37" s="68">
        <f>F36/E36-1</f>
        <v>1.1066398390342069E-2</v>
      </c>
      <c r="G37" s="23"/>
      <c r="H37" s="68">
        <f>H36/F36-1</f>
        <v>5.9701492537314049E-3</v>
      </c>
      <c r="I37" s="68">
        <f>I36/H36-1</f>
        <v>4.9455984174084922E-3</v>
      </c>
      <c r="J37" s="68">
        <f>J36/I36-1</f>
        <v>9.8425196850393526E-3</v>
      </c>
      <c r="K37" s="68">
        <f>K36/J36-1</f>
        <v>8.7719298245614308E-3</v>
      </c>
      <c r="L37" s="26"/>
      <c r="M37" s="68">
        <f>M36/K36-1</f>
        <v>9.6618357487923134E-3</v>
      </c>
      <c r="N37" s="68">
        <f>N36/M36-1</f>
        <v>5.7416267942582699E-3</v>
      </c>
      <c r="O37" s="68">
        <f>O36/N36-1</f>
        <v>4.7573739295909689E-3</v>
      </c>
      <c r="P37" s="68">
        <f>P36/O36-1</f>
        <v>9.4696969696970168E-3</v>
      </c>
      <c r="Q37" s="26"/>
      <c r="R37" s="68">
        <f>R36/P36-1</f>
        <v>1.2195121951219523E-2</v>
      </c>
      <c r="S37" s="68">
        <f>S36/R36-1</f>
        <v>8.3410565338275511E-3</v>
      </c>
      <c r="T37" s="68">
        <f>T36/S36-1</f>
        <v>1.1029411764705843E-2</v>
      </c>
      <c r="U37" s="68">
        <f>U36/T36-1</f>
        <v>1.0000000000000009E-2</v>
      </c>
      <c r="V37" s="26"/>
      <c r="W37" s="68">
        <f>W36/U36-1</f>
        <v>9.0009000900090896E-3</v>
      </c>
      <c r="X37" s="68">
        <f>X36/W36-1</f>
        <v>1.338090990187335E-2</v>
      </c>
      <c r="Y37" s="68">
        <f>Y36/X36-1</f>
        <v>1.4964788732394263E-2</v>
      </c>
      <c r="Z37" s="68">
        <f>Z36/Y36-1</f>
        <v>1.3876843018213458E-2</v>
      </c>
      <c r="AA37" s="26"/>
      <c r="AB37" s="68">
        <f>AB36/Z36-1</f>
        <v>1.3686911890504749E-2</v>
      </c>
      <c r="AC37" s="68">
        <f>AC36/AB36-1</f>
        <v>1.4345991561181437E-2</v>
      </c>
      <c r="AD37" s="68">
        <f>AD36/AC36-1</f>
        <v>2.3294509151414289E-2</v>
      </c>
      <c r="AE37" s="68">
        <f>AE36/AD36-1</f>
        <v>2.6829268292682951E-2</v>
      </c>
      <c r="AF37" s="26"/>
      <c r="AG37" s="68">
        <f>AG36/AE36-1</f>
        <v>2.0585906571654711E-2</v>
      </c>
      <c r="AH37" s="68">
        <f>AH36/AG36-1</f>
        <v>1.4740108611326574E-2</v>
      </c>
      <c r="AI37" s="68">
        <f>AI36/AH36-1</f>
        <v>2.0642201834862428E-2</v>
      </c>
      <c r="AJ37" s="68">
        <f>AJ36/AI36-1</f>
        <v>2.1722846441947663E-2</v>
      </c>
      <c r="AK37" s="26"/>
      <c r="AL37" s="68">
        <f>AL36/AJ36-1</f>
        <v>1.9061583577712593E-2</v>
      </c>
      <c r="AM37" s="68">
        <f>AM36/AL36-1</f>
        <v>2.0143884892086295E-2</v>
      </c>
      <c r="AN37" s="68">
        <f>AN36/AM36-1</f>
        <v>2.1156558533145242E-2</v>
      </c>
      <c r="AO37" s="68">
        <f>AO36/AN36-1</f>
        <v>2.140883977900554E-2</v>
      </c>
      <c r="AP37" s="26"/>
      <c r="AQ37" s="68">
        <f>AQ36/AO36-1</f>
        <v>1.6227180527383478E-2</v>
      </c>
      <c r="AR37" s="68">
        <f>AR36/AQ36-1</f>
        <v>1.1976047904191711E-2</v>
      </c>
      <c r="AS37" s="68">
        <f>AS36/AR36-1</f>
        <v>1.1834319526627279E-2</v>
      </c>
      <c r="AT37" s="68">
        <f>AT36/AS36-1</f>
        <v>1.2345679012345734E-2</v>
      </c>
      <c r="AU37" s="26"/>
      <c r="AV37" s="68">
        <f>AV36/AT36-1</f>
        <v>1.4120667522464769E-2</v>
      </c>
      <c r="AW37" s="68">
        <f>AW36/AV36-1</f>
        <v>8.2278481012658666E-3</v>
      </c>
      <c r="AX37" s="68">
        <f>AX36/AW36-1</f>
        <v>9.4161958568739212E-3</v>
      </c>
      <c r="AY37" s="68">
        <f>AY36/AX36-1</f>
        <v>1.6791044776119479E-2</v>
      </c>
      <c r="AZ37" s="26"/>
      <c r="BA37" s="68">
        <f>BA36/AY36-1</f>
        <v>1.1009174311926495E-2</v>
      </c>
      <c r="BB37" s="68">
        <f>BB36/BA36-1</f>
        <v>5.4446460980035472E-3</v>
      </c>
      <c r="BC37" s="68">
        <f>BC36/BB36-1</f>
        <v>6.0168471720811745E-4</v>
      </c>
      <c r="BD37" s="68">
        <f>BD36/BC36-1</f>
        <v>-4.2092603728202116E-3</v>
      </c>
      <c r="BE37" s="23"/>
      <c r="BF37" s="68">
        <f>BF36/BD36-1</f>
        <v>-1.26811594202898E-2</v>
      </c>
      <c r="BG37" s="68">
        <f>BG36/BF36-1</f>
        <v>-1.3455657492354778E-2</v>
      </c>
      <c r="BH37" s="68">
        <f>BH36/BG36-1</f>
        <v>-1.4879107253564783E-2</v>
      </c>
      <c r="BI37" s="68">
        <f>BI36/BH36-1</f>
        <v>-8.8105726872246271E-3</v>
      </c>
      <c r="BJ37" s="23"/>
      <c r="BK37" s="68">
        <f>BK36/BI36-1</f>
        <v>-5.7142857142856718E-3</v>
      </c>
      <c r="BL37" s="68">
        <f>BL36/BK36-1</f>
        <v>3.1928480204341803E-3</v>
      </c>
      <c r="BM37" s="68">
        <f>BM36/BL36-1</f>
        <v>-3.8192234245703061E-3</v>
      </c>
      <c r="BN37" s="68">
        <f>BN36/BM36-1</f>
        <v>-5.7507987220447587E-3</v>
      </c>
      <c r="BO37" s="23"/>
    </row>
    <row r="38" spans="1:67">
      <c r="A38" s="67" t="s">
        <v>8</v>
      </c>
      <c r="B38" s="23"/>
      <c r="C38" s="69"/>
      <c r="D38" s="69"/>
      <c r="E38" s="69"/>
      <c r="F38" s="69"/>
      <c r="G38" s="23">
        <f t="shared" ref="G38:N38" si="60">G36/B36-1</f>
        <v>4.3613707165109039E-2</v>
      </c>
      <c r="H38" s="69">
        <f t="shared" si="60"/>
        <v>4.2268041237113474E-2</v>
      </c>
      <c r="I38" s="69">
        <f t="shared" si="60"/>
        <v>3.4623217922606919E-2</v>
      </c>
      <c r="J38" s="69">
        <f t="shared" si="60"/>
        <v>3.2193158953722323E-2</v>
      </c>
      <c r="K38" s="68">
        <f t="shared" si="60"/>
        <v>2.9850746268656803E-2</v>
      </c>
      <c r="L38" s="23">
        <f t="shared" si="60"/>
        <v>2.9850746268656803E-2</v>
      </c>
      <c r="M38" s="69">
        <f t="shared" si="60"/>
        <v>3.3630069238377747E-2</v>
      </c>
      <c r="N38" s="69">
        <f t="shared" si="60"/>
        <v>3.4448818897637734E-2</v>
      </c>
      <c r="O38" s="69">
        <f t="shared" ref="O38:Y38" si="61">O36/J36-1</f>
        <v>2.9239766081871288E-2</v>
      </c>
      <c r="P38" s="68">
        <f t="shared" si="61"/>
        <v>2.9951690821256038E-2</v>
      </c>
      <c r="Q38" s="23">
        <f t="shared" si="61"/>
        <v>2.9951690821256038E-2</v>
      </c>
      <c r="R38" s="69">
        <f t="shared" si="61"/>
        <v>3.2535885167464196E-2</v>
      </c>
      <c r="S38" s="69">
        <f t="shared" si="61"/>
        <v>3.520456707897246E-2</v>
      </c>
      <c r="T38" s="69">
        <f t="shared" si="61"/>
        <v>4.1666666666666741E-2</v>
      </c>
      <c r="U38" s="68">
        <f t="shared" si="61"/>
        <v>4.2213883677298281E-2</v>
      </c>
      <c r="V38" s="23">
        <f t="shared" si="61"/>
        <v>4.2213883677298281E-2</v>
      </c>
      <c r="W38" s="69">
        <f t="shared" si="61"/>
        <v>3.8924930491195608E-2</v>
      </c>
      <c r="X38" s="69">
        <f t="shared" si="61"/>
        <v>4.4117647058823595E-2</v>
      </c>
      <c r="Y38" s="69">
        <f t="shared" si="61"/>
        <v>4.8181818181818103E-2</v>
      </c>
      <c r="Z38" s="68">
        <f t="shared" ref="Z38:AI38" si="62">Z36/U36-1</f>
        <v>5.2205220522052231E-2</v>
      </c>
      <c r="AA38" s="23">
        <f t="shared" si="62"/>
        <v>5.2205220522052231E-2</v>
      </c>
      <c r="AB38" s="69">
        <f t="shared" si="62"/>
        <v>5.7091882247992887E-2</v>
      </c>
      <c r="AC38" s="69">
        <f t="shared" si="62"/>
        <v>5.8098591549295753E-2</v>
      </c>
      <c r="AD38" s="69">
        <f t="shared" si="62"/>
        <v>6.6782307025151866E-2</v>
      </c>
      <c r="AE38" s="68">
        <f t="shared" si="62"/>
        <v>8.0410607356715236E-2</v>
      </c>
      <c r="AF38" s="23">
        <f t="shared" si="62"/>
        <v>8.0410607356715236E-2</v>
      </c>
      <c r="AG38" s="69">
        <f t="shared" si="62"/>
        <v>8.7763713080168726E-2</v>
      </c>
      <c r="AH38" s="69">
        <f t="shared" si="62"/>
        <v>8.8186356073211236E-2</v>
      </c>
      <c r="AI38" s="69">
        <f t="shared" si="62"/>
        <v>8.5365853658536661E-2</v>
      </c>
      <c r="AJ38" s="68">
        <f t="shared" ref="AJ38:AS38" si="63">AJ36/AE36-1</f>
        <v>7.9968329374505043E-2</v>
      </c>
      <c r="AK38" s="23">
        <f t="shared" si="63"/>
        <v>7.9968329374505043E-2</v>
      </c>
      <c r="AL38" s="69">
        <f t="shared" si="63"/>
        <v>7.8355314197051884E-2</v>
      </c>
      <c r="AM38" s="69">
        <f t="shared" si="63"/>
        <v>8.4097859327217028E-2</v>
      </c>
      <c r="AN38" s="69">
        <f t="shared" si="63"/>
        <v>8.4644194756554381E-2</v>
      </c>
      <c r="AO38" s="68">
        <f t="shared" si="63"/>
        <v>8.4310850439882623E-2</v>
      </c>
      <c r="AP38" s="23">
        <f t="shared" si="63"/>
        <v>8.4310850439882623E-2</v>
      </c>
      <c r="AQ38" s="69">
        <f t="shared" si="63"/>
        <v>8.1294964028777006E-2</v>
      </c>
      <c r="AR38" s="69">
        <f t="shared" si="63"/>
        <v>7.2637517630465442E-2</v>
      </c>
      <c r="AS38" s="69">
        <f t="shared" si="63"/>
        <v>6.2845303867403279E-2</v>
      </c>
      <c r="AT38" s="68">
        <f t="shared" ref="AT38" si="64">AT36/AO36-1</f>
        <v>5.3414469235970152E-2</v>
      </c>
      <c r="AU38" s="23">
        <f t="shared" ref="AU38:AX38" si="65">AU36/AP36-1</f>
        <v>5.3414469235970152E-2</v>
      </c>
      <c r="AV38" s="69">
        <f t="shared" si="65"/>
        <v>5.1230871590153049E-2</v>
      </c>
      <c r="AW38" s="69">
        <f t="shared" si="65"/>
        <v>4.7337278106508895E-2</v>
      </c>
      <c r="AX38" s="69">
        <f t="shared" si="65"/>
        <v>4.4834307992202671E-2</v>
      </c>
      <c r="AY38" s="68">
        <f t="shared" ref="AY38" si="66">AY36/AT36-1</f>
        <v>4.942233632862636E-2</v>
      </c>
      <c r="AZ38" s="23">
        <f t="shared" ref="AZ38:BC38" si="67">AZ36/AU36-1</f>
        <v>4.942233632862636E-2</v>
      </c>
      <c r="BA38" s="69">
        <f t="shared" si="67"/>
        <v>4.6202531645569644E-2</v>
      </c>
      <c r="BB38" s="69">
        <f t="shared" si="67"/>
        <v>4.3314500941619594E-2</v>
      </c>
      <c r="BC38" s="69">
        <f t="shared" si="67"/>
        <v>3.4203980099502429E-2</v>
      </c>
      <c r="BD38" s="68">
        <f t="shared" ref="BD38" si="68">BD36/AY36-1</f>
        <v>1.2844036697247763E-2</v>
      </c>
      <c r="BE38" s="23">
        <f t="shared" ref="BE38:BH38" si="69">BE36/AZ36-1</f>
        <v>1.2844036697247763E-2</v>
      </c>
      <c r="BF38" s="69">
        <f t="shared" si="69"/>
        <v>-1.0889292196007205E-2</v>
      </c>
      <c r="BG38" s="69">
        <f t="shared" si="69"/>
        <v>-2.9482551143200975E-2</v>
      </c>
      <c r="BH38" s="69">
        <f t="shared" si="69"/>
        <v>-4.4497895369813634E-2</v>
      </c>
      <c r="BI38" s="68">
        <f t="shared" ref="BI38" si="70">BI36/BD36-1</f>
        <v>-4.8913043478260865E-2</v>
      </c>
      <c r="BJ38" s="23">
        <f t="shared" ref="BJ38:BM38" si="71">BJ36/BE36-1</f>
        <v>-4.8913043478260865E-2</v>
      </c>
      <c r="BK38" s="69">
        <f t="shared" si="71"/>
        <v>-4.2201834862385268E-2</v>
      </c>
      <c r="BL38" s="69">
        <f t="shared" si="71"/>
        <v>-2.603843769373837E-2</v>
      </c>
      <c r="BM38" s="69">
        <f t="shared" si="71"/>
        <v>-1.5103838892385202E-2</v>
      </c>
      <c r="BN38" s="68">
        <f t="shared" ref="BN38" si="72">BN36/BI36-1</f>
        <v>-1.2063492063492109E-2</v>
      </c>
      <c r="BO38" s="23">
        <f t="shared" ref="BO38" si="73">BO36/BJ36-1</f>
        <v>-1.2063492063492109E-2</v>
      </c>
    </row>
    <row r="39" spans="1:67">
      <c r="A39" s="67" t="s">
        <v>166</v>
      </c>
      <c r="B39" s="23"/>
      <c r="C39" s="69"/>
      <c r="D39" s="69"/>
      <c r="E39" s="69"/>
      <c r="F39" s="69"/>
      <c r="G39" s="183">
        <f>G36-B36</f>
        <v>42</v>
      </c>
      <c r="H39" s="69"/>
      <c r="I39" s="69"/>
      <c r="J39" s="69"/>
      <c r="K39" s="68"/>
      <c r="L39" s="183">
        <f>L36-G36</f>
        <v>30</v>
      </c>
      <c r="M39" s="69"/>
      <c r="N39" s="69"/>
      <c r="O39" s="69"/>
      <c r="P39" s="68"/>
      <c r="Q39" s="183">
        <f>Q36-L36</f>
        <v>31</v>
      </c>
      <c r="R39" s="69"/>
      <c r="S39" s="69"/>
      <c r="T39" s="69"/>
      <c r="U39" s="68"/>
      <c r="V39" s="183">
        <f>V36-Q36</f>
        <v>45</v>
      </c>
      <c r="W39" s="69"/>
      <c r="X39" s="69"/>
      <c r="Y39" s="69"/>
      <c r="Z39" s="68"/>
      <c r="AA39" s="183">
        <f>AA36-V36</f>
        <v>58</v>
      </c>
      <c r="AB39" s="69"/>
      <c r="AC39" s="69"/>
      <c r="AD39" s="69"/>
      <c r="AE39" s="68"/>
      <c r="AF39" s="183">
        <f>AF36-AA36</f>
        <v>94</v>
      </c>
      <c r="AG39" s="69"/>
      <c r="AH39" s="69"/>
      <c r="AI39" s="69"/>
      <c r="AJ39" s="68"/>
      <c r="AK39" s="183">
        <f>AK36-AF36</f>
        <v>101</v>
      </c>
      <c r="AL39" s="69"/>
      <c r="AM39" s="180">
        <f>AM36-AL36</f>
        <v>28</v>
      </c>
      <c r="AN39" s="180">
        <f t="shared" ref="AN39:AO39" si="74">AN36-AM36</f>
        <v>30</v>
      </c>
      <c r="AO39" s="180">
        <f t="shared" si="74"/>
        <v>31</v>
      </c>
      <c r="AP39" s="183">
        <f>AP36-AK36</f>
        <v>115</v>
      </c>
      <c r="AQ39" s="182">
        <f>AQ36-AO36</f>
        <v>24</v>
      </c>
      <c r="AR39" s="182">
        <f>AR36-AQ36</f>
        <v>18</v>
      </c>
      <c r="AS39" s="182">
        <f t="shared" ref="AS39:AT39" si="75">AS36-AR36</f>
        <v>18</v>
      </c>
      <c r="AT39" s="182">
        <f t="shared" si="75"/>
        <v>19</v>
      </c>
      <c r="AU39" s="183">
        <f>AU36-AP36</f>
        <v>79</v>
      </c>
      <c r="AV39" s="182">
        <f>AV36-AT36</f>
        <v>22</v>
      </c>
      <c r="AW39" s="182">
        <f>AW36-AV36</f>
        <v>13</v>
      </c>
      <c r="AX39" s="182">
        <f>AX36-AW36</f>
        <v>15</v>
      </c>
      <c r="AY39" s="182">
        <f t="shared" ref="AY39" si="76">AY36-AX36</f>
        <v>27</v>
      </c>
      <c r="AZ39" s="183">
        <f>AZ36-AU36</f>
        <v>77</v>
      </c>
      <c r="BA39" s="182">
        <f>BA36-AY36</f>
        <v>18</v>
      </c>
      <c r="BB39" s="182">
        <f>BB36-BA36</f>
        <v>9</v>
      </c>
      <c r="BC39" s="182">
        <f>BC36-BB36</f>
        <v>1</v>
      </c>
      <c r="BD39" s="182">
        <f t="shared" ref="BD39" si="77">BD36-BC36</f>
        <v>-7</v>
      </c>
      <c r="BE39" s="183">
        <f>BE36-AZ36</f>
        <v>21</v>
      </c>
      <c r="BF39" s="182">
        <f>BF36-BD36</f>
        <v>-21</v>
      </c>
      <c r="BG39" s="182">
        <f>BG36-BF36</f>
        <v>-22</v>
      </c>
      <c r="BH39" s="182">
        <f>BH36-BG36</f>
        <v>-24</v>
      </c>
      <c r="BI39" s="182">
        <f t="shared" ref="BI39" si="78">BI36-BH36</f>
        <v>-14</v>
      </c>
      <c r="BJ39" s="183">
        <f>BJ36-BE36</f>
        <v>-81</v>
      </c>
      <c r="BK39" s="182">
        <f>BK36-BI36</f>
        <v>-9</v>
      </c>
      <c r="BL39" s="182">
        <f>BL36-BK36</f>
        <v>5</v>
      </c>
      <c r="BM39" s="182">
        <f>BM36-BL36</f>
        <v>-6</v>
      </c>
      <c r="BN39" s="182">
        <f t="shared" ref="BN39" si="79">BN36-BM36</f>
        <v>-9</v>
      </c>
      <c r="BO39" s="183">
        <f>BO36-BJ36</f>
        <v>-19</v>
      </c>
    </row>
    <row r="40" spans="1:67" ht="8.25" customHeight="1">
      <c r="A40" s="67"/>
      <c r="B40" s="23"/>
      <c r="C40" s="69"/>
      <c r="D40" s="69"/>
      <c r="E40" s="69"/>
      <c r="F40" s="69"/>
      <c r="G40" s="23"/>
      <c r="H40" s="69"/>
      <c r="I40" s="69"/>
      <c r="J40" s="69"/>
      <c r="K40" s="68"/>
      <c r="L40" s="23"/>
      <c r="M40" s="69"/>
      <c r="N40" s="69"/>
      <c r="O40" s="69"/>
      <c r="P40" s="68"/>
      <c r="Q40" s="23"/>
      <c r="R40" s="69"/>
      <c r="S40" s="69"/>
      <c r="T40" s="69"/>
      <c r="U40" s="68"/>
      <c r="V40" s="23"/>
      <c r="W40" s="69"/>
      <c r="X40" s="69"/>
      <c r="Y40" s="69"/>
      <c r="Z40" s="68"/>
      <c r="AA40" s="23"/>
      <c r="AB40" s="69"/>
      <c r="AC40" s="69"/>
      <c r="AD40" s="69"/>
      <c r="AE40" s="68"/>
      <c r="AF40" s="23"/>
      <c r="AG40" s="69"/>
      <c r="AH40" s="69"/>
      <c r="AI40" s="69"/>
      <c r="AJ40" s="68"/>
      <c r="AK40" s="23"/>
      <c r="AL40" s="69"/>
      <c r="AM40" s="69"/>
      <c r="AN40" s="69"/>
      <c r="AO40" s="68"/>
      <c r="AP40" s="23"/>
      <c r="AQ40" s="69"/>
      <c r="AR40" s="69"/>
      <c r="AS40" s="69"/>
      <c r="AT40" s="68"/>
      <c r="AU40" s="23"/>
      <c r="AV40" s="69"/>
      <c r="AW40" s="69"/>
      <c r="AX40" s="69"/>
      <c r="AY40" s="68"/>
      <c r="AZ40" s="23"/>
      <c r="BA40" s="69"/>
      <c r="BB40" s="69"/>
      <c r="BC40" s="69"/>
      <c r="BD40" s="68"/>
      <c r="BE40" s="23"/>
      <c r="BF40" s="69"/>
      <c r="BG40" s="69"/>
      <c r="BH40" s="69"/>
      <c r="BI40" s="68"/>
      <c r="BJ40" s="23"/>
      <c r="BK40" s="69"/>
      <c r="BL40" s="69"/>
      <c r="BM40" s="69"/>
      <c r="BN40" s="68"/>
      <c r="BO40" s="23"/>
    </row>
    <row r="41" spans="1:67" ht="15.75">
      <c r="A41" s="65" t="s">
        <v>121</v>
      </c>
      <c r="B41" s="140" t="s">
        <v>120</v>
      </c>
      <c r="C41" s="78" t="s">
        <v>120</v>
      </c>
      <c r="D41" s="78" t="s">
        <v>120</v>
      </c>
      <c r="E41" s="78" t="s">
        <v>120</v>
      </c>
      <c r="F41" s="78" t="s">
        <v>120</v>
      </c>
      <c r="G41" s="140" t="s">
        <v>120</v>
      </c>
      <c r="H41" s="78" t="s">
        <v>120</v>
      </c>
      <c r="I41" s="78" t="s">
        <v>120</v>
      </c>
      <c r="J41" s="78" t="s">
        <v>120</v>
      </c>
      <c r="K41" s="78" t="s">
        <v>120</v>
      </c>
      <c r="L41" s="140" t="s">
        <v>120</v>
      </c>
      <c r="M41" s="78" t="s">
        <v>120</v>
      </c>
      <c r="N41" s="78" t="s">
        <v>120</v>
      </c>
      <c r="O41" s="78" t="s">
        <v>120</v>
      </c>
      <c r="P41" s="78" t="s">
        <v>120</v>
      </c>
      <c r="Q41" s="140" t="s">
        <v>120</v>
      </c>
      <c r="R41" s="78" t="s">
        <v>120</v>
      </c>
      <c r="S41" s="78" t="s">
        <v>120</v>
      </c>
      <c r="T41" s="78" t="s">
        <v>120</v>
      </c>
      <c r="U41" s="78" t="s">
        <v>120</v>
      </c>
      <c r="V41" s="140" t="s">
        <v>120</v>
      </c>
      <c r="W41" s="78" t="s">
        <v>120</v>
      </c>
      <c r="X41" s="78" t="s">
        <v>120</v>
      </c>
      <c r="Y41" s="78" t="s">
        <v>120</v>
      </c>
      <c r="Z41" s="78" t="s">
        <v>120</v>
      </c>
      <c r="AA41" s="140" t="s">
        <v>120</v>
      </c>
      <c r="AB41" s="139" t="s">
        <v>120</v>
      </c>
      <c r="AC41" s="139" t="s">
        <v>120</v>
      </c>
      <c r="AD41" s="139" t="s">
        <v>120</v>
      </c>
      <c r="AE41" s="139" t="s">
        <v>120</v>
      </c>
      <c r="AF41" s="140" t="s">
        <v>120</v>
      </c>
      <c r="AG41" s="139" t="s">
        <v>120</v>
      </c>
      <c r="AH41" s="139" t="s">
        <v>120</v>
      </c>
      <c r="AI41" s="139" t="s">
        <v>120</v>
      </c>
      <c r="AJ41" s="139" t="s">
        <v>120</v>
      </c>
      <c r="AK41" s="140" t="s">
        <v>120</v>
      </c>
      <c r="AL41" s="66">
        <v>11</v>
      </c>
      <c r="AM41" s="66">
        <v>78</v>
      </c>
      <c r="AN41" s="66">
        <v>177</v>
      </c>
      <c r="AO41" s="66">
        <v>244</v>
      </c>
      <c r="AP41" s="35">
        <v>244</v>
      </c>
      <c r="AQ41" s="66">
        <v>290</v>
      </c>
      <c r="AR41" s="66">
        <v>323</v>
      </c>
      <c r="AS41" s="66">
        <v>347</v>
      </c>
      <c r="AT41" s="66">
        <v>377</v>
      </c>
      <c r="AU41" s="35">
        <v>377</v>
      </c>
      <c r="AV41" s="66">
        <v>414</v>
      </c>
      <c r="AW41" s="66">
        <v>444</v>
      </c>
      <c r="AX41" s="66">
        <v>484</v>
      </c>
      <c r="AY41" s="66">
        <v>532</v>
      </c>
      <c r="AZ41" s="35">
        <v>532</v>
      </c>
      <c r="BA41" s="66">
        <v>574</v>
      </c>
      <c r="BB41" s="66">
        <v>600</v>
      </c>
      <c r="BC41" s="66">
        <v>617</v>
      </c>
      <c r="BD41" s="66">
        <v>626</v>
      </c>
      <c r="BE41" s="35">
        <v>626</v>
      </c>
      <c r="BF41" s="66">
        <v>624</v>
      </c>
      <c r="BG41" s="66">
        <v>612</v>
      </c>
      <c r="BH41" s="66">
        <v>601</v>
      </c>
      <c r="BI41" s="66">
        <f>BJ41</f>
        <v>592</v>
      </c>
      <c r="BJ41" s="35">
        <v>592</v>
      </c>
      <c r="BK41" s="66">
        <v>584</v>
      </c>
      <c r="BL41" s="66">
        <v>580</v>
      </c>
      <c r="BM41" s="66">
        <v>570</v>
      </c>
      <c r="BN41" s="66">
        <f>BO41</f>
        <v>557</v>
      </c>
      <c r="BO41" s="35">
        <v>557</v>
      </c>
    </row>
    <row r="42" spans="1:67">
      <c r="A42" s="67" t="s">
        <v>7</v>
      </c>
      <c r="B42" s="23"/>
      <c r="C42" s="69"/>
      <c r="D42" s="69"/>
      <c r="E42" s="69"/>
      <c r="F42" s="69"/>
      <c r="G42" s="23"/>
      <c r="H42" s="69"/>
      <c r="I42" s="69"/>
      <c r="J42" s="69"/>
      <c r="K42" s="68"/>
      <c r="L42" s="23"/>
      <c r="M42" s="69"/>
      <c r="N42" s="69"/>
      <c r="O42" s="69"/>
      <c r="P42" s="68"/>
      <c r="Q42" s="23"/>
      <c r="R42" s="69"/>
      <c r="S42" s="69"/>
      <c r="T42" s="69"/>
      <c r="U42" s="68"/>
      <c r="V42" s="23"/>
      <c r="W42" s="69"/>
      <c r="X42" s="69"/>
      <c r="Y42" s="69"/>
      <c r="Z42" s="68"/>
      <c r="AA42" s="23"/>
      <c r="AB42" s="69"/>
      <c r="AC42" s="69"/>
      <c r="AD42" s="69"/>
      <c r="AE42" s="68"/>
      <c r="AF42" s="23"/>
      <c r="AG42" s="69"/>
      <c r="AH42" s="69"/>
      <c r="AI42" s="69"/>
      <c r="AJ42" s="68"/>
      <c r="AK42" s="23"/>
      <c r="AL42" s="69"/>
      <c r="AM42" s="68">
        <f>AM41/AL41-1</f>
        <v>6.0909090909090908</v>
      </c>
      <c r="AN42" s="68">
        <f>AN41/AM41-1</f>
        <v>1.2692307692307692</v>
      </c>
      <c r="AO42" s="68">
        <f>AO41/AN41-1</f>
        <v>0.37853107344632764</v>
      </c>
      <c r="AP42" s="23"/>
      <c r="AQ42" s="68">
        <f>AQ41/AO41-1</f>
        <v>0.18852459016393452</v>
      </c>
      <c r="AR42" s="68">
        <f>AR41/AQ41-1</f>
        <v>0.11379310344827576</v>
      </c>
      <c r="AS42" s="68">
        <f>AS41/AR41-1</f>
        <v>7.4303405572755388E-2</v>
      </c>
      <c r="AT42" s="68">
        <f>AT41/AS41-1</f>
        <v>8.6455331412103709E-2</v>
      </c>
      <c r="AU42" s="23"/>
      <c r="AV42" s="68">
        <f>AV41/AT41-1</f>
        <v>9.8143236074270668E-2</v>
      </c>
      <c r="AW42" s="68">
        <f>AW41/AV41-1</f>
        <v>7.2463768115942129E-2</v>
      </c>
      <c r="AX42" s="68">
        <f>AX41/AW41-1</f>
        <v>9.0090090090090058E-2</v>
      </c>
      <c r="AY42" s="68">
        <f>AY41/AX41-1</f>
        <v>9.9173553719008156E-2</v>
      </c>
      <c r="AZ42" s="23"/>
      <c r="BA42" s="68">
        <f>BA41/AY41-1</f>
        <v>7.8947368421052655E-2</v>
      </c>
      <c r="BB42" s="68">
        <f>BB41/BA41-1</f>
        <v>4.5296167247386832E-2</v>
      </c>
      <c r="BC42" s="68">
        <f>BC41/BB41-1</f>
        <v>2.8333333333333321E-2</v>
      </c>
      <c r="BD42" s="68">
        <f>BD41/BC41-1</f>
        <v>1.4586709886547755E-2</v>
      </c>
      <c r="BE42" s="23"/>
      <c r="BF42" s="68">
        <f>BF41/BD41-1</f>
        <v>-3.1948881789137795E-3</v>
      </c>
      <c r="BG42" s="68">
        <f>BG41/BF41-1</f>
        <v>-1.9230769230769273E-2</v>
      </c>
      <c r="BH42" s="68">
        <f>BH41/BG41-1</f>
        <v>-1.7973856209150374E-2</v>
      </c>
      <c r="BI42" s="68">
        <f>BI41/BH41-1</f>
        <v>-1.4975041597337757E-2</v>
      </c>
      <c r="BJ42" s="23"/>
      <c r="BK42" s="68">
        <f>BK41/BI41-1</f>
        <v>-1.3513513513513487E-2</v>
      </c>
      <c r="BL42" s="68">
        <f>BL41/BK41-1</f>
        <v>-6.8493150684931781E-3</v>
      </c>
      <c r="BM42" s="68">
        <f>BM41/BL41-1</f>
        <v>-1.7241379310344862E-2</v>
      </c>
      <c r="BN42" s="68">
        <f>BN41/BM41-1</f>
        <v>-2.2807017543859609E-2</v>
      </c>
      <c r="BO42" s="23"/>
    </row>
    <row r="43" spans="1:67">
      <c r="A43" s="67" t="s">
        <v>8</v>
      </c>
      <c r="B43" s="23"/>
      <c r="C43" s="69"/>
      <c r="D43" s="69"/>
      <c r="E43" s="69"/>
      <c r="F43" s="69"/>
      <c r="G43" s="23"/>
      <c r="H43" s="69"/>
      <c r="I43" s="69"/>
      <c r="J43" s="69"/>
      <c r="K43" s="68"/>
      <c r="L43" s="23"/>
      <c r="M43" s="69"/>
      <c r="N43" s="69"/>
      <c r="O43" s="69"/>
      <c r="P43" s="68"/>
      <c r="Q43" s="23"/>
      <c r="R43" s="69"/>
      <c r="S43" s="69"/>
      <c r="T43" s="69"/>
      <c r="U43" s="68"/>
      <c r="V43" s="23"/>
      <c r="W43" s="69"/>
      <c r="X43" s="69"/>
      <c r="Y43" s="69"/>
      <c r="Z43" s="68"/>
      <c r="AA43" s="23"/>
      <c r="AB43" s="69"/>
      <c r="AC43" s="69"/>
      <c r="AD43" s="69"/>
      <c r="AE43" s="68"/>
      <c r="AF43" s="23"/>
      <c r="AG43" s="69"/>
      <c r="AH43" s="69"/>
      <c r="AI43" s="69"/>
      <c r="AJ43" s="68"/>
      <c r="AK43" s="23"/>
      <c r="AL43" s="69"/>
      <c r="AM43" s="69"/>
      <c r="AN43" s="69"/>
      <c r="AO43" s="68"/>
      <c r="AP43" s="23"/>
      <c r="AQ43" s="69">
        <f t="shared" ref="AQ43:AS43" si="80">AQ41/AL41-1</f>
        <v>25.363636363636363</v>
      </c>
      <c r="AR43" s="69">
        <f t="shared" si="80"/>
        <v>3.1410256410256414</v>
      </c>
      <c r="AS43" s="69">
        <f t="shared" si="80"/>
        <v>0.96045197740112997</v>
      </c>
      <c r="AT43" s="68"/>
      <c r="AU43" s="23">
        <f>AU41/AP41-1</f>
        <v>0.54508196721311486</v>
      </c>
      <c r="AV43" s="69">
        <f t="shared" ref="AV43:BC43" si="81">AV41/AQ41-1</f>
        <v>0.42758620689655169</v>
      </c>
      <c r="AW43" s="69">
        <f t="shared" si="81"/>
        <v>0.37461300309597534</v>
      </c>
      <c r="AX43" s="69">
        <f t="shared" si="81"/>
        <v>0.39481268011527382</v>
      </c>
      <c r="AY43" s="68">
        <f t="shared" si="81"/>
        <v>0.41114058355437666</v>
      </c>
      <c r="AZ43" s="23">
        <f>AZ41/AU41-1</f>
        <v>0.41114058355437666</v>
      </c>
      <c r="BA43" s="69">
        <f t="shared" si="81"/>
        <v>0.38647342995169076</v>
      </c>
      <c r="BB43" s="69">
        <f t="shared" si="81"/>
        <v>0.35135135135135132</v>
      </c>
      <c r="BC43" s="69">
        <f t="shared" si="81"/>
        <v>0.27479338842975198</v>
      </c>
      <c r="BD43" s="68">
        <f t="shared" ref="BD43" si="82">BD41/AY41-1</f>
        <v>0.17669172932330834</v>
      </c>
      <c r="BE43" s="23">
        <f>BE41/AZ41-1</f>
        <v>0.17669172932330834</v>
      </c>
      <c r="BF43" s="69">
        <f t="shared" ref="BF43:BH43" si="83">BF41/BA41-1</f>
        <v>8.710801393728218E-2</v>
      </c>
      <c r="BG43" s="69">
        <f t="shared" si="83"/>
        <v>2.0000000000000018E-2</v>
      </c>
      <c r="BH43" s="69">
        <f t="shared" si="83"/>
        <v>-2.5931928687196071E-2</v>
      </c>
      <c r="BI43" s="68">
        <f t="shared" ref="BI43" si="84">BI41/BD41-1</f>
        <v>-5.4313099041533586E-2</v>
      </c>
      <c r="BJ43" s="23">
        <f>BJ41/BE41-1</f>
        <v>-5.4313099041533586E-2</v>
      </c>
      <c r="BK43" s="69">
        <f t="shared" ref="BK43:BM43" si="85">BK41/BF41-1</f>
        <v>-6.4102564102564097E-2</v>
      </c>
      <c r="BL43" s="69">
        <f t="shared" si="85"/>
        <v>-5.2287581699346442E-2</v>
      </c>
      <c r="BM43" s="69">
        <f t="shared" si="85"/>
        <v>-5.1580698835274497E-2</v>
      </c>
      <c r="BN43" s="68">
        <f t="shared" ref="BN43" si="86">BN41/BI41-1</f>
        <v>-5.9121621621621601E-2</v>
      </c>
      <c r="BO43" s="23">
        <f>BO41/BJ41-1</f>
        <v>-5.9121621621621601E-2</v>
      </c>
    </row>
    <row r="44" spans="1:67">
      <c r="A44" s="67" t="s">
        <v>166</v>
      </c>
      <c r="B44" s="23"/>
      <c r="C44" s="69"/>
      <c r="D44" s="69"/>
      <c r="E44" s="69"/>
      <c r="F44" s="69"/>
      <c r="G44" s="23"/>
      <c r="H44" s="69"/>
      <c r="I44" s="69"/>
      <c r="J44" s="69"/>
      <c r="K44" s="68"/>
      <c r="L44" s="23"/>
      <c r="M44" s="69"/>
      <c r="N44" s="69"/>
      <c r="O44" s="69"/>
      <c r="P44" s="68"/>
      <c r="Q44" s="23"/>
      <c r="R44" s="69"/>
      <c r="S44" s="69"/>
      <c r="T44" s="69"/>
      <c r="U44" s="68"/>
      <c r="V44" s="23"/>
      <c r="W44" s="69"/>
      <c r="X44" s="69"/>
      <c r="Y44" s="69"/>
      <c r="Z44" s="68"/>
      <c r="AA44" s="23"/>
      <c r="AB44" s="69"/>
      <c r="AC44" s="69"/>
      <c r="AD44" s="69"/>
      <c r="AE44" s="68"/>
      <c r="AF44" s="23"/>
      <c r="AG44" s="69"/>
      <c r="AH44" s="69"/>
      <c r="AI44" s="69"/>
      <c r="AJ44" s="68"/>
      <c r="AK44" s="23"/>
      <c r="AL44" s="69"/>
      <c r="AM44" s="180">
        <f>AM41-AL41</f>
        <v>67</v>
      </c>
      <c r="AN44" s="180">
        <f t="shared" ref="AN44:AO44" si="87">AN41-AM41</f>
        <v>99</v>
      </c>
      <c r="AO44" s="180">
        <f t="shared" si="87"/>
        <v>67</v>
      </c>
      <c r="AP44" s="181"/>
      <c r="AQ44" s="182">
        <f>AQ41-AO41</f>
        <v>46</v>
      </c>
      <c r="AR44" s="182">
        <f>AR41-AQ41</f>
        <v>33</v>
      </c>
      <c r="AS44" s="182">
        <f t="shared" ref="AS44:AT44" si="88">AS41-AR41</f>
        <v>24</v>
      </c>
      <c r="AT44" s="182">
        <f t="shared" si="88"/>
        <v>30</v>
      </c>
      <c r="AU44" s="183">
        <f>AU41-AP41</f>
        <v>133</v>
      </c>
      <c r="AV44" s="182">
        <f>AV41-AT41</f>
        <v>37</v>
      </c>
      <c r="AW44" s="182">
        <f>AW41-AV41</f>
        <v>30</v>
      </c>
      <c r="AX44" s="182">
        <f>AX41-AW41</f>
        <v>40</v>
      </c>
      <c r="AY44" s="182">
        <f t="shared" ref="AY44" si="89">AY41-AX41</f>
        <v>48</v>
      </c>
      <c r="AZ44" s="183">
        <f>AZ41-AU41</f>
        <v>155</v>
      </c>
      <c r="BA44" s="182">
        <f>BA41-AY41</f>
        <v>42</v>
      </c>
      <c r="BB44" s="182">
        <f>BB41-BA41</f>
        <v>26</v>
      </c>
      <c r="BC44" s="182">
        <f>BC41-BB41</f>
        <v>17</v>
      </c>
      <c r="BD44" s="182">
        <f t="shared" ref="BD44" si="90">BD41-BC41</f>
        <v>9</v>
      </c>
      <c r="BE44" s="183">
        <f>BE41-AZ41</f>
        <v>94</v>
      </c>
      <c r="BF44" s="182">
        <f>BF41-BD41</f>
        <v>-2</v>
      </c>
      <c r="BG44" s="182">
        <f>BG41-BF41</f>
        <v>-12</v>
      </c>
      <c r="BH44" s="182">
        <f>BH41-BG41</f>
        <v>-11</v>
      </c>
      <c r="BI44" s="182">
        <f t="shared" ref="BI44" si="91">BI41-BH41</f>
        <v>-9</v>
      </c>
      <c r="BJ44" s="183">
        <f>BJ41-BE41</f>
        <v>-34</v>
      </c>
      <c r="BK44" s="182">
        <f>BK41-BI41</f>
        <v>-8</v>
      </c>
      <c r="BL44" s="182">
        <f>BL41-BK41</f>
        <v>-4</v>
      </c>
      <c r="BM44" s="182">
        <f>BM41-BL41</f>
        <v>-10</v>
      </c>
      <c r="BN44" s="182">
        <f t="shared" ref="BN44" si="92">BN41-BM41</f>
        <v>-13</v>
      </c>
      <c r="BO44" s="183">
        <f>BO41-BJ41</f>
        <v>-35</v>
      </c>
    </row>
    <row r="45" spans="1:67">
      <c r="A45" s="67" t="s">
        <v>216</v>
      </c>
      <c r="B45" s="23"/>
      <c r="C45" s="69"/>
      <c r="D45" s="69"/>
      <c r="E45" s="69"/>
      <c r="F45" s="69"/>
      <c r="G45" s="23"/>
      <c r="H45" s="69"/>
      <c r="I45" s="69"/>
      <c r="J45" s="69"/>
      <c r="K45" s="68"/>
      <c r="L45" s="23"/>
      <c r="M45" s="69"/>
      <c r="N45" s="69"/>
      <c r="O45" s="69"/>
      <c r="P45" s="68"/>
      <c r="Q45" s="23"/>
      <c r="R45" s="69"/>
      <c r="S45" s="69"/>
      <c r="T45" s="69"/>
      <c r="U45" s="68"/>
      <c r="V45" s="23"/>
      <c r="W45" s="69"/>
      <c r="X45" s="69"/>
      <c r="Y45" s="69"/>
      <c r="Z45" s="68"/>
      <c r="AA45" s="23"/>
      <c r="AB45" s="69"/>
      <c r="AC45" s="69"/>
      <c r="AD45" s="69"/>
      <c r="AE45" s="68"/>
      <c r="AF45" s="23"/>
      <c r="AG45" s="69"/>
      <c r="AH45" s="69"/>
      <c r="AI45" s="69"/>
      <c r="AJ45" s="68"/>
      <c r="AK45" s="23"/>
      <c r="AL45" s="184">
        <f t="shared" ref="AL45:AO45" si="93">AL41/AL36</f>
        <v>7.9136690647482015E-3</v>
      </c>
      <c r="AM45" s="184">
        <f t="shared" si="93"/>
        <v>5.5007052186177713E-2</v>
      </c>
      <c r="AN45" s="184">
        <f t="shared" si="93"/>
        <v>0.12223756906077347</v>
      </c>
      <c r="AO45" s="184">
        <f t="shared" si="93"/>
        <v>0.1649763353617309</v>
      </c>
      <c r="AP45" s="185">
        <f>AP41/AP36</f>
        <v>0.1649763353617309</v>
      </c>
      <c r="AQ45" s="184">
        <f t="shared" ref="AQ45:AT45" si="94">AQ41/AQ36</f>
        <v>0.19294743845642048</v>
      </c>
      <c r="AR45" s="184">
        <f t="shared" si="94"/>
        <v>0.2123602892833662</v>
      </c>
      <c r="AS45" s="184">
        <f t="shared" si="94"/>
        <v>0.22547108512020791</v>
      </c>
      <c r="AT45" s="184">
        <f t="shared" si="94"/>
        <v>0.24197689345314505</v>
      </c>
      <c r="AU45" s="185">
        <f>AU41/AU36</f>
        <v>0.24197689345314505</v>
      </c>
      <c r="AV45" s="184">
        <f t="shared" ref="AV45:AW45" si="95">AV41/AV36</f>
        <v>0.26202531645569621</v>
      </c>
      <c r="AW45" s="184">
        <f t="shared" si="95"/>
        <v>0.27871939736346518</v>
      </c>
      <c r="AX45" s="184">
        <f>AX41/AX36</f>
        <v>0.30099502487562191</v>
      </c>
      <c r="AY45" s="184">
        <f t="shared" ref="AY45" si="96">AY41/AY36</f>
        <v>0.3253822629969419</v>
      </c>
      <c r="AZ45" s="185">
        <f>AZ41/AZ36</f>
        <v>0.3253822629969419</v>
      </c>
      <c r="BA45" s="184">
        <f t="shared" ref="BA45:BB45" si="97">BA41/BA36</f>
        <v>0.3472474289171204</v>
      </c>
      <c r="BB45" s="184">
        <f t="shared" si="97"/>
        <v>0.36101083032490977</v>
      </c>
      <c r="BC45" s="184">
        <f>BC41/BC36</f>
        <v>0.37101623571858089</v>
      </c>
      <c r="BD45" s="184">
        <f t="shared" ref="BD45" si="98">BD41/BD36</f>
        <v>0.3780193236714976</v>
      </c>
      <c r="BE45" s="185">
        <f>BE41/BE36</f>
        <v>0.3780193236714976</v>
      </c>
      <c r="BF45" s="184">
        <f t="shared" ref="BF45:BG45" si="99">BF41/BF36</f>
        <v>0.38165137614678901</v>
      </c>
      <c r="BG45" s="184">
        <f t="shared" si="99"/>
        <v>0.37941723496590207</v>
      </c>
      <c r="BH45" s="184">
        <f t="shared" ref="BH45:BI45" si="100">BH41/BH36</f>
        <v>0.37822529893014473</v>
      </c>
      <c r="BI45" s="184">
        <f t="shared" si="100"/>
        <v>0.37587301587301586</v>
      </c>
      <c r="BJ45" s="185">
        <f>BJ41/BJ36</f>
        <v>0.37587301587301586</v>
      </c>
      <c r="BK45" s="184">
        <f t="shared" ref="BK45:BL45" si="101">BK41/BK36</f>
        <v>0.37292464878671777</v>
      </c>
      <c r="BL45" s="184">
        <f t="shared" si="101"/>
        <v>0.36919159770846594</v>
      </c>
      <c r="BM45" s="184">
        <f t="shared" ref="BM45:BN45" si="102">BM41/BM36</f>
        <v>0.36421725239616615</v>
      </c>
      <c r="BN45" s="184">
        <f t="shared" si="102"/>
        <v>0.35796915167095117</v>
      </c>
      <c r="BO45" s="185">
        <f>BO41/BO36</f>
        <v>0.35796915167095117</v>
      </c>
    </row>
    <row r="46" spans="1:67" ht="6" customHeight="1">
      <c r="A46" s="67"/>
      <c r="B46" s="23"/>
      <c r="C46" s="69"/>
      <c r="D46" s="69"/>
      <c r="E46" s="69"/>
      <c r="F46" s="69"/>
      <c r="G46" s="23"/>
      <c r="H46" s="69"/>
      <c r="I46" s="69"/>
      <c r="J46" s="69"/>
      <c r="K46" s="68"/>
      <c r="L46" s="23"/>
      <c r="M46" s="69"/>
      <c r="N46" s="69"/>
      <c r="O46" s="69"/>
      <c r="P46" s="68"/>
      <c r="Q46" s="23"/>
      <c r="R46" s="69"/>
      <c r="S46" s="69"/>
      <c r="T46" s="69"/>
      <c r="U46" s="68"/>
      <c r="V46" s="23"/>
      <c r="W46" s="69"/>
      <c r="X46" s="69"/>
      <c r="Y46" s="69"/>
      <c r="Z46" s="68"/>
      <c r="AA46" s="23"/>
      <c r="AB46" s="69"/>
      <c r="AC46" s="69"/>
      <c r="AD46" s="69"/>
      <c r="AE46" s="68"/>
      <c r="AF46" s="23"/>
      <c r="AG46" s="69"/>
      <c r="AH46" s="69"/>
      <c r="AI46" s="69"/>
      <c r="AJ46" s="68"/>
      <c r="AK46" s="23"/>
      <c r="AL46" s="69"/>
      <c r="AM46" s="69"/>
      <c r="AN46" s="69"/>
      <c r="AO46" s="68"/>
      <c r="AP46" s="23"/>
      <c r="AQ46" s="69"/>
      <c r="AR46" s="69"/>
      <c r="AS46" s="69"/>
      <c r="AT46" s="68"/>
      <c r="AU46" s="23"/>
      <c r="AV46" s="69"/>
      <c r="AW46" s="69"/>
      <c r="AX46" s="69"/>
      <c r="AY46" s="68"/>
      <c r="AZ46" s="23"/>
      <c r="BA46" s="69"/>
      <c r="BB46" s="69"/>
      <c r="BC46" s="69"/>
      <c r="BD46" s="68"/>
      <c r="BE46" s="23"/>
      <c r="BF46" s="69"/>
      <c r="BG46" s="69"/>
      <c r="BH46" s="69"/>
      <c r="BI46" s="68"/>
      <c r="BJ46" s="23"/>
      <c r="BK46" s="69"/>
      <c r="BL46" s="69"/>
      <c r="BM46" s="69"/>
      <c r="BN46" s="68"/>
      <c r="BO46" s="23"/>
    </row>
    <row r="47" spans="1:67">
      <c r="A47" s="65" t="s">
        <v>160</v>
      </c>
      <c r="B47" s="36">
        <v>963</v>
      </c>
      <c r="C47" s="65">
        <v>970</v>
      </c>
      <c r="D47" s="65">
        <v>982</v>
      </c>
      <c r="E47" s="65">
        <v>994</v>
      </c>
      <c r="F47" s="66">
        <v>1005</v>
      </c>
      <c r="G47" s="36">
        <v>1005</v>
      </c>
      <c r="H47" s="66">
        <v>1011</v>
      </c>
      <c r="I47" s="66">
        <v>1016</v>
      </c>
      <c r="J47" s="66">
        <v>1026</v>
      </c>
      <c r="K47" s="66">
        <v>1035</v>
      </c>
      <c r="L47" s="35">
        <v>1035</v>
      </c>
      <c r="M47" s="66">
        <v>1045</v>
      </c>
      <c r="N47" s="66">
        <v>1051</v>
      </c>
      <c r="O47" s="66">
        <v>1056</v>
      </c>
      <c r="P47" s="66">
        <v>1066</v>
      </c>
      <c r="Q47" s="35">
        <v>1066</v>
      </c>
      <c r="R47" s="66">
        <v>1079</v>
      </c>
      <c r="S47" s="66">
        <v>1088</v>
      </c>
      <c r="T47" s="66">
        <v>1100</v>
      </c>
      <c r="U47" s="66">
        <v>1111</v>
      </c>
      <c r="V47" s="35">
        <v>1111</v>
      </c>
      <c r="W47" s="66">
        <v>1121</v>
      </c>
      <c r="X47" s="66">
        <v>1136</v>
      </c>
      <c r="Y47" s="66">
        <v>1153</v>
      </c>
      <c r="Z47" s="66">
        <v>1169</v>
      </c>
      <c r="AA47" s="35">
        <v>1169</v>
      </c>
      <c r="AB47" s="66">
        <v>1185</v>
      </c>
      <c r="AC47" s="66">
        <v>1202</v>
      </c>
      <c r="AD47" s="66">
        <v>1230</v>
      </c>
      <c r="AE47" s="66">
        <v>1263</v>
      </c>
      <c r="AF47" s="35">
        <v>1263</v>
      </c>
      <c r="AG47" s="66">
        <v>1289</v>
      </c>
      <c r="AH47" s="66">
        <v>1308</v>
      </c>
      <c r="AI47" s="66">
        <v>1335</v>
      </c>
      <c r="AJ47" s="66">
        <v>1364</v>
      </c>
      <c r="AK47" s="35">
        <v>1364</v>
      </c>
      <c r="AL47" s="66">
        <f>AL36-AL41</f>
        <v>1379</v>
      </c>
      <c r="AM47" s="66">
        <f t="shared" ref="AM47:AO47" si="103">AM36-AM41</f>
        <v>1340</v>
      </c>
      <c r="AN47" s="66">
        <f t="shared" si="103"/>
        <v>1271</v>
      </c>
      <c r="AO47" s="66">
        <f t="shared" si="103"/>
        <v>1235</v>
      </c>
      <c r="AP47" s="35">
        <f>AP36-AP41</f>
        <v>1235</v>
      </c>
      <c r="AQ47" s="66">
        <f>AQ36-AQ41</f>
        <v>1213</v>
      </c>
      <c r="AR47" s="66">
        <f t="shared" ref="AR47:AT47" si="104">AR36-AR41</f>
        <v>1198</v>
      </c>
      <c r="AS47" s="66">
        <f t="shared" si="104"/>
        <v>1192</v>
      </c>
      <c r="AT47" s="66">
        <f t="shared" si="104"/>
        <v>1181</v>
      </c>
      <c r="AU47" s="35">
        <f>AU36-AU41</f>
        <v>1181</v>
      </c>
      <c r="AV47" s="66">
        <f>AV36-AV41</f>
        <v>1166</v>
      </c>
      <c r="AW47" s="66">
        <v>1149</v>
      </c>
      <c r="AX47" s="66">
        <v>1124</v>
      </c>
      <c r="AY47" s="66">
        <f t="shared" ref="AY47" si="105">AY36-AY41</f>
        <v>1103</v>
      </c>
      <c r="AZ47" s="35">
        <f>AZ36-AZ41</f>
        <v>1103</v>
      </c>
      <c r="BA47" s="66">
        <v>1079</v>
      </c>
      <c r="BB47" s="66">
        <v>1062</v>
      </c>
      <c r="BC47" s="66">
        <v>1046</v>
      </c>
      <c r="BD47" s="66">
        <v>1030</v>
      </c>
      <c r="BE47" s="35">
        <f>BE36-BE41</f>
        <v>1030</v>
      </c>
      <c r="BF47" s="66">
        <v>1011</v>
      </c>
      <c r="BG47" s="66">
        <v>1001</v>
      </c>
      <c r="BH47" s="66">
        <v>988</v>
      </c>
      <c r="BI47" s="66">
        <v>983</v>
      </c>
      <c r="BJ47" s="35">
        <v>983</v>
      </c>
      <c r="BK47" s="66">
        <v>982</v>
      </c>
      <c r="BL47" s="66">
        <v>991</v>
      </c>
      <c r="BM47" s="66">
        <v>995</v>
      </c>
      <c r="BN47" s="66">
        <f>BO47</f>
        <v>999</v>
      </c>
      <c r="BO47" s="35">
        <v>999</v>
      </c>
    </row>
    <row r="48" spans="1:67">
      <c r="A48" s="67" t="s">
        <v>7</v>
      </c>
      <c r="B48" s="23"/>
      <c r="C48" s="68"/>
      <c r="D48" s="68">
        <f>D47/C47-1</f>
        <v>1.2371134020618513E-2</v>
      </c>
      <c r="E48" s="68">
        <f>E47/D47-1</f>
        <v>1.2219959266802416E-2</v>
      </c>
      <c r="F48" s="68">
        <f>F47/E47-1</f>
        <v>1.1066398390342069E-2</v>
      </c>
      <c r="G48" s="23"/>
      <c r="H48" s="68">
        <f>H47/F47-1</f>
        <v>5.9701492537314049E-3</v>
      </c>
      <c r="I48" s="68">
        <f>I47/H47-1</f>
        <v>4.9455984174084922E-3</v>
      </c>
      <c r="J48" s="68">
        <f>J47/I47-1</f>
        <v>9.8425196850393526E-3</v>
      </c>
      <c r="K48" s="68">
        <f>K47/J47-1</f>
        <v>8.7719298245614308E-3</v>
      </c>
      <c r="L48" s="23"/>
      <c r="M48" s="68">
        <f>M47/K47-1</f>
        <v>9.6618357487923134E-3</v>
      </c>
      <c r="N48" s="68">
        <f>N47/M47-1</f>
        <v>5.7416267942582699E-3</v>
      </c>
      <c r="O48" s="68">
        <f>O47/N47-1</f>
        <v>4.7573739295909689E-3</v>
      </c>
      <c r="P48" s="68">
        <f>P47/O47-1</f>
        <v>9.4696969696970168E-3</v>
      </c>
      <c r="Q48" s="23"/>
      <c r="R48" s="68">
        <f>R47/P47-1</f>
        <v>1.2195121951219523E-2</v>
      </c>
      <c r="S48" s="68">
        <f>S47/R47-1</f>
        <v>8.3410565338275511E-3</v>
      </c>
      <c r="T48" s="68">
        <f>T47/S47-1</f>
        <v>1.1029411764705843E-2</v>
      </c>
      <c r="U48" s="68">
        <f>U47/T47-1</f>
        <v>1.0000000000000009E-2</v>
      </c>
      <c r="V48" s="23"/>
      <c r="W48" s="68">
        <f>W47/U47-1</f>
        <v>9.0009000900090896E-3</v>
      </c>
      <c r="X48" s="68">
        <f>X47/W47-1</f>
        <v>1.338090990187335E-2</v>
      </c>
      <c r="Y48" s="68">
        <f>Y47/X47-1</f>
        <v>1.4964788732394263E-2</v>
      </c>
      <c r="Z48" s="68">
        <f>Z47/Y47-1</f>
        <v>1.3876843018213458E-2</v>
      </c>
      <c r="AA48" s="23"/>
      <c r="AB48" s="68">
        <f>AB47/Z47-1</f>
        <v>1.3686911890504749E-2</v>
      </c>
      <c r="AC48" s="68">
        <f>AC47/AB47-1</f>
        <v>1.4345991561181437E-2</v>
      </c>
      <c r="AD48" s="68">
        <f>AD47/AC47-1</f>
        <v>2.3294509151414289E-2</v>
      </c>
      <c r="AE48" s="68">
        <f>AE47/AD47-1</f>
        <v>2.6829268292682951E-2</v>
      </c>
      <c r="AF48" s="23"/>
      <c r="AG48" s="68">
        <f>AG47/AE47-1</f>
        <v>2.0585906571654711E-2</v>
      </c>
      <c r="AH48" s="68">
        <f>AH47/AG47-1</f>
        <v>1.4740108611326574E-2</v>
      </c>
      <c r="AI48" s="68">
        <f>AI47/AH47-1</f>
        <v>2.0642201834862428E-2</v>
      </c>
      <c r="AJ48" s="68">
        <f>AJ47/AI47-1</f>
        <v>2.1722846441947663E-2</v>
      </c>
      <c r="AK48" s="23"/>
      <c r="AL48" s="68">
        <f>AL47/AJ47-1</f>
        <v>1.0997067448680342E-2</v>
      </c>
      <c r="AM48" s="68">
        <f>AM47/AL47-1</f>
        <v>-2.8281363306744023E-2</v>
      </c>
      <c r="AN48" s="68">
        <f>AN47/AM47-1</f>
        <v>-5.149253731343284E-2</v>
      </c>
      <c r="AO48" s="68">
        <f>AO47/AN47-1</f>
        <v>-2.8324154209284025E-2</v>
      </c>
      <c r="AP48" s="23"/>
      <c r="AQ48" s="68">
        <f>AQ47/AO47-1</f>
        <v>-1.7813765182186247E-2</v>
      </c>
      <c r="AR48" s="68">
        <f>AR47/AQ47-1</f>
        <v>-1.2366034624896938E-2</v>
      </c>
      <c r="AS48" s="68">
        <f>AS47/AR47-1</f>
        <v>-5.008347245408995E-3</v>
      </c>
      <c r="AT48" s="68">
        <f>AT47/AS47-1</f>
        <v>-9.2281879194631156E-3</v>
      </c>
      <c r="AU48" s="23"/>
      <c r="AV48" s="68">
        <f>AV47/AT47-1</f>
        <v>-1.2701100762066098E-2</v>
      </c>
      <c r="AW48" s="68">
        <f>AW47/AV47-1</f>
        <v>-1.4579759862778707E-2</v>
      </c>
      <c r="AX48" s="68">
        <f>AX47/AW47-1</f>
        <v>-2.1758050478677071E-2</v>
      </c>
      <c r="AY48" s="68">
        <f>AY47/AX47-1</f>
        <v>-1.8683274021352281E-2</v>
      </c>
      <c r="AZ48" s="23"/>
      <c r="BA48" s="68">
        <f>BA47/AY47-1</f>
        <v>-2.1758839528558505E-2</v>
      </c>
      <c r="BB48" s="68">
        <f>BB47/BA47-1</f>
        <v>-1.575532900834109E-2</v>
      </c>
      <c r="BC48" s="68">
        <f>BC47/BB47-1</f>
        <v>-1.5065913370998163E-2</v>
      </c>
      <c r="BD48" s="68">
        <f>BD47/BC47-1</f>
        <v>-1.5296367112810683E-2</v>
      </c>
      <c r="BE48" s="23"/>
      <c r="BF48" s="68">
        <f>BF47/BD47-1</f>
        <v>-1.844660194174752E-2</v>
      </c>
      <c r="BG48" s="68">
        <f>BG47/BF47-1</f>
        <v>-9.8911968348169843E-3</v>
      </c>
      <c r="BH48" s="68">
        <f>BH47/BG47-1</f>
        <v>-1.2987012987012991E-2</v>
      </c>
      <c r="BI48" s="68">
        <f>BI47/BH47-1</f>
        <v>-5.0607287449392357E-3</v>
      </c>
      <c r="BJ48" s="23"/>
      <c r="BK48" s="68">
        <f>BK47/BI47-1</f>
        <v>-1.0172939979654627E-3</v>
      </c>
      <c r="BL48" s="68">
        <f>BL47/BK47-1</f>
        <v>9.164969450101923E-3</v>
      </c>
      <c r="BM48" s="68">
        <f>BM47/BL47-1</f>
        <v>4.0363269424823489E-3</v>
      </c>
      <c r="BN48" s="68">
        <f>BN47/BM47-1</f>
        <v>4.020100502512669E-3</v>
      </c>
      <c r="BO48" s="23"/>
    </row>
    <row r="49" spans="1:202">
      <c r="A49" s="67" t="s">
        <v>8</v>
      </c>
      <c r="B49" s="23"/>
      <c r="C49" s="69"/>
      <c r="D49" s="69"/>
      <c r="E49" s="69"/>
      <c r="F49" s="69"/>
      <c r="G49" s="23">
        <f t="shared" ref="G49" si="106">G47/B47-1</f>
        <v>4.3613707165109039E-2</v>
      </c>
      <c r="H49" s="69">
        <f t="shared" ref="H49" si="107">H47/C47-1</f>
        <v>4.2268041237113474E-2</v>
      </c>
      <c r="I49" s="69">
        <f t="shared" ref="I49" si="108">I47/D47-1</f>
        <v>3.4623217922606919E-2</v>
      </c>
      <c r="J49" s="69">
        <f t="shared" ref="J49" si="109">J47/E47-1</f>
        <v>3.2193158953722323E-2</v>
      </c>
      <c r="K49" s="68">
        <f t="shared" ref="K49:L49" si="110">K47/F47-1</f>
        <v>2.9850746268656803E-2</v>
      </c>
      <c r="L49" s="23">
        <f t="shared" si="110"/>
        <v>2.9850746268656803E-2</v>
      </c>
      <c r="M49" s="69">
        <f t="shared" ref="M49" si="111">M47/H47-1</f>
        <v>3.3630069238377747E-2</v>
      </c>
      <c r="N49" s="69">
        <f t="shared" ref="N49" si="112">N47/I47-1</f>
        <v>3.4448818897637734E-2</v>
      </c>
      <c r="O49" s="69">
        <f t="shared" ref="O49" si="113">O47/J47-1</f>
        <v>2.9239766081871288E-2</v>
      </c>
      <c r="P49" s="68">
        <f t="shared" ref="P49:Q49" si="114">P47/K47-1</f>
        <v>2.9951690821256038E-2</v>
      </c>
      <c r="Q49" s="23">
        <f t="shared" si="114"/>
        <v>2.9951690821256038E-2</v>
      </c>
      <c r="R49" s="69">
        <f t="shared" ref="R49" si="115">R47/M47-1</f>
        <v>3.2535885167464196E-2</v>
      </c>
      <c r="S49" s="69">
        <f t="shared" ref="S49" si="116">S47/N47-1</f>
        <v>3.520456707897246E-2</v>
      </c>
      <c r="T49" s="69">
        <f t="shared" ref="T49" si="117">T47/O47-1</f>
        <v>4.1666666666666741E-2</v>
      </c>
      <c r="U49" s="68">
        <f t="shared" ref="U49:V49" si="118">U47/P47-1</f>
        <v>4.2213883677298281E-2</v>
      </c>
      <c r="V49" s="23">
        <f t="shared" si="118"/>
        <v>4.2213883677298281E-2</v>
      </c>
      <c r="W49" s="69">
        <f t="shared" ref="W49" si="119">W47/R47-1</f>
        <v>3.8924930491195608E-2</v>
      </c>
      <c r="X49" s="69">
        <f t="shared" ref="X49" si="120">X47/S47-1</f>
        <v>4.4117647058823595E-2</v>
      </c>
      <c r="Y49" s="69">
        <f t="shared" ref="Y49" si="121">Y47/T47-1</f>
        <v>4.8181818181818103E-2</v>
      </c>
      <c r="Z49" s="68">
        <f t="shared" ref="Z49:AA49" si="122">Z47/U47-1</f>
        <v>5.2205220522052231E-2</v>
      </c>
      <c r="AA49" s="23">
        <f t="shared" si="122"/>
        <v>5.2205220522052231E-2</v>
      </c>
      <c r="AB49" s="69">
        <f t="shared" ref="AB49" si="123">AB47/W47-1</f>
        <v>5.7091882247992887E-2</v>
      </c>
      <c r="AC49" s="69">
        <f t="shared" ref="AC49" si="124">AC47/X47-1</f>
        <v>5.8098591549295753E-2</v>
      </c>
      <c r="AD49" s="69">
        <f t="shared" ref="AD49" si="125">AD47/Y47-1</f>
        <v>6.6782307025151866E-2</v>
      </c>
      <c r="AE49" s="68">
        <f t="shared" ref="AE49:AF49" si="126">AE47/Z47-1</f>
        <v>8.0410607356715236E-2</v>
      </c>
      <c r="AF49" s="23">
        <f t="shared" si="126"/>
        <v>8.0410607356715236E-2</v>
      </c>
      <c r="AG49" s="69">
        <f t="shared" ref="AG49" si="127">AG47/AB47-1</f>
        <v>8.7763713080168726E-2</v>
      </c>
      <c r="AH49" s="69">
        <f t="shared" ref="AH49" si="128">AH47/AC47-1</f>
        <v>8.8186356073211236E-2</v>
      </c>
      <c r="AI49" s="69">
        <f t="shared" ref="AI49" si="129">AI47/AD47-1</f>
        <v>8.5365853658536661E-2</v>
      </c>
      <c r="AJ49" s="68">
        <f t="shared" ref="AJ49:AK49" si="130">AJ47/AE47-1</f>
        <v>7.9968329374505043E-2</v>
      </c>
      <c r="AK49" s="23">
        <f t="shared" si="130"/>
        <v>7.9968329374505043E-2</v>
      </c>
      <c r="AL49" s="69">
        <f t="shared" ref="AL49" si="131">AL47/AG47-1</f>
        <v>6.9821567106283844E-2</v>
      </c>
      <c r="AM49" s="69">
        <f t="shared" ref="AM49" si="132">AM47/AH47-1</f>
        <v>2.4464831804281273E-2</v>
      </c>
      <c r="AN49" s="69">
        <f t="shared" ref="AN49" si="133">AN47/AI47-1</f>
        <v>-4.7940074906367092E-2</v>
      </c>
      <c r="AO49" s="68">
        <f t="shared" ref="AO49:AP49" si="134">AO47/AJ47-1</f>
        <v>-9.4574780058651053E-2</v>
      </c>
      <c r="AP49" s="23">
        <f t="shared" si="134"/>
        <v>-9.4574780058651053E-2</v>
      </c>
      <c r="AQ49" s="69">
        <f t="shared" ref="AQ49" si="135">AQ47/AL47-1</f>
        <v>-0.12037708484408993</v>
      </c>
      <c r="AR49" s="69">
        <f t="shared" ref="AR49" si="136">AR47/AM47-1</f>
        <v>-0.10597014925373138</v>
      </c>
      <c r="AS49" s="69">
        <f t="shared" ref="AS49" si="137">AS47/AN47-1</f>
        <v>-6.2155782848151042E-2</v>
      </c>
      <c r="AT49" s="68">
        <f t="shared" ref="AT49" si="138">AT47/AO47-1</f>
        <v>-4.3724696356275294E-2</v>
      </c>
      <c r="AU49" s="23">
        <f t="shared" ref="AU49:AX49" si="139">AU47/AP47-1</f>
        <v>-4.3724696356275294E-2</v>
      </c>
      <c r="AV49" s="69">
        <f t="shared" si="139"/>
        <v>-3.8746908491343768E-2</v>
      </c>
      <c r="AW49" s="69">
        <f t="shared" si="139"/>
        <v>-4.090150250417357E-2</v>
      </c>
      <c r="AX49" s="69">
        <f t="shared" si="139"/>
        <v>-5.7046979865771785E-2</v>
      </c>
      <c r="AY49" s="68">
        <f t="shared" ref="AY49" si="140">AY47/AT47-1</f>
        <v>-6.6045723962743441E-2</v>
      </c>
      <c r="AZ49" s="23">
        <f t="shared" ref="AZ49:BC49" si="141">AZ47/AU47-1</f>
        <v>-6.6045723962743441E-2</v>
      </c>
      <c r="BA49" s="69">
        <f t="shared" si="141"/>
        <v>-7.461406518010294E-2</v>
      </c>
      <c r="BB49" s="69">
        <f t="shared" si="141"/>
        <v>-7.571801566579639E-2</v>
      </c>
      <c r="BC49" s="69">
        <f t="shared" si="141"/>
        <v>-6.939501779359436E-2</v>
      </c>
      <c r="BD49" s="68">
        <f t="shared" ref="BD49" si="142">BD47/AY47-1</f>
        <v>-6.6183136899365391E-2</v>
      </c>
      <c r="BE49" s="23">
        <f t="shared" ref="BE49:BH49" si="143">BE47/AZ47-1</f>
        <v>-6.6183136899365391E-2</v>
      </c>
      <c r="BF49" s="69">
        <f t="shared" si="143"/>
        <v>-6.302131603336425E-2</v>
      </c>
      <c r="BG49" s="69">
        <f t="shared" si="143"/>
        <v>-5.7438794726930364E-2</v>
      </c>
      <c r="BH49" s="69">
        <f t="shared" si="143"/>
        <v>-5.5449330783938766E-2</v>
      </c>
      <c r="BI49" s="68">
        <f t="shared" ref="BI49" si="144">BI47/BD47-1</f>
        <v>-4.5631067961165006E-2</v>
      </c>
      <c r="BJ49" s="23">
        <f t="shared" ref="BJ49:BM49" si="145">BJ47/BE47-1</f>
        <v>-4.5631067961165006E-2</v>
      </c>
      <c r="BK49" s="69">
        <f t="shared" si="145"/>
        <v>-2.8684470820969366E-2</v>
      </c>
      <c r="BL49" s="69">
        <f t="shared" si="145"/>
        <v>-9.9900099900099848E-3</v>
      </c>
      <c r="BM49" s="69">
        <f t="shared" si="145"/>
        <v>7.0850202429149078E-3</v>
      </c>
      <c r="BN49" s="68">
        <f t="shared" ref="BN49" si="146">BN47/BI47-1</f>
        <v>1.6276703967446515E-2</v>
      </c>
      <c r="BO49" s="23">
        <f t="shared" ref="BO49" si="147">BO47/BJ47-1</f>
        <v>1.6276703967446515E-2</v>
      </c>
    </row>
    <row r="50" spans="1:202">
      <c r="A50" s="67" t="s">
        <v>166</v>
      </c>
      <c r="B50" s="23"/>
      <c r="C50" s="69"/>
      <c r="D50" s="69"/>
      <c r="E50" s="69"/>
      <c r="F50" s="69"/>
      <c r="G50" s="183">
        <f>G47-B47</f>
        <v>42</v>
      </c>
      <c r="H50" s="69"/>
      <c r="I50" s="69"/>
      <c r="J50" s="69"/>
      <c r="K50" s="68"/>
      <c r="L50" s="183">
        <f>L47-G47</f>
        <v>30</v>
      </c>
      <c r="M50" s="69"/>
      <c r="N50" s="69"/>
      <c r="O50" s="69"/>
      <c r="P50" s="68"/>
      <c r="Q50" s="183">
        <f>Q47-L47</f>
        <v>31</v>
      </c>
      <c r="R50" s="69"/>
      <c r="S50" s="69"/>
      <c r="T50" s="69"/>
      <c r="U50" s="68"/>
      <c r="V50" s="183">
        <f>V47-Q47</f>
        <v>45</v>
      </c>
      <c r="W50" s="69"/>
      <c r="X50" s="69"/>
      <c r="Y50" s="69"/>
      <c r="Z50" s="68"/>
      <c r="AA50" s="183">
        <f>AA47-V47</f>
        <v>58</v>
      </c>
      <c r="AB50" s="69"/>
      <c r="AC50" s="69"/>
      <c r="AD50" s="69"/>
      <c r="AE50" s="68"/>
      <c r="AF50" s="183">
        <f>AF47-AA47</f>
        <v>94</v>
      </c>
      <c r="AG50" s="69"/>
      <c r="AH50" s="69"/>
      <c r="AI50" s="69"/>
      <c r="AJ50" s="68"/>
      <c r="AK50" s="183">
        <f>AK47-AF47</f>
        <v>101</v>
      </c>
      <c r="AL50" s="69"/>
      <c r="AM50" s="180">
        <f>AM47-AL47</f>
        <v>-39</v>
      </c>
      <c r="AN50" s="180">
        <f t="shared" ref="AN50:AO50" si="148">AN47-AM47</f>
        <v>-69</v>
      </c>
      <c r="AO50" s="180">
        <f t="shared" si="148"/>
        <v>-36</v>
      </c>
      <c r="AP50" s="183">
        <f>AP47-AK47</f>
        <v>-129</v>
      </c>
      <c r="AQ50" s="182">
        <f>AQ47-AO47</f>
        <v>-22</v>
      </c>
      <c r="AR50" s="182">
        <f>AR47-AQ47</f>
        <v>-15</v>
      </c>
      <c r="AS50" s="182">
        <f t="shared" ref="AS50:AT50" si="149">AS47-AR47</f>
        <v>-6</v>
      </c>
      <c r="AT50" s="182">
        <f t="shared" si="149"/>
        <v>-11</v>
      </c>
      <c r="AU50" s="183">
        <f>AU47-AP47</f>
        <v>-54</v>
      </c>
      <c r="AV50" s="182">
        <f>AV47-AT47</f>
        <v>-15</v>
      </c>
      <c r="AW50" s="182">
        <f>AW47-AV47</f>
        <v>-17</v>
      </c>
      <c r="AX50" s="182">
        <f>AX47-AW47</f>
        <v>-25</v>
      </c>
      <c r="AY50" s="182">
        <f t="shared" ref="AY50" si="150">AY47-AX47</f>
        <v>-21</v>
      </c>
      <c r="AZ50" s="183">
        <f>AZ47-AU47</f>
        <v>-78</v>
      </c>
      <c r="BA50" s="182">
        <f>BA47-AY47</f>
        <v>-24</v>
      </c>
      <c r="BB50" s="182">
        <f>BB47-BA47</f>
        <v>-17</v>
      </c>
      <c r="BC50" s="182">
        <f>BC47-BB47</f>
        <v>-16</v>
      </c>
      <c r="BD50" s="182">
        <f t="shared" ref="BD50" si="151">BD47-BC47</f>
        <v>-16</v>
      </c>
      <c r="BE50" s="183">
        <f>BE47-AZ47</f>
        <v>-73</v>
      </c>
      <c r="BF50" s="182">
        <f>BF47-BD47</f>
        <v>-19</v>
      </c>
      <c r="BG50" s="182">
        <f>BG47-BF47</f>
        <v>-10</v>
      </c>
      <c r="BH50" s="182">
        <f>BH47-BG47</f>
        <v>-13</v>
      </c>
      <c r="BI50" s="182">
        <f t="shared" ref="BI50" si="152">BI47-BH47</f>
        <v>-5</v>
      </c>
      <c r="BJ50" s="183">
        <f>BJ47-BE47</f>
        <v>-47</v>
      </c>
      <c r="BK50" s="182">
        <f>BK47-BI47</f>
        <v>-1</v>
      </c>
      <c r="BL50" s="182">
        <f>BL47-BK47</f>
        <v>9</v>
      </c>
      <c r="BM50" s="182">
        <f>BM47-BL47</f>
        <v>4</v>
      </c>
      <c r="BN50" s="182">
        <f t="shared" ref="BN50" si="153">BN47-BM47</f>
        <v>4</v>
      </c>
      <c r="BO50" s="183">
        <f>BO47-BJ47</f>
        <v>16</v>
      </c>
    </row>
    <row r="51" spans="1:202" ht="8.25" customHeight="1">
      <c r="A51" s="67"/>
      <c r="B51" s="23"/>
      <c r="C51" s="69"/>
      <c r="D51" s="69"/>
      <c r="E51" s="69"/>
      <c r="F51" s="69"/>
      <c r="G51" s="23"/>
      <c r="H51" s="69"/>
      <c r="I51" s="69"/>
      <c r="J51" s="69"/>
      <c r="K51" s="68"/>
      <c r="L51" s="23"/>
      <c r="M51" s="69"/>
      <c r="N51" s="69"/>
      <c r="O51" s="69"/>
      <c r="P51" s="68"/>
      <c r="Q51" s="23"/>
      <c r="R51" s="69"/>
      <c r="S51" s="69"/>
      <c r="T51" s="69"/>
      <c r="U51" s="68"/>
      <c r="V51" s="23"/>
      <c r="W51" s="69"/>
      <c r="X51" s="69"/>
      <c r="Y51" s="69"/>
      <c r="Z51" s="68"/>
      <c r="AA51" s="23"/>
      <c r="AB51" s="69"/>
      <c r="AC51" s="69"/>
      <c r="AD51" s="69"/>
      <c r="AE51" s="68"/>
      <c r="AF51" s="23"/>
      <c r="AG51" s="69"/>
      <c r="AH51" s="69"/>
      <c r="AI51" s="69"/>
      <c r="AJ51" s="68"/>
      <c r="AK51" s="23"/>
      <c r="AL51" s="69"/>
      <c r="AM51" s="69"/>
      <c r="AN51" s="69"/>
      <c r="AO51" s="68"/>
      <c r="AP51" s="23"/>
      <c r="AQ51" s="69"/>
      <c r="AR51" s="69"/>
      <c r="AS51" s="69"/>
      <c r="AT51" s="68"/>
      <c r="AU51" s="23"/>
      <c r="AV51" s="69"/>
      <c r="AW51" s="69"/>
      <c r="AX51" s="69"/>
      <c r="AY51" s="68"/>
      <c r="AZ51" s="23"/>
      <c r="BA51" s="69"/>
      <c r="BB51" s="69"/>
      <c r="BC51" s="69"/>
      <c r="BD51" s="68"/>
      <c r="BE51" s="23"/>
      <c r="BF51" s="69"/>
      <c r="BG51" s="69"/>
      <c r="BH51" s="69"/>
      <c r="BI51" s="68"/>
      <c r="BJ51" s="23"/>
      <c r="BK51" s="69"/>
      <c r="BL51" s="69"/>
      <c r="BM51" s="69"/>
      <c r="BN51" s="68"/>
      <c r="BO51" s="23"/>
    </row>
    <row r="52" spans="1:202" s="2" customFormat="1">
      <c r="A52" s="65" t="s">
        <v>123</v>
      </c>
      <c r="B52" s="60">
        <v>64</v>
      </c>
      <c r="C52" s="71">
        <v>68</v>
      </c>
      <c r="D52" s="71">
        <v>66</v>
      </c>
      <c r="E52" s="71">
        <v>67</v>
      </c>
      <c r="F52" s="71">
        <v>66</v>
      </c>
      <c r="G52" s="60">
        <v>67</v>
      </c>
      <c r="H52" s="71">
        <v>67</v>
      </c>
      <c r="I52" s="71">
        <v>67</v>
      </c>
      <c r="J52" s="71">
        <v>70</v>
      </c>
      <c r="K52" s="66">
        <v>70</v>
      </c>
      <c r="L52" s="27">
        <v>69</v>
      </c>
      <c r="M52" s="71">
        <v>73</v>
      </c>
      <c r="N52" s="71">
        <v>72</v>
      </c>
      <c r="O52" s="71">
        <v>76</v>
      </c>
      <c r="P52" s="66">
        <v>78</v>
      </c>
      <c r="Q52" s="27">
        <v>75</v>
      </c>
      <c r="R52" s="71">
        <v>79</v>
      </c>
      <c r="S52" s="71">
        <v>80</v>
      </c>
      <c r="T52" s="71">
        <v>81</v>
      </c>
      <c r="U52" s="66">
        <v>81</v>
      </c>
      <c r="V52" s="27">
        <v>80</v>
      </c>
      <c r="W52" s="71">
        <v>84</v>
      </c>
      <c r="X52" s="71">
        <v>80</v>
      </c>
      <c r="Y52" s="71">
        <v>80</v>
      </c>
      <c r="Z52" s="66">
        <v>80</v>
      </c>
      <c r="AA52" s="27">
        <v>81</v>
      </c>
      <c r="AB52" s="71">
        <v>83</v>
      </c>
      <c r="AC52" s="71">
        <v>85</v>
      </c>
      <c r="AD52" s="71">
        <v>86</v>
      </c>
      <c r="AE52" s="66">
        <v>82</v>
      </c>
      <c r="AF52" s="27">
        <v>84</v>
      </c>
      <c r="AG52" s="71">
        <v>82</v>
      </c>
      <c r="AH52" s="71">
        <v>84</v>
      </c>
      <c r="AI52" s="71">
        <v>85</v>
      </c>
      <c r="AJ52" s="66">
        <v>85</v>
      </c>
      <c r="AK52" s="27">
        <v>84</v>
      </c>
      <c r="AL52" s="71">
        <v>87</v>
      </c>
      <c r="AM52" s="71">
        <v>88</v>
      </c>
      <c r="AN52" s="71">
        <v>88</v>
      </c>
      <c r="AO52" s="66">
        <v>88</v>
      </c>
      <c r="AP52" s="27">
        <v>88</v>
      </c>
      <c r="AQ52" s="71">
        <v>90</v>
      </c>
      <c r="AR52" s="71">
        <v>90</v>
      </c>
      <c r="AS52" s="71">
        <v>88</v>
      </c>
      <c r="AT52" s="66">
        <v>90</v>
      </c>
      <c r="AU52" s="27">
        <v>89</v>
      </c>
      <c r="AV52" s="71">
        <v>90</v>
      </c>
      <c r="AW52" s="71">
        <v>90</v>
      </c>
      <c r="AX52" s="71">
        <v>90</v>
      </c>
      <c r="AY52" s="66">
        <v>92</v>
      </c>
      <c r="AZ52" s="27">
        <v>90</v>
      </c>
      <c r="BA52" s="71">
        <v>92</v>
      </c>
      <c r="BB52" s="71">
        <v>93</v>
      </c>
      <c r="BC52" s="71">
        <v>93</v>
      </c>
      <c r="BD52" s="66">
        <v>96</v>
      </c>
      <c r="BE52" s="27">
        <v>93</v>
      </c>
      <c r="BF52" s="71">
        <v>96</v>
      </c>
      <c r="BG52" s="71">
        <v>97</v>
      </c>
      <c r="BH52" s="71">
        <v>98</v>
      </c>
      <c r="BI52" s="66">
        <v>98</v>
      </c>
      <c r="BJ52" s="27">
        <v>97</v>
      </c>
      <c r="BK52" s="71">
        <v>98</v>
      </c>
      <c r="BL52" s="71">
        <v>98</v>
      </c>
      <c r="BM52" s="71">
        <v>100</v>
      </c>
      <c r="BN52" s="66">
        <v>102</v>
      </c>
      <c r="BO52" s="27">
        <v>99</v>
      </c>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row>
    <row r="53" spans="1:202">
      <c r="A53" s="67" t="s">
        <v>7</v>
      </c>
      <c r="B53" s="23"/>
      <c r="C53" s="68"/>
      <c r="D53" s="68">
        <f>D52/C52-1</f>
        <v>-2.9411764705882359E-2</v>
      </c>
      <c r="E53" s="68">
        <f>E52/D52-1</f>
        <v>1.5151515151515138E-2</v>
      </c>
      <c r="F53" s="68">
        <f>F52/E52-1</f>
        <v>-1.4925373134328401E-2</v>
      </c>
      <c r="G53" s="23"/>
      <c r="H53" s="68">
        <f>H52/F52-1</f>
        <v>1.5151515151515138E-2</v>
      </c>
      <c r="I53" s="68">
        <f>I52/H52-1</f>
        <v>0</v>
      </c>
      <c r="J53" s="68">
        <f>J52/I52-1</f>
        <v>4.4776119402984982E-2</v>
      </c>
      <c r="K53" s="68">
        <f>K52/J52-1</f>
        <v>0</v>
      </c>
      <c r="L53" s="26"/>
      <c r="M53" s="68">
        <f>M52/K52-1</f>
        <v>4.2857142857142927E-2</v>
      </c>
      <c r="N53" s="68">
        <f>N52/M52-1</f>
        <v>-1.3698630136986356E-2</v>
      </c>
      <c r="O53" s="68">
        <f>O52/N52-1</f>
        <v>5.555555555555558E-2</v>
      </c>
      <c r="P53" s="68">
        <f>P52/O52-1</f>
        <v>2.6315789473684292E-2</v>
      </c>
      <c r="Q53" s="26"/>
      <c r="R53" s="68">
        <f>R52/P52-1</f>
        <v>1.2820512820512775E-2</v>
      </c>
      <c r="S53" s="68">
        <f>S52/R52-1</f>
        <v>1.2658227848101333E-2</v>
      </c>
      <c r="T53" s="68">
        <f>T52/S52-1</f>
        <v>1.2499999999999956E-2</v>
      </c>
      <c r="U53" s="68">
        <f>U52/T52-1</f>
        <v>0</v>
      </c>
      <c r="V53" s="26"/>
      <c r="W53" s="68">
        <f>W52/U52-1</f>
        <v>3.7037037037036979E-2</v>
      </c>
      <c r="X53" s="68">
        <f>X52/W52-1</f>
        <v>-4.7619047619047672E-2</v>
      </c>
      <c r="Y53" s="68">
        <f>Y52/X52-1</f>
        <v>0</v>
      </c>
      <c r="Z53" s="68">
        <f>Z52/Y52-1</f>
        <v>0</v>
      </c>
      <c r="AA53" s="26"/>
      <c r="AB53" s="68">
        <f>AB52/Z52-1</f>
        <v>3.7500000000000089E-2</v>
      </c>
      <c r="AC53" s="68">
        <f>AC52/AB52-1</f>
        <v>2.4096385542168752E-2</v>
      </c>
      <c r="AD53" s="68">
        <f>AD52/AC52-1</f>
        <v>1.1764705882352899E-2</v>
      </c>
      <c r="AE53" s="68">
        <f>AE52/AD52-1</f>
        <v>-4.6511627906976716E-2</v>
      </c>
      <c r="AF53" s="26"/>
      <c r="AG53" s="68">
        <f>AG52/AE52-1</f>
        <v>0</v>
      </c>
      <c r="AH53" s="68">
        <f>AH52/AG52-1</f>
        <v>2.4390243902439046E-2</v>
      </c>
      <c r="AI53" s="68">
        <f>AI52/AH52-1</f>
        <v>1.1904761904761862E-2</v>
      </c>
      <c r="AJ53" s="68">
        <f>AJ52/AI52-1</f>
        <v>0</v>
      </c>
      <c r="AK53" s="26"/>
      <c r="AL53" s="68">
        <f>AL52/AJ52-1</f>
        <v>2.3529411764705799E-2</v>
      </c>
      <c r="AM53" s="68">
        <f>AM52/AL52-1</f>
        <v>1.1494252873563315E-2</v>
      </c>
      <c r="AN53" s="68">
        <f>AN52/AM52-1</f>
        <v>0</v>
      </c>
      <c r="AO53" s="68">
        <f>AO52/AN52-1</f>
        <v>0</v>
      </c>
      <c r="AP53" s="26"/>
      <c r="AQ53" s="68">
        <f>AQ52/AO52-1</f>
        <v>2.2727272727272707E-2</v>
      </c>
      <c r="AR53" s="68">
        <f>AR52/AQ52-1</f>
        <v>0</v>
      </c>
      <c r="AS53" s="68">
        <f>AS52/AR52-1</f>
        <v>-2.2222222222222254E-2</v>
      </c>
      <c r="AT53" s="68">
        <f>AT52/AS52-1</f>
        <v>2.2727272727272707E-2</v>
      </c>
      <c r="AU53" s="26"/>
      <c r="AV53" s="68">
        <f>AV52/AT52-1</f>
        <v>0</v>
      </c>
      <c r="AW53" s="68">
        <f>AW52/AV52-1</f>
        <v>0</v>
      </c>
      <c r="AX53" s="68">
        <f>AX52/AW52-1</f>
        <v>0</v>
      </c>
      <c r="AY53" s="68">
        <f>AY52/AX52-1</f>
        <v>2.2222222222222143E-2</v>
      </c>
      <c r="AZ53" s="26"/>
      <c r="BA53" s="68">
        <f>BA52/AY52-1</f>
        <v>0</v>
      </c>
      <c r="BB53" s="68">
        <f>BB52/BA52-1</f>
        <v>1.0869565217391353E-2</v>
      </c>
      <c r="BC53" s="68">
        <f>BC52/BB52-1</f>
        <v>0</v>
      </c>
      <c r="BD53" s="68">
        <f>BD52/BC52-1</f>
        <v>3.2258064516129004E-2</v>
      </c>
      <c r="BE53" s="26"/>
      <c r="BF53" s="68">
        <f>BF52/BD52-1</f>
        <v>0</v>
      </c>
      <c r="BG53" s="68">
        <f>BG52/BF52-1</f>
        <v>1.0416666666666741E-2</v>
      </c>
      <c r="BH53" s="68">
        <f>BH52/BG52-1</f>
        <v>1.0309278350515427E-2</v>
      </c>
      <c r="BI53" s="68">
        <f>BI52/BH52-1</f>
        <v>0</v>
      </c>
      <c r="BJ53" s="26"/>
      <c r="BK53" s="68">
        <f>BK52/BI52-1</f>
        <v>0</v>
      </c>
      <c r="BL53" s="68">
        <f>BL52/BK52-1</f>
        <v>0</v>
      </c>
      <c r="BM53" s="68">
        <f>BM52/BL52-1</f>
        <v>2.0408163265306145E-2</v>
      </c>
      <c r="BN53" s="68">
        <f>BN52/BM52-1</f>
        <v>2.0000000000000018E-2</v>
      </c>
      <c r="BO53" s="26"/>
    </row>
    <row r="54" spans="1:202">
      <c r="A54" s="67" t="s">
        <v>8</v>
      </c>
      <c r="B54" s="23"/>
      <c r="C54" s="69"/>
      <c r="D54" s="69"/>
      <c r="E54" s="69"/>
      <c r="F54" s="69"/>
      <c r="G54" s="23">
        <f t="shared" ref="G54:N54" si="154">G52/B52-1</f>
        <v>4.6875E-2</v>
      </c>
      <c r="H54" s="69">
        <f t="shared" si="154"/>
        <v>-1.4705882352941124E-2</v>
      </c>
      <c r="I54" s="69">
        <f t="shared" si="154"/>
        <v>1.5151515151515138E-2</v>
      </c>
      <c r="J54" s="69">
        <f t="shared" si="154"/>
        <v>4.4776119402984982E-2</v>
      </c>
      <c r="K54" s="68">
        <f t="shared" si="154"/>
        <v>6.0606060606060552E-2</v>
      </c>
      <c r="L54" s="23">
        <f t="shared" si="154"/>
        <v>2.9850746268656803E-2</v>
      </c>
      <c r="M54" s="68">
        <f t="shared" si="154"/>
        <v>8.9552238805970186E-2</v>
      </c>
      <c r="N54" s="69">
        <f t="shared" si="154"/>
        <v>7.4626865671641784E-2</v>
      </c>
      <c r="O54" s="69">
        <f t="shared" ref="O54:Y54" si="155">O52/J52-1</f>
        <v>8.5714285714285632E-2</v>
      </c>
      <c r="P54" s="68">
        <f t="shared" si="155"/>
        <v>0.11428571428571432</v>
      </c>
      <c r="Q54" s="23">
        <f t="shared" si="155"/>
        <v>8.6956521739130377E-2</v>
      </c>
      <c r="R54" s="68">
        <f t="shared" si="155"/>
        <v>8.2191780821917915E-2</v>
      </c>
      <c r="S54" s="69">
        <f t="shared" si="155"/>
        <v>0.11111111111111116</v>
      </c>
      <c r="T54" s="69">
        <f t="shared" si="155"/>
        <v>6.578947368421062E-2</v>
      </c>
      <c r="U54" s="68">
        <f t="shared" si="155"/>
        <v>3.8461538461538547E-2</v>
      </c>
      <c r="V54" s="23">
        <f t="shared" si="155"/>
        <v>6.6666666666666652E-2</v>
      </c>
      <c r="W54" s="68">
        <f t="shared" si="155"/>
        <v>6.3291139240506222E-2</v>
      </c>
      <c r="X54" s="69">
        <f t="shared" si="155"/>
        <v>0</v>
      </c>
      <c r="Y54" s="69">
        <f t="shared" si="155"/>
        <v>-1.2345679012345734E-2</v>
      </c>
      <c r="Z54" s="68">
        <f t="shared" ref="Z54:AI54" si="156">Z52/U52-1</f>
        <v>-1.2345679012345734E-2</v>
      </c>
      <c r="AA54" s="23">
        <f t="shared" si="156"/>
        <v>1.2499999999999956E-2</v>
      </c>
      <c r="AB54" s="68">
        <f t="shared" si="156"/>
        <v>-1.1904761904761862E-2</v>
      </c>
      <c r="AC54" s="69">
        <f t="shared" si="156"/>
        <v>6.25E-2</v>
      </c>
      <c r="AD54" s="69">
        <f t="shared" si="156"/>
        <v>7.4999999999999956E-2</v>
      </c>
      <c r="AE54" s="68">
        <f t="shared" si="156"/>
        <v>2.4999999999999911E-2</v>
      </c>
      <c r="AF54" s="23">
        <f t="shared" si="156"/>
        <v>3.7037037037036979E-2</v>
      </c>
      <c r="AG54" s="68">
        <f t="shared" si="156"/>
        <v>-1.2048192771084376E-2</v>
      </c>
      <c r="AH54" s="69">
        <f t="shared" si="156"/>
        <v>-1.1764705882352899E-2</v>
      </c>
      <c r="AI54" s="69">
        <f t="shared" si="156"/>
        <v>-1.1627906976744207E-2</v>
      </c>
      <c r="AJ54" s="68">
        <f t="shared" ref="AJ54:AS54" si="157">AJ52/AE52-1</f>
        <v>3.6585365853658569E-2</v>
      </c>
      <c r="AK54" s="23">
        <f t="shared" si="157"/>
        <v>0</v>
      </c>
      <c r="AL54" s="68">
        <f t="shared" si="157"/>
        <v>6.0975609756097615E-2</v>
      </c>
      <c r="AM54" s="69">
        <f t="shared" si="157"/>
        <v>4.7619047619047672E-2</v>
      </c>
      <c r="AN54" s="69">
        <f t="shared" si="157"/>
        <v>3.529411764705892E-2</v>
      </c>
      <c r="AO54" s="68">
        <f t="shared" si="157"/>
        <v>3.529411764705892E-2</v>
      </c>
      <c r="AP54" s="23">
        <f t="shared" si="157"/>
        <v>4.7619047619047672E-2</v>
      </c>
      <c r="AQ54" s="68">
        <f t="shared" si="157"/>
        <v>3.4482758620689724E-2</v>
      </c>
      <c r="AR54" s="69">
        <f t="shared" si="157"/>
        <v>2.2727272727272707E-2</v>
      </c>
      <c r="AS54" s="69">
        <f t="shared" si="157"/>
        <v>0</v>
      </c>
      <c r="AT54" s="68">
        <f t="shared" ref="AT54" si="158">AT52/AO52-1</f>
        <v>2.2727272727272707E-2</v>
      </c>
      <c r="AU54" s="23">
        <f t="shared" ref="AU54:AX54" si="159">AU52/AP52-1</f>
        <v>1.1363636363636465E-2</v>
      </c>
      <c r="AV54" s="68">
        <f t="shared" si="159"/>
        <v>0</v>
      </c>
      <c r="AW54" s="69">
        <f t="shared" si="159"/>
        <v>0</v>
      </c>
      <c r="AX54" s="69">
        <f t="shared" si="159"/>
        <v>2.2727272727272707E-2</v>
      </c>
      <c r="AY54" s="68">
        <f t="shared" ref="AY54" si="160">AY52/AT52-1</f>
        <v>2.2222222222222143E-2</v>
      </c>
      <c r="AZ54" s="23">
        <f t="shared" ref="AZ54:BC54" si="161">AZ52/AU52-1</f>
        <v>1.1235955056179803E-2</v>
      </c>
      <c r="BA54" s="68">
        <f t="shared" si="161"/>
        <v>2.2222222222222143E-2</v>
      </c>
      <c r="BB54" s="69">
        <f t="shared" si="161"/>
        <v>3.3333333333333437E-2</v>
      </c>
      <c r="BC54" s="69">
        <f t="shared" si="161"/>
        <v>3.3333333333333437E-2</v>
      </c>
      <c r="BD54" s="68">
        <f t="shared" ref="BD54" si="162">BD52/AY52-1</f>
        <v>4.3478260869565188E-2</v>
      </c>
      <c r="BE54" s="23">
        <f t="shared" ref="BE54:BH54" si="163">BE52/AZ52-1</f>
        <v>3.3333333333333437E-2</v>
      </c>
      <c r="BF54" s="68">
        <f t="shared" si="163"/>
        <v>4.3478260869565188E-2</v>
      </c>
      <c r="BG54" s="69">
        <f t="shared" si="163"/>
        <v>4.3010752688172005E-2</v>
      </c>
      <c r="BH54" s="69">
        <f t="shared" si="163"/>
        <v>5.3763440860215006E-2</v>
      </c>
      <c r="BI54" s="68">
        <f t="shared" ref="BI54" si="164">BI52/BD52-1</f>
        <v>2.0833333333333259E-2</v>
      </c>
      <c r="BJ54" s="23">
        <f t="shared" ref="BJ54:BM54" si="165">BJ52/BE52-1</f>
        <v>4.3010752688172005E-2</v>
      </c>
      <c r="BK54" s="68">
        <f t="shared" si="165"/>
        <v>2.0833333333333259E-2</v>
      </c>
      <c r="BL54" s="69">
        <f t="shared" si="165"/>
        <v>1.0309278350515427E-2</v>
      </c>
      <c r="BM54" s="69">
        <f t="shared" si="165"/>
        <v>2.0408163265306145E-2</v>
      </c>
      <c r="BN54" s="68">
        <f t="shared" ref="BN54" si="166">BN52/BI52-1</f>
        <v>4.081632653061229E-2</v>
      </c>
      <c r="BO54" s="23">
        <f t="shared" ref="BO54" si="167">BO52/BJ52-1</f>
        <v>2.0618556701030855E-2</v>
      </c>
    </row>
    <row r="55" spans="1:202" ht="25.5">
      <c r="A55" s="96" t="s">
        <v>54</v>
      </c>
      <c r="B55" s="93">
        <v>1.7</v>
      </c>
      <c r="C55" s="76">
        <v>1.9</v>
      </c>
      <c r="D55" s="76">
        <v>2</v>
      </c>
      <c r="E55" s="76">
        <v>2.1</v>
      </c>
      <c r="F55" s="76">
        <v>2.2000000000000002</v>
      </c>
      <c r="G55" s="93">
        <v>2.2000000000000002</v>
      </c>
      <c r="H55" s="76">
        <v>2.2999999999999998</v>
      </c>
      <c r="I55" s="76">
        <v>2.4</v>
      </c>
      <c r="J55" s="76">
        <v>2.5</v>
      </c>
      <c r="K55" s="76">
        <v>2.7</v>
      </c>
      <c r="L55" s="94">
        <v>2.7</v>
      </c>
      <c r="M55" s="76">
        <v>3</v>
      </c>
      <c r="N55" s="76">
        <v>3.4</v>
      </c>
      <c r="O55" s="76">
        <v>3.8</v>
      </c>
      <c r="P55" s="76">
        <v>4.3</v>
      </c>
      <c r="Q55" s="94">
        <v>4.3</v>
      </c>
      <c r="R55" s="76">
        <v>4.8</v>
      </c>
      <c r="S55" s="76">
        <v>5.3</v>
      </c>
      <c r="T55" s="76">
        <v>6</v>
      </c>
      <c r="U55" s="76">
        <v>6.7</v>
      </c>
      <c r="V55" s="94">
        <v>6.7</v>
      </c>
      <c r="W55" s="76">
        <v>7.5</v>
      </c>
      <c r="X55" s="76">
        <v>8.3000000000000007</v>
      </c>
      <c r="Y55" s="76">
        <v>9</v>
      </c>
      <c r="Z55" s="76">
        <v>9.6</v>
      </c>
      <c r="AA55" s="94">
        <v>9.6</v>
      </c>
      <c r="AB55" s="76">
        <v>10.4</v>
      </c>
      <c r="AC55" s="76">
        <v>15.2</v>
      </c>
      <c r="AD55" s="76">
        <v>17.3</v>
      </c>
      <c r="AE55" s="76">
        <v>18.100000000000001</v>
      </c>
      <c r="AF55" s="94">
        <v>18.100000000000001</v>
      </c>
      <c r="AG55" s="76">
        <v>20</v>
      </c>
      <c r="AH55" s="138">
        <v>21.9</v>
      </c>
      <c r="AI55" s="138">
        <v>24</v>
      </c>
      <c r="AJ55" s="76">
        <v>32.5</v>
      </c>
      <c r="AK55" s="94">
        <v>32.5</v>
      </c>
      <c r="AL55" s="76">
        <v>33.200000000000003</v>
      </c>
      <c r="AM55" s="138">
        <v>34.9</v>
      </c>
      <c r="AN55" s="138">
        <v>36.700000000000003</v>
      </c>
      <c r="AO55" s="76">
        <v>37.799999999999997</v>
      </c>
      <c r="AP55" s="94">
        <v>37.799999999999997</v>
      </c>
      <c r="AQ55" s="76">
        <v>38.9</v>
      </c>
      <c r="AR55" s="138">
        <v>40.200000000000003</v>
      </c>
      <c r="AS55" s="138">
        <v>41.8</v>
      </c>
      <c r="AT55" s="76">
        <v>43.4</v>
      </c>
      <c r="AU55" s="94">
        <v>43.4</v>
      </c>
      <c r="AV55" s="76">
        <v>45.1</v>
      </c>
      <c r="AW55" s="76">
        <v>47.2</v>
      </c>
      <c r="AX55" s="76">
        <v>49.5</v>
      </c>
      <c r="AY55" s="76">
        <v>51.5</v>
      </c>
      <c r="AZ55" s="94">
        <v>51.5</v>
      </c>
      <c r="BA55" s="76">
        <v>53.5</v>
      </c>
      <c r="BB55" s="76">
        <v>55.4</v>
      </c>
      <c r="BC55" s="76">
        <v>57.41</v>
      </c>
      <c r="BD55" s="76">
        <v>59.1</v>
      </c>
      <c r="BE55" s="94">
        <v>59.1</v>
      </c>
      <c r="BF55" s="76">
        <v>61.5</v>
      </c>
      <c r="BG55" s="76">
        <v>64</v>
      </c>
      <c r="BH55" s="76">
        <v>66.180000000000007</v>
      </c>
      <c r="BI55" s="76">
        <f>BJ55</f>
        <v>67.8</v>
      </c>
      <c r="BJ55" s="94">
        <v>67.8</v>
      </c>
      <c r="BK55" s="76">
        <v>69.099999999999994</v>
      </c>
      <c r="BL55" s="76">
        <v>70.400000000000006</v>
      </c>
      <c r="BM55" s="76">
        <v>71.599999999999994</v>
      </c>
      <c r="BN55" s="76">
        <v>74.2</v>
      </c>
      <c r="BO55" s="94">
        <v>74.2</v>
      </c>
    </row>
    <row r="56" spans="1:202">
      <c r="A56" s="67" t="s">
        <v>7</v>
      </c>
      <c r="B56" s="23"/>
      <c r="C56" s="68"/>
      <c r="D56" s="68">
        <f>D55/C55-1</f>
        <v>5.2631578947368363E-2</v>
      </c>
      <c r="E56" s="68">
        <f>E55/D55-1</f>
        <v>5.0000000000000044E-2</v>
      </c>
      <c r="F56" s="68">
        <f>F55/E55-1</f>
        <v>4.7619047619047672E-2</v>
      </c>
      <c r="G56" s="23"/>
      <c r="H56" s="68">
        <f>H55/F55-1</f>
        <v>4.5454545454545192E-2</v>
      </c>
      <c r="I56" s="68">
        <f>I55/H55-1</f>
        <v>4.3478260869565188E-2</v>
      </c>
      <c r="J56" s="68">
        <f>J55/I55-1</f>
        <v>4.1666666666666741E-2</v>
      </c>
      <c r="K56" s="68">
        <f>K55/J55-1</f>
        <v>8.0000000000000071E-2</v>
      </c>
      <c r="L56" s="26"/>
      <c r="M56" s="68">
        <f>M55/K55-1</f>
        <v>0.11111111111111094</v>
      </c>
      <c r="N56" s="68">
        <f>N55/M55-1</f>
        <v>0.1333333333333333</v>
      </c>
      <c r="O56" s="68">
        <f>O55/N55-1</f>
        <v>0.11764705882352944</v>
      </c>
      <c r="P56" s="68">
        <f>P55/O55-1</f>
        <v>0.13157894736842102</v>
      </c>
      <c r="Q56" s="26"/>
      <c r="R56" s="68">
        <f>R55/P55-1</f>
        <v>0.11627906976744184</v>
      </c>
      <c r="S56" s="68">
        <f>S55/R55-1</f>
        <v>0.10416666666666674</v>
      </c>
      <c r="T56" s="68">
        <f>T55/S55-1</f>
        <v>0.13207547169811318</v>
      </c>
      <c r="U56" s="68">
        <f>U55/T55-1</f>
        <v>0.1166666666666667</v>
      </c>
      <c r="V56" s="26"/>
      <c r="W56" s="68">
        <f>W55/U55-1</f>
        <v>0.11940298507462677</v>
      </c>
      <c r="X56" s="68">
        <f>X55/W55-1</f>
        <v>0.10666666666666669</v>
      </c>
      <c r="Y56" s="68">
        <f>Y55/X55-1</f>
        <v>8.43373493975903E-2</v>
      </c>
      <c r="Z56" s="68">
        <f>Z55/Y55-1</f>
        <v>6.6666666666666652E-2</v>
      </c>
      <c r="AA56" s="26"/>
      <c r="AB56" s="68">
        <f>AB55/Z55-1</f>
        <v>8.3333333333333481E-2</v>
      </c>
      <c r="AC56" s="68">
        <f>AC55/AB55-1</f>
        <v>0.46153846153846145</v>
      </c>
      <c r="AD56" s="68">
        <f>AD55/AC55-1</f>
        <v>0.13815789473684226</v>
      </c>
      <c r="AE56" s="68">
        <f>AE55/AD55-1</f>
        <v>4.6242774566473965E-2</v>
      </c>
      <c r="AF56" s="26"/>
      <c r="AG56" s="68">
        <f>AG55/AE55-1</f>
        <v>0.10497237569060758</v>
      </c>
      <c r="AH56" s="68">
        <f>AH55/AG55-1</f>
        <v>9.4999999999999973E-2</v>
      </c>
      <c r="AI56" s="68">
        <f>AI55/AH55-1</f>
        <v>9.5890410958904271E-2</v>
      </c>
      <c r="AJ56" s="68">
        <f>AJ55/AI55-1</f>
        <v>0.35416666666666674</v>
      </c>
      <c r="AK56" s="26"/>
      <c r="AL56" s="68">
        <f>AL55/AJ55-1</f>
        <v>2.1538461538461728E-2</v>
      </c>
      <c r="AM56" s="68">
        <f>AM55/AL55-1</f>
        <v>5.1204819277108404E-2</v>
      </c>
      <c r="AN56" s="68">
        <f>AN55/AM55-1</f>
        <v>5.157593123209181E-2</v>
      </c>
      <c r="AO56" s="68">
        <f>AO55/AN55-1</f>
        <v>2.9972752043596618E-2</v>
      </c>
      <c r="AP56" s="26"/>
      <c r="AQ56" s="68">
        <f>AQ55/AO55-1</f>
        <v>2.9100529100529071E-2</v>
      </c>
      <c r="AR56" s="68">
        <f>AR55/AQ55-1</f>
        <v>3.3419023136247006E-2</v>
      </c>
      <c r="AS56" s="68">
        <f>AS55/AR55-1</f>
        <v>3.9800995024875441E-2</v>
      </c>
      <c r="AT56" s="68">
        <f>AT55/AS55-1</f>
        <v>3.8277511961722466E-2</v>
      </c>
      <c r="AU56" s="26"/>
      <c r="AV56" s="68">
        <f>AV55/AT55-1</f>
        <v>3.9170506912442393E-2</v>
      </c>
      <c r="AW56" s="68">
        <f>AW55/AV55-1</f>
        <v>4.6563192904656381E-2</v>
      </c>
      <c r="AX56" s="68">
        <f>AX55/AW55-1</f>
        <v>4.8728813559322015E-2</v>
      </c>
      <c r="AY56" s="68">
        <f>AY55/AX55-1</f>
        <v>4.0404040404040442E-2</v>
      </c>
      <c r="AZ56" s="26"/>
      <c r="BA56" s="68">
        <f>BA55/AY55-1</f>
        <v>3.8834951456310662E-2</v>
      </c>
      <c r="BB56" s="68">
        <f>BB55/BA55-1</f>
        <v>3.5514018691588767E-2</v>
      </c>
      <c r="BC56" s="68">
        <f>BC55/BB55-1</f>
        <v>3.6281588447653501E-2</v>
      </c>
      <c r="BD56" s="68">
        <f>BD55/BC55-1</f>
        <v>2.943738024734377E-2</v>
      </c>
      <c r="BE56" s="26"/>
      <c r="BF56" s="68">
        <f>BF55/BD55-1</f>
        <v>4.0609137055837463E-2</v>
      </c>
      <c r="BG56" s="68">
        <f>BG55/BF55-1</f>
        <v>4.0650406504065151E-2</v>
      </c>
      <c r="BH56" s="68">
        <f>BH55/BG55-1</f>
        <v>3.4062500000000107E-2</v>
      </c>
      <c r="BI56" s="68">
        <f>BI55/BH55-1</f>
        <v>2.4478694469628248E-2</v>
      </c>
      <c r="BJ56" s="26"/>
      <c r="BK56" s="68">
        <f>BK55/BI55-1</f>
        <v>1.9174041297935096E-2</v>
      </c>
      <c r="BL56" s="68">
        <f>BL55/BK55-1</f>
        <v>1.881331403762676E-2</v>
      </c>
      <c r="BM56" s="68">
        <f>BM55/BL55-1</f>
        <v>1.7045454545454364E-2</v>
      </c>
      <c r="BN56" s="68">
        <f>BN55/BM55-1</f>
        <v>3.6312849162011274E-2</v>
      </c>
      <c r="BO56" s="26"/>
    </row>
    <row r="57" spans="1:202">
      <c r="A57" s="67" t="s">
        <v>8</v>
      </c>
      <c r="B57" s="23"/>
      <c r="C57" s="69"/>
      <c r="D57" s="69"/>
      <c r="E57" s="69"/>
      <c r="F57" s="69"/>
      <c r="G57" s="23">
        <f t="shared" ref="G57:R57" si="168">G55/B55-1</f>
        <v>0.29411764705882359</v>
      </c>
      <c r="H57" s="69">
        <f t="shared" si="168"/>
        <v>0.21052631578947367</v>
      </c>
      <c r="I57" s="69">
        <f t="shared" si="168"/>
        <v>0.19999999999999996</v>
      </c>
      <c r="J57" s="69">
        <f t="shared" si="168"/>
        <v>0.19047619047619047</v>
      </c>
      <c r="K57" s="68">
        <f t="shared" si="168"/>
        <v>0.22727272727272729</v>
      </c>
      <c r="L57" s="23">
        <f t="shared" si="168"/>
        <v>0.22727272727272729</v>
      </c>
      <c r="M57" s="69">
        <f t="shared" si="168"/>
        <v>0.30434782608695654</v>
      </c>
      <c r="N57" s="69">
        <f t="shared" si="168"/>
        <v>0.41666666666666674</v>
      </c>
      <c r="O57" s="69">
        <f t="shared" si="168"/>
        <v>0.52</v>
      </c>
      <c r="P57" s="68">
        <f t="shared" si="168"/>
        <v>0.59259259259259234</v>
      </c>
      <c r="Q57" s="23">
        <f t="shared" si="168"/>
        <v>0.59259259259259234</v>
      </c>
      <c r="R57" s="69">
        <f t="shared" si="168"/>
        <v>0.59999999999999987</v>
      </c>
      <c r="S57" s="69">
        <f t="shared" ref="S57:Y57" si="169">S55/N55-1</f>
        <v>0.55882352941176472</v>
      </c>
      <c r="T57" s="69">
        <f t="shared" si="169"/>
        <v>0.57894736842105265</v>
      </c>
      <c r="U57" s="68">
        <f t="shared" si="169"/>
        <v>0.55813953488372103</v>
      </c>
      <c r="V57" s="23">
        <f t="shared" si="169"/>
        <v>0.55813953488372103</v>
      </c>
      <c r="W57" s="69">
        <f t="shared" si="169"/>
        <v>0.5625</v>
      </c>
      <c r="X57" s="69">
        <f t="shared" si="169"/>
        <v>0.5660377358490567</v>
      </c>
      <c r="Y57" s="69">
        <f t="shared" si="169"/>
        <v>0.5</v>
      </c>
      <c r="Z57" s="68">
        <f t="shared" ref="Z57:AI57" si="170">Z55/U55-1</f>
        <v>0.43283582089552231</v>
      </c>
      <c r="AA57" s="23">
        <f t="shared" si="170"/>
        <v>0.43283582089552231</v>
      </c>
      <c r="AB57" s="69">
        <f t="shared" si="170"/>
        <v>0.38666666666666671</v>
      </c>
      <c r="AC57" s="69">
        <f t="shared" si="170"/>
        <v>0.83132530120481896</v>
      </c>
      <c r="AD57" s="69">
        <f t="shared" si="170"/>
        <v>0.92222222222222228</v>
      </c>
      <c r="AE57" s="68">
        <f t="shared" si="170"/>
        <v>0.88541666666666696</v>
      </c>
      <c r="AF57" s="23">
        <f t="shared" si="170"/>
        <v>0.88541666666666696</v>
      </c>
      <c r="AG57" s="69">
        <f t="shared" si="170"/>
        <v>0.92307692307692291</v>
      </c>
      <c r="AH57" s="69">
        <f t="shared" si="170"/>
        <v>0.4407894736842104</v>
      </c>
      <c r="AI57" s="69">
        <f t="shared" si="170"/>
        <v>0.38728323699421963</v>
      </c>
      <c r="AJ57" s="68">
        <f t="shared" ref="AJ57:AS57" si="171">AJ55/AE55-1</f>
        <v>0.79558011049723754</v>
      </c>
      <c r="AK57" s="23">
        <f t="shared" si="171"/>
        <v>0.79558011049723754</v>
      </c>
      <c r="AL57" s="69">
        <f t="shared" si="171"/>
        <v>0.66000000000000014</v>
      </c>
      <c r="AM57" s="69">
        <f t="shared" si="171"/>
        <v>0.59360730593607314</v>
      </c>
      <c r="AN57" s="69">
        <f t="shared" si="171"/>
        <v>0.52916666666666679</v>
      </c>
      <c r="AO57" s="68">
        <f t="shared" si="171"/>
        <v>0.1630769230769229</v>
      </c>
      <c r="AP57" s="23">
        <f t="shared" si="171"/>
        <v>0.1630769230769229</v>
      </c>
      <c r="AQ57" s="69">
        <f t="shared" si="171"/>
        <v>0.17168674698795172</v>
      </c>
      <c r="AR57" s="69">
        <f t="shared" si="171"/>
        <v>0.15186246418338123</v>
      </c>
      <c r="AS57" s="69">
        <f t="shared" si="171"/>
        <v>0.13896457765667569</v>
      </c>
      <c r="AT57" s="68">
        <f t="shared" ref="AT57" si="172">AT55/AO55-1</f>
        <v>0.14814814814814814</v>
      </c>
      <c r="AU57" s="23">
        <f t="shared" ref="AU57:AX57" si="173">AU55/AP55-1</f>
        <v>0.14814814814814814</v>
      </c>
      <c r="AV57" s="69">
        <f t="shared" si="173"/>
        <v>0.15938303341902316</v>
      </c>
      <c r="AW57" s="69">
        <f t="shared" si="173"/>
        <v>0.17412935323383083</v>
      </c>
      <c r="AX57" s="69">
        <f t="shared" si="173"/>
        <v>0.1842105263157896</v>
      </c>
      <c r="AY57" s="68">
        <f t="shared" ref="AY57" si="174">AY55/AT55-1</f>
        <v>0.18663594470046085</v>
      </c>
      <c r="AZ57" s="23">
        <f t="shared" ref="AZ57:BC57" si="175">AZ55/AU55-1</f>
        <v>0.18663594470046085</v>
      </c>
      <c r="BA57" s="69">
        <f t="shared" si="175"/>
        <v>0.1862527716186253</v>
      </c>
      <c r="BB57" s="69">
        <f t="shared" si="175"/>
        <v>0.17372881355932202</v>
      </c>
      <c r="BC57" s="69">
        <f t="shared" si="175"/>
        <v>0.15979797979797983</v>
      </c>
      <c r="BD57" s="68">
        <f t="shared" ref="BD57" si="176">BD55/AY55-1</f>
        <v>0.14757281553398061</v>
      </c>
      <c r="BE57" s="23">
        <f t="shared" ref="BE57:BH57" si="177">BE55/AZ55-1</f>
        <v>0.14757281553398061</v>
      </c>
      <c r="BF57" s="69">
        <f t="shared" si="177"/>
        <v>0.14953271028037385</v>
      </c>
      <c r="BG57" s="69">
        <f t="shared" si="177"/>
        <v>0.15523465703971118</v>
      </c>
      <c r="BH57" s="69">
        <f t="shared" si="177"/>
        <v>0.15276084305870086</v>
      </c>
      <c r="BI57" s="68">
        <f t="shared" ref="BI57" si="178">BI55/BD55-1</f>
        <v>0.14720812182741105</v>
      </c>
      <c r="BJ57" s="23">
        <f t="shared" ref="BJ57:BM57" si="179">BJ55/BE55-1</f>
        <v>0.14720812182741105</v>
      </c>
      <c r="BK57" s="69">
        <f t="shared" si="179"/>
        <v>0.12357723577235769</v>
      </c>
      <c r="BL57" s="69">
        <f t="shared" si="179"/>
        <v>0.10000000000000009</v>
      </c>
      <c r="BM57" s="69">
        <f t="shared" si="179"/>
        <v>8.1897854336657305E-2</v>
      </c>
      <c r="BN57" s="68">
        <f t="shared" ref="BN57" si="180">BN55/BI55-1</f>
        <v>9.4395280235988199E-2</v>
      </c>
      <c r="BO57" s="23">
        <f t="shared" ref="BO57" si="181">BO55/BJ55-1</f>
        <v>9.4395280235988199E-2</v>
      </c>
    </row>
    <row r="58" spans="1:202" ht="7.5" customHeight="1">
      <c r="A58" s="67"/>
      <c r="B58" s="23"/>
      <c r="C58" s="69"/>
      <c r="D58" s="69"/>
      <c r="E58" s="69"/>
      <c r="F58" s="69"/>
      <c r="G58" s="23"/>
      <c r="H58" s="69"/>
      <c r="I58" s="69"/>
      <c r="J58" s="69"/>
      <c r="K58" s="68"/>
      <c r="L58" s="23"/>
      <c r="M58" s="69"/>
      <c r="N58" s="69"/>
      <c r="O58" s="69"/>
      <c r="P58" s="68"/>
      <c r="Q58" s="23"/>
      <c r="R58" s="69"/>
      <c r="S58" s="69"/>
      <c r="T58" s="69"/>
      <c r="U58" s="68"/>
      <c r="V58" s="23"/>
      <c r="W58" s="69"/>
      <c r="X58" s="69"/>
      <c r="Y58" s="69"/>
      <c r="Z58" s="68"/>
      <c r="AA58" s="23"/>
      <c r="AB58" s="69"/>
      <c r="AC58" s="69"/>
      <c r="AD58" s="69"/>
      <c r="AE58" s="68"/>
      <c r="AF58" s="23"/>
      <c r="AG58" s="69"/>
      <c r="AH58" s="69"/>
      <c r="AI58" s="69"/>
      <c r="AJ58" s="68"/>
      <c r="AK58" s="23"/>
      <c r="AL58" s="69"/>
      <c r="AM58" s="69"/>
      <c r="AN58" s="69"/>
      <c r="AO58" s="68"/>
      <c r="AP58" s="23"/>
      <c r="AQ58" s="69"/>
      <c r="AR58" s="69"/>
      <c r="AS58" s="69"/>
      <c r="AT58" s="68"/>
      <c r="AU58" s="23"/>
      <c r="AV58" s="69"/>
      <c r="AW58" s="69"/>
      <c r="AX58" s="69"/>
      <c r="AY58" s="68"/>
      <c r="AZ58" s="23"/>
      <c r="BA58" s="69"/>
      <c r="BB58" s="69"/>
      <c r="BC58" s="69"/>
      <c r="BD58" s="68"/>
      <c r="BE58" s="23"/>
      <c r="BF58" s="69"/>
      <c r="BG58" s="69"/>
      <c r="BH58" s="69"/>
      <c r="BI58" s="68"/>
      <c r="BJ58" s="23"/>
      <c r="BK58" s="69"/>
      <c r="BL58" s="69"/>
      <c r="BM58" s="69"/>
      <c r="BN58" s="68"/>
      <c r="BO58" s="23"/>
    </row>
    <row r="59" spans="1:202" s="2" customFormat="1">
      <c r="A59" s="65" t="s">
        <v>17</v>
      </c>
      <c r="B59" s="36">
        <v>7614</v>
      </c>
      <c r="C59" s="75" t="s">
        <v>40</v>
      </c>
      <c r="D59" s="75" t="s">
        <v>40</v>
      </c>
      <c r="E59" s="75" t="s">
        <v>40</v>
      </c>
      <c r="F59" s="75" t="s">
        <v>40</v>
      </c>
      <c r="G59" s="36">
        <v>7530</v>
      </c>
      <c r="H59" s="112" t="s">
        <v>35</v>
      </c>
      <c r="I59" s="112" t="s">
        <v>35</v>
      </c>
      <c r="J59" s="112" t="s">
        <v>35</v>
      </c>
      <c r="K59" s="112" t="s">
        <v>35</v>
      </c>
      <c r="L59" s="36">
        <v>7364</v>
      </c>
      <c r="M59" s="112" t="s">
        <v>35</v>
      </c>
      <c r="N59" s="112" t="s">
        <v>35</v>
      </c>
      <c r="O59" s="112" t="s">
        <v>35</v>
      </c>
      <c r="P59" s="112" t="s">
        <v>35</v>
      </c>
      <c r="Q59" s="36">
        <v>7216</v>
      </c>
      <c r="R59" s="112" t="s">
        <v>35</v>
      </c>
      <c r="S59" s="112" t="s">
        <v>35</v>
      </c>
      <c r="T59" s="112" t="s">
        <v>35</v>
      </c>
      <c r="U59" s="112" t="s">
        <v>35</v>
      </c>
      <c r="V59" s="35">
        <v>7076</v>
      </c>
      <c r="W59" s="112" t="s">
        <v>35</v>
      </c>
      <c r="X59" s="112" t="s">
        <v>35</v>
      </c>
      <c r="Y59" s="112" t="s">
        <v>35</v>
      </c>
      <c r="Z59" s="112" t="s">
        <v>35</v>
      </c>
      <c r="AA59" s="35">
        <v>7422</v>
      </c>
      <c r="AB59" s="128" t="s">
        <v>35</v>
      </c>
      <c r="AC59" s="128" t="s">
        <v>35</v>
      </c>
      <c r="AD59" s="66">
        <v>6576</v>
      </c>
      <c r="AE59" s="66">
        <v>6479</v>
      </c>
      <c r="AF59" s="35">
        <v>6479</v>
      </c>
      <c r="AG59" s="128" t="s">
        <v>35</v>
      </c>
      <c r="AH59" s="128" t="s">
        <v>35</v>
      </c>
      <c r="AI59" s="128" t="s">
        <v>35</v>
      </c>
      <c r="AJ59" s="66">
        <v>5964</v>
      </c>
      <c r="AK59" s="35">
        <v>5964</v>
      </c>
      <c r="AL59" s="128" t="s">
        <v>35</v>
      </c>
      <c r="AM59" s="128" t="s">
        <v>35</v>
      </c>
      <c r="AN59" s="128" t="s">
        <v>35</v>
      </c>
      <c r="AO59" s="66">
        <v>5896</v>
      </c>
      <c r="AP59" s="35">
        <v>5896</v>
      </c>
      <c r="AQ59" s="128" t="s">
        <v>35</v>
      </c>
      <c r="AR59" s="128" t="s">
        <v>35</v>
      </c>
      <c r="AS59" s="128" t="s">
        <v>35</v>
      </c>
      <c r="AT59" s="66">
        <v>5649</v>
      </c>
      <c r="AU59" s="35">
        <v>5649</v>
      </c>
      <c r="AV59" s="128" t="s">
        <v>35</v>
      </c>
      <c r="AW59" s="128" t="s">
        <v>35</v>
      </c>
      <c r="AX59" s="128" t="s">
        <v>35</v>
      </c>
      <c r="AY59" s="66">
        <v>5582</v>
      </c>
      <c r="AZ59" s="35">
        <v>5582</v>
      </c>
      <c r="BA59" s="128" t="s">
        <v>35</v>
      </c>
      <c r="BB59" s="128" t="s">
        <v>35</v>
      </c>
      <c r="BC59" s="128" t="s">
        <v>35</v>
      </c>
      <c r="BD59" s="66">
        <f>BE59</f>
        <v>5494</v>
      </c>
      <c r="BE59" s="35">
        <v>5494</v>
      </c>
      <c r="BF59" s="66">
        <v>5358</v>
      </c>
      <c r="BG59" s="128" t="s">
        <v>35</v>
      </c>
      <c r="BH59" s="128" t="s">
        <v>35</v>
      </c>
      <c r="BI59" s="66">
        <f>BJ59</f>
        <v>5256</v>
      </c>
      <c r="BJ59" s="35">
        <v>5256</v>
      </c>
      <c r="BK59" s="128" t="s">
        <v>35</v>
      </c>
      <c r="BL59" s="128" t="s">
        <v>35</v>
      </c>
      <c r="BM59" s="128" t="s">
        <v>35</v>
      </c>
      <c r="BN59" s="66">
        <v>5408</v>
      </c>
      <c r="BO59" s="35">
        <v>5408</v>
      </c>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row>
    <row r="60" spans="1:202" ht="13.5" customHeight="1">
      <c r="A60" s="67" t="s">
        <v>8</v>
      </c>
      <c r="B60" s="23"/>
      <c r="C60" s="69"/>
      <c r="D60" s="69"/>
      <c r="E60" s="69"/>
      <c r="F60" s="69"/>
      <c r="G60" s="23">
        <f>G59/B59-1</f>
        <v>-1.1032308904649346E-2</v>
      </c>
      <c r="H60" s="69"/>
      <c r="I60" s="69"/>
      <c r="J60" s="69"/>
      <c r="K60" s="68"/>
      <c r="L60" s="23">
        <f>L59/G59-1</f>
        <v>-2.2045152722443562E-2</v>
      </c>
      <c r="M60" s="69"/>
      <c r="N60" s="69"/>
      <c r="O60" s="69"/>
      <c r="P60" s="68"/>
      <c r="Q60" s="23">
        <f>Q59/L59-1</f>
        <v>-2.0097772949484005E-2</v>
      </c>
      <c r="R60" s="69"/>
      <c r="S60" s="69"/>
      <c r="T60" s="69"/>
      <c r="U60" s="68"/>
      <c r="V60" s="23">
        <f>V59/Q59-1</f>
        <v>-1.940133037694014E-2</v>
      </c>
      <c r="W60" s="69"/>
      <c r="X60" s="69"/>
      <c r="Y60" s="69"/>
      <c r="Z60" s="68"/>
      <c r="AA60" s="23">
        <f>AA59/V59-1</f>
        <v>4.8897682306387802E-2</v>
      </c>
      <c r="AB60" s="69"/>
      <c r="AC60" s="69"/>
      <c r="AD60" s="69"/>
      <c r="AE60" s="68"/>
      <c r="AF60" s="23">
        <f>AF59/AA59-1</f>
        <v>-0.12705470223659387</v>
      </c>
      <c r="AG60" s="69"/>
      <c r="AH60" s="69"/>
      <c r="AI60" s="69"/>
      <c r="AJ60" s="68"/>
      <c r="AK60" s="23">
        <f>AK59/AF59-1</f>
        <v>-7.9487575243093023E-2</v>
      </c>
      <c r="AL60" s="69"/>
      <c r="AM60" s="69"/>
      <c r="AN60" s="69"/>
      <c r="AO60" s="68"/>
      <c r="AP60" s="23">
        <f>AP59/AK59-1</f>
        <v>-1.1401743796110031E-2</v>
      </c>
      <c r="AQ60" s="69"/>
      <c r="AR60" s="69"/>
      <c r="AS60" s="69"/>
      <c r="AT60" s="68"/>
      <c r="AU60" s="23">
        <f>AU59/AP59-1</f>
        <v>-4.1892808683853477E-2</v>
      </c>
      <c r="AV60" s="69"/>
      <c r="AW60" s="69"/>
      <c r="AX60" s="69"/>
      <c r="AY60" s="68"/>
      <c r="AZ60" s="23">
        <f>AZ59/AU59-1</f>
        <v>-1.1860506284298133E-2</v>
      </c>
      <c r="BA60" s="69"/>
      <c r="BB60" s="69"/>
      <c r="BC60" s="69"/>
      <c r="BD60" s="68"/>
      <c r="BE60" s="23">
        <f>BE59/AZ59-1</f>
        <v>-1.5764958796130379E-2</v>
      </c>
      <c r="BF60" s="69"/>
      <c r="BG60" s="69"/>
      <c r="BH60" s="69"/>
      <c r="BI60" s="68"/>
      <c r="BJ60" s="23">
        <f>BJ59/BE59-1</f>
        <v>-4.3319985438660336E-2</v>
      </c>
      <c r="BK60" s="69"/>
      <c r="BL60" s="69"/>
      <c r="BM60" s="69"/>
      <c r="BN60" s="68"/>
      <c r="BO60" s="23">
        <f>BO59/BJ59-1</f>
        <v>2.8919330289193246E-2</v>
      </c>
    </row>
    <row r="61" spans="1:202" ht="2.25" customHeight="1">
      <c r="A61" s="67"/>
      <c r="B61" s="23"/>
      <c r="C61" s="69"/>
      <c r="D61" s="69"/>
      <c r="E61" s="69"/>
      <c r="F61" s="69"/>
      <c r="G61" s="23"/>
      <c r="H61" s="69"/>
      <c r="I61" s="69"/>
      <c r="J61" s="69"/>
      <c r="K61" s="68"/>
      <c r="L61" s="23"/>
      <c r="M61" s="69"/>
      <c r="N61" s="69"/>
      <c r="O61" s="69"/>
      <c r="P61" s="68"/>
      <c r="Q61" s="23"/>
      <c r="R61" s="69"/>
      <c r="S61" s="69"/>
      <c r="T61" s="69"/>
      <c r="U61" s="68"/>
      <c r="V61" s="23"/>
      <c r="W61" s="69"/>
      <c r="X61" s="69"/>
      <c r="Y61" s="69"/>
      <c r="Z61" s="68"/>
      <c r="AA61" s="23"/>
      <c r="AB61" s="69"/>
      <c r="AC61" s="69"/>
      <c r="AD61" s="69"/>
      <c r="AE61" s="68"/>
      <c r="AF61" s="23"/>
      <c r="AG61" s="69"/>
      <c r="AH61" s="69"/>
      <c r="AI61" s="69"/>
      <c r="AJ61" s="68"/>
      <c r="AK61" s="23"/>
      <c r="AL61" s="69"/>
      <c r="AM61" s="69"/>
      <c r="AN61" s="69"/>
      <c r="AO61" s="68"/>
      <c r="AP61" s="23" t="s">
        <v>134</v>
      </c>
      <c r="AQ61" s="69"/>
      <c r="AR61" s="69"/>
      <c r="AS61" s="69"/>
      <c r="AT61" s="68"/>
      <c r="AU61" s="23" t="s">
        <v>134</v>
      </c>
      <c r="AV61" s="69"/>
      <c r="AW61" s="69"/>
      <c r="AX61" s="69"/>
      <c r="AY61" s="68"/>
      <c r="AZ61" s="23" t="s">
        <v>134</v>
      </c>
      <c r="BA61" s="69"/>
      <c r="BB61" s="69"/>
      <c r="BC61" s="69"/>
      <c r="BD61" s="68"/>
      <c r="BE61" s="23" t="s">
        <v>134</v>
      </c>
      <c r="BF61" s="69"/>
      <c r="BG61" s="69"/>
      <c r="BH61" s="69"/>
      <c r="BI61" s="68"/>
      <c r="BJ61" s="23" t="s">
        <v>134</v>
      </c>
      <c r="BK61" s="69"/>
      <c r="BL61" s="69"/>
      <c r="BM61" s="69"/>
      <c r="BN61" s="68"/>
      <c r="BO61" s="23" t="s">
        <v>134</v>
      </c>
    </row>
    <row r="62" spans="1:202" s="44" customFormat="1" ht="13.9" customHeight="1">
      <c r="A62" s="65" t="s">
        <v>382</v>
      </c>
      <c r="B62" s="159" t="s">
        <v>35</v>
      </c>
      <c r="C62" s="37"/>
      <c r="D62" s="37"/>
      <c r="E62" s="37"/>
      <c r="F62" s="37"/>
      <c r="G62" s="159" t="s">
        <v>35</v>
      </c>
      <c r="H62" s="37"/>
      <c r="I62" s="37"/>
      <c r="J62" s="37"/>
      <c r="K62" s="37"/>
      <c r="L62" s="160">
        <v>0.59</v>
      </c>
      <c r="M62" s="160"/>
      <c r="N62" s="160"/>
      <c r="O62" s="160"/>
      <c r="P62" s="160"/>
      <c r="Q62" s="160">
        <v>0.59</v>
      </c>
      <c r="R62" s="160"/>
      <c r="S62" s="160"/>
      <c r="T62" s="160"/>
      <c r="U62" s="160"/>
      <c r="V62" s="160">
        <v>0.59</v>
      </c>
      <c r="W62" s="160"/>
      <c r="X62" s="160"/>
      <c r="Y62" s="160"/>
      <c r="Z62" s="160"/>
      <c r="AA62" s="160">
        <v>0.6</v>
      </c>
      <c r="AB62" s="160"/>
      <c r="AC62" s="160"/>
      <c r="AD62" s="160"/>
      <c r="AE62" s="160"/>
      <c r="AF62" s="160">
        <v>0.63</v>
      </c>
      <c r="AG62" s="128" t="s">
        <v>35</v>
      </c>
      <c r="AH62" s="128" t="s">
        <v>35</v>
      </c>
      <c r="AI62" s="128" t="s">
        <v>35</v>
      </c>
      <c r="AJ62" s="128" t="s">
        <v>35</v>
      </c>
      <c r="AK62" s="160">
        <v>0.66</v>
      </c>
      <c r="AL62" s="128" t="s">
        <v>35</v>
      </c>
      <c r="AM62" s="128" t="s">
        <v>35</v>
      </c>
      <c r="AN62" s="128" t="s">
        <v>35</v>
      </c>
      <c r="AO62" s="128" t="s">
        <v>35</v>
      </c>
      <c r="AP62" s="160">
        <v>0.68</v>
      </c>
      <c r="AQ62" s="128" t="s">
        <v>35</v>
      </c>
      <c r="AR62" s="128" t="s">
        <v>35</v>
      </c>
      <c r="AS62" s="128" t="s">
        <v>35</v>
      </c>
      <c r="AT62" s="128" t="s">
        <v>35</v>
      </c>
      <c r="AU62" s="160">
        <v>0.69</v>
      </c>
      <c r="AV62" s="128" t="s">
        <v>35</v>
      </c>
      <c r="AW62" s="128" t="s">
        <v>35</v>
      </c>
      <c r="AX62" s="128" t="s">
        <v>35</v>
      </c>
      <c r="AY62" s="128" t="s">
        <v>35</v>
      </c>
      <c r="AZ62" s="160">
        <v>0.7</v>
      </c>
      <c r="BA62" s="128" t="s">
        <v>35</v>
      </c>
      <c r="BB62" s="128" t="s">
        <v>35</v>
      </c>
      <c r="BC62" s="128" t="s">
        <v>35</v>
      </c>
      <c r="BD62" s="128" t="s">
        <v>35</v>
      </c>
      <c r="BE62" s="160">
        <v>0.69</v>
      </c>
      <c r="BF62" s="128" t="s">
        <v>35</v>
      </c>
      <c r="BG62" s="128" t="s">
        <v>35</v>
      </c>
      <c r="BH62" s="128" t="s">
        <v>35</v>
      </c>
      <c r="BI62" s="128" t="s">
        <v>35</v>
      </c>
      <c r="BJ62" s="160">
        <v>0.63</v>
      </c>
      <c r="BK62" s="128" t="s">
        <v>35</v>
      </c>
      <c r="BL62" s="128" t="s">
        <v>35</v>
      </c>
      <c r="BM62" s="128" t="s">
        <v>35</v>
      </c>
      <c r="BN62" s="128" t="s">
        <v>35</v>
      </c>
      <c r="BO62" s="160">
        <v>0.61</v>
      </c>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row>
    <row r="63" spans="1:202" s="44" customFormat="1" ht="13.5" customHeight="1">
      <c r="A63" s="65" t="s">
        <v>129</v>
      </c>
      <c r="B63" s="159" t="s">
        <v>35</v>
      </c>
      <c r="C63" s="37"/>
      <c r="D63" s="37"/>
      <c r="E63" s="37"/>
      <c r="F63" s="37"/>
      <c r="G63" s="159" t="s">
        <v>35</v>
      </c>
      <c r="H63" s="37"/>
      <c r="I63" s="37"/>
      <c r="J63" s="37"/>
      <c r="K63" s="37"/>
      <c r="L63" s="160">
        <v>0.72</v>
      </c>
      <c r="M63" s="160"/>
      <c r="N63" s="160"/>
      <c r="O63" s="160"/>
      <c r="P63" s="160"/>
      <c r="Q63" s="160">
        <v>0.65</v>
      </c>
      <c r="R63" s="160"/>
      <c r="S63" s="160"/>
      <c r="T63" s="160"/>
      <c r="U63" s="160"/>
      <c r="V63" s="160">
        <v>0.63</v>
      </c>
      <c r="W63" s="160"/>
      <c r="X63" s="160"/>
      <c r="Y63" s="160"/>
      <c r="Z63" s="160"/>
      <c r="AA63" s="160">
        <v>0.59</v>
      </c>
      <c r="AB63" s="160"/>
      <c r="AC63" s="160"/>
      <c r="AD63" s="160"/>
      <c r="AE63" s="160"/>
      <c r="AF63" s="160">
        <v>0.56999999999999995</v>
      </c>
      <c r="AG63" s="128" t="s">
        <v>35</v>
      </c>
      <c r="AH63" s="128" t="s">
        <v>35</v>
      </c>
      <c r="AI63" s="128" t="s">
        <v>35</v>
      </c>
      <c r="AJ63" s="128" t="s">
        <v>35</v>
      </c>
      <c r="AK63" s="160">
        <v>0.56000000000000005</v>
      </c>
      <c r="AL63" s="128" t="s">
        <v>35</v>
      </c>
      <c r="AM63" s="128" t="s">
        <v>35</v>
      </c>
      <c r="AN63" s="128" t="s">
        <v>35</v>
      </c>
      <c r="AO63" s="128" t="s">
        <v>35</v>
      </c>
      <c r="AP63" s="160">
        <v>0.56000000000000005</v>
      </c>
      <c r="AQ63" s="128" t="s">
        <v>35</v>
      </c>
      <c r="AR63" s="128" t="s">
        <v>35</v>
      </c>
      <c r="AS63" s="128" t="s">
        <v>35</v>
      </c>
      <c r="AT63" s="128" t="s">
        <v>35</v>
      </c>
      <c r="AU63" s="160">
        <v>0.55000000000000004</v>
      </c>
      <c r="AV63" s="128" t="s">
        <v>35</v>
      </c>
      <c r="AW63" s="128" t="s">
        <v>35</v>
      </c>
      <c r="AX63" s="128" t="s">
        <v>35</v>
      </c>
      <c r="AY63" s="128" t="s">
        <v>35</v>
      </c>
      <c r="AZ63" s="160">
        <v>0.53</v>
      </c>
      <c r="BA63" s="128" t="s">
        <v>35</v>
      </c>
      <c r="BB63" s="128" t="s">
        <v>35</v>
      </c>
      <c r="BC63" s="128" t="s">
        <v>35</v>
      </c>
      <c r="BD63" s="128" t="s">
        <v>35</v>
      </c>
      <c r="BE63" s="160">
        <v>0.52</v>
      </c>
      <c r="BF63" s="128" t="s">
        <v>35</v>
      </c>
      <c r="BG63" s="128" t="s">
        <v>35</v>
      </c>
      <c r="BH63" s="128" t="s">
        <v>35</v>
      </c>
      <c r="BI63" s="128" t="s">
        <v>35</v>
      </c>
      <c r="BJ63" s="160">
        <v>0.53</v>
      </c>
      <c r="BK63" s="128" t="s">
        <v>35</v>
      </c>
      <c r="BL63" s="128" t="s">
        <v>35</v>
      </c>
      <c r="BM63" s="128" t="s">
        <v>35</v>
      </c>
      <c r="BN63" s="128" t="s">
        <v>35</v>
      </c>
      <c r="BO63" s="160">
        <v>0.54</v>
      </c>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row>
    <row r="64" spans="1:202" s="44" customFormat="1" ht="14.25" customHeight="1">
      <c r="A64" s="65" t="s">
        <v>132</v>
      </c>
      <c r="B64" s="159" t="s">
        <v>35</v>
      </c>
      <c r="C64" s="37"/>
      <c r="D64" s="37"/>
      <c r="E64" s="37"/>
      <c r="F64" s="37"/>
      <c r="G64" s="159" t="s">
        <v>35</v>
      </c>
      <c r="H64" s="37"/>
      <c r="I64" s="37"/>
      <c r="J64" s="37"/>
      <c r="K64" s="37"/>
      <c r="L64" s="160">
        <v>0.82</v>
      </c>
      <c r="M64" s="160"/>
      <c r="N64" s="160"/>
      <c r="O64" s="160"/>
      <c r="P64" s="160"/>
      <c r="Q64" s="160">
        <v>0.78</v>
      </c>
      <c r="R64" s="160"/>
      <c r="S64" s="160"/>
      <c r="T64" s="160"/>
      <c r="U64" s="160"/>
      <c r="V64" s="160">
        <v>0.76</v>
      </c>
      <c r="W64" s="160"/>
      <c r="X64" s="160"/>
      <c r="Y64" s="160"/>
      <c r="Z64" s="160"/>
      <c r="AA64" s="160">
        <v>0.75</v>
      </c>
      <c r="AB64" s="160"/>
      <c r="AC64" s="160"/>
      <c r="AD64" s="160"/>
      <c r="AE64" s="160"/>
      <c r="AF64" s="160">
        <v>0.74</v>
      </c>
      <c r="AG64" s="128" t="s">
        <v>35</v>
      </c>
      <c r="AH64" s="128" t="s">
        <v>35</v>
      </c>
      <c r="AI64" s="128" t="s">
        <v>35</v>
      </c>
      <c r="AJ64" s="128" t="s">
        <v>35</v>
      </c>
      <c r="AK64" s="160">
        <v>0.74</v>
      </c>
      <c r="AL64" s="128" t="s">
        <v>35</v>
      </c>
      <c r="AM64" s="128" t="s">
        <v>35</v>
      </c>
      <c r="AN64" s="128" t="s">
        <v>35</v>
      </c>
      <c r="AO64" s="128" t="s">
        <v>35</v>
      </c>
      <c r="AP64" s="160">
        <v>0.74</v>
      </c>
      <c r="AQ64" s="128" t="s">
        <v>35</v>
      </c>
      <c r="AR64" s="128" t="s">
        <v>35</v>
      </c>
      <c r="AS64" s="128" t="s">
        <v>35</v>
      </c>
      <c r="AT64" s="128" t="s">
        <v>35</v>
      </c>
      <c r="AU64" s="160">
        <v>0.73</v>
      </c>
      <c r="AV64" s="128" t="s">
        <v>35</v>
      </c>
      <c r="AW64" s="128" t="s">
        <v>35</v>
      </c>
      <c r="AX64" s="128" t="s">
        <v>35</v>
      </c>
      <c r="AY64" s="128" t="s">
        <v>35</v>
      </c>
      <c r="AZ64" s="160">
        <v>0.72</v>
      </c>
      <c r="BA64" s="128" t="s">
        <v>35</v>
      </c>
      <c r="BB64" s="128" t="s">
        <v>35</v>
      </c>
      <c r="BC64" s="128" t="s">
        <v>35</v>
      </c>
      <c r="BD64" s="128" t="s">
        <v>35</v>
      </c>
      <c r="BE64" s="160">
        <v>0.71</v>
      </c>
      <c r="BF64" s="128" t="s">
        <v>35</v>
      </c>
      <c r="BG64" s="128" t="s">
        <v>35</v>
      </c>
      <c r="BH64" s="128" t="s">
        <v>35</v>
      </c>
      <c r="BI64" s="128" t="s">
        <v>35</v>
      </c>
      <c r="BJ64" s="160">
        <v>0.71</v>
      </c>
      <c r="BK64" s="128" t="s">
        <v>35</v>
      </c>
      <c r="BL64" s="128" t="s">
        <v>35</v>
      </c>
      <c r="BM64" s="128" t="s">
        <v>35</v>
      </c>
      <c r="BN64" s="128" t="s">
        <v>35</v>
      </c>
      <c r="BO64" s="160">
        <v>0.7</v>
      </c>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row>
    <row r="65" spans="1:202" s="44" customFormat="1" ht="3.75" customHeight="1">
      <c r="A65" s="42"/>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row>
    <row r="66" spans="1:202" s="44" customFormat="1" ht="11.25" customHeight="1">
      <c r="A66" s="89"/>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row>
    <row r="67" spans="1:202" s="44" customFormat="1" ht="4.5" customHeight="1">
      <c r="A67" s="42"/>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row>
    <row r="68" spans="1:202" ht="20.25">
      <c r="A68" s="33" t="s">
        <v>3</v>
      </c>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row>
    <row r="69" spans="1:202" s="41" customFormat="1">
      <c r="A69" s="38" t="s">
        <v>25</v>
      </c>
      <c r="B69" s="90"/>
      <c r="C69" s="40"/>
      <c r="D69" s="40"/>
      <c r="E69" s="40"/>
      <c r="F69" s="40"/>
      <c r="G69" s="39"/>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row>
    <row r="70" spans="1:202" s="32" customFormat="1">
      <c r="A70" s="65"/>
      <c r="B70" s="28"/>
      <c r="C70" s="65"/>
      <c r="D70" s="65"/>
      <c r="E70" s="65"/>
      <c r="F70" s="65"/>
      <c r="G70" s="28"/>
      <c r="H70" s="65"/>
      <c r="I70" s="65"/>
      <c r="J70" s="65"/>
      <c r="K70" s="65"/>
      <c r="L70" s="20"/>
      <c r="M70" s="65"/>
      <c r="N70" s="65"/>
      <c r="O70" s="65"/>
      <c r="P70" s="65"/>
      <c r="Q70" s="20"/>
      <c r="R70" s="65"/>
      <c r="S70" s="65"/>
      <c r="T70" s="65"/>
      <c r="U70" s="65"/>
      <c r="V70" s="20"/>
      <c r="W70" s="65"/>
      <c r="X70" s="65"/>
      <c r="Y70" s="65"/>
      <c r="Z70" s="65"/>
      <c r="AA70" s="20"/>
      <c r="AB70" s="65"/>
      <c r="AC70" s="65"/>
      <c r="AD70" s="65"/>
      <c r="AE70" s="65"/>
      <c r="AF70" s="20"/>
      <c r="AG70" s="65"/>
      <c r="AH70" s="65"/>
      <c r="AI70" s="65"/>
      <c r="AJ70" s="65"/>
      <c r="AK70" s="20"/>
      <c r="AL70" s="65"/>
      <c r="AM70" s="65"/>
      <c r="AN70" s="65"/>
      <c r="AO70" s="65"/>
      <c r="AP70" s="20"/>
      <c r="AQ70" s="65"/>
      <c r="AR70" s="65"/>
      <c r="AS70" s="65"/>
      <c r="AT70" s="65"/>
      <c r="AU70" s="20"/>
      <c r="AV70" s="201"/>
      <c r="AW70" s="201"/>
      <c r="AX70" s="201"/>
      <c r="AY70" s="201"/>
      <c r="AZ70" s="26"/>
      <c r="BA70" s="201"/>
      <c r="BB70" s="201"/>
      <c r="BC70" s="201"/>
      <c r="BD70" s="201"/>
      <c r="BE70" s="26"/>
      <c r="BF70" s="201"/>
      <c r="BG70" s="201"/>
      <c r="BH70" s="201"/>
      <c r="BI70" s="201"/>
      <c r="BJ70" s="26"/>
      <c r="BK70" s="201"/>
      <c r="BL70" s="201"/>
      <c r="BM70" s="201"/>
      <c r="BN70" s="201"/>
      <c r="BO70" s="26"/>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row>
    <row r="71" spans="1:202" s="2" customFormat="1">
      <c r="A71" s="65" t="s">
        <v>227</v>
      </c>
      <c r="B71" s="36">
        <v>2622</v>
      </c>
      <c r="C71" s="66">
        <v>2595</v>
      </c>
      <c r="D71" s="66">
        <v>2636</v>
      </c>
      <c r="E71" s="66">
        <v>2698</v>
      </c>
      <c r="F71" s="66">
        <v>2649</v>
      </c>
      <c r="G71" s="36">
        <v>2649</v>
      </c>
      <c r="H71" s="66">
        <v>2669</v>
      </c>
      <c r="I71" s="66">
        <v>2694</v>
      </c>
      <c r="J71" s="66">
        <v>2721</v>
      </c>
      <c r="K71" s="66">
        <f>L71</f>
        <v>2766</v>
      </c>
      <c r="L71" s="86">
        <v>2766</v>
      </c>
      <c r="M71" s="66">
        <v>2789</v>
      </c>
      <c r="N71" s="66">
        <v>2807</v>
      </c>
      <c r="O71" s="66">
        <v>2825</v>
      </c>
      <c r="P71" s="66">
        <f>Q71</f>
        <v>2857</v>
      </c>
      <c r="Q71" s="86">
        <v>2857</v>
      </c>
      <c r="R71" s="66">
        <v>2861</v>
      </c>
      <c r="S71" s="66">
        <v>2827</v>
      </c>
      <c r="T71" s="66">
        <v>2842</v>
      </c>
      <c r="U71" s="66">
        <v>2847</v>
      </c>
      <c r="V71" s="86">
        <v>2847</v>
      </c>
      <c r="W71" s="66">
        <v>2876</v>
      </c>
      <c r="X71" s="66">
        <v>2859</v>
      </c>
      <c r="Y71" s="66">
        <v>2839</v>
      </c>
      <c r="Z71" s="66">
        <v>2800</v>
      </c>
      <c r="AA71" s="86">
        <v>2800</v>
      </c>
      <c r="AB71" s="66">
        <v>2741</v>
      </c>
      <c r="AC71" s="66">
        <v>2702</v>
      </c>
      <c r="AD71" s="66">
        <v>2683</v>
      </c>
      <c r="AE71" s="66">
        <v>2642</v>
      </c>
      <c r="AF71" s="86">
        <v>2642</v>
      </c>
      <c r="AG71" s="66">
        <v>2631</v>
      </c>
      <c r="AH71" s="66">
        <v>2610</v>
      </c>
      <c r="AI71" s="66">
        <v>2600</v>
      </c>
      <c r="AJ71" s="66">
        <v>2586</v>
      </c>
      <c r="AK71" s="86">
        <v>2586</v>
      </c>
      <c r="AL71" s="66">
        <v>2565</v>
      </c>
      <c r="AM71" s="66">
        <v>2566</v>
      </c>
      <c r="AN71" s="66">
        <v>2569</v>
      </c>
      <c r="AO71" s="66">
        <v>2651</v>
      </c>
      <c r="AP71" s="86">
        <v>2651</v>
      </c>
      <c r="AQ71" s="66">
        <v>2692</v>
      </c>
      <c r="AR71" s="66">
        <v>2260</v>
      </c>
      <c r="AS71" s="66">
        <v>2348</v>
      </c>
      <c r="AT71" s="66">
        <v>2402</v>
      </c>
      <c r="AU71" s="86">
        <v>2402</v>
      </c>
      <c r="AV71" s="66">
        <v>2430</v>
      </c>
      <c r="AW71" s="66">
        <v>2410</v>
      </c>
      <c r="AX71" s="66">
        <v>2475</v>
      </c>
      <c r="AY71" s="66">
        <v>2525</v>
      </c>
      <c r="AZ71" s="86">
        <v>2525</v>
      </c>
      <c r="BA71" s="66">
        <v>2546</v>
      </c>
      <c r="BB71" s="66">
        <v>2601</v>
      </c>
      <c r="BC71" s="66">
        <f>BC76+BC81</f>
        <v>2185</v>
      </c>
      <c r="BD71" s="66">
        <f>BE71</f>
        <v>2205</v>
      </c>
      <c r="BE71" s="86">
        <v>2205</v>
      </c>
      <c r="BF71" s="66">
        <f>BF76+BF81</f>
        <v>2216</v>
      </c>
      <c r="BG71" s="66">
        <f>BG76+BG81</f>
        <v>2254</v>
      </c>
      <c r="BH71" s="66">
        <f>BH76+BH81</f>
        <v>2301</v>
      </c>
      <c r="BI71" s="66">
        <f>BJ71</f>
        <v>2327</v>
      </c>
      <c r="BJ71" s="86">
        <f>BJ76+BJ81</f>
        <v>2327</v>
      </c>
      <c r="BK71" s="66">
        <f>BK76+BK81</f>
        <v>2356</v>
      </c>
      <c r="BL71" s="66">
        <f>BL76+BL81</f>
        <v>2365</v>
      </c>
      <c r="BM71" s="66">
        <f>BM76+BM81</f>
        <v>2396</v>
      </c>
      <c r="BN71" s="66">
        <f>BO71</f>
        <v>2442</v>
      </c>
      <c r="BO71" s="86">
        <f>BO76+BO81</f>
        <v>2442</v>
      </c>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row>
    <row r="72" spans="1:202">
      <c r="A72" s="67" t="s">
        <v>7</v>
      </c>
      <c r="B72" s="23"/>
      <c r="C72" s="68"/>
      <c r="D72" s="68">
        <f>D71/C71-1</f>
        <v>1.579961464354529E-2</v>
      </c>
      <c r="E72" s="68">
        <f>E71/D71-1</f>
        <v>2.3520485584218598E-2</v>
      </c>
      <c r="F72" s="68">
        <f>F71/E71-1</f>
        <v>-1.8161601186063803E-2</v>
      </c>
      <c r="G72" s="23"/>
      <c r="H72" s="68">
        <f>H71/F71-1</f>
        <v>7.5500188750472486E-3</v>
      </c>
      <c r="I72" s="68">
        <f>I71/H71-1</f>
        <v>9.3668040464593982E-3</v>
      </c>
      <c r="J72" s="68">
        <f>J71/I71-1</f>
        <v>1.0022271714922093E-2</v>
      </c>
      <c r="K72" s="68">
        <f>K71/J71-1</f>
        <v>1.6538037486218293E-2</v>
      </c>
      <c r="L72" s="26"/>
      <c r="M72" s="68">
        <f>M71/K71-1</f>
        <v>8.315256688358641E-3</v>
      </c>
      <c r="N72" s="68">
        <f>N71/M71-1</f>
        <v>6.4539261384009006E-3</v>
      </c>
      <c r="O72" s="68">
        <f>O71/N71-1</f>
        <v>6.4125400783754394E-3</v>
      </c>
      <c r="P72" s="68">
        <f>P71/O71-1</f>
        <v>1.1327433628318673E-2</v>
      </c>
      <c r="Q72" s="26"/>
      <c r="R72" s="68">
        <f>R71/P71-1</f>
        <v>1.4000700035001756E-3</v>
      </c>
      <c r="S72" s="68">
        <f>S71/R71-1</f>
        <v>-1.1883956658511052E-2</v>
      </c>
      <c r="T72" s="68">
        <f>T71/S71-1</f>
        <v>5.3059780686239844E-3</v>
      </c>
      <c r="U72" s="68">
        <f>U71/T71-1</f>
        <v>1.7593244194229474E-3</v>
      </c>
      <c r="V72" s="26"/>
      <c r="W72" s="68">
        <f>W71/U71-1</f>
        <v>1.0186160871092476E-2</v>
      </c>
      <c r="X72" s="68">
        <f>X71/W71-1</f>
        <v>-5.9109874826147601E-3</v>
      </c>
      <c r="Y72" s="68">
        <f>Y71/X71-1</f>
        <v>-6.9954529555789069E-3</v>
      </c>
      <c r="Z72" s="68">
        <f>Z71/Y71-1</f>
        <v>-1.3737231419513884E-2</v>
      </c>
      <c r="AA72" s="26"/>
      <c r="AB72" s="68">
        <f>AB71/Z71-1</f>
        <v>-2.1071428571428519E-2</v>
      </c>
      <c r="AC72" s="68">
        <f>AC71/AB71-1</f>
        <v>-1.4228383801532241E-2</v>
      </c>
      <c r="AD72" s="68">
        <f>AD71/AC71-1</f>
        <v>-7.0318282753515371E-3</v>
      </c>
      <c r="AE72" s="68">
        <f>AE71/AD71-1</f>
        <v>-1.5281401416325058E-2</v>
      </c>
      <c r="AF72" s="26"/>
      <c r="AG72" s="68">
        <f>AG71/AE71-1</f>
        <v>-4.1635124905374798E-3</v>
      </c>
      <c r="AH72" s="68">
        <f>AH71/AG71-1</f>
        <v>-7.9817559863170073E-3</v>
      </c>
      <c r="AI72" s="68">
        <f>AI71/AH71-1</f>
        <v>-3.8314176245211051E-3</v>
      </c>
      <c r="AJ72" s="68">
        <f>AJ71/AI71-1</f>
        <v>-5.3846153846154321E-3</v>
      </c>
      <c r="AK72" s="26"/>
      <c r="AL72" s="68">
        <f>AL71/AJ71-1</f>
        <v>-8.1206496519721227E-3</v>
      </c>
      <c r="AM72" s="68">
        <f>AM71/AL71-1</f>
        <v>3.898635477583845E-4</v>
      </c>
      <c r="AN72" s="68">
        <f>AN71/AM71-1</f>
        <v>1.1691348402182999E-3</v>
      </c>
      <c r="AO72" s="68">
        <f>AO71/AN71-1</f>
        <v>3.191903464383028E-2</v>
      </c>
      <c r="AP72" s="26"/>
      <c r="AQ72" s="68">
        <f>AQ71/AO71-1</f>
        <v>1.546586193889099E-2</v>
      </c>
      <c r="AR72" s="68">
        <f>AR71/AQ71-1</f>
        <v>-0.16047548291233282</v>
      </c>
      <c r="AS72" s="68">
        <f>AS71/AR71-1</f>
        <v>3.8938053097345104E-2</v>
      </c>
      <c r="AT72" s="68">
        <f>AT71/AS71-1</f>
        <v>2.2998296422487297E-2</v>
      </c>
      <c r="AU72" s="26"/>
      <c r="AV72" s="68">
        <f>AV71/AT71-1</f>
        <v>1.1656952539550458E-2</v>
      </c>
      <c r="AW72" s="68">
        <f>AW71/AV71-1</f>
        <v>-8.2304526748970819E-3</v>
      </c>
      <c r="AX72" s="68">
        <f>AX71/AW71-1</f>
        <v>2.6970954356846377E-2</v>
      </c>
      <c r="AY72" s="68">
        <f>AY71/AX71-1</f>
        <v>2.020202020202011E-2</v>
      </c>
      <c r="AZ72" s="26"/>
      <c r="BA72" s="68">
        <f>BA71/AY71-1</f>
        <v>8.3168316831683242E-3</v>
      </c>
      <c r="BB72" s="68">
        <f>BB71/BA71-1</f>
        <v>2.1602513747054131E-2</v>
      </c>
      <c r="BC72" s="68">
        <f>BC71/BB71-1</f>
        <v>-0.1599384851980008</v>
      </c>
      <c r="BD72" s="68">
        <f>BD71/BC71-1</f>
        <v>9.1533180778031742E-3</v>
      </c>
      <c r="BE72" s="26"/>
      <c r="BF72" s="68">
        <f>BF71/BD71-1</f>
        <v>4.9886621315193835E-3</v>
      </c>
      <c r="BG72" s="68">
        <f>BG71/BF71-1</f>
        <v>1.7148014440433235E-2</v>
      </c>
      <c r="BH72" s="68">
        <f>BH71/BG71-1</f>
        <v>2.0851818988464998E-2</v>
      </c>
      <c r="BI72" s="68">
        <f>BI71/BH71-1</f>
        <v>1.1299435028248483E-2</v>
      </c>
      <c r="BJ72" s="26"/>
      <c r="BK72" s="68">
        <f>BK71/BI71-1</f>
        <v>1.2462397937258229E-2</v>
      </c>
      <c r="BL72" s="68">
        <f>BL71/BK71-1</f>
        <v>3.8200339558573937E-3</v>
      </c>
      <c r="BM72" s="68">
        <f>BM71/BL71-1</f>
        <v>1.3107822410147962E-2</v>
      </c>
      <c r="BN72" s="68">
        <f>BN71/BM71-1</f>
        <v>1.9198664440734481E-2</v>
      </c>
      <c r="BO72" s="26"/>
    </row>
    <row r="73" spans="1:202">
      <c r="A73" s="67" t="s">
        <v>8</v>
      </c>
      <c r="B73" s="23"/>
      <c r="C73" s="69"/>
      <c r="D73" s="69"/>
      <c r="E73" s="69"/>
      <c r="F73" s="69"/>
      <c r="G73" s="23">
        <f t="shared" ref="G73:N73" si="182">G71/B71-1</f>
        <v>1.0297482837528626E-2</v>
      </c>
      <c r="H73" s="69">
        <f t="shared" si="182"/>
        <v>2.8516377649325575E-2</v>
      </c>
      <c r="I73" s="69">
        <f t="shared" si="182"/>
        <v>2.2003034901365792E-2</v>
      </c>
      <c r="J73" s="69">
        <f t="shared" si="182"/>
        <v>8.5248332097849211E-3</v>
      </c>
      <c r="K73" s="68">
        <f t="shared" si="182"/>
        <v>4.416761041902606E-2</v>
      </c>
      <c r="L73" s="23">
        <f t="shared" si="182"/>
        <v>4.416761041902606E-2</v>
      </c>
      <c r="M73" s="69">
        <f t="shared" si="182"/>
        <v>4.4960659423004978E-2</v>
      </c>
      <c r="N73" s="69">
        <f t="shared" si="182"/>
        <v>4.1945063103192348E-2</v>
      </c>
      <c r="O73" s="69">
        <f t="shared" ref="O73:Y73" si="183">O71/J71-1</f>
        <v>3.8221242190371152E-2</v>
      </c>
      <c r="P73" s="68">
        <f t="shared" si="183"/>
        <v>3.2899493853940642E-2</v>
      </c>
      <c r="Q73" s="23">
        <f t="shared" si="183"/>
        <v>3.2899493853940642E-2</v>
      </c>
      <c r="R73" s="69">
        <f t="shared" si="183"/>
        <v>2.581570455360338E-2</v>
      </c>
      <c r="S73" s="69">
        <f t="shared" si="183"/>
        <v>7.1250445315282906E-3</v>
      </c>
      <c r="T73" s="69">
        <f t="shared" si="183"/>
        <v>6.0176991150442394E-3</v>
      </c>
      <c r="U73" s="68">
        <f t="shared" si="183"/>
        <v>-3.5001750087504391E-3</v>
      </c>
      <c r="V73" s="23">
        <f t="shared" si="183"/>
        <v>-3.5001750087504391E-3</v>
      </c>
      <c r="W73" s="69">
        <f t="shared" si="183"/>
        <v>5.2429220552254741E-3</v>
      </c>
      <c r="X73" s="69">
        <f t="shared" si="183"/>
        <v>1.1319419879731063E-2</v>
      </c>
      <c r="Y73" s="69">
        <f t="shared" si="183"/>
        <v>-1.055594651653724E-3</v>
      </c>
      <c r="Z73" s="68">
        <f t="shared" ref="Z73:AI73" si="184">Z71/U71-1</f>
        <v>-1.6508605549701461E-2</v>
      </c>
      <c r="AA73" s="23">
        <f t="shared" si="184"/>
        <v>-1.6508605549701461E-2</v>
      </c>
      <c r="AB73" s="69">
        <f t="shared" si="184"/>
        <v>-4.6940194714881756E-2</v>
      </c>
      <c r="AC73" s="69">
        <f t="shared" si="184"/>
        <v>-5.4914305701294186E-2</v>
      </c>
      <c r="AD73" s="69">
        <f t="shared" si="184"/>
        <v>-5.4948925678055649E-2</v>
      </c>
      <c r="AE73" s="68">
        <f t="shared" si="184"/>
        <v>-5.6428571428571384E-2</v>
      </c>
      <c r="AF73" s="23">
        <f t="shared" si="184"/>
        <v>-5.6428571428571384E-2</v>
      </c>
      <c r="AG73" s="69">
        <f t="shared" si="184"/>
        <v>-4.013133892739873E-2</v>
      </c>
      <c r="AH73" s="69">
        <f t="shared" si="184"/>
        <v>-3.4048852701702437E-2</v>
      </c>
      <c r="AI73" s="69">
        <f t="shared" si="184"/>
        <v>-3.0935519940365253E-2</v>
      </c>
      <c r="AJ73" s="68">
        <f t="shared" ref="AJ73:AS73" si="185">AJ71/AE71-1</f>
        <v>-2.1196063588190817E-2</v>
      </c>
      <c r="AK73" s="23">
        <f t="shared" si="185"/>
        <v>-2.1196063588190817E-2</v>
      </c>
      <c r="AL73" s="69">
        <f t="shared" si="185"/>
        <v>-2.5085518814139118E-2</v>
      </c>
      <c r="AM73" s="69">
        <f t="shared" si="185"/>
        <v>-1.6858237547892729E-2</v>
      </c>
      <c r="AN73" s="69">
        <f t="shared" si="185"/>
        <v>-1.1923076923076925E-2</v>
      </c>
      <c r="AO73" s="68">
        <f t="shared" si="185"/>
        <v>2.5135344160866158E-2</v>
      </c>
      <c r="AP73" s="23">
        <f t="shared" si="185"/>
        <v>2.5135344160866158E-2</v>
      </c>
      <c r="AQ73" s="69">
        <f t="shared" si="185"/>
        <v>4.9512670565302175E-2</v>
      </c>
      <c r="AR73" s="69">
        <f t="shared" si="185"/>
        <v>-0.11925175370226038</v>
      </c>
      <c r="AS73" s="69">
        <f t="shared" si="185"/>
        <v>-8.6025690930323084E-2</v>
      </c>
      <c r="AT73" s="68">
        <f t="shared" ref="AT73" si="186">AT71/AO71-1</f>
        <v>-9.3926820067898875E-2</v>
      </c>
      <c r="AU73" s="23">
        <f t="shared" ref="AU73:AX73" si="187">AU71/AP71-1</f>
        <v>-9.3926820067898875E-2</v>
      </c>
      <c r="AV73" s="69">
        <f t="shared" si="187"/>
        <v>-9.7325408618127773E-2</v>
      </c>
      <c r="AW73" s="69">
        <f t="shared" si="187"/>
        <v>6.6371681415929196E-2</v>
      </c>
      <c r="AX73" s="69">
        <f t="shared" si="187"/>
        <v>5.4088586030664354E-2</v>
      </c>
      <c r="AY73" s="68">
        <f t="shared" ref="AY73" si="188">AY71/AT71-1</f>
        <v>5.1207327227310584E-2</v>
      </c>
      <c r="AZ73" s="23">
        <f t="shared" ref="AZ73:BC73" si="189">AZ71/AU71-1</f>
        <v>5.1207327227310584E-2</v>
      </c>
      <c r="BA73" s="69">
        <f t="shared" si="189"/>
        <v>4.7736625514403386E-2</v>
      </c>
      <c r="BB73" s="69">
        <f t="shared" si="189"/>
        <v>7.9253112033194961E-2</v>
      </c>
      <c r="BC73" s="69">
        <f t="shared" si="189"/>
        <v>-0.11717171717171715</v>
      </c>
      <c r="BD73" s="68">
        <f t="shared" ref="BD73" si="190">BD71/AY71-1</f>
        <v>-0.12673267326732673</v>
      </c>
      <c r="BE73" s="23">
        <f t="shared" ref="BE73:BH73" si="191">BE71/AZ71-1</f>
        <v>-0.12673267326732673</v>
      </c>
      <c r="BF73" s="69">
        <f t="shared" si="191"/>
        <v>-0.12961508248232523</v>
      </c>
      <c r="BG73" s="69">
        <f t="shared" si="191"/>
        <v>-0.13341022683583237</v>
      </c>
      <c r="BH73" s="69">
        <f t="shared" si="191"/>
        <v>5.3089244851258544E-2</v>
      </c>
      <c r="BI73" s="68">
        <f t="shared" ref="BI73" si="192">BI71/BD71-1</f>
        <v>5.5328798185940942E-2</v>
      </c>
      <c r="BJ73" s="23">
        <f t="shared" ref="BJ73:BM73" si="193">BJ71/BE71-1</f>
        <v>5.5328798185940942E-2</v>
      </c>
      <c r="BK73" s="69">
        <f t="shared" si="193"/>
        <v>6.3176895306859215E-2</v>
      </c>
      <c r="BL73" s="69">
        <f t="shared" si="193"/>
        <v>4.924578527063006E-2</v>
      </c>
      <c r="BM73" s="69">
        <f t="shared" si="193"/>
        <v>4.1286397218600612E-2</v>
      </c>
      <c r="BN73" s="68">
        <f t="shared" ref="BN73" si="194">BN71/BI71-1</f>
        <v>4.9419853889127729E-2</v>
      </c>
      <c r="BO73" s="23">
        <f t="shared" ref="BO73" si="195">BO71/BJ71-1</f>
        <v>4.9419853889127729E-2</v>
      </c>
    </row>
    <row r="74" spans="1:202">
      <c r="A74" s="67" t="s">
        <v>167</v>
      </c>
      <c r="B74" s="23"/>
      <c r="C74" s="69"/>
      <c r="D74" s="69"/>
      <c r="E74" s="69"/>
      <c r="F74" s="69"/>
      <c r="G74" s="23"/>
      <c r="H74" s="69"/>
      <c r="I74" s="69"/>
      <c r="J74" s="69"/>
      <c r="K74" s="68"/>
      <c r="L74" s="23"/>
      <c r="M74" s="69"/>
      <c r="N74" s="69"/>
      <c r="O74" s="69"/>
      <c r="P74" s="68"/>
      <c r="Q74" s="183">
        <f>Q71-L71</f>
        <v>91</v>
      </c>
      <c r="R74" s="69"/>
      <c r="S74" s="69"/>
      <c r="T74" s="69"/>
      <c r="U74" s="68"/>
      <c r="V74" s="183">
        <f>V71-Q71</f>
        <v>-10</v>
      </c>
      <c r="W74" s="69"/>
      <c r="X74" s="69"/>
      <c r="Y74" s="69"/>
      <c r="Z74" s="68"/>
      <c r="AA74" s="183">
        <f>AA71-V71</f>
        <v>-47</v>
      </c>
      <c r="AB74" s="69"/>
      <c r="AC74" s="69"/>
      <c r="AD74" s="69"/>
      <c r="AE74" s="68"/>
      <c r="AF74" s="183">
        <f>AF71-AA71</f>
        <v>-158</v>
      </c>
      <c r="AG74" s="69"/>
      <c r="AH74" s="69"/>
      <c r="AI74" s="69"/>
      <c r="AJ74" s="68"/>
      <c r="AK74" s="183">
        <f>AK71-AF71</f>
        <v>-56</v>
      </c>
      <c r="AL74" s="69"/>
      <c r="AM74" s="180">
        <f>AM71-AL71</f>
        <v>1</v>
      </c>
      <c r="AN74" s="180">
        <f t="shared" ref="AN74:AO74" si="196">AN71-AM71</f>
        <v>3</v>
      </c>
      <c r="AO74" s="180">
        <f t="shared" si="196"/>
        <v>82</v>
      </c>
      <c r="AP74" s="183">
        <f>AP71-AK71</f>
        <v>65</v>
      </c>
      <c r="AQ74" s="182">
        <f>AQ71-AO71</f>
        <v>41</v>
      </c>
      <c r="AR74" s="182">
        <f>AR71-AQ71</f>
        <v>-432</v>
      </c>
      <c r="AS74" s="182">
        <f t="shared" ref="AS74:AT74" si="197">AS71-AR71</f>
        <v>88</v>
      </c>
      <c r="AT74" s="182">
        <f t="shared" si="197"/>
        <v>54</v>
      </c>
      <c r="AU74" s="183">
        <f>AU71-AP71</f>
        <v>-249</v>
      </c>
      <c r="AV74" s="182">
        <f>AV71-AT71</f>
        <v>28</v>
      </c>
      <c r="AW74" s="182">
        <f>AW71-AV71</f>
        <v>-20</v>
      </c>
      <c r="AX74" s="182">
        <f>AX71-AW71</f>
        <v>65</v>
      </c>
      <c r="AY74" s="182">
        <f t="shared" ref="AY74" si="198">AY71-AX71</f>
        <v>50</v>
      </c>
      <c r="AZ74" s="183">
        <f>AZ71-AU71</f>
        <v>123</v>
      </c>
      <c r="BA74" s="182">
        <f>BA71-AY71</f>
        <v>21</v>
      </c>
      <c r="BB74" s="182">
        <f>BB71-BA71</f>
        <v>55</v>
      </c>
      <c r="BC74" s="182">
        <f>BC71-BB71</f>
        <v>-416</v>
      </c>
      <c r="BD74" s="182">
        <f t="shared" ref="BD74" si="199">BD71-BC71</f>
        <v>20</v>
      </c>
      <c r="BE74" s="183">
        <f>BE71-AZ71</f>
        <v>-320</v>
      </c>
      <c r="BF74" s="182">
        <f>BF71-BD71</f>
        <v>11</v>
      </c>
      <c r="BG74" s="182">
        <f>BG71-BF71</f>
        <v>38</v>
      </c>
      <c r="BH74" s="182">
        <f>BH71-BG71</f>
        <v>47</v>
      </c>
      <c r="BI74" s="182">
        <f t="shared" ref="BI74" si="200">BI71-BH71</f>
        <v>26</v>
      </c>
      <c r="BJ74" s="183">
        <f>BJ71-BE71</f>
        <v>122</v>
      </c>
      <c r="BK74" s="182">
        <f>BK71-BI71</f>
        <v>29</v>
      </c>
      <c r="BL74" s="182">
        <f>BL71-BK71</f>
        <v>9</v>
      </c>
      <c r="BM74" s="182">
        <f>BM71-BL71</f>
        <v>31</v>
      </c>
      <c r="BN74" s="182">
        <f t="shared" ref="BN74" si="201">BN71-BM71</f>
        <v>46</v>
      </c>
      <c r="BO74" s="183">
        <f>BO71-BJ71</f>
        <v>115</v>
      </c>
    </row>
    <row r="75" spans="1:202" ht="4.1500000000000004" customHeight="1">
      <c r="A75" s="67"/>
      <c r="B75" s="23"/>
      <c r="C75" s="69"/>
      <c r="D75" s="69"/>
      <c r="E75" s="69"/>
      <c r="F75" s="69"/>
      <c r="G75" s="23"/>
      <c r="H75" s="69"/>
      <c r="I75" s="69"/>
      <c r="J75" s="69"/>
      <c r="K75" s="68"/>
      <c r="L75" s="23"/>
      <c r="M75" s="69"/>
      <c r="N75" s="69"/>
      <c r="O75" s="69"/>
      <c r="P75" s="68"/>
      <c r="Q75" s="23"/>
      <c r="R75" s="69"/>
      <c r="S75" s="69"/>
      <c r="T75" s="69"/>
      <c r="U75" s="68"/>
      <c r="V75" s="23"/>
      <c r="W75" s="69"/>
      <c r="X75" s="69"/>
      <c r="Y75" s="69"/>
      <c r="Z75" s="68"/>
      <c r="AA75" s="23"/>
      <c r="AB75" s="69"/>
      <c r="AC75" s="69"/>
      <c r="AD75" s="69"/>
      <c r="AE75" s="68"/>
      <c r="AF75" s="23"/>
      <c r="AG75" s="69"/>
      <c r="AH75" s="69"/>
      <c r="AI75" s="69"/>
      <c r="AJ75" s="68"/>
      <c r="AK75" s="23"/>
      <c r="AL75" s="69"/>
      <c r="AM75" s="180"/>
      <c r="AN75" s="180"/>
      <c r="AO75" s="180"/>
      <c r="AP75" s="181"/>
      <c r="AQ75" s="182"/>
      <c r="AR75" s="182"/>
      <c r="AS75" s="182"/>
      <c r="AT75" s="182"/>
      <c r="AU75" s="183"/>
      <c r="AV75" s="182"/>
      <c r="AW75" s="182"/>
      <c r="AX75" s="182"/>
      <c r="AY75" s="182"/>
      <c r="AZ75" s="183"/>
      <c r="BA75" s="182"/>
      <c r="BB75" s="182"/>
      <c r="BC75" s="182"/>
      <c r="BD75" s="182"/>
      <c r="BE75" s="183"/>
      <c r="BF75" s="182"/>
      <c r="BG75" s="182"/>
      <c r="BH75" s="182"/>
      <c r="BI75" s="182"/>
      <c r="BJ75" s="183"/>
      <c r="BK75" s="182"/>
      <c r="BL75" s="182"/>
      <c r="BM75" s="182"/>
      <c r="BN75" s="182"/>
      <c r="BO75" s="183"/>
    </row>
    <row r="76" spans="1:202">
      <c r="A76" s="65" t="s">
        <v>228</v>
      </c>
      <c r="B76" s="95" t="s">
        <v>35</v>
      </c>
      <c r="C76" s="75" t="s">
        <v>40</v>
      </c>
      <c r="D76" s="75" t="s">
        <v>40</v>
      </c>
      <c r="E76" s="75" t="s">
        <v>40</v>
      </c>
      <c r="F76" s="75" t="s">
        <v>40</v>
      </c>
      <c r="G76" s="95" t="s">
        <v>35</v>
      </c>
      <c r="H76" s="75" t="s">
        <v>40</v>
      </c>
      <c r="I76" s="75" t="s">
        <v>40</v>
      </c>
      <c r="J76" s="75" t="s">
        <v>40</v>
      </c>
      <c r="K76" s="75" t="s">
        <v>40</v>
      </c>
      <c r="L76" s="95" t="s">
        <v>35</v>
      </c>
      <c r="M76" s="75" t="s">
        <v>40</v>
      </c>
      <c r="N76" s="75" t="s">
        <v>40</v>
      </c>
      <c r="O76" s="75" t="s">
        <v>40</v>
      </c>
      <c r="P76" s="75" t="s">
        <v>40</v>
      </c>
      <c r="Q76" s="95" t="s">
        <v>35</v>
      </c>
      <c r="R76" s="75" t="s">
        <v>40</v>
      </c>
      <c r="S76" s="75" t="s">
        <v>40</v>
      </c>
      <c r="T76" s="75" t="s">
        <v>40</v>
      </c>
      <c r="U76" s="75" t="s">
        <v>40</v>
      </c>
      <c r="V76" s="95" t="s">
        <v>35</v>
      </c>
      <c r="W76" s="75" t="s">
        <v>40</v>
      </c>
      <c r="X76" s="75" t="s">
        <v>40</v>
      </c>
      <c r="Y76" s="75" t="s">
        <v>40</v>
      </c>
      <c r="Z76" s="75" t="s">
        <v>40</v>
      </c>
      <c r="AA76" s="95" t="s">
        <v>35</v>
      </c>
      <c r="AB76" s="75" t="s">
        <v>40</v>
      </c>
      <c r="AC76" s="75" t="s">
        <v>40</v>
      </c>
      <c r="AD76" s="75" t="s">
        <v>40</v>
      </c>
      <c r="AE76" s="75" t="s">
        <v>40</v>
      </c>
      <c r="AF76" s="95" t="s">
        <v>35</v>
      </c>
      <c r="AG76" s="75" t="s">
        <v>40</v>
      </c>
      <c r="AH76" s="75" t="s">
        <v>40</v>
      </c>
      <c r="AI76" s="75" t="s">
        <v>40</v>
      </c>
      <c r="AJ76" s="66">
        <v>1750</v>
      </c>
      <c r="AK76" s="86">
        <f>AK71-AK81</f>
        <v>1750</v>
      </c>
      <c r="AL76" s="75" t="s">
        <v>40</v>
      </c>
      <c r="AM76" s="75" t="s">
        <v>40</v>
      </c>
      <c r="AN76" s="75" t="s">
        <v>40</v>
      </c>
      <c r="AO76" s="66">
        <f>AO71-AO81</f>
        <v>1726</v>
      </c>
      <c r="AP76" s="86">
        <f>AP71-AP81</f>
        <v>1726</v>
      </c>
      <c r="AQ76" s="75" t="s">
        <v>40</v>
      </c>
      <c r="AR76" s="75" t="s">
        <v>40</v>
      </c>
      <c r="AS76" s="75" t="s">
        <v>40</v>
      </c>
      <c r="AT76" s="66">
        <v>1669</v>
      </c>
      <c r="AU76" s="86">
        <f>AU71-AU81</f>
        <v>1669</v>
      </c>
      <c r="AV76" s="66">
        <v>1659</v>
      </c>
      <c r="AW76" s="66">
        <v>1663</v>
      </c>
      <c r="AX76" s="66">
        <v>1697</v>
      </c>
      <c r="AY76" s="66">
        <v>1729</v>
      </c>
      <c r="AZ76" s="86">
        <v>1729</v>
      </c>
      <c r="BA76" s="66">
        <v>1760</v>
      </c>
      <c r="BB76" s="66">
        <v>1800</v>
      </c>
      <c r="BC76" s="66">
        <v>1817</v>
      </c>
      <c r="BD76" s="66">
        <f>BE76</f>
        <v>1831</v>
      </c>
      <c r="BE76" s="86">
        <v>1831</v>
      </c>
      <c r="BF76" s="66">
        <v>1834</v>
      </c>
      <c r="BG76" s="66">
        <v>1857</v>
      </c>
      <c r="BH76" s="66">
        <v>1886</v>
      </c>
      <c r="BI76" s="66">
        <v>1902</v>
      </c>
      <c r="BJ76" s="86">
        <v>1902</v>
      </c>
      <c r="BK76" s="66">
        <v>1928</v>
      </c>
      <c r="BL76" s="66">
        <v>1948</v>
      </c>
      <c r="BM76" s="66">
        <v>1976</v>
      </c>
      <c r="BN76" s="66">
        <f>BO76</f>
        <v>2004</v>
      </c>
      <c r="BO76" s="86">
        <v>2004</v>
      </c>
    </row>
    <row r="77" spans="1:202">
      <c r="A77" s="67" t="s">
        <v>7</v>
      </c>
      <c r="B77" s="23"/>
      <c r="C77" s="69"/>
      <c r="D77" s="69"/>
      <c r="E77" s="69"/>
      <c r="F77" s="69"/>
      <c r="G77" s="23"/>
      <c r="H77" s="69"/>
      <c r="I77" s="69"/>
      <c r="J77" s="69"/>
      <c r="K77" s="68"/>
      <c r="L77" s="23"/>
      <c r="M77" s="69"/>
      <c r="N77" s="69"/>
      <c r="O77" s="69"/>
      <c r="P77" s="68"/>
      <c r="Q77" s="23"/>
      <c r="R77" s="69"/>
      <c r="S77" s="69"/>
      <c r="T77" s="69"/>
      <c r="U77" s="68"/>
      <c r="V77" s="23"/>
      <c r="W77" s="69"/>
      <c r="X77" s="69"/>
      <c r="Y77" s="69"/>
      <c r="Z77" s="68"/>
      <c r="AA77" s="23"/>
      <c r="AB77" s="69"/>
      <c r="AC77" s="69"/>
      <c r="AD77" s="69"/>
      <c r="AE77" s="68"/>
      <c r="AF77" s="23"/>
      <c r="AG77" s="69"/>
      <c r="AH77" s="69"/>
      <c r="AI77" s="69"/>
      <c r="AJ77" s="68"/>
      <c r="AK77" s="23"/>
      <c r="AL77" s="68"/>
      <c r="AM77" s="68"/>
      <c r="AN77" s="68"/>
      <c r="AO77" s="68"/>
      <c r="AP77" s="23"/>
      <c r="AQ77" s="69"/>
      <c r="AR77" s="69"/>
      <c r="AS77" s="69"/>
      <c r="AT77" s="68"/>
      <c r="AU77" s="23"/>
      <c r="AV77" s="68">
        <f>AV76/AT76-1</f>
        <v>-5.9916117435589999E-3</v>
      </c>
      <c r="AW77" s="68">
        <f>AW76/AV76-1</f>
        <v>2.4110910186858625E-3</v>
      </c>
      <c r="AX77" s="68">
        <f>AX76/AW76-1</f>
        <v>2.0444978953698234E-2</v>
      </c>
      <c r="AY77" s="68">
        <f>AY76/AX76-1</f>
        <v>1.8856806128461967E-2</v>
      </c>
      <c r="AZ77" s="23"/>
      <c r="BA77" s="68">
        <f>BA76/AY76-1</f>
        <v>1.7929438982070556E-2</v>
      </c>
      <c r="BB77" s="68">
        <f>BB76/BA76-1</f>
        <v>2.2727272727272707E-2</v>
      </c>
      <c r="BC77" s="68">
        <f>BC76/BB76-1</f>
        <v>9.4444444444443665E-3</v>
      </c>
      <c r="BD77" s="68">
        <f>BD76/BC76-1</f>
        <v>7.7050082553660193E-3</v>
      </c>
      <c r="BE77" s="23"/>
      <c r="BF77" s="68">
        <f>BF76/BD76-1</f>
        <v>1.6384489350080855E-3</v>
      </c>
      <c r="BG77" s="68">
        <f>BG76/BF76-1</f>
        <v>1.2540894220283594E-2</v>
      </c>
      <c r="BH77" s="68">
        <f>BH76/BG76-1</f>
        <v>1.5616585891222501E-2</v>
      </c>
      <c r="BI77" s="68">
        <f>BI76/BH76-1</f>
        <v>8.4835630965005571E-3</v>
      </c>
      <c r="BJ77" s="23"/>
      <c r="BK77" s="68">
        <f>BK76/BI76-1</f>
        <v>1.3669821240799074E-2</v>
      </c>
      <c r="BL77" s="68">
        <f>BL76/BK76-1</f>
        <v>1.0373443983402453E-2</v>
      </c>
      <c r="BM77" s="68">
        <f>BM76/BL76-1</f>
        <v>1.4373716632443578E-2</v>
      </c>
      <c r="BN77" s="68">
        <f>BN76/BM76-1</f>
        <v>1.4170040485830038E-2</v>
      </c>
      <c r="BO77" s="23"/>
    </row>
    <row r="78" spans="1:202">
      <c r="A78" s="67" t="s">
        <v>8</v>
      </c>
      <c r="B78" s="23"/>
      <c r="C78" s="69"/>
      <c r="D78" s="69"/>
      <c r="E78" s="69"/>
      <c r="F78" s="69"/>
      <c r="G78" s="23"/>
      <c r="H78" s="69"/>
      <c r="I78" s="69"/>
      <c r="J78" s="69"/>
      <c r="K78" s="68"/>
      <c r="L78" s="23"/>
      <c r="M78" s="69"/>
      <c r="N78" s="69"/>
      <c r="O78" s="69"/>
      <c r="P78" s="68"/>
      <c r="Q78" s="23"/>
      <c r="R78" s="69"/>
      <c r="S78" s="69"/>
      <c r="T78" s="69"/>
      <c r="U78" s="68"/>
      <c r="V78" s="23"/>
      <c r="W78" s="69"/>
      <c r="X78" s="69"/>
      <c r="Y78" s="69"/>
      <c r="Z78" s="68"/>
      <c r="AA78" s="23"/>
      <c r="AB78" s="69"/>
      <c r="AC78" s="69"/>
      <c r="AD78" s="69"/>
      <c r="AE78" s="68"/>
      <c r="AF78" s="23"/>
      <c r="AG78" s="69"/>
      <c r="AH78" s="69"/>
      <c r="AI78" s="69"/>
      <c r="AJ78" s="68"/>
      <c r="AK78" s="23"/>
      <c r="AL78" s="69"/>
      <c r="AM78" s="69"/>
      <c r="AN78" s="69"/>
      <c r="AO78" s="68">
        <f t="shared" ref="AO78:AP78" si="202">AO76/AJ76-1</f>
        <v>-1.3714285714285679E-2</v>
      </c>
      <c r="AP78" s="23">
        <f t="shared" si="202"/>
        <v>-1.3714285714285679E-2</v>
      </c>
      <c r="AQ78" s="69"/>
      <c r="AR78" s="69"/>
      <c r="AS78" s="69"/>
      <c r="AT78" s="68">
        <f t="shared" ref="AT78" si="203">AT76/AO76-1</f>
        <v>-3.3024333719582799E-2</v>
      </c>
      <c r="AU78" s="23">
        <f t="shared" ref="AU78" si="204">AU76/AP76-1</f>
        <v>-3.3024333719582799E-2</v>
      </c>
      <c r="AV78" s="69"/>
      <c r="AW78" s="69"/>
      <c r="AX78" s="69"/>
      <c r="AY78" s="68">
        <f t="shared" ref="AY78" si="205">AY76/AT76-1</f>
        <v>3.5949670461354E-2</v>
      </c>
      <c r="AZ78" s="23"/>
      <c r="BA78" s="69">
        <f t="shared" ref="BA78" si="206">BA76/AV76-1</f>
        <v>6.088004822182036E-2</v>
      </c>
      <c r="BB78" s="69">
        <f t="shared" ref="BB78" si="207">BB76/AW76-1</f>
        <v>8.2381238725195427E-2</v>
      </c>
      <c r="BC78" s="69">
        <f t="shared" ref="BC78" si="208">BC76/AX76-1</f>
        <v>7.0713022981732543E-2</v>
      </c>
      <c r="BD78" s="68">
        <f t="shared" ref="BD78" si="209">BD76/AY76-1</f>
        <v>5.8993637941006316E-2</v>
      </c>
      <c r="BE78" s="23"/>
      <c r="BF78" s="69">
        <f t="shared" ref="BF78:BH78" si="210">BF76/BA76-1</f>
        <v>4.2045454545454497E-2</v>
      </c>
      <c r="BG78" s="69">
        <f t="shared" si="210"/>
        <v>3.1666666666666732E-2</v>
      </c>
      <c r="BH78" s="69">
        <f t="shared" si="210"/>
        <v>3.7974683544303778E-2</v>
      </c>
      <c r="BI78" s="68">
        <f t="shared" ref="BI78" si="211">BI76/BD76-1</f>
        <v>3.8776624795193948E-2</v>
      </c>
      <c r="BJ78" s="23"/>
      <c r="BK78" s="69">
        <f t="shared" ref="BK78:BM78" si="212">BK76/BF76-1</f>
        <v>5.1254089422028359E-2</v>
      </c>
      <c r="BL78" s="69">
        <f t="shared" si="212"/>
        <v>4.9003769520732376E-2</v>
      </c>
      <c r="BM78" s="69">
        <f t="shared" si="212"/>
        <v>4.7720042417815467E-2</v>
      </c>
      <c r="BN78" s="68">
        <f t="shared" ref="BN78" si="213">BN76/BI76-1</f>
        <v>5.3627760252366041E-2</v>
      </c>
      <c r="BO78" s="23"/>
    </row>
    <row r="79" spans="1:202">
      <c r="A79" s="67" t="s">
        <v>167</v>
      </c>
      <c r="B79" s="23"/>
      <c r="C79" s="69"/>
      <c r="D79" s="69"/>
      <c r="E79" s="69"/>
      <c r="F79" s="69"/>
      <c r="G79" s="23"/>
      <c r="H79" s="69"/>
      <c r="I79" s="69"/>
      <c r="J79" s="69"/>
      <c r="K79" s="68"/>
      <c r="L79" s="23"/>
      <c r="M79" s="69"/>
      <c r="N79" s="69"/>
      <c r="O79" s="69"/>
      <c r="P79" s="68"/>
      <c r="Q79" s="23"/>
      <c r="R79" s="69"/>
      <c r="S79" s="69"/>
      <c r="T79" s="69"/>
      <c r="U79" s="68"/>
      <c r="V79" s="23"/>
      <c r="W79" s="69"/>
      <c r="X79" s="69"/>
      <c r="Y79" s="69"/>
      <c r="Z79" s="68"/>
      <c r="AA79" s="23"/>
      <c r="AB79" s="69"/>
      <c r="AC79" s="69"/>
      <c r="AD79" s="69"/>
      <c r="AE79" s="68"/>
      <c r="AF79" s="23"/>
      <c r="AG79" s="69"/>
      <c r="AH79" s="69"/>
      <c r="AI79" s="69"/>
      <c r="AJ79" s="68"/>
      <c r="AK79" s="183"/>
      <c r="AL79" s="69"/>
      <c r="AM79" s="180"/>
      <c r="AN79" s="180"/>
      <c r="AO79" s="180"/>
      <c r="AP79" s="183">
        <f>AP76-AK76</f>
        <v>-24</v>
      </c>
      <c r="AQ79" s="182"/>
      <c r="AR79" s="182"/>
      <c r="AS79" s="182"/>
      <c r="AT79" s="182"/>
      <c r="AU79" s="183">
        <f>AU76-AP76</f>
        <v>-57</v>
      </c>
      <c r="AV79" s="182">
        <f>AV76-AT76</f>
        <v>-10</v>
      </c>
      <c r="AW79" s="182">
        <f>AW76-AV76</f>
        <v>4</v>
      </c>
      <c r="AX79" s="182">
        <f>AX76-AW76</f>
        <v>34</v>
      </c>
      <c r="AY79" s="182">
        <f t="shared" ref="AY79" si="214">AY76-AX76</f>
        <v>32</v>
      </c>
      <c r="AZ79" s="183">
        <f>AZ76-AU76</f>
        <v>60</v>
      </c>
      <c r="BA79" s="182">
        <f>BA76-AY76</f>
        <v>31</v>
      </c>
      <c r="BB79" s="182">
        <f>BB76-BA76</f>
        <v>40</v>
      </c>
      <c r="BC79" s="182">
        <f>BC76-BB76</f>
        <v>17</v>
      </c>
      <c r="BD79" s="182">
        <f t="shared" ref="BD79" si="215">BD76-BC76</f>
        <v>14</v>
      </c>
      <c r="BE79" s="183">
        <f>BE76-AZ76</f>
        <v>102</v>
      </c>
      <c r="BF79" s="182">
        <f>BF76-BD76</f>
        <v>3</v>
      </c>
      <c r="BG79" s="182">
        <f>BG76-BF76</f>
        <v>23</v>
      </c>
      <c r="BH79" s="182">
        <f>BH76-BG76</f>
        <v>29</v>
      </c>
      <c r="BI79" s="182">
        <f t="shared" ref="BI79" si="216">BI76-BH76</f>
        <v>16</v>
      </c>
      <c r="BJ79" s="183">
        <f>BJ76-BE76</f>
        <v>71</v>
      </c>
      <c r="BK79" s="182">
        <f>BK76-BI76</f>
        <v>26</v>
      </c>
      <c r="BL79" s="182">
        <f>BL76-BK76</f>
        <v>20</v>
      </c>
      <c r="BM79" s="182">
        <f>BM76-BL76</f>
        <v>28</v>
      </c>
      <c r="BN79" s="182">
        <f t="shared" ref="BN79" si="217">BN76-BM76</f>
        <v>28</v>
      </c>
      <c r="BO79" s="183">
        <f>BO76-BJ76</f>
        <v>102</v>
      </c>
    </row>
    <row r="80" spans="1:202" ht="8.4499999999999993" customHeight="1">
      <c r="A80" s="67"/>
      <c r="B80" s="23"/>
      <c r="C80" s="69"/>
      <c r="D80" s="69"/>
      <c r="E80" s="69"/>
      <c r="F80" s="69"/>
      <c r="G80" s="23"/>
      <c r="H80" s="69"/>
      <c r="I80" s="69"/>
      <c r="J80" s="69"/>
      <c r="K80" s="68"/>
      <c r="L80" s="23"/>
      <c r="M80" s="69"/>
      <c r="N80" s="69"/>
      <c r="O80" s="69"/>
      <c r="P80" s="68"/>
      <c r="Q80" s="23"/>
      <c r="R80" s="69"/>
      <c r="S80" s="69"/>
      <c r="T80" s="69"/>
      <c r="U80" s="68"/>
      <c r="V80" s="23"/>
      <c r="W80" s="69"/>
      <c r="X80" s="69"/>
      <c r="Y80" s="69"/>
      <c r="Z80" s="68"/>
      <c r="AA80" s="23"/>
      <c r="AB80" s="69"/>
      <c r="AC80" s="69"/>
      <c r="AD80" s="69"/>
      <c r="AE80" s="68"/>
      <c r="AF80" s="23"/>
      <c r="AG80" s="69"/>
      <c r="AH80" s="69"/>
      <c r="AI80" s="69"/>
      <c r="AJ80" s="68"/>
      <c r="AK80" s="23"/>
      <c r="AL80" s="69"/>
      <c r="AM80" s="180"/>
      <c r="AN80" s="180"/>
      <c r="AO80" s="180"/>
      <c r="AP80" s="23"/>
      <c r="AQ80" s="182"/>
      <c r="AR80" s="182"/>
      <c r="AS80" s="182"/>
      <c r="AT80" s="182"/>
      <c r="AU80" s="183"/>
      <c r="AV80" s="182"/>
      <c r="AW80" s="182"/>
      <c r="AX80" s="182"/>
      <c r="AY80" s="182"/>
      <c r="AZ80" s="23"/>
      <c r="BA80" s="182"/>
      <c r="BB80" s="182"/>
      <c r="BC80" s="182"/>
      <c r="BD80" s="182"/>
      <c r="BE80" s="23"/>
      <c r="BF80" s="182"/>
      <c r="BG80" s="182"/>
      <c r="BH80" s="182"/>
      <c r="BI80" s="182"/>
      <c r="BJ80" s="23"/>
      <c r="BK80" s="182"/>
      <c r="BL80" s="182"/>
      <c r="BM80" s="182"/>
      <c r="BN80" s="182"/>
      <c r="BO80" s="23"/>
    </row>
    <row r="81" spans="1:202">
      <c r="A81" s="65" t="s">
        <v>229</v>
      </c>
      <c r="B81" s="95" t="s">
        <v>35</v>
      </c>
      <c r="C81" s="75" t="s">
        <v>40</v>
      </c>
      <c r="D81" s="75" t="s">
        <v>40</v>
      </c>
      <c r="E81" s="75" t="s">
        <v>40</v>
      </c>
      <c r="F81" s="75" t="s">
        <v>40</v>
      </c>
      <c r="G81" s="95" t="s">
        <v>35</v>
      </c>
      <c r="H81" s="75" t="s">
        <v>40</v>
      </c>
      <c r="I81" s="75" t="s">
        <v>40</v>
      </c>
      <c r="J81" s="75" t="s">
        <v>40</v>
      </c>
      <c r="K81" s="75" t="s">
        <v>40</v>
      </c>
      <c r="L81" s="95" t="s">
        <v>35</v>
      </c>
      <c r="M81" s="75" t="s">
        <v>40</v>
      </c>
      <c r="N81" s="75" t="s">
        <v>40</v>
      </c>
      <c r="O81" s="75" t="s">
        <v>40</v>
      </c>
      <c r="P81" s="75" t="s">
        <v>40</v>
      </c>
      <c r="Q81" s="95" t="s">
        <v>35</v>
      </c>
      <c r="R81" s="75" t="s">
        <v>40</v>
      </c>
      <c r="S81" s="75" t="s">
        <v>40</v>
      </c>
      <c r="T81" s="75" t="s">
        <v>40</v>
      </c>
      <c r="U81" s="75" t="s">
        <v>40</v>
      </c>
      <c r="V81" s="95" t="s">
        <v>35</v>
      </c>
      <c r="W81" s="75" t="s">
        <v>40</v>
      </c>
      <c r="X81" s="75" t="s">
        <v>40</v>
      </c>
      <c r="Y81" s="75" t="s">
        <v>40</v>
      </c>
      <c r="Z81" s="75" t="s">
        <v>40</v>
      </c>
      <c r="AA81" s="95" t="s">
        <v>35</v>
      </c>
      <c r="AB81" s="75" t="s">
        <v>40</v>
      </c>
      <c r="AC81" s="75" t="s">
        <v>40</v>
      </c>
      <c r="AD81" s="75" t="s">
        <v>40</v>
      </c>
      <c r="AE81" s="75" t="s">
        <v>40</v>
      </c>
      <c r="AF81" s="95" t="s">
        <v>35</v>
      </c>
      <c r="AG81" s="75" t="s">
        <v>40</v>
      </c>
      <c r="AH81" s="75" t="s">
        <v>40</v>
      </c>
      <c r="AI81" s="75" t="s">
        <v>40</v>
      </c>
      <c r="AJ81" s="66">
        <v>836</v>
      </c>
      <c r="AK81" s="86">
        <v>836</v>
      </c>
      <c r="AL81" s="75" t="s">
        <v>40</v>
      </c>
      <c r="AM81" s="75" t="s">
        <v>40</v>
      </c>
      <c r="AN81" s="75" t="s">
        <v>40</v>
      </c>
      <c r="AO81" s="66">
        <v>925</v>
      </c>
      <c r="AP81" s="86">
        <v>925</v>
      </c>
      <c r="AQ81" s="75" t="s">
        <v>40</v>
      </c>
      <c r="AR81" s="75" t="s">
        <v>40</v>
      </c>
      <c r="AS81" s="75" t="s">
        <v>40</v>
      </c>
      <c r="AT81" s="66">
        <v>733</v>
      </c>
      <c r="AU81" s="86">
        <v>733</v>
      </c>
      <c r="AV81" s="66">
        <v>771</v>
      </c>
      <c r="AW81" s="66">
        <v>747</v>
      </c>
      <c r="AX81" s="66">
        <v>778</v>
      </c>
      <c r="AY81" s="66">
        <v>796</v>
      </c>
      <c r="AZ81" s="86">
        <v>796</v>
      </c>
      <c r="BA81" s="66">
        <v>786</v>
      </c>
      <c r="BB81" s="66">
        <v>801</v>
      </c>
      <c r="BC81" s="66">
        <v>368</v>
      </c>
      <c r="BD81" s="66">
        <f>BE81</f>
        <v>374</v>
      </c>
      <c r="BE81" s="86">
        <v>374</v>
      </c>
      <c r="BF81" s="66">
        <v>382</v>
      </c>
      <c r="BG81" s="66">
        <v>397</v>
      </c>
      <c r="BH81" s="66">
        <v>415</v>
      </c>
      <c r="BI81" s="66">
        <f>BJ81</f>
        <v>425</v>
      </c>
      <c r="BJ81" s="86">
        <v>425</v>
      </c>
      <c r="BK81" s="66">
        <f>BJ81+3</f>
        <v>428</v>
      </c>
      <c r="BL81" s="66">
        <v>417</v>
      </c>
      <c r="BM81" s="66">
        <v>420</v>
      </c>
      <c r="BN81" s="66">
        <f>BO81</f>
        <v>438</v>
      </c>
      <c r="BO81" s="86">
        <v>438</v>
      </c>
    </row>
    <row r="82" spans="1:202">
      <c r="A82" s="67" t="s">
        <v>7</v>
      </c>
      <c r="B82" s="23"/>
      <c r="C82" s="69"/>
      <c r="D82" s="69"/>
      <c r="E82" s="69"/>
      <c r="F82" s="69"/>
      <c r="G82" s="23"/>
      <c r="H82" s="69"/>
      <c r="I82" s="69"/>
      <c r="J82" s="69"/>
      <c r="K82" s="68"/>
      <c r="L82" s="23"/>
      <c r="M82" s="69"/>
      <c r="N82" s="69"/>
      <c r="O82" s="69"/>
      <c r="P82" s="68"/>
      <c r="Q82" s="23"/>
      <c r="R82" s="69"/>
      <c r="S82" s="69"/>
      <c r="T82" s="69"/>
      <c r="U82" s="68"/>
      <c r="V82" s="23"/>
      <c r="W82" s="69"/>
      <c r="X82" s="69"/>
      <c r="Y82" s="69"/>
      <c r="Z82" s="68"/>
      <c r="AA82" s="23"/>
      <c r="AB82" s="69"/>
      <c r="AC82" s="69"/>
      <c r="AD82" s="69"/>
      <c r="AE82" s="68"/>
      <c r="AF82" s="23"/>
      <c r="AG82" s="69"/>
      <c r="AH82" s="69"/>
      <c r="AI82" s="69"/>
      <c r="AJ82" s="68"/>
      <c r="AK82" s="23"/>
      <c r="AL82" s="69"/>
      <c r="AM82" s="69"/>
      <c r="AN82" s="69"/>
      <c r="AO82" s="68"/>
      <c r="AP82" s="23"/>
      <c r="AQ82" s="68"/>
      <c r="AR82" s="68"/>
      <c r="AS82" s="68"/>
      <c r="AT82" s="68"/>
      <c r="AU82" s="23"/>
      <c r="AV82" s="68">
        <f>AV81/AT81-1</f>
        <v>5.184174624829474E-2</v>
      </c>
      <c r="AW82" s="68">
        <f>AW81/AV81-1</f>
        <v>-3.1128404669260701E-2</v>
      </c>
      <c r="AX82" s="68">
        <f>AX81/AW81-1</f>
        <v>4.1499330655957234E-2</v>
      </c>
      <c r="AY82" s="68">
        <f>AY81/AX81-1</f>
        <v>2.3136246786632286E-2</v>
      </c>
      <c r="AZ82" s="23"/>
      <c r="BA82" s="68">
        <f>BA81/AY81-1</f>
        <v>-1.2562814070351758E-2</v>
      </c>
      <c r="BB82" s="68">
        <f>BB81/BA81-1</f>
        <v>1.9083969465648831E-2</v>
      </c>
      <c r="BC82" s="69">
        <f>BC81/BB81-1</f>
        <v>-0.54057428214731584</v>
      </c>
      <c r="BD82" s="68">
        <f>BD81/BC81-1</f>
        <v>1.6304347826086918E-2</v>
      </c>
      <c r="BE82" s="23"/>
      <c r="BF82" s="68">
        <f>BF81/BD81-1</f>
        <v>2.1390374331550888E-2</v>
      </c>
      <c r="BG82" s="68">
        <f>BG81/BF81-1</f>
        <v>3.9267015706806241E-2</v>
      </c>
      <c r="BH82" s="68">
        <f>BH81/BG81-1</f>
        <v>4.534005037783384E-2</v>
      </c>
      <c r="BI82" s="68">
        <f>BI81/BH81-1</f>
        <v>2.4096385542168752E-2</v>
      </c>
      <c r="BJ82" s="23"/>
      <c r="BK82" s="68">
        <f>BK81/BI81-1</f>
        <v>7.058823529411784E-3</v>
      </c>
      <c r="BL82" s="68">
        <f>BL81/BK81-1</f>
        <v>-2.5700934579439227E-2</v>
      </c>
      <c r="BM82" s="68">
        <f>BM81/BL81-1</f>
        <v>7.194244604316502E-3</v>
      </c>
      <c r="BN82" s="68">
        <f>BN81/BM81-1</f>
        <v>4.2857142857142927E-2</v>
      </c>
      <c r="BO82" s="23"/>
    </row>
    <row r="83" spans="1:202">
      <c r="A83" s="67" t="s">
        <v>8</v>
      </c>
      <c r="B83" s="23"/>
      <c r="C83" s="69"/>
      <c r="D83" s="69"/>
      <c r="E83" s="69"/>
      <c r="F83" s="69"/>
      <c r="G83" s="23"/>
      <c r="H83" s="69"/>
      <c r="I83" s="69"/>
      <c r="J83" s="69"/>
      <c r="K83" s="68"/>
      <c r="L83" s="23"/>
      <c r="M83" s="69"/>
      <c r="N83" s="69"/>
      <c r="O83" s="69"/>
      <c r="P83" s="68"/>
      <c r="Q83" s="27"/>
      <c r="R83" s="69"/>
      <c r="S83" s="69"/>
      <c r="T83" s="69"/>
      <c r="U83" s="68"/>
      <c r="V83" s="23"/>
      <c r="W83" s="69"/>
      <c r="X83" s="69"/>
      <c r="Y83" s="69"/>
      <c r="Z83" s="68"/>
      <c r="AA83" s="23"/>
      <c r="AB83" s="69"/>
      <c r="AC83" s="69"/>
      <c r="AD83" s="69"/>
      <c r="AE83" s="68"/>
      <c r="AF83" s="23"/>
      <c r="AG83" s="69"/>
      <c r="AH83" s="69"/>
      <c r="AI83" s="69"/>
      <c r="AJ83" s="68"/>
      <c r="AK83" s="23"/>
      <c r="AL83" s="69"/>
      <c r="AM83" s="69"/>
      <c r="AN83" s="69"/>
      <c r="AO83" s="68"/>
      <c r="AP83" s="23">
        <f>AP81/AK81-1</f>
        <v>0.10645933014354059</v>
      </c>
      <c r="AQ83" s="69"/>
      <c r="AR83" s="69"/>
      <c r="AS83" s="69"/>
      <c r="AT83" s="68">
        <f t="shared" ref="AT83" si="218">AT81/AO81-1</f>
        <v>-0.20756756756756756</v>
      </c>
      <c r="AU83" s="23">
        <f>AU81/AP81-1</f>
        <v>-0.20756756756756756</v>
      </c>
      <c r="AV83" s="69"/>
      <c r="AW83" s="69"/>
      <c r="AX83" s="69"/>
      <c r="AY83" s="68">
        <f t="shared" ref="AY83" si="219">AY81/AT81-1</f>
        <v>8.5948158253751794E-2</v>
      </c>
      <c r="AZ83" s="23">
        <f>AZ81/AU81-1</f>
        <v>8.5948158253751794E-2</v>
      </c>
      <c r="BA83" s="69">
        <f t="shared" ref="BA83" si="220">BA81/AV81-1</f>
        <v>1.9455252918287869E-2</v>
      </c>
      <c r="BB83" s="69">
        <f t="shared" ref="BB83" si="221">BB81/AW81-1</f>
        <v>7.2289156626506035E-2</v>
      </c>
      <c r="BC83" s="69">
        <f>BC81/AX81-1</f>
        <v>-0.52699228791773778</v>
      </c>
      <c r="BD83" s="68">
        <f t="shared" ref="BD83" si="222">BD81/AY81-1</f>
        <v>-0.53015075376884424</v>
      </c>
      <c r="BE83" s="23">
        <f>BE81/AZ81-1</f>
        <v>-0.53015075376884424</v>
      </c>
      <c r="BF83" s="69">
        <f t="shared" ref="BF83:BH83" si="223">BF81/BA81-1</f>
        <v>-0.51399491094147587</v>
      </c>
      <c r="BG83" s="69">
        <f t="shared" si="223"/>
        <v>-0.50436953807740326</v>
      </c>
      <c r="BH83" s="69">
        <f t="shared" si="223"/>
        <v>0.12771739130434789</v>
      </c>
      <c r="BI83" s="68">
        <f t="shared" ref="BI83" si="224">BI81/BD81-1</f>
        <v>0.13636363636363646</v>
      </c>
      <c r="BJ83" s="23">
        <f>BJ81/BE81-1</f>
        <v>0.13636363636363646</v>
      </c>
      <c r="BK83" s="69">
        <f t="shared" ref="BK83:BM83" si="225">BK81/BF81-1</f>
        <v>0.12041884816753923</v>
      </c>
      <c r="BL83" s="69">
        <f t="shared" si="225"/>
        <v>5.0377833753148638E-2</v>
      </c>
      <c r="BM83" s="69">
        <f t="shared" si="225"/>
        <v>1.2048192771084265E-2</v>
      </c>
      <c r="BN83" s="68">
        <f t="shared" ref="BN83" si="226">BN81/BI81-1</f>
        <v>3.0588235294117583E-2</v>
      </c>
      <c r="BO83" s="23">
        <f>BO81/BJ81-1</f>
        <v>3.0588235294117583E-2</v>
      </c>
    </row>
    <row r="84" spans="1:202">
      <c r="A84" s="67" t="s">
        <v>167</v>
      </c>
      <c r="B84" s="23"/>
      <c r="C84" s="69"/>
      <c r="D84" s="69"/>
      <c r="E84" s="69"/>
      <c r="F84" s="69"/>
      <c r="G84" s="23"/>
      <c r="H84" s="69"/>
      <c r="I84" s="69"/>
      <c r="J84" s="69"/>
      <c r="K84" s="68"/>
      <c r="L84" s="23"/>
      <c r="M84" s="69"/>
      <c r="N84" s="69"/>
      <c r="O84" s="69"/>
      <c r="P84" s="68"/>
      <c r="Q84" s="23"/>
      <c r="R84" s="69"/>
      <c r="S84" s="69"/>
      <c r="T84" s="69"/>
      <c r="U84" s="68"/>
      <c r="V84" s="23"/>
      <c r="W84" s="69"/>
      <c r="X84" s="69"/>
      <c r="Y84" s="69"/>
      <c r="Z84" s="68"/>
      <c r="AA84" s="23"/>
      <c r="AB84" s="69"/>
      <c r="AC84" s="69"/>
      <c r="AD84" s="69"/>
      <c r="AE84" s="68"/>
      <c r="AF84" s="23"/>
      <c r="AG84" s="69"/>
      <c r="AH84" s="69"/>
      <c r="AI84" s="69"/>
      <c r="AJ84" s="68"/>
      <c r="AK84" s="23"/>
      <c r="AL84" s="69"/>
      <c r="AM84" s="69"/>
      <c r="AN84" s="69"/>
      <c r="AO84" s="182"/>
      <c r="AP84" s="183">
        <f>AP81-AK81</f>
        <v>89</v>
      </c>
      <c r="AQ84" s="182"/>
      <c r="AR84" s="182"/>
      <c r="AS84" s="182"/>
      <c r="AT84" s="182"/>
      <c r="AU84" s="183">
        <f>AU81-AP81</f>
        <v>-192</v>
      </c>
      <c r="AV84" s="182">
        <f>AV81-AT81</f>
        <v>38</v>
      </c>
      <c r="AW84" s="182">
        <f>AW81-AV81</f>
        <v>-24</v>
      </c>
      <c r="AX84" s="182">
        <f>AX81-AW81</f>
        <v>31</v>
      </c>
      <c r="AY84" s="182">
        <f t="shared" ref="AY84" si="227">AY81-AX81</f>
        <v>18</v>
      </c>
      <c r="AZ84" s="183">
        <f>AZ81-AU81</f>
        <v>63</v>
      </c>
      <c r="BA84" s="182">
        <f>BA81-AY81</f>
        <v>-10</v>
      </c>
      <c r="BB84" s="182">
        <f>BB81-BA81</f>
        <v>15</v>
      </c>
      <c r="BC84" s="182">
        <f>BC81-BB81</f>
        <v>-433</v>
      </c>
      <c r="BD84" s="182">
        <f t="shared" ref="BD84" si="228">BD81-BC81</f>
        <v>6</v>
      </c>
      <c r="BE84" s="183">
        <f>BE81-AZ81</f>
        <v>-422</v>
      </c>
      <c r="BF84" s="182">
        <f>BF81-BD81</f>
        <v>8</v>
      </c>
      <c r="BG84" s="182">
        <f>BG81-BF81</f>
        <v>15</v>
      </c>
      <c r="BH84" s="182">
        <f>BH81-BG81</f>
        <v>18</v>
      </c>
      <c r="BI84" s="182">
        <f t="shared" ref="BI84" si="229">BI81-BH81</f>
        <v>10</v>
      </c>
      <c r="BJ84" s="183">
        <f>BJ81-BE81</f>
        <v>51</v>
      </c>
      <c r="BK84" s="182">
        <f>BK81-BI81</f>
        <v>3</v>
      </c>
      <c r="BL84" s="182">
        <f>BL81-BK81</f>
        <v>-11</v>
      </c>
      <c r="BM84" s="182">
        <f>BM81-BL81</f>
        <v>3</v>
      </c>
      <c r="BN84" s="182">
        <f t="shared" ref="BN84" si="230">BN81-BM81</f>
        <v>18</v>
      </c>
      <c r="BO84" s="183">
        <f>BO81-BJ81</f>
        <v>13</v>
      </c>
    </row>
    <row r="85" spans="1:202" ht="6.6" customHeight="1">
      <c r="A85" s="67"/>
      <c r="B85" s="23"/>
      <c r="C85" s="69"/>
      <c r="D85" s="69"/>
      <c r="E85" s="69"/>
      <c r="F85" s="69"/>
      <c r="G85" s="23"/>
      <c r="H85" s="69"/>
      <c r="I85" s="69"/>
      <c r="J85" s="69"/>
      <c r="K85" s="68"/>
      <c r="L85" s="23"/>
      <c r="M85" s="69"/>
      <c r="N85" s="69"/>
      <c r="O85" s="69"/>
      <c r="P85" s="68"/>
      <c r="Q85" s="23"/>
      <c r="R85" s="69"/>
      <c r="S85" s="69"/>
      <c r="T85" s="69"/>
      <c r="U85" s="68"/>
      <c r="V85" s="23"/>
      <c r="W85" s="69"/>
      <c r="X85" s="69"/>
      <c r="Y85" s="69"/>
      <c r="Z85" s="68"/>
      <c r="AA85" s="23"/>
      <c r="AB85" s="69"/>
      <c r="AC85" s="69"/>
      <c r="AD85" s="69"/>
      <c r="AE85" s="68"/>
      <c r="AF85" s="23"/>
      <c r="AG85" s="69"/>
      <c r="AH85" s="69"/>
      <c r="AI85" s="69"/>
      <c r="AJ85" s="68"/>
      <c r="AK85" s="23"/>
      <c r="AL85" s="69"/>
      <c r="AM85" s="69"/>
      <c r="AN85" s="69"/>
      <c r="AO85" s="182"/>
      <c r="AP85" s="183"/>
      <c r="AQ85" s="182"/>
      <c r="AR85" s="182"/>
      <c r="AS85" s="182"/>
      <c r="AT85" s="182"/>
      <c r="AU85" s="183"/>
      <c r="AV85" s="182"/>
      <c r="AW85" s="182"/>
      <c r="AX85" s="182"/>
      <c r="AY85" s="182"/>
      <c r="AZ85" s="183"/>
      <c r="BA85" s="182"/>
      <c r="BB85" s="182"/>
      <c r="BC85" s="182"/>
      <c r="BD85" s="182"/>
      <c r="BE85" s="183"/>
      <c r="BF85" s="182"/>
      <c r="BG85" s="182"/>
      <c r="BH85" s="182"/>
      <c r="BI85" s="182"/>
      <c r="BJ85" s="183"/>
      <c r="BK85" s="182"/>
      <c r="BL85" s="182"/>
      <c r="BM85" s="182"/>
      <c r="BN85" s="182"/>
      <c r="BO85" s="183"/>
    </row>
    <row r="86" spans="1:202">
      <c r="A86" s="65" t="s">
        <v>58</v>
      </c>
      <c r="B86" s="95" t="s">
        <v>40</v>
      </c>
      <c r="C86" s="75" t="s">
        <v>40</v>
      </c>
      <c r="D86" s="75" t="s">
        <v>40</v>
      </c>
      <c r="E86" s="75" t="s">
        <v>40</v>
      </c>
      <c r="F86" s="75" t="s">
        <v>40</v>
      </c>
      <c r="G86" s="95" t="s">
        <v>40</v>
      </c>
      <c r="H86" s="75" t="s">
        <v>40</v>
      </c>
      <c r="I86" s="75" t="s">
        <v>40</v>
      </c>
      <c r="J86" s="75" t="s">
        <v>40</v>
      </c>
      <c r="K86" s="75" t="s">
        <v>40</v>
      </c>
      <c r="L86" s="95" t="s">
        <v>40</v>
      </c>
      <c r="M86" s="65">
        <v>110</v>
      </c>
      <c r="N86" s="65">
        <v>111</v>
      </c>
      <c r="O86" s="65">
        <v>113</v>
      </c>
      <c r="P86" s="66">
        <v>109</v>
      </c>
      <c r="Q86" s="27">
        <v>111</v>
      </c>
      <c r="R86" s="65">
        <v>110</v>
      </c>
      <c r="S86" s="65">
        <v>109</v>
      </c>
      <c r="T86" s="65">
        <v>107</v>
      </c>
      <c r="U86" s="66">
        <v>100</v>
      </c>
      <c r="V86" s="27">
        <v>107</v>
      </c>
      <c r="W86" s="65">
        <v>97</v>
      </c>
      <c r="X86" s="65">
        <v>99</v>
      </c>
      <c r="Y86" s="65">
        <v>95</v>
      </c>
      <c r="Z86" s="66">
        <v>89</v>
      </c>
      <c r="AA86" s="27">
        <v>95</v>
      </c>
      <c r="AB86" s="65">
        <v>86</v>
      </c>
      <c r="AC86" s="65">
        <v>85</v>
      </c>
      <c r="AD86" s="65">
        <v>88</v>
      </c>
      <c r="AE86" s="66">
        <v>86</v>
      </c>
      <c r="AF86" s="27">
        <v>86</v>
      </c>
      <c r="AG86" s="65">
        <v>80</v>
      </c>
      <c r="AH86" s="65">
        <v>79</v>
      </c>
      <c r="AI86" s="65">
        <v>78</v>
      </c>
      <c r="AJ86" s="66">
        <v>75</v>
      </c>
      <c r="AK86" s="27">
        <v>78</v>
      </c>
      <c r="AL86" s="65">
        <v>65</v>
      </c>
      <c r="AM86" s="65">
        <v>65</v>
      </c>
      <c r="AN86" s="65">
        <v>68</v>
      </c>
      <c r="AO86" s="66">
        <v>60</v>
      </c>
      <c r="AP86" s="27">
        <v>64</v>
      </c>
      <c r="AQ86" s="65">
        <v>57</v>
      </c>
      <c r="AR86" s="65">
        <v>68</v>
      </c>
      <c r="AS86" s="65">
        <v>68</v>
      </c>
      <c r="AT86" s="66">
        <v>62</v>
      </c>
      <c r="AU86" s="27">
        <v>63</v>
      </c>
      <c r="AV86" s="65">
        <v>60</v>
      </c>
      <c r="AW86" s="65">
        <v>61</v>
      </c>
      <c r="AX86" s="65">
        <v>63</v>
      </c>
      <c r="AY86" s="66">
        <v>58</v>
      </c>
      <c r="AZ86" s="27">
        <v>61</v>
      </c>
      <c r="BA86" s="65">
        <v>57</v>
      </c>
      <c r="BB86" s="65">
        <v>57</v>
      </c>
      <c r="BC86" s="65">
        <v>68</v>
      </c>
      <c r="BD86" s="66">
        <v>66</v>
      </c>
      <c r="BE86" s="27">
        <v>62</v>
      </c>
      <c r="BF86" s="65">
        <v>63</v>
      </c>
      <c r="BG86" s="65">
        <v>64</v>
      </c>
      <c r="BH86" s="65">
        <v>65</v>
      </c>
      <c r="BI86" s="66">
        <v>60</v>
      </c>
      <c r="BJ86" s="27">
        <v>63</v>
      </c>
      <c r="BK86" s="65">
        <v>58</v>
      </c>
      <c r="BL86" s="65">
        <v>56</v>
      </c>
      <c r="BM86" s="65">
        <v>56</v>
      </c>
      <c r="BN86" s="66">
        <v>55</v>
      </c>
      <c r="BO86" s="27">
        <v>56</v>
      </c>
    </row>
    <row r="87" spans="1:202">
      <c r="A87" s="67" t="s">
        <v>7</v>
      </c>
      <c r="B87" s="23"/>
      <c r="C87" s="68"/>
      <c r="D87" s="68"/>
      <c r="E87" s="68"/>
      <c r="F87" s="68"/>
      <c r="G87" s="23"/>
      <c r="H87" s="68"/>
      <c r="I87" s="68"/>
      <c r="J87" s="68"/>
      <c r="K87" s="68"/>
      <c r="L87" s="26"/>
      <c r="M87" s="68"/>
      <c r="N87" s="68">
        <f>N86/M86-1</f>
        <v>9.0909090909090384E-3</v>
      </c>
      <c r="O87" s="68">
        <f>O86/N86-1</f>
        <v>1.8018018018018056E-2</v>
      </c>
      <c r="P87" s="68">
        <f>P86/O86-1</f>
        <v>-3.539823008849563E-2</v>
      </c>
      <c r="Q87" s="26"/>
      <c r="R87" s="68">
        <f>R86/P86-1</f>
        <v>9.1743119266054496E-3</v>
      </c>
      <c r="S87" s="68">
        <f>S86/R86-1</f>
        <v>-9.0909090909090384E-3</v>
      </c>
      <c r="T87" s="68">
        <f>T86/S86-1</f>
        <v>-1.834862385321101E-2</v>
      </c>
      <c r="U87" s="68">
        <f>U86/T86-1</f>
        <v>-6.5420560747663559E-2</v>
      </c>
      <c r="V87" s="26"/>
      <c r="W87" s="68">
        <f>W86/U86-1</f>
        <v>-3.0000000000000027E-2</v>
      </c>
      <c r="X87" s="68">
        <f>X86/W86-1</f>
        <v>2.0618556701030855E-2</v>
      </c>
      <c r="Y87" s="68">
        <f>Y86/X86-1</f>
        <v>-4.0404040404040442E-2</v>
      </c>
      <c r="Z87" s="68">
        <f>Z86/Y86-1</f>
        <v>-6.315789473684208E-2</v>
      </c>
      <c r="AA87" s="26"/>
      <c r="AB87" s="68">
        <f>AB86/Z86-1</f>
        <v>-3.3707865168539297E-2</v>
      </c>
      <c r="AC87" s="68">
        <f>AC86/AB86-1</f>
        <v>-1.1627906976744207E-2</v>
      </c>
      <c r="AD87" s="68">
        <f>AD86/AC86-1</f>
        <v>3.529411764705892E-2</v>
      </c>
      <c r="AE87" s="68">
        <f>AE86/AD86-1</f>
        <v>-2.2727272727272707E-2</v>
      </c>
      <c r="AF87" s="26"/>
      <c r="AG87" s="68">
        <f>AG86/AE86-1</f>
        <v>-6.9767441860465129E-2</v>
      </c>
      <c r="AH87" s="68">
        <f>AH86/AG86-1</f>
        <v>-1.2499999999999956E-2</v>
      </c>
      <c r="AI87" s="68">
        <f>AI86/AH86-1</f>
        <v>-1.2658227848101222E-2</v>
      </c>
      <c r="AJ87" s="68">
        <f>AJ86/AI86-1</f>
        <v>-3.8461538461538436E-2</v>
      </c>
      <c r="AK87" s="26"/>
      <c r="AL87" s="68">
        <f>AL86/AJ86-1</f>
        <v>-0.1333333333333333</v>
      </c>
      <c r="AM87" s="68">
        <f>AM86/AL86-1</f>
        <v>0</v>
      </c>
      <c r="AN87" s="68">
        <f>AN86/AM86-1</f>
        <v>4.6153846153846212E-2</v>
      </c>
      <c r="AO87" s="68">
        <f>AO86/AN86-1</f>
        <v>-0.11764705882352944</v>
      </c>
      <c r="AP87" s="26"/>
      <c r="AQ87" s="68">
        <f>AQ86/AO86-1</f>
        <v>-5.0000000000000044E-2</v>
      </c>
      <c r="AR87" s="68">
        <f>AR86/AQ86-1</f>
        <v>0.19298245614035081</v>
      </c>
      <c r="AS87" s="68">
        <f>AS86/AR86-1</f>
        <v>0</v>
      </c>
      <c r="AT87" s="68">
        <f>AT86/AS86-1</f>
        <v>-8.8235294117647078E-2</v>
      </c>
      <c r="AU87" s="26"/>
      <c r="AV87" s="68">
        <f>AV86/AT86-1</f>
        <v>-3.2258064516129004E-2</v>
      </c>
      <c r="AW87" s="68">
        <f>AW86/AV86-1</f>
        <v>1.6666666666666607E-2</v>
      </c>
      <c r="AX87" s="68">
        <f>AX86/AW86-1</f>
        <v>3.2786885245901676E-2</v>
      </c>
      <c r="AY87" s="68">
        <f>AY86/AX86-1</f>
        <v>-7.9365079365079416E-2</v>
      </c>
      <c r="AZ87" s="26"/>
      <c r="BA87" s="68">
        <f>BA86/AY86-1</f>
        <v>-1.7241379310344862E-2</v>
      </c>
      <c r="BB87" s="68">
        <f>BB86/BA86-1</f>
        <v>0</v>
      </c>
      <c r="BC87" s="68">
        <f>BC86/BB86-1</f>
        <v>0.19298245614035081</v>
      </c>
      <c r="BD87" s="68">
        <f>BD86/BC86-1</f>
        <v>-2.9411764705882359E-2</v>
      </c>
      <c r="BE87" s="26"/>
      <c r="BF87" s="68">
        <f>BF86/BD86-1</f>
        <v>-4.5454545454545414E-2</v>
      </c>
      <c r="BG87" s="68">
        <f>BG86/BF86-1</f>
        <v>1.5873015873015817E-2</v>
      </c>
      <c r="BH87" s="68">
        <f>BH86/BG86-1</f>
        <v>1.5625E-2</v>
      </c>
      <c r="BI87" s="68">
        <f>BI86/BH86-1</f>
        <v>-7.6923076923076872E-2</v>
      </c>
      <c r="BJ87" s="26"/>
      <c r="BK87" s="68">
        <f>BK86/BI86-1</f>
        <v>-3.3333333333333326E-2</v>
      </c>
      <c r="BL87" s="68">
        <f>BL86/BK86-1</f>
        <v>-3.4482758620689613E-2</v>
      </c>
      <c r="BM87" s="68">
        <f>BM86/BL86-1</f>
        <v>0</v>
      </c>
      <c r="BN87" s="68">
        <f>BN86/BM86-1</f>
        <v>-1.7857142857142905E-2</v>
      </c>
      <c r="BO87" s="26"/>
    </row>
    <row r="88" spans="1:202">
      <c r="A88" s="67" t="s">
        <v>8</v>
      </c>
      <c r="B88" s="23"/>
      <c r="C88" s="69"/>
      <c r="D88" s="69"/>
      <c r="E88" s="69"/>
      <c r="F88" s="69"/>
      <c r="G88" s="23"/>
      <c r="H88" s="69"/>
      <c r="I88" s="69"/>
      <c r="J88" s="69"/>
      <c r="K88" s="68"/>
      <c r="L88" s="23"/>
      <c r="M88" s="69"/>
      <c r="N88" s="69"/>
      <c r="O88" s="69"/>
      <c r="P88" s="68"/>
      <c r="Q88" s="23"/>
      <c r="R88" s="69">
        <f t="shared" ref="R88:Y88" si="231">R86/M86-1</f>
        <v>0</v>
      </c>
      <c r="S88" s="69">
        <f t="shared" si="231"/>
        <v>-1.8018018018018056E-2</v>
      </c>
      <c r="T88" s="69">
        <f t="shared" si="231"/>
        <v>-5.3097345132743334E-2</v>
      </c>
      <c r="U88" s="68">
        <f t="shared" si="231"/>
        <v>-8.256880733944949E-2</v>
      </c>
      <c r="V88" s="23">
        <f t="shared" si="231"/>
        <v>-3.6036036036036001E-2</v>
      </c>
      <c r="W88" s="69">
        <f t="shared" si="231"/>
        <v>-0.11818181818181817</v>
      </c>
      <c r="X88" s="69">
        <f t="shared" si="231"/>
        <v>-9.1743119266055051E-2</v>
      </c>
      <c r="Y88" s="69">
        <f t="shared" si="231"/>
        <v>-0.11214953271028039</v>
      </c>
      <c r="Z88" s="68">
        <f t="shared" ref="Z88:AI88" si="232">Z86/U86-1</f>
        <v>-0.10999999999999999</v>
      </c>
      <c r="AA88" s="23">
        <f t="shared" si="232"/>
        <v>-0.11214953271028039</v>
      </c>
      <c r="AB88" s="69">
        <f t="shared" si="232"/>
        <v>-0.11340206185567014</v>
      </c>
      <c r="AC88" s="69">
        <f t="shared" si="232"/>
        <v>-0.14141414141414144</v>
      </c>
      <c r="AD88" s="69">
        <f t="shared" si="232"/>
        <v>-7.3684210526315796E-2</v>
      </c>
      <c r="AE88" s="68">
        <f t="shared" si="232"/>
        <v>-3.3707865168539297E-2</v>
      </c>
      <c r="AF88" s="23">
        <f t="shared" si="232"/>
        <v>-9.4736842105263119E-2</v>
      </c>
      <c r="AG88" s="69">
        <f t="shared" si="232"/>
        <v>-6.9767441860465129E-2</v>
      </c>
      <c r="AH88" s="69">
        <f t="shared" si="232"/>
        <v>-7.0588235294117618E-2</v>
      </c>
      <c r="AI88" s="69">
        <f t="shared" si="232"/>
        <v>-0.11363636363636365</v>
      </c>
      <c r="AJ88" s="68">
        <f t="shared" ref="AJ88:AS88" si="233">AJ86/AE86-1</f>
        <v>-0.12790697674418605</v>
      </c>
      <c r="AK88" s="23">
        <f t="shared" si="233"/>
        <v>-9.3023255813953543E-2</v>
      </c>
      <c r="AL88" s="69">
        <f t="shared" si="233"/>
        <v>-0.1875</v>
      </c>
      <c r="AM88" s="69">
        <f t="shared" si="233"/>
        <v>-0.17721518987341767</v>
      </c>
      <c r="AN88" s="69">
        <f t="shared" si="233"/>
        <v>-0.12820512820512819</v>
      </c>
      <c r="AO88" s="68">
        <f t="shared" si="233"/>
        <v>-0.19999999999999996</v>
      </c>
      <c r="AP88" s="23">
        <f t="shared" si="233"/>
        <v>-0.17948717948717952</v>
      </c>
      <c r="AQ88" s="69">
        <f t="shared" si="233"/>
        <v>-0.12307692307692308</v>
      </c>
      <c r="AR88" s="69">
        <f t="shared" si="233"/>
        <v>4.6153846153846212E-2</v>
      </c>
      <c r="AS88" s="69">
        <f t="shared" si="233"/>
        <v>0</v>
      </c>
      <c r="AT88" s="68">
        <f t="shared" ref="AT88" si="234">AT86/AO86-1</f>
        <v>3.3333333333333437E-2</v>
      </c>
      <c r="AU88" s="23">
        <f t="shared" ref="AU88:AX88" si="235">AU86/AP86-1</f>
        <v>-1.5625E-2</v>
      </c>
      <c r="AV88" s="69">
        <f t="shared" si="235"/>
        <v>5.2631578947368363E-2</v>
      </c>
      <c r="AW88" s="69">
        <f t="shared" si="235"/>
        <v>-0.1029411764705882</v>
      </c>
      <c r="AX88" s="69">
        <f t="shared" si="235"/>
        <v>-7.3529411764705843E-2</v>
      </c>
      <c r="AY88" s="68">
        <f t="shared" ref="AY88" si="236">AY86/AT86-1</f>
        <v>-6.4516129032258118E-2</v>
      </c>
      <c r="AZ88" s="23">
        <f t="shared" ref="AZ88:BC88" si="237">AZ86/AU86-1</f>
        <v>-3.1746031746031744E-2</v>
      </c>
      <c r="BA88" s="69">
        <f t="shared" si="237"/>
        <v>-5.0000000000000044E-2</v>
      </c>
      <c r="BB88" s="69">
        <f t="shared" si="237"/>
        <v>-6.557377049180324E-2</v>
      </c>
      <c r="BC88" s="69">
        <f t="shared" si="237"/>
        <v>7.9365079365079305E-2</v>
      </c>
      <c r="BD88" s="68">
        <f t="shared" ref="BD88" si="238">BD86/AY86-1</f>
        <v>0.13793103448275867</v>
      </c>
      <c r="BE88" s="23">
        <f t="shared" ref="BE88:BH88" si="239">BE86/AZ86-1</f>
        <v>1.6393442622950838E-2</v>
      </c>
      <c r="BF88" s="69">
        <f t="shared" si="239"/>
        <v>0.10526315789473695</v>
      </c>
      <c r="BG88" s="69">
        <f t="shared" si="239"/>
        <v>0.12280701754385959</v>
      </c>
      <c r="BH88" s="69">
        <f t="shared" si="239"/>
        <v>-4.4117647058823484E-2</v>
      </c>
      <c r="BI88" s="68">
        <f t="shared" ref="BI88" si="240">BI86/BD86-1</f>
        <v>-9.0909090909090939E-2</v>
      </c>
      <c r="BJ88" s="23">
        <f t="shared" ref="BJ88:BM88" si="241">BJ86/BE86-1</f>
        <v>1.6129032258064502E-2</v>
      </c>
      <c r="BK88" s="69">
        <f t="shared" si="241"/>
        <v>-7.9365079365079416E-2</v>
      </c>
      <c r="BL88" s="69">
        <f t="shared" si="241"/>
        <v>-0.125</v>
      </c>
      <c r="BM88" s="69">
        <f t="shared" si="241"/>
        <v>-0.13846153846153841</v>
      </c>
      <c r="BN88" s="68">
        <f t="shared" ref="BN88" si="242">BN86/BI86-1</f>
        <v>-8.333333333333337E-2</v>
      </c>
      <c r="BO88" s="23">
        <f t="shared" ref="BO88" si="243">BO86/BJ86-1</f>
        <v>-0.11111111111111116</v>
      </c>
    </row>
    <row r="89" spans="1:202" ht="14.25">
      <c r="A89" s="153"/>
      <c r="B89" s="23"/>
      <c r="C89" s="69"/>
      <c r="D89" s="69"/>
      <c r="E89" s="69"/>
      <c r="F89" s="69"/>
      <c r="G89" s="23"/>
      <c r="H89" s="69"/>
      <c r="I89" s="69"/>
      <c r="J89" s="69"/>
      <c r="K89" s="68"/>
      <c r="L89" s="23"/>
      <c r="M89" s="69"/>
      <c r="N89" s="69"/>
      <c r="O89" s="69"/>
      <c r="P89" s="68"/>
      <c r="Q89" s="23"/>
      <c r="R89" s="69"/>
      <c r="S89" s="69"/>
      <c r="T89" s="69"/>
      <c r="U89" s="68"/>
      <c r="V89" s="23"/>
      <c r="W89" s="69"/>
      <c r="X89" s="69"/>
      <c r="Y89" s="69"/>
      <c r="Z89" s="68"/>
      <c r="AA89" s="23"/>
      <c r="AB89" s="69"/>
      <c r="AC89" s="69"/>
      <c r="AD89" s="69"/>
      <c r="AE89" s="68"/>
      <c r="AF89" s="23"/>
      <c r="AG89" s="69"/>
      <c r="AH89" s="69"/>
      <c r="AI89" s="69"/>
      <c r="AJ89" s="68"/>
      <c r="AK89" s="23"/>
      <c r="AL89" s="69"/>
      <c r="AM89" s="69"/>
      <c r="AN89" s="69"/>
      <c r="AO89" s="68"/>
      <c r="AP89" s="23"/>
      <c r="AQ89" s="69"/>
      <c r="AR89" s="69"/>
      <c r="AS89" s="69"/>
      <c r="AT89" s="68"/>
      <c r="AU89" s="23"/>
      <c r="AV89" s="69"/>
      <c r="AW89" s="69"/>
      <c r="AX89" s="69"/>
      <c r="AY89" s="68"/>
      <c r="AZ89" s="23"/>
      <c r="BA89" s="69"/>
      <c r="BB89" s="69"/>
      <c r="BC89" s="69"/>
      <c r="BD89" s="68"/>
      <c r="BE89" s="23"/>
      <c r="BF89" s="69"/>
      <c r="BG89" s="69"/>
      <c r="BH89" s="69"/>
      <c r="BI89" s="68"/>
      <c r="BJ89" s="23"/>
      <c r="BK89" s="69"/>
      <c r="BL89" s="69"/>
      <c r="BM89" s="69"/>
      <c r="BN89" s="68"/>
      <c r="BO89" s="23"/>
    </row>
    <row r="90" spans="1:202">
      <c r="A90" s="65" t="s">
        <v>130</v>
      </c>
      <c r="B90" s="92" t="s">
        <v>40</v>
      </c>
      <c r="C90" s="75" t="s">
        <v>40</v>
      </c>
      <c r="D90" s="75" t="s">
        <v>40</v>
      </c>
      <c r="E90" s="75" t="s">
        <v>40</v>
      </c>
      <c r="F90" s="75" t="s">
        <v>40</v>
      </c>
      <c r="G90" s="92" t="s">
        <v>40</v>
      </c>
      <c r="H90" s="85">
        <v>3.3000000000000002E-2</v>
      </c>
      <c r="I90" s="85">
        <v>3.3000000000000002E-2</v>
      </c>
      <c r="J90" s="85">
        <v>3.7999999999999999E-2</v>
      </c>
      <c r="K90" s="85">
        <v>3.4000000000000002E-2</v>
      </c>
      <c r="L90" s="53">
        <v>0.13800000000000001</v>
      </c>
      <c r="M90" s="85">
        <v>3.9E-2</v>
      </c>
      <c r="N90" s="85">
        <v>3.9E-2</v>
      </c>
      <c r="O90" s="85">
        <v>3.5000000000000003E-2</v>
      </c>
      <c r="P90" s="85">
        <v>3.9E-2</v>
      </c>
      <c r="Q90" s="53">
        <v>0.153</v>
      </c>
      <c r="R90" s="85">
        <v>0.05</v>
      </c>
      <c r="S90" s="85">
        <v>6.6000000000000003E-2</v>
      </c>
      <c r="T90" s="85">
        <v>6.0999999999999999E-2</v>
      </c>
      <c r="U90" s="85">
        <v>5.2999999999999999E-2</v>
      </c>
      <c r="V90" s="53">
        <v>0.22900000000000001</v>
      </c>
      <c r="W90" s="85">
        <v>3.9E-2</v>
      </c>
      <c r="X90" s="85">
        <v>0.06</v>
      </c>
      <c r="Y90" s="85">
        <v>6.7000000000000004E-2</v>
      </c>
      <c r="Z90" s="85">
        <v>5.8999999999999997E-2</v>
      </c>
      <c r="AA90" s="53">
        <v>0.224</v>
      </c>
      <c r="AB90" s="85">
        <v>7.1999999999999995E-2</v>
      </c>
      <c r="AC90" s="85">
        <v>6.9000000000000006E-2</v>
      </c>
      <c r="AD90" s="85">
        <v>6.2E-2</v>
      </c>
      <c r="AE90" s="85">
        <v>8.3000000000000004E-2</v>
      </c>
      <c r="AF90" s="53">
        <v>0.28599999999999998</v>
      </c>
      <c r="AG90" s="85">
        <v>7.5999999999999998E-2</v>
      </c>
      <c r="AH90" s="85">
        <v>6.5000000000000002E-2</v>
      </c>
      <c r="AI90" s="85">
        <v>7.2999999999999995E-2</v>
      </c>
      <c r="AJ90" s="85">
        <v>6.6000000000000003E-2</v>
      </c>
      <c r="AK90" s="53">
        <v>0.28000000000000003</v>
      </c>
      <c r="AL90" s="85">
        <v>6.5000000000000002E-2</v>
      </c>
      <c r="AM90" s="85">
        <v>6.0999999999999999E-2</v>
      </c>
      <c r="AN90" s="85">
        <v>6.4000000000000001E-2</v>
      </c>
      <c r="AO90" s="156">
        <v>6.7000000000000004E-2</v>
      </c>
      <c r="AP90" s="53">
        <v>0.25800000000000001</v>
      </c>
      <c r="AQ90" s="85">
        <v>5.1999999999999998E-2</v>
      </c>
      <c r="AR90" s="85">
        <v>6.2E-2</v>
      </c>
      <c r="AS90" s="85">
        <v>6.0999999999999999E-2</v>
      </c>
      <c r="AT90" s="85">
        <v>6.3E-2</v>
      </c>
      <c r="AU90" s="53">
        <v>0.23699999999999999</v>
      </c>
      <c r="AV90" s="85">
        <v>7.9000000000000001E-2</v>
      </c>
      <c r="AW90" s="85">
        <v>6.3E-2</v>
      </c>
      <c r="AX90" s="85">
        <v>7.0999999999999994E-2</v>
      </c>
      <c r="AY90" s="85">
        <v>6.9000000000000006E-2</v>
      </c>
      <c r="AZ90" s="53">
        <v>0.28199999999999997</v>
      </c>
      <c r="BA90" s="85">
        <v>0.08</v>
      </c>
      <c r="BB90" s="85">
        <v>7.2999999999999995E-2</v>
      </c>
      <c r="BC90" s="85">
        <v>9.0999999999999998E-2</v>
      </c>
      <c r="BD90" s="85">
        <v>0.09</v>
      </c>
      <c r="BE90" s="53">
        <v>0.33300000000000002</v>
      </c>
      <c r="BF90" s="85">
        <v>8.6999999999999994E-2</v>
      </c>
      <c r="BG90" s="85">
        <v>7.4999999999999997E-2</v>
      </c>
      <c r="BH90" s="85">
        <v>7.2999999999999995E-2</v>
      </c>
      <c r="BI90" s="85">
        <f>BJ90-BH90-BG90-BF90</f>
        <v>7.2999999999999982E-2</v>
      </c>
      <c r="BJ90" s="53">
        <v>0.308</v>
      </c>
      <c r="BK90" s="85">
        <v>7.1999999999999995E-2</v>
      </c>
      <c r="BL90" s="85">
        <v>6.8000000000000005E-2</v>
      </c>
      <c r="BM90" s="85">
        <v>7.0000000000000007E-2</v>
      </c>
      <c r="BN90" s="85">
        <f>BO90-BM90-BL90-BK90</f>
        <v>5.9000000000000011E-2</v>
      </c>
      <c r="BO90" s="53">
        <v>0.26900000000000002</v>
      </c>
    </row>
    <row r="91" spans="1:202">
      <c r="A91" s="65"/>
      <c r="B91" s="92"/>
      <c r="C91" s="75"/>
      <c r="D91" s="75"/>
      <c r="E91" s="75"/>
      <c r="F91" s="75"/>
      <c r="G91" s="92"/>
      <c r="H91" s="85"/>
      <c r="I91" s="85"/>
      <c r="J91" s="85"/>
      <c r="K91" s="85"/>
      <c r="L91" s="53"/>
      <c r="M91" s="85"/>
      <c r="N91" s="85"/>
      <c r="O91" s="85"/>
      <c r="P91" s="85"/>
      <c r="Q91" s="53"/>
      <c r="R91" s="85"/>
      <c r="S91" s="85"/>
      <c r="T91" s="85"/>
      <c r="U91" s="85"/>
      <c r="V91" s="53"/>
      <c r="W91" s="85"/>
      <c r="X91" s="85"/>
      <c r="Y91" s="85"/>
      <c r="Z91" s="85"/>
      <c r="AA91" s="53"/>
      <c r="AB91" s="85"/>
      <c r="AC91" s="85"/>
      <c r="AD91" s="85"/>
      <c r="AE91" s="85"/>
      <c r="AF91" s="53"/>
      <c r="AG91" s="85"/>
      <c r="AH91" s="85"/>
      <c r="AI91" s="85"/>
      <c r="AJ91" s="85"/>
      <c r="AK91" s="53"/>
      <c r="AL91" s="85"/>
      <c r="AM91" s="85"/>
      <c r="AN91" s="85"/>
      <c r="AO91" s="85"/>
      <c r="AP91" s="53"/>
      <c r="AQ91" s="85"/>
      <c r="AR91" s="85"/>
      <c r="AS91" s="85"/>
      <c r="AT91" s="85"/>
      <c r="AU91" s="53"/>
      <c r="AV91" s="85"/>
      <c r="AW91" s="85"/>
      <c r="AX91" s="85"/>
      <c r="AY91" s="85"/>
      <c r="AZ91" s="53"/>
      <c r="BA91" s="85"/>
      <c r="BB91" s="85"/>
      <c r="BC91" s="85"/>
      <c r="BD91" s="85"/>
      <c r="BE91" s="53"/>
      <c r="BF91" s="85"/>
      <c r="BG91" s="85"/>
      <c r="BH91" s="85"/>
      <c r="BI91" s="85"/>
      <c r="BJ91" s="53"/>
      <c r="BK91" s="85"/>
      <c r="BL91" s="85"/>
      <c r="BM91" s="85"/>
      <c r="BN91" s="85"/>
      <c r="BO91" s="53"/>
    </row>
    <row r="92" spans="1:202">
      <c r="A92" s="34" t="s">
        <v>17</v>
      </c>
      <c r="B92" s="132"/>
      <c r="C92" s="75"/>
      <c r="D92" s="75"/>
      <c r="E92" s="75"/>
      <c r="F92" s="75"/>
      <c r="G92" s="92" t="s">
        <v>40</v>
      </c>
      <c r="H92" s="85"/>
      <c r="I92" s="85"/>
      <c r="J92" s="85"/>
      <c r="K92" s="85"/>
      <c r="L92" s="92" t="s">
        <v>40</v>
      </c>
      <c r="M92" s="85"/>
      <c r="N92" s="85"/>
      <c r="O92" s="85"/>
      <c r="P92" s="85"/>
      <c r="Q92" s="92" t="s">
        <v>40</v>
      </c>
      <c r="R92" s="112" t="s">
        <v>35</v>
      </c>
      <c r="S92" s="112" t="s">
        <v>35</v>
      </c>
      <c r="T92" s="112" t="s">
        <v>35</v>
      </c>
      <c r="U92" s="112" t="s">
        <v>35</v>
      </c>
      <c r="V92" s="92" t="s">
        <v>40</v>
      </c>
      <c r="W92" s="112" t="s">
        <v>35</v>
      </c>
      <c r="X92" s="112" t="s">
        <v>35</v>
      </c>
      <c r="Y92" s="112" t="s">
        <v>35</v>
      </c>
      <c r="Z92" s="112" t="s">
        <v>35</v>
      </c>
      <c r="AA92" s="86">
        <v>4072</v>
      </c>
      <c r="AB92" s="112" t="s">
        <v>35</v>
      </c>
      <c r="AC92" s="112" t="s">
        <v>35</v>
      </c>
      <c r="AD92" s="112" t="s">
        <v>35</v>
      </c>
      <c r="AE92" s="112" t="s">
        <v>35</v>
      </c>
      <c r="AF92" s="86">
        <v>3288</v>
      </c>
      <c r="AG92" s="112" t="s">
        <v>35</v>
      </c>
      <c r="AH92" s="112" t="s">
        <v>35</v>
      </c>
      <c r="AI92" s="112" t="s">
        <v>35</v>
      </c>
      <c r="AJ92" s="66">
        <v>3001</v>
      </c>
      <c r="AK92" s="86">
        <v>3001</v>
      </c>
      <c r="AL92" s="112" t="s">
        <v>35</v>
      </c>
      <c r="AM92" s="112" t="s">
        <v>35</v>
      </c>
      <c r="AN92" s="112" t="s">
        <v>35</v>
      </c>
      <c r="AO92" s="66">
        <v>2679</v>
      </c>
      <c r="AP92" s="86">
        <v>2679</v>
      </c>
      <c r="AQ92" s="112" t="s">
        <v>35</v>
      </c>
      <c r="AR92" s="112" t="s">
        <v>35</v>
      </c>
      <c r="AS92" s="112" t="s">
        <v>35</v>
      </c>
      <c r="AT92" s="66">
        <v>2594</v>
      </c>
      <c r="AU92" s="86">
        <v>2594</v>
      </c>
      <c r="AV92" s="112" t="s">
        <v>35</v>
      </c>
      <c r="AW92" s="112" t="s">
        <v>35</v>
      </c>
      <c r="AX92" s="112" t="s">
        <v>35</v>
      </c>
      <c r="AY92" s="66">
        <v>2551</v>
      </c>
      <c r="AZ92" s="86">
        <v>2551</v>
      </c>
      <c r="BA92" s="112" t="s">
        <v>35</v>
      </c>
      <c r="BB92" s="112" t="s">
        <v>35</v>
      </c>
      <c r="BC92" s="112" t="s">
        <v>35</v>
      </c>
      <c r="BD92" s="66">
        <f>BE92</f>
        <v>2453</v>
      </c>
      <c r="BE92" s="86">
        <v>2453</v>
      </c>
      <c r="BF92" s="112" t="s">
        <v>35</v>
      </c>
      <c r="BG92" s="112" t="s">
        <v>35</v>
      </c>
      <c r="BH92" s="112" t="s">
        <v>35</v>
      </c>
      <c r="BI92" s="66">
        <f>BJ92</f>
        <v>2202</v>
      </c>
      <c r="BJ92" s="86">
        <v>2202</v>
      </c>
      <c r="BK92" s="112" t="s">
        <v>35</v>
      </c>
      <c r="BL92" s="112" t="s">
        <v>35</v>
      </c>
      <c r="BM92" s="112" t="s">
        <v>35</v>
      </c>
      <c r="BN92" s="66">
        <v>1900</v>
      </c>
      <c r="BO92" s="86">
        <v>1900</v>
      </c>
    </row>
    <row r="93" spans="1:202">
      <c r="A93" s="67" t="s">
        <v>8</v>
      </c>
      <c r="B93" s="92"/>
      <c r="C93" s="92"/>
      <c r="D93" s="92"/>
      <c r="E93" s="92"/>
      <c r="F93" s="92"/>
      <c r="G93" s="92"/>
      <c r="H93" s="92"/>
      <c r="I93" s="92"/>
      <c r="J93" s="92"/>
      <c r="K93" s="92"/>
      <c r="L93" s="92"/>
      <c r="M93" s="92"/>
      <c r="N93" s="92"/>
      <c r="O93" s="92"/>
      <c r="P93" s="92"/>
      <c r="Q93" s="92"/>
      <c r="R93" s="92"/>
      <c r="S93" s="92"/>
      <c r="T93" s="92"/>
      <c r="U93" s="92"/>
      <c r="V93" s="92"/>
      <c r="W93" s="69"/>
      <c r="X93" s="69"/>
      <c r="Y93" s="69"/>
      <c r="Z93" s="68"/>
      <c r="AA93" s="23"/>
      <c r="AB93" s="69"/>
      <c r="AC93" s="69"/>
      <c r="AD93" s="69"/>
      <c r="AE93" s="68"/>
      <c r="AF93" s="23">
        <f>AF92/AA92-1</f>
        <v>-0.19253438113948917</v>
      </c>
      <c r="AG93" s="69"/>
      <c r="AH93" s="69"/>
      <c r="AI93" s="69"/>
      <c r="AJ93" s="68"/>
      <c r="AK93" s="23">
        <f>AK92/AF92-1</f>
        <v>-8.7287104622871037E-2</v>
      </c>
      <c r="AL93" s="69"/>
      <c r="AM93" s="69"/>
      <c r="AN93" s="69"/>
      <c r="AO93" s="68"/>
      <c r="AP93" s="23">
        <f>AP92/AK92-1</f>
        <v>-0.10729756747750752</v>
      </c>
      <c r="AQ93" s="69"/>
      <c r="AR93" s="69"/>
      <c r="AS93" s="69"/>
      <c r="AT93" s="68"/>
      <c r="AU93" s="23">
        <f>AU92/AP92-1</f>
        <v>-3.1728256812243338E-2</v>
      </c>
      <c r="AV93" s="69"/>
      <c r="AW93" s="69"/>
      <c r="AX93" s="69"/>
      <c r="AY93" s="68"/>
      <c r="AZ93" s="23">
        <f>AZ92/AU92-1</f>
        <v>-1.6576715497301442E-2</v>
      </c>
      <c r="BA93" s="69"/>
      <c r="BB93" s="69"/>
      <c r="BC93" s="69"/>
      <c r="BD93" s="68"/>
      <c r="BE93" s="23">
        <f>BE92/AZ92-1</f>
        <v>-3.8416307330458643E-2</v>
      </c>
      <c r="BF93" s="69"/>
      <c r="BG93" s="69"/>
      <c r="BH93" s="69"/>
      <c r="BI93" s="68"/>
      <c r="BJ93" s="23">
        <f>BJ92/BE92-1</f>
        <v>-0.10232368528332658</v>
      </c>
      <c r="BK93" s="69"/>
      <c r="BL93" s="69"/>
      <c r="BM93" s="69"/>
      <c r="BN93" s="68"/>
      <c r="BO93" s="23">
        <f>BO92/BJ92-1</f>
        <v>-0.13714804722979113</v>
      </c>
    </row>
    <row r="94" spans="1:202" s="2" customFormat="1" ht="6.75" hidden="1" customHeight="1">
      <c r="A94" s="88"/>
      <c r="B94" s="92"/>
      <c r="C94" s="92"/>
      <c r="D94" s="92"/>
      <c r="E94" s="92"/>
      <c r="F94" s="92"/>
      <c r="G94" s="92"/>
      <c r="H94" s="92"/>
      <c r="I94" s="92"/>
      <c r="J94" s="92"/>
      <c r="K94" s="92"/>
      <c r="L94" s="92"/>
      <c r="M94" s="92"/>
      <c r="N94" s="92"/>
      <c r="O94" s="92"/>
      <c r="P94" s="92"/>
      <c r="Q94" s="92"/>
      <c r="R94" s="92"/>
      <c r="S94" s="92"/>
      <c r="T94" s="92"/>
      <c r="U94" s="92"/>
      <c r="V94" s="92"/>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row>
    <row r="95" spans="1:202" s="2" customFormat="1" ht="12.75" customHeight="1">
      <c r="A95" s="85"/>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69"/>
      <c r="AH95" s="69"/>
      <c r="AI95" s="69"/>
      <c r="AJ95" s="69"/>
      <c r="AK95" s="53"/>
      <c r="AL95" s="85"/>
      <c r="AM95" s="85"/>
      <c r="AN95" s="85"/>
      <c r="AO95" s="69"/>
      <c r="AP95" s="53"/>
      <c r="AQ95" s="85"/>
      <c r="AR95" s="85"/>
      <c r="AS95" s="85"/>
      <c r="AT95" s="69"/>
      <c r="AU95" s="53"/>
      <c r="AV95" s="85"/>
      <c r="AW95" s="85"/>
      <c r="AX95" s="85"/>
      <c r="AY95" s="69"/>
      <c r="AZ95" s="53"/>
      <c r="BA95" s="85"/>
      <c r="BB95" s="85"/>
      <c r="BC95" s="85"/>
      <c r="BD95" s="69"/>
      <c r="BE95" s="53"/>
      <c r="BF95" s="85"/>
      <c r="BG95" s="85"/>
      <c r="BH95" s="85"/>
      <c r="BI95" s="69"/>
      <c r="BJ95" s="53"/>
      <c r="BK95" s="85"/>
      <c r="BL95" s="85"/>
      <c r="BM95" s="85"/>
      <c r="BN95" s="69"/>
      <c r="BO95" s="53"/>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row>
    <row r="96" spans="1:202" s="2" customFormat="1" ht="15.75" customHeight="1">
      <c r="A96" s="65" t="s">
        <v>125</v>
      </c>
      <c r="B96" s="53">
        <v>0.29199999999999998</v>
      </c>
      <c r="C96" s="53"/>
      <c r="D96" s="53"/>
      <c r="E96" s="53"/>
      <c r="F96" s="53"/>
      <c r="G96" s="53">
        <v>0.28599999999999998</v>
      </c>
      <c r="H96" s="53"/>
      <c r="I96" s="53"/>
      <c r="J96" s="53"/>
      <c r="K96" s="53"/>
      <c r="L96" s="53">
        <v>0.28999999999999998</v>
      </c>
      <c r="M96" s="53"/>
      <c r="N96" s="53"/>
      <c r="O96" s="53"/>
      <c r="P96" s="53"/>
      <c r="Q96" s="53">
        <v>0.28899999999999998</v>
      </c>
      <c r="R96" s="53"/>
      <c r="S96" s="53"/>
      <c r="T96" s="53"/>
      <c r="U96" s="53"/>
      <c r="V96" s="53">
        <v>0.28999999999999998</v>
      </c>
      <c r="W96" s="53"/>
      <c r="X96" s="53"/>
      <c r="Y96" s="53"/>
      <c r="Z96" s="53"/>
      <c r="AA96" s="53">
        <v>0.28199999999999997</v>
      </c>
      <c r="AB96" s="53"/>
      <c r="AC96" s="53"/>
      <c r="AD96" s="53"/>
      <c r="AE96" s="53"/>
      <c r="AF96" s="53">
        <v>0.26300000000000001</v>
      </c>
      <c r="AG96" s="112" t="s">
        <v>35</v>
      </c>
      <c r="AH96" s="112" t="s">
        <v>35</v>
      </c>
      <c r="AI96" s="112" t="s">
        <v>35</v>
      </c>
      <c r="AJ96" s="112" t="s">
        <v>35</v>
      </c>
      <c r="AK96" s="53">
        <v>0.255</v>
      </c>
      <c r="AL96" s="112" t="s">
        <v>35</v>
      </c>
      <c r="AM96" s="112" t="s">
        <v>35</v>
      </c>
      <c r="AN96" s="112" t="s">
        <v>35</v>
      </c>
      <c r="AO96" s="112" t="s">
        <v>35</v>
      </c>
      <c r="AP96" s="53">
        <v>0.252</v>
      </c>
      <c r="AQ96" s="112" t="s">
        <v>35</v>
      </c>
      <c r="AR96" s="112" t="s">
        <v>35</v>
      </c>
      <c r="AS96" s="178">
        <v>0.22700000000000001</v>
      </c>
      <c r="AT96" s="178">
        <v>0.23100000000000001</v>
      </c>
      <c r="AU96" s="37">
        <v>0.23100000000000001</v>
      </c>
      <c r="AV96" s="112" t="s">
        <v>35</v>
      </c>
      <c r="AW96" s="112" t="s">
        <v>35</v>
      </c>
      <c r="AX96" s="85">
        <v>0.23300000000000001</v>
      </c>
      <c r="AY96" s="85">
        <v>0.23599999999999999</v>
      </c>
      <c r="AZ96" s="37">
        <v>0.23599999999999999</v>
      </c>
      <c r="BA96" s="112" t="s">
        <v>35</v>
      </c>
      <c r="BB96" s="112" t="s">
        <v>35</v>
      </c>
      <c r="BC96" s="85">
        <v>0.21</v>
      </c>
      <c r="BD96" s="85">
        <v>0.20699999999999999</v>
      </c>
      <c r="BE96" s="53">
        <v>0.20699999999999999</v>
      </c>
      <c r="BF96" s="112" t="s">
        <v>35</v>
      </c>
      <c r="BG96" s="112" t="s">
        <v>35</v>
      </c>
      <c r="BH96" s="112" t="s">
        <v>35</v>
      </c>
      <c r="BI96" s="112" t="s">
        <v>35</v>
      </c>
      <c r="BJ96" s="53">
        <v>0.21199999999999999</v>
      </c>
      <c r="BK96" s="112" t="s">
        <v>35</v>
      </c>
      <c r="BL96" s="112" t="s">
        <v>35</v>
      </c>
      <c r="BM96" s="85">
        <v>0.214</v>
      </c>
      <c r="BN96" s="112" t="s">
        <v>35</v>
      </c>
      <c r="BO96" s="159" t="s">
        <v>35</v>
      </c>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row>
    <row r="97" spans="1:202" s="2" customFormat="1" ht="3" customHeight="1">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row>
    <row r="98" spans="1:202" ht="20.25">
      <c r="A98" s="33" t="s">
        <v>15</v>
      </c>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row>
    <row r="99" spans="1:2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row>
    <row r="100" spans="1:202">
      <c r="A100" s="38" t="s">
        <v>25</v>
      </c>
      <c r="B100" s="39"/>
      <c r="C100" s="40"/>
      <c r="D100" s="40"/>
      <c r="E100" s="40"/>
      <c r="F100" s="40"/>
      <c r="G100" s="39"/>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row>
    <row r="101" spans="1:202" ht="3.6" customHeight="1">
      <c r="A101" s="65"/>
      <c r="B101" s="28"/>
      <c r="C101" s="65"/>
      <c r="D101" s="65"/>
      <c r="E101" s="65"/>
      <c r="F101" s="65"/>
      <c r="G101" s="28"/>
      <c r="H101" s="65"/>
      <c r="I101" s="65"/>
      <c r="J101" s="65"/>
      <c r="K101" s="65"/>
      <c r="L101" s="20"/>
      <c r="M101" s="65"/>
      <c r="N101" s="65"/>
      <c r="O101" s="65"/>
      <c r="P101" s="65"/>
      <c r="Q101" s="20"/>
      <c r="R101" s="65"/>
      <c r="S101" s="65"/>
      <c r="T101" s="65"/>
      <c r="U101" s="65"/>
      <c r="V101" s="20"/>
      <c r="W101" s="65"/>
      <c r="X101" s="65"/>
      <c r="Y101" s="65"/>
      <c r="Z101" s="65"/>
      <c r="AA101" s="20"/>
      <c r="AB101" s="65"/>
      <c r="AC101" s="65"/>
      <c r="AD101" s="65"/>
      <c r="AE101" s="65"/>
      <c r="AF101" s="20"/>
      <c r="AG101" s="65"/>
      <c r="AH101" s="65"/>
      <c r="AI101" s="65"/>
      <c r="AJ101" s="65"/>
      <c r="AK101" s="20"/>
      <c r="AL101" s="65"/>
      <c r="AM101" s="65"/>
      <c r="AN101" s="65"/>
      <c r="AO101" s="65"/>
      <c r="AP101" s="20"/>
      <c r="AQ101" s="65"/>
      <c r="AR101" s="65"/>
      <c r="AS101" s="65"/>
      <c r="AT101" s="65"/>
      <c r="AU101" s="20"/>
      <c r="AV101" s="65"/>
      <c r="AW101" s="65"/>
      <c r="AX101" s="65"/>
      <c r="AY101" s="65"/>
      <c r="AZ101" s="20"/>
      <c r="BA101" s="65"/>
      <c r="BB101" s="65"/>
      <c r="BC101" s="65"/>
      <c r="BD101" s="65"/>
      <c r="BE101" s="20"/>
      <c r="BF101" s="65"/>
      <c r="BG101" s="65"/>
      <c r="BH101" s="65"/>
      <c r="BI101" s="65"/>
      <c r="BJ101" s="20"/>
      <c r="BK101" s="65"/>
      <c r="BL101" s="65"/>
      <c r="BM101" s="65"/>
      <c r="BN101" s="65"/>
      <c r="BO101" s="20"/>
    </row>
    <row r="102" spans="1:202">
      <c r="A102" s="65" t="s">
        <v>110</v>
      </c>
      <c r="B102" s="132">
        <v>2621</v>
      </c>
      <c r="C102" s="75" t="s">
        <v>40</v>
      </c>
      <c r="D102" s="75" t="s">
        <v>40</v>
      </c>
      <c r="E102" s="75" t="s">
        <v>40</v>
      </c>
      <c r="F102" s="75" t="s">
        <v>40</v>
      </c>
      <c r="G102" s="132">
        <v>2325</v>
      </c>
      <c r="H102" s="75" t="s">
        <v>40</v>
      </c>
      <c r="I102" s="75" t="s">
        <v>40</v>
      </c>
      <c r="J102" s="75" t="s">
        <v>40</v>
      </c>
      <c r="K102" s="75" t="s">
        <v>40</v>
      </c>
      <c r="L102" s="132">
        <v>2445</v>
      </c>
      <c r="M102" s="75" t="s">
        <v>40</v>
      </c>
      <c r="N102" s="75" t="s">
        <v>40</v>
      </c>
      <c r="O102" s="75" t="s">
        <v>40</v>
      </c>
      <c r="P102" s="75" t="s">
        <v>40</v>
      </c>
      <c r="Q102" s="132">
        <v>2112</v>
      </c>
      <c r="R102" s="112" t="s">
        <v>35</v>
      </c>
      <c r="S102" s="112" t="s">
        <v>35</v>
      </c>
      <c r="T102" s="112" t="s">
        <v>35</v>
      </c>
      <c r="U102" s="112" t="s">
        <v>35</v>
      </c>
      <c r="V102" s="132">
        <v>2262</v>
      </c>
      <c r="W102" s="112" t="s">
        <v>35</v>
      </c>
      <c r="X102" s="112" t="s">
        <v>35</v>
      </c>
      <c r="Y102" s="112" t="s">
        <v>35</v>
      </c>
      <c r="Z102" s="112" t="s">
        <v>35</v>
      </c>
      <c r="AA102" s="132">
        <v>2102</v>
      </c>
      <c r="AB102" s="112" t="s">
        <v>35</v>
      </c>
      <c r="AC102" s="112" t="s">
        <v>35</v>
      </c>
      <c r="AD102" s="112" t="s">
        <v>35</v>
      </c>
      <c r="AE102" s="112" t="s">
        <v>35</v>
      </c>
      <c r="AF102" s="132">
        <v>2007</v>
      </c>
      <c r="AG102" s="112" t="s">
        <v>35</v>
      </c>
      <c r="AH102" s="112" t="s">
        <v>35</v>
      </c>
      <c r="AI102" s="112" t="s">
        <v>35</v>
      </c>
      <c r="AJ102" s="66">
        <v>1932</v>
      </c>
      <c r="AK102" s="132">
        <v>1932</v>
      </c>
      <c r="AL102" s="112" t="s">
        <v>35</v>
      </c>
      <c r="AM102" s="112" t="s">
        <v>35</v>
      </c>
      <c r="AN102" s="112" t="s">
        <v>35</v>
      </c>
      <c r="AO102" s="66">
        <v>1966</v>
      </c>
      <c r="AP102" s="132">
        <v>1966</v>
      </c>
      <c r="AQ102" s="112" t="s">
        <v>35</v>
      </c>
      <c r="AR102" s="112" t="s">
        <v>35</v>
      </c>
      <c r="AS102" s="112" t="s">
        <v>35</v>
      </c>
      <c r="AT102" s="66">
        <v>1905</v>
      </c>
      <c r="AU102" s="132">
        <v>1905</v>
      </c>
      <c r="AV102" s="112" t="s">
        <v>35</v>
      </c>
      <c r="AW102" s="112" t="s">
        <v>35</v>
      </c>
      <c r="AX102" s="112" t="s">
        <v>35</v>
      </c>
      <c r="AY102" s="66">
        <v>1864</v>
      </c>
      <c r="AZ102" s="132">
        <v>1864</v>
      </c>
      <c r="BA102" s="112" t="s">
        <v>35</v>
      </c>
      <c r="BB102" s="112" t="s">
        <v>35</v>
      </c>
      <c r="BC102" s="112" t="s">
        <v>35</v>
      </c>
      <c r="BD102" s="66">
        <f>BE102</f>
        <v>1653</v>
      </c>
      <c r="BE102" s="132">
        <v>1653</v>
      </c>
      <c r="BF102" s="112" t="s">
        <v>35</v>
      </c>
      <c r="BG102" s="112" t="s">
        <v>35</v>
      </c>
      <c r="BH102" s="112" t="s">
        <v>35</v>
      </c>
      <c r="BI102" s="66">
        <f>BJ102</f>
        <v>1419</v>
      </c>
      <c r="BJ102" s="132">
        <v>1419</v>
      </c>
      <c r="BK102" s="112" t="s">
        <v>35</v>
      </c>
      <c r="BL102" s="112" t="s">
        <v>35</v>
      </c>
      <c r="BM102" s="112" t="s">
        <v>35</v>
      </c>
      <c r="BN102" s="66">
        <v>1311</v>
      </c>
      <c r="BO102" s="132">
        <v>1311</v>
      </c>
    </row>
    <row r="103" spans="1:202" ht="3.75" customHeight="1">
      <c r="A103" s="67"/>
      <c r="B103" s="23"/>
      <c r="C103" s="68"/>
      <c r="D103" s="68"/>
      <c r="E103" s="68"/>
      <c r="F103" s="68"/>
      <c r="G103" s="23"/>
      <c r="H103" s="68"/>
      <c r="I103" s="68"/>
      <c r="J103" s="68"/>
      <c r="K103" s="68"/>
      <c r="L103" s="26"/>
      <c r="M103" s="68"/>
      <c r="N103" s="68"/>
      <c r="O103" s="68"/>
      <c r="P103" s="68"/>
      <c r="Q103" s="26"/>
      <c r="R103" s="68"/>
      <c r="S103" s="68"/>
      <c r="T103" s="68"/>
      <c r="U103" s="68"/>
      <c r="V103" s="26"/>
      <c r="W103" s="68"/>
      <c r="X103" s="68"/>
      <c r="Y103" s="68"/>
      <c r="Z103" s="68"/>
      <c r="AA103" s="26"/>
      <c r="AB103" s="68"/>
      <c r="AC103" s="68"/>
      <c r="AD103" s="68"/>
      <c r="AE103" s="68"/>
      <c r="AF103" s="26"/>
      <c r="AG103" s="68"/>
      <c r="AH103" s="68"/>
      <c r="AI103" s="68"/>
      <c r="AJ103" s="66"/>
      <c r="AK103" s="26"/>
      <c r="AL103" s="68"/>
      <c r="AM103" s="68"/>
      <c r="AN103" s="68"/>
      <c r="AO103" s="68"/>
      <c r="AP103" s="26"/>
      <c r="AQ103" s="68"/>
      <c r="AR103" s="68"/>
      <c r="AS103" s="68"/>
      <c r="AT103" s="68"/>
      <c r="AU103" s="26"/>
      <c r="AV103" s="68"/>
      <c r="AW103" s="68"/>
      <c r="AX103" s="68"/>
      <c r="AY103" s="68"/>
      <c r="AZ103" s="26"/>
      <c r="BA103" s="68"/>
      <c r="BB103" s="68"/>
      <c r="BC103" s="68"/>
      <c r="BD103" s="68"/>
      <c r="BE103" s="26"/>
      <c r="BF103" s="68"/>
      <c r="BG103" s="68"/>
      <c r="BH103" s="68"/>
      <c r="BI103" s="68"/>
      <c r="BJ103" s="26"/>
      <c r="BK103" s="68"/>
      <c r="BL103" s="68"/>
      <c r="BM103" s="68"/>
      <c r="BN103" s="68"/>
      <c r="BO103" s="26"/>
    </row>
    <row r="104" spans="1:202">
      <c r="A104" s="67" t="s">
        <v>8</v>
      </c>
      <c r="B104" s="23"/>
      <c r="C104" s="69"/>
      <c r="D104" s="69"/>
      <c r="E104" s="69"/>
      <c r="F104" s="69"/>
      <c r="G104" s="23">
        <f>G102/B102-1</f>
        <v>-0.11293399465852727</v>
      </c>
      <c r="H104" s="69"/>
      <c r="I104" s="69"/>
      <c r="J104" s="69"/>
      <c r="K104" s="68"/>
      <c r="L104" s="23">
        <f>L102/G102-1</f>
        <v>5.1612903225806361E-2</v>
      </c>
      <c r="M104" s="69"/>
      <c r="N104" s="69"/>
      <c r="O104" s="69"/>
      <c r="P104" s="68"/>
      <c r="Q104" s="23">
        <f>Q102/L102-1</f>
        <v>-0.1361963190184049</v>
      </c>
      <c r="R104" s="69"/>
      <c r="S104" s="69"/>
      <c r="T104" s="69"/>
      <c r="U104" s="68"/>
      <c r="V104" s="23">
        <f>V102/Q102-1</f>
        <v>7.1022727272727293E-2</v>
      </c>
      <c r="W104" s="69"/>
      <c r="X104" s="69"/>
      <c r="Y104" s="69"/>
      <c r="Z104" s="68"/>
      <c r="AA104" s="23">
        <f>AA102/V102-1</f>
        <v>-7.0733863837312061E-2</v>
      </c>
      <c r="AB104" s="69"/>
      <c r="AC104" s="69"/>
      <c r="AD104" s="69"/>
      <c r="AE104" s="68"/>
      <c r="AF104" s="23">
        <f>AF102/AA102-1</f>
        <v>-4.5195052331113206E-2</v>
      </c>
      <c r="AG104" s="69"/>
      <c r="AH104" s="69"/>
      <c r="AI104" s="69"/>
      <c r="AJ104" s="68"/>
      <c r="AK104" s="23">
        <f>AK102/AF102-1</f>
        <v>-3.7369207772795177E-2</v>
      </c>
      <c r="AL104" s="69"/>
      <c r="AM104" s="69"/>
      <c r="AN104" s="69"/>
      <c r="AO104" s="68"/>
      <c r="AP104" s="23">
        <f>AP102/AK102-1</f>
        <v>1.7598343685300222E-2</v>
      </c>
      <c r="AQ104" s="69"/>
      <c r="AR104" s="69"/>
      <c r="AS104" s="69"/>
      <c r="AT104" s="68"/>
      <c r="AU104" s="23">
        <f>AU102/AP102-1</f>
        <v>-3.1027466937945114E-2</v>
      </c>
      <c r="AV104" s="69"/>
      <c r="AW104" s="69"/>
      <c r="AX104" s="69"/>
      <c r="AY104" s="68"/>
      <c r="AZ104" s="23">
        <f>AZ102/AU102-1</f>
        <v>-2.1522309711286103E-2</v>
      </c>
      <c r="BA104" s="69"/>
      <c r="BB104" s="69"/>
      <c r="BC104" s="69"/>
      <c r="BD104" s="68"/>
      <c r="BE104" s="23">
        <f>BE102/AZ102-1</f>
        <v>-0.1131974248927039</v>
      </c>
      <c r="BF104" s="69"/>
      <c r="BG104" s="69"/>
      <c r="BH104" s="69"/>
      <c r="BI104" s="68"/>
      <c r="BJ104" s="23">
        <f>BJ102/BE102-1</f>
        <v>-0.14156079854809434</v>
      </c>
      <c r="BK104" s="69"/>
      <c r="BL104" s="69"/>
      <c r="BM104" s="69"/>
      <c r="BN104" s="68"/>
      <c r="BO104" s="23">
        <f>BO102/BJ102-1</f>
        <v>-7.6109936575052828E-2</v>
      </c>
    </row>
    <row r="105" spans="1:202" ht="3.75" customHeight="1">
      <c r="A105" s="67"/>
      <c r="B105" s="23"/>
      <c r="C105" s="69"/>
      <c r="D105" s="69"/>
      <c r="E105" s="69"/>
      <c r="F105" s="69"/>
      <c r="G105" s="23"/>
      <c r="H105" s="69"/>
      <c r="I105" s="69"/>
      <c r="J105" s="69"/>
      <c r="K105" s="68"/>
      <c r="L105" s="23"/>
      <c r="M105" s="69"/>
      <c r="N105" s="69"/>
      <c r="O105" s="69"/>
      <c r="P105" s="68"/>
      <c r="Q105" s="23"/>
      <c r="R105" s="69"/>
      <c r="S105" s="69"/>
      <c r="T105" s="69"/>
      <c r="U105" s="68"/>
      <c r="V105" s="23"/>
      <c r="W105" s="69"/>
      <c r="X105" s="69"/>
      <c r="Y105" s="69"/>
      <c r="Z105" s="68"/>
      <c r="AA105" s="23"/>
      <c r="AB105" s="69"/>
      <c r="AC105" s="69"/>
      <c r="AD105" s="69"/>
      <c r="AE105" s="68"/>
      <c r="AF105" s="23"/>
      <c r="AG105" s="69"/>
      <c r="AH105" s="69"/>
      <c r="AI105" s="69"/>
      <c r="AJ105" s="68"/>
      <c r="AK105" s="23"/>
      <c r="AL105" s="69"/>
      <c r="AM105" s="69"/>
      <c r="AN105" s="69"/>
      <c r="AO105" s="68"/>
      <c r="AP105" s="23"/>
      <c r="AQ105" s="69"/>
      <c r="AR105" s="69"/>
      <c r="AS105" s="69"/>
      <c r="AT105" s="68"/>
      <c r="AU105" s="23"/>
      <c r="AV105" s="69"/>
      <c r="AW105" s="69"/>
      <c r="AX105" s="69"/>
      <c r="AY105" s="68"/>
      <c r="AZ105" s="23"/>
      <c r="BA105" s="69"/>
      <c r="BB105" s="69"/>
      <c r="BC105" s="69"/>
      <c r="BD105" s="68"/>
      <c r="BE105" s="23"/>
      <c r="BF105" s="69"/>
      <c r="BG105" s="69"/>
      <c r="BH105" s="69"/>
      <c r="BI105" s="68"/>
      <c r="BJ105" s="23"/>
      <c r="BK105" s="69"/>
      <c r="BL105" s="69"/>
      <c r="BM105" s="69"/>
      <c r="BN105" s="68"/>
      <c r="BO105" s="23"/>
    </row>
    <row r="106" spans="1:202" ht="3.75" customHeight="1">
      <c r="A106" s="67"/>
      <c r="B106" s="23"/>
      <c r="C106" s="69"/>
      <c r="D106" s="69"/>
      <c r="E106" s="69"/>
      <c r="F106" s="69"/>
      <c r="G106" s="23"/>
      <c r="H106" s="69"/>
      <c r="I106" s="69"/>
      <c r="J106" s="69"/>
      <c r="K106" s="68"/>
      <c r="L106" s="23"/>
      <c r="M106" s="69"/>
      <c r="N106" s="69"/>
      <c r="O106" s="69"/>
      <c r="P106" s="68"/>
      <c r="Q106" s="23"/>
      <c r="R106" s="69"/>
      <c r="S106" s="69"/>
      <c r="T106" s="69"/>
      <c r="U106" s="68"/>
      <c r="V106" s="23"/>
      <c r="W106" s="69"/>
      <c r="X106" s="69"/>
      <c r="Y106" s="69"/>
      <c r="Z106" s="68"/>
      <c r="AA106" s="23"/>
      <c r="AB106" s="69"/>
      <c r="AC106" s="69"/>
      <c r="AD106" s="69"/>
      <c r="AE106" s="68"/>
      <c r="AF106" s="23"/>
      <c r="AG106" s="69"/>
      <c r="AH106" s="69"/>
      <c r="AI106" s="69"/>
      <c r="AJ106" s="68"/>
      <c r="AK106" s="23"/>
      <c r="AL106" s="69"/>
      <c r="AM106" s="69"/>
      <c r="AN106" s="69"/>
      <c r="AO106" s="68"/>
      <c r="AP106" s="23"/>
      <c r="AQ106" s="69"/>
      <c r="AR106" s="69"/>
      <c r="AS106" s="69"/>
      <c r="AT106" s="68"/>
      <c r="AU106" s="23"/>
      <c r="AV106" s="69"/>
      <c r="AW106" s="69"/>
      <c r="AX106" s="69"/>
      <c r="AY106" s="68"/>
      <c r="AZ106" s="23"/>
      <c r="BA106" s="69"/>
      <c r="BB106" s="69"/>
      <c r="BC106" s="69"/>
      <c r="BD106" s="68"/>
      <c r="BE106" s="23"/>
      <c r="BF106" s="69"/>
      <c r="BG106" s="69"/>
      <c r="BH106" s="69"/>
      <c r="BI106" s="68"/>
      <c r="BJ106" s="23"/>
      <c r="BK106" s="69"/>
      <c r="BL106" s="69"/>
      <c r="BM106" s="69"/>
      <c r="BN106" s="68"/>
      <c r="BO106" s="23"/>
    </row>
    <row r="107" spans="1:202">
      <c r="A107" s="65" t="s">
        <v>136</v>
      </c>
      <c r="B107" s="92" t="s">
        <v>40</v>
      </c>
      <c r="C107" s="75" t="s">
        <v>40</v>
      </c>
      <c r="D107" s="75" t="s">
        <v>40</v>
      </c>
      <c r="E107" s="75" t="s">
        <v>40</v>
      </c>
      <c r="F107" s="75" t="s">
        <v>40</v>
      </c>
      <c r="G107" s="92" t="s">
        <v>40</v>
      </c>
      <c r="H107" s="73">
        <v>3.9E-2</v>
      </c>
      <c r="I107" s="73">
        <v>3.5999999999999997E-2</v>
      </c>
      <c r="J107" s="73">
        <v>3.4000000000000002E-2</v>
      </c>
      <c r="K107" s="73">
        <v>3.9E-2</v>
      </c>
      <c r="L107" s="37">
        <v>0.14799999999999999</v>
      </c>
      <c r="M107" s="73">
        <v>3.2000000000000001E-2</v>
      </c>
      <c r="N107" s="73">
        <v>2.9000000000000001E-2</v>
      </c>
      <c r="O107" s="73">
        <v>3.2000000000000001E-2</v>
      </c>
      <c r="P107" s="73">
        <v>3.5000000000000003E-2</v>
      </c>
      <c r="Q107" s="37">
        <v>0.127</v>
      </c>
      <c r="R107" s="73">
        <v>2.9000000000000001E-2</v>
      </c>
      <c r="S107" s="73">
        <v>2.8000000000000001E-2</v>
      </c>
      <c r="T107" s="73">
        <v>3.2000000000000001E-2</v>
      </c>
      <c r="U107" s="73">
        <v>3.6999999999999998E-2</v>
      </c>
      <c r="V107" s="37">
        <v>0.126</v>
      </c>
      <c r="W107" s="73">
        <v>4.2999999999999997E-2</v>
      </c>
      <c r="X107" s="73">
        <v>4.1000000000000002E-2</v>
      </c>
      <c r="Y107" s="73">
        <v>4.5999999999999999E-2</v>
      </c>
      <c r="Z107" s="73">
        <v>5.5E-2</v>
      </c>
      <c r="AA107" s="37">
        <v>0.184</v>
      </c>
      <c r="AB107" s="73">
        <v>4.2000000000000003E-2</v>
      </c>
      <c r="AC107" s="73">
        <v>4.4999999999999998E-2</v>
      </c>
      <c r="AD107" s="73">
        <v>4.7E-2</v>
      </c>
      <c r="AE107" s="73">
        <v>4.5999999999999999E-2</v>
      </c>
      <c r="AF107" s="37">
        <v>0.18</v>
      </c>
      <c r="AG107" s="73">
        <v>0.04</v>
      </c>
      <c r="AH107" s="73">
        <v>3.6999999999999998E-2</v>
      </c>
      <c r="AI107" s="73">
        <v>4.4999999999999998E-2</v>
      </c>
      <c r="AJ107" s="73">
        <v>4.7E-2</v>
      </c>
      <c r="AK107" s="37">
        <v>0.17</v>
      </c>
      <c r="AL107" s="73">
        <v>4.1000000000000002E-2</v>
      </c>
      <c r="AM107" s="115">
        <v>4.2000000000000003E-2</v>
      </c>
      <c r="AN107" s="73">
        <v>4.3999999999999997E-2</v>
      </c>
      <c r="AO107" s="73">
        <v>4.5999999999999999E-2</v>
      </c>
      <c r="AP107" s="37">
        <v>0.17299999999999999</v>
      </c>
      <c r="AQ107" s="73">
        <v>5.1999999999999998E-2</v>
      </c>
      <c r="AR107" s="115">
        <v>4.4999999999999998E-2</v>
      </c>
      <c r="AS107" s="115">
        <v>5.5E-2</v>
      </c>
      <c r="AT107" s="85">
        <f>AU107-AS107-AR107-AQ107</f>
        <v>5.1999999999999998E-2</v>
      </c>
      <c r="AU107" s="37">
        <v>0.20399999999999999</v>
      </c>
      <c r="AV107" s="73">
        <v>5.2999999999999999E-2</v>
      </c>
      <c r="AW107" s="73">
        <v>0.05</v>
      </c>
      <c r="AX107" s="73">
        <v>6.3E-2</v>
      </c>
      <c r="AY107" s="85">
        <f>AZ107-AX107-AW107-AV107</f>
        <v>6.8000000000000005E-2</v>
      </c>
      <c r="AZ107" s="37">
        <v>0.23400000000000001</v>
      </c>
      <c r="BA107" s="73">
        <v>0.06</v>
      </c>
      <c r="BB107" s="73">
        <v>0.06</v>
      </c>
      <c r="BC107" s="73">
        <v>5.8000000000000003E-2</v>
      </c>
      <c r="BD107" s="85">
        <f>BE107-BC107-BB107-BA107</f>
        <v>7.7000000000000013E-2</v>
      </c>
      <c r="BE107" s="37">
        <v>0.255</v>
      </c>
      <c r="BF107" s="73">
        <v>6.6000000000000003E-2</v>
      </c>
      <c r="BG107" s="73">
        <v>6.2E-2</v>
      </c>
      <c r="BH107" s="73">
        <v>7.0999999999999994E-2</v>
      </c>
      <c r="BI107" s="85">
        <v>6.3E-2</v>
      </c>
      <c r="BJ107" s="37">
        <f>BI107+BH107+BG107+BF107</f>
        <v>0.26200000000000001</v>
      </c>
      <c r="BK107" s="73">
        <v>6.7000000000000004E-2</v>
      </c>
      <c r="BL107" s="73">
        <v>6.0999999999999999E-2</v>
      </c>
      <c r="BM107" s="73">
        <v>7.1999999999999995E-2</v>
      </c>
      <c r="BN107" s="85">
        <f>BO107-BM107-BL107-BK107</f>
        <v>0.10199999999999998</v>
      </c>
      <c r="BO107" s="37">
        <v>0.30199999999999999</v>
      </c>
    </row>
    <row r="108" spans="1:202" ht="6" customHeight="1">
      <c r="A108" s="65"/>
      <c r="B108" s="92"/>
      <c r="C108" s="75"/>
      <c r="D108" s="75"/>
      <c r="E108" s="75"/>
      <c r="F108" s="75"/>
      <c r="G108" s="92"/>
      <c r="H108" s="73"/>
      <c r="I108" s="73"/>
      <c r="J108" s="73"/>
      <c r="K108" s="73"/>
      <c r="L108" s="37"/>
      <c r="M108" s="73"/>
      <c r="N108" s="73"/>
      <c r="O108" s="73"/>
      <c r="P108" s="73"/>
      <c r="Q108" s="37"/>
      <c r="R108" s="73"/>
      <c r="S108" s="73"/>
      <c r="T108" s="73"/>
      <c r="U108" s="73"/>
      <c r="V108" s="37"/>
      <c r="W108" s="73"/>
      <c r="X108" s="73"/>
      <c r="Y108" s="73"/>
      <c r="Z108" s="73"/>
      <c r="AA108" s="37"/>
      <c r="AB108" s="73"/>
      <c r="AC108" s="73"/>
      <c r="AD108" s="73"/>
      <c r="AE108" s="73"/>
      <c r="AF108" s="37"/>
      <c r="AG108" s="73"/>
      <c r="AH108" s="73"/>
      <c r="AI108" s="73"/>
      <c r="AJ108" s="73"/>
      <c r="AK108" s="37"/>
      <c r="AL108" s="73"/>
      <c r="AM108" s="73"/>
      <c r="AN108" s="73"/>
      <c r="AO108" s="73"/>
      <c r="AP108" s="37"/>
      <c r="AQ108" s="73"/>
      <c r="AR108" s="73"/>
      <c r="AS108" s="73"/>
      <c r="AT108" s="73"/>
      <c r="AU108" s="37"/>
      <c r="AV108" s="73"/>
      <c r="AW108" s="73"/>
      <c r="AX108" s="73"/>
      <c r="AY108" s="73"/>
      <c r="AZ108" s="37"/>
      <c r="BA108" s="73"/>
      <c r="BB108" s="73"/>
      <c r="BC108" s="73"/>
      <c r="BD108" s="73"/>
      <c r="BE108" s="37"/>
      <c r="BF108" s="73"/>
      <c r="BG108" s="73"/>
      <c r="BH108" s="73"/>
      <c r="BI108" s="73"/>
      <c r="BJ108" s="37"/>
      <c r="BK108" s="73"/>
      <c r="BL108" s="73"/>
      <c r="BM108" s="73"/>
      <c r="BN108" s="73"/>
      <c r="BO108" s="37"/>
    </row>
    <row r="109" spans="1:202" ht="12" customHeight="1">
      <c r="A109" s="65" t="s">
        <v>126</v>
      </c>
      <c r="B109" s="133">
        <v>0.36</v>
      </c>
      <c r="C109" s="133"/>
      <c r="D109" s="133"/>
      <c r="E109" s="133"/>
      <c r="F109" s="133"/>
      <c r="G109" s="133">
        <v>0.36</v>
      </c>
      <c r="H109" s="133"/>
      <c r="I109" s="133"/>
      <c r="J109" s="133"/>
      <c r="K109" s="133"/>
      <c r="L109" s="133">
        <v>0.36</v>
      </c>
      <c r="M109" s="133"/>
      <c r="N109" s="133"/>
      <c r="O109" s="133"/>
      <c r="P109" s="133"/>
      <c r="Q109" s="133">
        <v>0.35899999999999999</v>
      </c>
      <c r="R109" s="133"/>
      <c r="S109" s="133"/>
      <c r="T109" s="133"/>
      <c r="U109" s="133"/>
      <c r="V109" s="133">
        <v>0.375</v>
      </c>
      <c r="W109" s="133"/>
      <c r="X109" s="133"/>
      <c r="Y109" s="133"/>
      <c r="Z109" s="133"/>
      <c r="AA109" s="133">
        <v>0.38800000000000001</v>
      </c>
      <c r="AB109" s="133"/>
      <c r="AC109" s="133"/>
      <c r="AD109" s="133"/>
      <c r="AE109" s="133"/>
      <c r="AF109" s="133">
        <v>0.40600000000000003</v>
      </c>
      <c r="AG109" s="112" t="s">
        <v>35</v>
      </c>
      <c r="AH109" s="112" t="s">
        <v>35</v>
      </c>
      <c r="AI109" s="112" t="s">
        <v>35</v>
      </c>
      <c r="AJ109" s="112" t="s">
        <v>35</v>
      </c>
      <c r="AK109" s="157">
        <v>0.42</v>
      </c>
      <c r="AL109" s="112" t="s">
        <v>35</v>
      </c>
      <c r="AM109" s="112" t="s">
        <v>35</v>
      </c>
      <c r="AN109" s="112" t="s">
        <v>35</v>
      </c>
      <c r="AO109" s="112" t="s">
        <v>35</v>
      </c>
      <c r="AP109" s="157">
        <v>0.44</v>
      </c>
      <c r="AQ109" s="112" t="s">
        <v>35</v>
      </c>
      <c r="AR109" s="112" t="s">
        <v>35</v>
      </c>
      <c r="AS109" s="112" t="s">
        <v>35</v>
      </c>
      <c r="AT109" s="112" t="s">
        <v>35</v>
      </c>
      <c r="AU109" s="157">
        <v>0.44</v>
      </c>
      <c r="AV109" s="112" t="s">
        <v>35</v>
      </c>
      <c r="AW109" s="112" t="s">
        <v>35</v>
      </c>
      <c r="AX109" s="73">
        <v>0.42099999999999999</v>
      </c>
      <c r="AY109" s="112" t="s">
        <v>35</v>
      </c>
      <c r="AZ109" s="200" t="s">
        <v>35</v>
      </c>
      <c r="BA109" s="112" t="s">
        <v>35</v>
      </c>
      <c r="BB109" s="112" t="s">
        <v>35</v>
      </c>
      <c r="BC109" s="73">
        <v>0.38200000000000001</v>
      </c>
      <c r="BD109" s="112" t="s">
        <v>35</v>
      </c>
      <c r="BE109" s="200" t="s">
        <v>35</v>
      </c>
      <c r="BF109" s="112" t="s">
        <v>35</v>
      </c>
      <c r="BG109" s="112" t="s">
        <v>35</v>
      </c>
      <c r="BH109" s="112" t="s">
        <v>35</v>
      </c>
      <c r="BI109" s="112" t="s">
        <v>35</v>
      </c>
      <c r="BJ109" s="37">
        <v>0.3</v>
      </c>
      <c r="BK109" s="112" t="s">
        <v>35</v>
      </c>
      <c r="BL109" s="112" t="s">
        <v>35</v>
      </c>
      <c r="BM109" s="112" t="s">
        <v>35</v>
      </c>
      <c r="BN109" s="112" t="s">
        <v>35</v>
      </c>
      <c r="BO109" s="37">
        <v>0.34</v>
      </c>
    </row>
    <row r="110" spans="1:202" ht="3.75" customHeight="1">
      <c r="A110" s="65"/>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12"/>
      <c r="AH110" s="112"/>
      <c r="AI110" s="112"/>
      <c r="AJ110" s="112"/>
      <c r="AK110" s="157"/>
      <c r="AL110" s="112"/>
      <c r="AM110" s="112"/>
      <c r="AN110" s="112"/>
      <c r="AO110" s="112"/>
      <c r="AP110" s="157"/>
      <c r="AQ110" s="112"/>
      <c r="AR110" s="112"/>
      <c r="AS110" s="112"/>
      <c r="AT110" s="112"/>
      <c r="AU110" s="157"/>
      <c r="AV110" s="112"/>
      <c r="AW110" s="112"/>
      <c r="AX110" s="112"/>
      <c r="AY110" s="112"/>
      <c r="AZ110" s="157"/>
      <c r="BA110" s="112"/>
      <c r="BB110" s="112"/>
      <c r="BC110" s="112"/>
      <c r="BD110" s="112"/>
      <c r="BE110" s="157"/>
      <c r="BF110" s="112"/>
      <c r="BG110" s="112"/>
      <c r="BH110" s="112"/>
      <c r="BI110" s="112"/>
      <c r="BJ110" s="157"/>
      <c r="BK110" s="112"/>
      <c r="BL110" s="112"/>
      <c r="BM110" s="112"/>
      <c r="BN110" s="112"/>
      <c r="BO110" s="157"/>
    </row>
    <row r="111" spans="1:202">
      <c r="A111" s="65" t="s">
        <v>127</v>
      </c>
      <c r="B111" s="133">
        <v>0.36</v>
      </c>
      <c r="C111" s="133"/>
      <c r="D111" s="133"/>
      <c r="E111" s="133"/>
      <c r="F111" s="133"/>
      <c r="G111" s="133">
        <v>0.36</v>
      </c>
      <c r="H111" s="133"/>
      <c r="I111" s="133"/>
      <c r="J111" s="133"/>
      <c r="K111" s="133"/>
      <c r="L111" s="133">
        <v>0.31</v>
      </c>
      <c r="M111" s="133"/>
      <c r="N111" s="133"/>
      <c r="O111" s="133"/>
      <c r="P111" s="133"/>
      <c r="Q111" s="133">
        <v>0.307</v>
      </c>
      <c r="R111" s="133"/>
      <c r="S111" s="133"/>
      <c r="T111" s="133"/>
      <c r="U111" s="133"/>
      <c r="V111" s="133">
        <v>0.3</v>
      </c>
      <c r="W111" s="133"/>
      <c r="X111" s="133"/>
      <c r="Y111" s="133"/>
      <c r="Z111" s="133"/>
      <c r="AA111" s="133">
        <v>0.246</v>
      </c>
      <c r="AB111" s="133"/>
      <c r="AC111" s="133"/>
      <c r="AD111" s="133"/>
      <c r="AE111" s="133"/>
      <c r="AF111" s="133">
        <v>0.21199999999999999</v>
      </c>
      <c r="AG111" s="112" t="s">
        <v>35</v>
      </c>
      <c r="AH111" s="112" t="s">
        <v>35</v>
      </c>
      <c r="AI111" s="112" t="s">
        <v>35</v>
      </c>
      <c r="AJ111" s="112" t="s">
        <v>35</v>
      </c>
      <c r="AK111" s="157">
        <v>0.23</v>
      </c>
      <c r="AL111" s="112" t="s">
        <v>35</v>
      </c>
      <c r="AM111" s="112" t="s">
        <v>35</v>
      </c>
      <c r="AN111" s="112" t="s">
        <v>35</v>
      </c>
      <c r="AO111" s="112" t="s">
        <v>35</v>
      </c>
      <c r="AP111" s="157">
        <v>0.21</v>
      </c>
      <c r="AQ111" s="112" t="s">
        <v>35</v>
      </c>
      <c r="AR111" s="112" t="s">
        <v>35</v>
      </c>
      <c r="AS111" s="112" t="s">
        <v>35</v>
      </c>
      <c r="AT111" s="112" t="s">
        <v>35</v>
      </c>
      <c r="AU111" s="157">
        <v>0.21</v>
      </c>
      <c r="AV111" s="112" t="s">
        <v>35</v>
      </c>
      <c r="AW111" s="112" t="s">
        <v>35</v>
      </c>
      <c r="AX111" s="112" t="s">
        <v>35</v>
      </c>
      <c r="AY111" s="112" t="s">
        <v>35</v>
      </c>
      <c r="AZ111" s="133">
        <v>0.25600000000000001</v>
      </c>
      <c r="BA111" s="112" t="s">
        <v>35</v>
      </c>
      <c r="BB111" s="112" t="s">
        <v>35</v>
      </c>
      <c r="BC111" s="112" t="s">
        <v>35</v>
      </c>
      <c r="BD111" s="112" t="s">
        <v>35</v>
      </c>
      <c r="BE111" s="133">
        <v>0.23300000000000001</v>
      </c>
      <c r="BF111" s="112" t="s">
        <v>35</v>
      </c>
      <c r="BG111" s="112" t="s">
        <v>35</v>
      </c>
      <c r="BH111" s="112" t="s">
        <v>35</v>
      </c>
      <c r="BI111" s="112" t="s">
        <v>35</v>
      </c>
      <c r="BJ111" s="133">
        <v>0.27</v>
      </c>
      <c r="BK111" s="112" t="s">
        <v>35</v>
      </c>
      <c r="BL111" s="112" t="s">
        <v>35</v>
      </c>
      <c r="BM111" s="112" t="s">
        <v>35</v>
      </c>
      <c r="BN111" s="112" t="s">
        <v>35</v>
      </c>
      <c r="BO111" s="133">
        <v>0.223</v>
      </c>
    </row>
    <row r="112" spans="1:202" s="44" customFormat="1" ht="3.75" customHeight="1">
      <c r="A112" s="88"/>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row>
    <row r="113" spans="1:202" s="25" customFormat="1" ht="20.25">
      <c r="A113" s="33" t="s">
        <v>20</v>
      </c>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row>
    <row r="114" spans="1:2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row>
    <row r="115" spans="1:202" s="41" customFormat="1" ht="12" customHeight="1">
      <c r="A115" s="38" t="s">
        <v>25</v>
      </c>
      <c r="B115" s="39"/>
      <c r="C115" s="40"/>
      <c r="D115" s="40"/>
      <c r="E115" s="40"/>
      <c r="F115" s="40"/>
      <c r="G115" s="39"/>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row>
    <row r="116" spans="1:202" s="32" customFormat="1">
      <c r="A116" s="65"/>
      <c r="B116" s="28"/>
      <c r="C116" s="65"/>
      <c r="D116" s="65"/>
      <c r="E116" s="65"/>
      <c r="F116" s="65"/>
      <c r="G116" s="28"/>
      <c r="H116" s="65"/>
      <c r="I116" s="65"/>
      <c r="J116" s="65"/>
      <c r="K116" s="65"/>
      <c r="L116" s="20"/>
      <c r="M116" s="65"/>
      <c r="N116" s="65"/>
      <c r="O116" s="65"/>
      <c r="P116" s="65"/>
      <c r="Q116" s="20"/>
      <c r="R116" s="65"/>
      <c r="S116" s="65"/>
      <c r="T116" s="65"/>
      <c r="U116" s="65"/>
      <c r="V116" s="20"/>
      <c r="W116" s="65"/>
      <c r="X116" s="65"/>
      <c r="Y116" s="65"/>
      <c r="Z116" s="65"/>
      <c r="AA116" s="20"/>
      <c r="AB116" s="65"/>
      <c r="AC116" s="65"/>
      <c r="AD116" s="65"/>
      <c r="AE116" s="65"/>
      <c r="AF116" s="20"/>
      <c r="AG116" s="65"/>
      <c r="AH116" s="65"/>
      <c r="AI116" s="65"/>
      <c r="AJ116" s="65"/>
      <c r="AK116" s="20"/>
      <c r="AL116" s="65"/>
      <c r="AM116" s="65"/>
      <c r="AN116" s="65"/>
      <c r="AO116" s="65"/>
      <c r="AP116" s="20"/>
      <c r="AQ116" s="65"/>
      <c r="AR116" s="65"/>
      <c r="AS116" s="65"/>
      <c r="AT116" s="65"/>
      <c r="AU116" s="20"/>
      <c r="AV116" s="65"/>
      <c r="AW116" s="65"/>
      <c r="AX116" s="65"/>
      <c r="AY116" s="65"/>
      <c r="AZ116" s="20"/>
      <c r="BA116" s="65"/>
      <c r="BB116" s="65"/>
      <c r="BC116" s="65"/>
      <c r="BD116" s="65"/>
      <c r="BE116" s="20"/>
      <c r="BF116" s="65"/>
      <c r="BG116" s="65"/>
      <c r="BH116" s="65"/>
      <c r="BI116" s="65"/>
      <c r="BJ116" s="20"/>
      <c r="BK116" s="65"/>
      <c r="BL116" s="65"/>
      <c r="BM116" s="65"/>
      <c r="BN116" s="65"/>
      <c r="BO116" s="20"/>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row>
    <row r="117" spans="1:202" s="2" customFormat="1">
      <c r="A117" s="65" t="s">
        <v>230</v>
      </c>
      <c r="B117" s="28">
        <v>549</v>
      </c>
      <c r="C117" s="65">
        <v>549</v>
      </c>
      <c r="D117" s="65">
        <v>551</v>
      </c>
      <c r="E117" s="65">
        <v>556</v>
      </c>
      <c r="F117" s="65">
        <v>560</v>
      </c>
      <c r="G117" s="28">
        <v>560</v>
      </c>
      <c r="H117" s="65">
        <v>560</v>
      </c>
      <c r="I117" s="65">
        <v>562</v>
      </c>
      <c r="J117" s="65">
        <v>567</v>
      </c>
      <c r="K117" s="66">
        <v>571</v>
      </c>
      <c r="L117" s="27">
        <v>571</v>
      </c>
      <c r="M117" s="65">
        <v>571</v>
      </c>
      <c r="N117" s="65">
        <v>573</v>
      </c>
      <c r="O117" s="65">
        <v>575</v>
      </c>
      <c r="P117" s="66">
        <v>578</v>
      </c>
      <c r="Q117" s="27">
        <v>578</v>
      </c>
      <c r="R117" s="65">
        <v>580</v>
      </c>
      <c r="S117" s="65">
        <v>581</v>
      </c>
      <c r="T117" s="65">
        <v>585</v>
      </c>
      <c r="U117" s="66">
        <v>586</v>
      </c>
      <c r="V117" s="27">
        <v>586</v>
      </c>
      <c r="W117" s="65">
        <v>585</v>
      </c>
      <c r="X117" s="65">
        <v>582</v>
      </c>
      <c r="Y117" s="65">
        <v>581</v>
      </c>
      <c r="Z117" s="66">
        <v>578</v>
      </c>
      <c r="AA117" s="27">
        <v>578</v>
      </c>
      <c r="AB117" s="65">
        <v>578</v>
      </c>
      <c r="AC117" s="65">
        <v>583</v>
      </c>
      <c r="AD117" s="65">
        <v>593</v>
      </c>
      <c r="AE117" s="66">
        <v>600</v>
      </c>
      <c r="AF117" s="27">
        <v>600</v>
      </c>
      <c r="AG117" s="65">
        <v>605</v>
      </c>
      <c r="AH117" s="65">
        <v>611</v>
      </c>
      <c r="AI117" s="65">
        <v>622</v>
      </c>
      <c r="AJ117" s="66">
        <v>630</v>
      </c>
      <c r="AK117" s="27">
        <v>630</v>
      </c>
      <c r="AL117" s="65">
        <v>632</v>
      </c>
      <c r="AM117" s="65">
        <v>636</v>
      </c>
      <c r="AN117" s="65">
        <v>637</v>
      </c>
      <c r="AO117" s="66">
        <v>635</v>
      </c>
      <c r="AP117" s="27">
        <v>635</v>
      </c>
      <c r="AQ117" s="65">
        <v>629</v>
      </c>
      <c r="AR117" s="65">
        <v>623</v>
      </c>
      <c r="AS117" s="65">
        <v>618</v>
      </c>
      <c r="AT117" s="66">
        <v>614</v>
      </c>
      <c r="AU117" s="27">
        <v>614</v>
      </c>
      <c r="AV117" s="65">
        <v>608</v>
      </c>
      <c r="AW117" s="65">
        <v>603</v>
      </c>
      <c r="AX117" s="65">
        <v>597</v>
      </c>
      <c r="AY117" s="66">
        <v>587</v>
      </c>
      <c r="AZ117" s="27">
        <v>587</v>
      </c>
      <c r="BA117" s="65">
        <v>580</v>
      </c>
      <c r="BB117" s="34">
        <v>582</v>
      </c>
      <c r="BC117" s="34">
        <v>584</v>
      </c>
      <c r="BD117" s="137">
        <f>BE117</f>
        <v>574</v>
      </c>
      <c r="BE117" s="203">
        <v>574</v>
      </c>
      <c r="BF117" s="65">
        <v>568</v>
      </c>
      <c r="BG117" s="34">
        <v>565</v>
      </c>
      <c r="BH117" s="34">
        <v>558</v>
      </c>
      <c r="BI117" s="137">
        <f>BJ117</f>
        <v>555</v>
      </c>
      <c r="BJ117" s="203">
        <v>555</v>
      </c>
      <c r="BK117" s="65">
        <v>556</v>
      </c>
      <c r="BL117" s="34">
        <v>557</v>
      </c>
      <c r="BM117" s="34">
        <v>556</v>
      </c>
      <c r="BN117" s="137">
        <v>557</v>
      </c>
      <c r="BO117" s="203">
        <v>557</v>
      </c>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P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L117" s="34"/>
      <c r="GM117" s="34"/>
      <c r="GN117" s="34"/>
      <c r="GO117" s="34"/>
      <c r="GP117" s="34"/>
      <c r="GQ117" s="34"/>
      <c r="GR117" s="34"/>
      <c r="GS117" s="34"/>
      <c r="GT117" s="34"/>
    </row>
    <row r="118" spans="1:202">
      <c r="A118" s="67" t="s">
        <v>7</v>
      </c>
      <c r="B118" s="23"/>
      <c r="C118" s="68"/>
      <c r="D118" s="68">
        <f>D117/C117-1</f>
        <v>3.6429872495447047E-3</v>
      </c>
      <c r="E118" s="68">
        <f>E117/D117-1</f>
        <v>9.0744101633393193E-3</v>
      </c>
      <c r="F118" s="68">
        <f>F117/E117-1</f>
        <v>7.194244604316502E-3</v>
      </c>
      <c r="G118" s="23"/>
      <c r="H118" s="68">
        <f>H117/F117-1</f>
        <v>0</v>
      </c>
      <c r="I118" s="68">
        <f>I117/H117-1</f>
        <v>3.5714285714285587E-3</v>
      </c>
      <c r="J118" s="68">
        <f>J117/I117-1</f>
        <v>8.8967971530249379E-3</v>
      </c>
      <c r="K118" s="68">
        <f>K117/J117-1</f>
        <v>7.0546737213403876E-3</v>
      </c>
      <c r="L118" s="26"/>
      <c r="M118" s="68">
        <f>M117/K117-1</f>
        <v>0</v>
      </c>
      <c r="N118" s="68">
        <f>N117/M117-1</f>
        <v>3.5026269702276291E-3</v>
      </c>
      <c r="O118" s="68">
        <f>O117/N117-1</f>
        <v>3.4904013961605251E-3</v>
      </c>
      <c r="P118" s="68">
        <f>P117/O117-1</f>
        <v>5.2173913043478404E-3</v>
      </c>
      <c r="Q118" s="26"/>
      <c r="R118" s="68">
        <f>R117/P117-1</f>
        <v>3.4602076124568004E-3</v>
      </c>
      <c r="S118" s="68">
        <f>S117/R117-1</f>
        <v>1.7241379310344307E-3</v>
      </c>
      <c r="T118" s="68">
        <f>T117/S117-1</f>
        <v>6.8846815834766595E-3</v>
      </c>
      <c r="U118" s="68">
        <f>U117/T117-1</f>
        <v>1.7094017094017033E-3</v>
      </c>
      <c r="V118" s="26"/>
      <c r="W118" s="68">
        <f>W117/U117-1</f>
        <v>-1.7064846416382506E-3</v>
      </c>
      <c r="X118" s="68">
        <f>X117/W117-1</f>
        <v>-5.12820512820511E-3</v>
      </c>
      <c r="Y118" s="68">
        <f>Y117/X117-1</f>
        <v>-1.7182130584192379E-3</v>
      </c>
      <c r="Z118" s="68">
        <f>Z117/Y117-1</f>
        <v>-5.1635111876076056E-3</v>
      </c>
      <c r="AA118" s="26"/>
      <c r="AB118" s="68">
        <f>AB117/Z117-1</f>
        <v>0</v>
      </c>
      <c r="AC118" s="68">
        <f>AC117/AB117-1</f>
        <v>8.65051903114189E-3</v>
      </c>
      <c r="AD118" s="68">
        <f>AD117/AC117-1</f>
        <v>1.7152658662092701E-2</v>
      </c>
      <c r="AE118" s="68">
        <f>AE117/AD117-1</f>
        <v>1.180438448566612E-2</v>
      </c>
      <c r="AF118" s="26"/>
      <c r="AG118" s="68">
        <f>AG117/AE117-1</f>
        <v>8.3333333333333037E-3</v>
      </c>
      <c r="AH118" s="68">
        <f>AH117/AG117-1</f>
        <v>9.917355371900749E-3</v>
      </c>
      <c r="AI118" s="68">
        <f>AI117/AH117-1</f>
        <v>1.8003273322422242E-2</v>
      </c>
      <c r="AJ118" s="68">
        <f>AJ117/AI117-1</f>
        <v>1.2861736334405238E-2</v>
      </c>
      <c r="AK118" s="26"/>
      <c r="AL118" s="68">
        <f>AL117/AJ117-1</f>
        <v>3.1746031746031633E-3</v>
      </c>
      <c r="AM118" s="68">
        <f>AM117/AL117-1</f>
        <v>6.3291139240506666E-3</v>
      </c>
      <c r="AN118" s="68">
        <f>AN117/AM117-1</f>
        <v>1.5723270440251014E-3</v>
      </c>
      <c r="AO118" s="68">
        <f>AO117/AN117-1</f>
        <v>-3.1397174254317317E-3</v>
      </c>
      <c r="AP118" s="26"/>
      <c r="AQ118" s="68">
        <f>AQ117/AO117-1</f>
        <v>-9.4488188976378229E-3</v>
      </c>
      <c r="AR118" s="68">
        <f>AR117/AQ117-1</f>
        <v>-9.5389507154213238E-3</v>
      </c>
      <c r="AS118" s="68">
        <f>AS117/AR117-1</f>
        <v>-8.0256821829856051E-3</v>
      </c>
      <c r="AT118" s="68">
        <f>AT117/AS117-1</f>
        <v>-6.4724919093851474E-3</v>
      </c>
      <c r="AU118" s="26"/>
      <c r="AV118" s="68">
        <f>AV117/AT117-1</f>
        <v>-9.7719869706840434E-3</v>
      </c>
      <c r="AW118" s="68">
        <f>AW117/AV117-1</f>
        <v>-8.2236842105263275E-3</v>
      </c>
      <c r="AX118" s="68">
        <f>AX117/AW117-1</f>
        <v>-9.9502487562188602E-3</v>
      </c>
      <c r="AY118" s="68">
        <f>AY117/AX117-1</f>
        <v>-1.675041876046901E-2</v>
      </c>
      <c r="AZ118" s="26"/>
      <c r="BA118" s="68">
        <f>BA117/AY117-1</f>
        <v>-1.1925042589437829E-2</v>
      </c>
      <c r="BB118" s="155">
        <f>BB117/BA117-1</f>
        <v>3.4482758620688614E-3</v>
      </c>
      <c r="BC118" s="155">
        <f>BC117/BB117-1</f>
        <v>3.4364261168384758E-3</v>
      </c>
      <c r="BD118" s="155">
        <f>BD117/BC117-1</f>
        <v>-1.7123287671232834E-2</v>
      </c>
      <c r="BE118" s="26"/>
      <c r="BF118" s="68">
        <f>BF117/BD117-1</f>
        <v>-1.0452961672473893E-2</v>
      </c>
      <c r="BG118" s="155">
        <f>BG117/BF117-1</f>
        <v>-5.2816901408451189E-3</v>
      </c>
      <c r="BH118" s="155">
        <f>BH117/BG117-1</f>
        <v>-1.2389380530973493E-2</v>
      </c>
      <c r="BI118" s="155">
        <f>BI117/BH117-1</f>
        <v>-5.3763440860215006E-3</v>
      </c>
      <c r="BJ118" s="26"/>
      <c r="BK118" s="68">
        <f>BK117/BI117-1</f>
        <v>1.8018018018017834E-3</v>
      </c>
      <c r="BL118" s="155">
        <f>BL117/BK117-1</f>
        <v>1.7985611510791255E-3</v>
      </c>
      <c r="BM118" s="155">
        <f>BM117/BL117-1</f>
        <v>-1.7953321364452268E-3</v>
      </c>
      <c r="BN118" s="155">
        <f>BN117/BM117-1</f>
        <v>1.7985611510791255E-3</v>
      </c>
      <c r="BO118" s="26"/>
    </row>
    <row r="119" spans="1:202">
      <c r="A119" s="67" t="s">
        <v>8</v>
      </c>
      <c r="B119" s="23"/>
      <c r="C119" s="69"/>
      <c r="D119" s="69"/>
      <c r="E119" s="69"/>
      <c r="F119" s="69"/>
      <c r="G119" s="23">
        <f t="shared" ref="G119:N119" si="244">G117/B117-1</f>
        <v>2.0036429872495543E-2</v>
      </c>
      <c r="H119" s="69">
        <f t="shared" si="244"/>
        <v>2.0036429872495543E-2</v>
      </c>
      <c r="I119" s="69">
        <f t="shared" si="244"/>
        <v>1.9963702359346636E-2</v>
      </c>
      <c r="J119" s="69">
        <f t="shared" si="244"/>
        <v>1.9784172661870603E-2</v>
      </c>
      <c r="K119" s="68">
        <f t="shared" si="244"/>
        <v>1.9642857142857073E-2</v>
      </c>
      <c r="L119" s="23">
        <f t="shared" si="244"/>
        <v>1.9642857142857073E-2</v>
      </c>
      <c r="M119" s="69">
        <f t="shared" si="244"/>
        <v>1.9642857142857073E-2</v>
      </c>
      <c r="N119" s="69">
        <f t="shared" si="244"/>
        <v>1.9572953736654908E-2</v>
      </c>
      <c r="O119" s="69">
        <f t="shared" ref="O119:Y119" si="245">O117/J117-1</f>
        <v>1.4109347442680775E-2</v>
      </c>
      <c r="P119" s="68">
        <f t="shared" si="245"/>
        <v>1.2259194395796813E-2</v>
      </c>
      <c r="Q119" s="23">
        <f t="shared" si="245"/>
        <v>1.2259194395796813E-2</v>
      </c>
      <c r="R119" s="69">
        <f t="shared" si="245"/>
        <v>1.5761821366024442E-2</v>
      </c>
      <c r="S119" s="69">
        <f t="shared" si="245"/>
        <v>1.3961605584642323E-2</v>
      </c>
      <c r="T119" s="69">
        <f t="shared" si="245"/>
        <v>1.7391304347825987E-2</v>
      </c>
      <c r="U119" s="68">
        <f t="shared" si="245"/>
        <v>1.384083044982698E-2</v>
      </c>
      <c r="V119" s="23">
        <f t="shared" si="245"/>
        <v>1.384083044982698E-2</v>
      </c>
      <c r="W119" s="69">
        <f t="shared" si="245"/>
        <v>8.6206896551723755E-3</v>
      </c>
      <c r="X119" s="69">
        <f t="shared" si="245"/>
        <v>1.7211703958692759E-3</v>
      </c>
      <c r="Y119" s="69">
        <f t="shared" si="245"/>
        <v>-6.8376068376068133E-3</v>
      </c>
      <c r="Z119" s="68">
        <f t="shared" ref="Z119:AI119" si="246">Z117/U117-1</f>
        <v>-1.3651877133105783E-2</v>
      </c>
      <c r="AA119" s="23">
        <f t="shared" si="246"/>
        <v>-1.3651877133105783E-2</v>
      </c>
      <c r="AB119" s="69">
        <f t="shared" si="246"/>
        <v>-1.1965811965811923E-2</v>
      </c>
      <c r="AC119" s="69">
        <f t="shared" si="246"/>
        <v>1.7182130584192379E-3</v>
      </c>
      <c r="AD119" s="69">
        <f t="shared" si="246"/>
        <v>2.06540447504302E-2</v>
      </c>
      <c r="AE119" s="68">
        <f t="shared" si="246"/>
        <v>3.8062283737024138E-2</v>
      </c>
      <c r="AF119" s="23">
        <f t="shared" si="246"/>
        <v>3.8062283737024138E-2</v>
      </c>
      <c r="AG119" s="69">
        <f t="shared" si="246"/>
        <v>4.6712802768166028E-2</v>
      </c>
      <c r="AH119" s="69">
        <f t="shared" si="246"/>
        <v>4.8027444253859297E-2</v>
      </c>
      <c r="AI119" s="69">
        <f t="shared" si="246"/>
        <v>4.8903878583473892E-2</v>
      </c>
      <c r="AJ119" s="68">
        <f t="shared" ref="AJ119:AS119" si="247">AJ117/AE117-1</f>
        <v>5.0000000000000044E-2</v>
      </c>
      <c r="AK119" s="23">
        <f t="shared" si="247"/>
        <v>5.0000000000000044E-2</v>
      </c>
      <c r="AL119" s="69">
        <f t="shared" si="247"/>
        <v>4.4628099173553704E-2</v>
      </c>
      <c r="AM119" s="69">
        <f t="shared" si="247"/>
        <v>4.0916530278232388E-2</v>
      </c>
      <c r="AN119" s="69">
        <f t="shared" si="247"/>
        <v>2.4115755627009738E-2</v>
      </c>
      <c r="AO119" s="68">
        <f t="shared" si="247"/>
        <v>7.9365079365079083E-3</v>
      </c>
      <c r="AP119" s="23">
        <f t="shared" si="247"/>
        <v>7.9365079365079083E-3</v>
      </c>
      <c r="AQ119" s="69">
        <f t="shared" si="247"/>
        <v>-4.746835443038E-3</v>
      </c>
      <c r="AR119" s="69">
        <f t="shared" si="247"/>
        <v>-2.0440251572327095E-2</v>
      </c>
      <c r="AS119" s="69">
        <f t="shared" si="247"/>
        <v>-2.9827315541601229E-2</v>
      </c>
      <c r="AT119" s="68">
        <f t="shared" ref="AT119" si="248">AT117/AO117-1</f>
        <v>-3.3070866141732269E-2</v>
      </c>
      <c r="AU119" s="23">
        <f t="shared" ref="AU119:AX119" si="249">AU117/AP117-1</f>
        <v>-3.3070866141732269E-2</v>
      </c>
      <c r="AV119" s="69">
        <f t="shared" si="249"/>
        <v>-3.3386327503974522E-2</v>
      </c>
      <c r="AW119" s="69">
        <f t="shared" si="249"/>
        <v>-3.2102728731942198E-2</v>
      </c>
      <c r="AX119" s="69">
        <f t="shared" si="249"/>
        <v>-3.398058252427183E-2</v>
      </c>
      <c r="AY119" s="68">
        <f t="shared" ref="AY119" si="250">AY117/AT117-1</f>
        <v>-4.3973941368078195E-2</v>
      </c>
      <c r="AZ119" s="23">
        <f t="shared" ref="AZ119:BC119" si="251">AZ117/AU117-1</f>
        <v>-4.3973941368078195E-2</v>
      </c>
      <c r="BA119" s="69">
        <f t="shared" si="251"/>
        <v>-4.6052631578947345E-2</v>
      </c>
      <c r="BB119" s="154">
        <f t="shared" si="251"/>
        <v>-3.4825870646766122E-2</v>
      </c>
      <c r="BC119" s="154">
        <f t="shared" si="251"/>
        <v>-2.1775544388609736E-2</v>
      </c>
      <c r="BD119" s="155">
        <f t="shared" ref="BD119" si="252">BD117/AY117-1</f>
        <v>-2.2146507666098825E-2</v>
      </c>
      <c r="BE119" s="23">
        <f t="shared" ref="BE119:BH119" si="253">BE117/AZ117-1</f>
        <v>-2.2146507666098825E-2</v>
      </c>
      <c r="BF119" s="69">
        <f t="shared" si="253"/>
        <v>-2.0689655172413834E-2</v>
      </c>
      <c r="BG119" s="154">
        <f t="shared" si="253"/>
        <v>-2.9209621993127155E-2</v>
      </c>
      <c r="BH119" s="154">
        <f t="shared" si="253"/>
        <v>-4.4520547945205435E-2</v>
      </c>
      <c r="BI119" s="155">
        <f t="shared" ref="BI119" si="254">BI117/BD117-1</f>
        <v>-3.3101045296167197E-2</v>
      </c>
      <c r="BJ119" s="23">
        <f t="shared" ref="BJ119:BM119" si="255">BJ117/BE117-1</f>
        <v>-3.3101045296167197E-2</v>
      </c>
      <c r="BK119" s="69">
        <f t="shared" si="255"/>
        <v>-2.1126760563380254E-2</v>
      </c>
      <c r="BL119" s="154">
        <f t="shared" si="255"/>
        <v>-1.415929203539823E-2</v>
      </c>
      <c r="BM119" s="154">
        <f t="shared" si="255"/>
        <v>-3.5842293906810374E-3</v>
      </c>
      <c r="BN119" s="155">
        <f t="shared" ref="BN119" si="256">BN117/BI117-1</f>
        <v>3.6036036036035668E-3</v>
      </c>
      <c r="BO119" s="23">
        <f t="shared" ref="BO119" si="257">BO117/BJ117-1</f>
        <v>3.6036036036035668E-3</v>
      </c>
    </row>
    <row r="120" spans="1:202" ht="11.65" customHeight="1">
      <c r="A120" s="67" t="s">
        <v>167</v>
      </c>
      <c r="B120" s="23"/>
      <c r="C120" s="69"/>
      <c r="D120" s="69"/>
      <c r="E120" s="69"/>
      <c r="F120" s="69"/>
      <c r="G120" s="23"/>
      <c r="H120" s="69"/>
      <c r="I120" s="69"/>
      <c r="J120" s="69"/>
      <c r="K120" s="68"/>
      <c r="L120" s="23"/>
      <c r="M120" s="69"/>
      <c r="N120" s="69"/>
      <c r="O120" s="69"/>
      <c r="P120" s="68"/>
      <c r="Q120" s="23"/>
      <c r="R120" s="69"/>
      <c r="S120" s="69"/>
      <c r="T120" s="69"/>
      <c r="U120" s="68"/>
      <c r="V120" s="23"/>
      <c r="W120" s="69"/>
      <c r="X120" s="69"/>
      <c r="Y120" s="69"/>
      <c r="Z120" s="68"/>
      <c r="AA120" s="23"/>
      <c r="AB120" s="69"/>
      <c r="AC120" s="69"/>
      <c r="AD120" s="69"/>
      <c r="AE120" s="68"/>
      <c r="AF120" s="23"/>
      <c r="AG120" s="69"/>
      <c r="AH120" s="69"/>
      <c r="AI120" s="69"/>
      <c r="AJ120" s="68"/>
      <c r="AK120" s="23"/>
      <c r="AL120" s="69"/>
      <c r="AM120" s="180">
        <f>AM117-AL117</f>
        <v>4</v>
      </c>
      <c r="AN120" s="180">
        <f t="shared" ref="AN120:AO120" si="258">AN117-AM117</f>
        <v>1</v>
      </c>
      <c r="AO120" s="180">
        <f t="shared" si="258"/>
        <v>-2</v>
      </c>
      <c r="AP120" s="181"/>
      <c r="AQ120" s="182">
        <f>AQ117-AO117</f>
        <v>-6</v>
      </c>
      <c r="AR120" s="182">
        <f>AR117-AQ117</f>
        <v>-6</v>
      </c>
      <c r="AS120" s="182">
        <f t="shared" ref="AS120:AT120" si="259">AS117-AR117</f>
        <v>-5</v>
      </c>
      <c r="AT120" s="182">
        <f t="shared" si="259"/>
        <v>-4</v>
      </c>
      <c r="AU120" s="183">
        <f>AU117-AP117</f>
        <v>-21</v>
      </c>
      <c r="AV120" s="182">
        <f>AV117-AT117</f>
        <v>-6</v>
      </c>
      <c r="AW120" s="182">
        <f>AW117-AV117</f>
        <v>-5</v>
      </c>
      <c r="AX120" s="182">
        <f>AX117-AW117</f>
        <v>-6</v>
      </c>
      <c r="AY120" s="182">
        <f t="shared" ref="AY120" si="260">AY117-AX117</f>
        <v>-10</v>
      </c>
      <c r="AZ120" s="183">
        <f>AZ117-AU117</f>
        <v>-27</v>
      </c>
      <c r="BA120" s="182">
        <f>BA117-AY117</f>
        <v>-7</v>
      </c>
      <c r="BB120" s="182">
        <f>BB117-BA117</f>
        <v>2</v>
      </c>
      <c r="BC120" s="182">
        <f>BC117-BB117</f>
        <v>2</v>
      </c>
      <c r="BD120" s="182">
        <f t="shared" ref="BD120" si="261">BD117-BC117</f>
        <v>-10</v>
      </c>
      <c r="BE120" s="183">
        <f>BE117-AZ117</f>
        <v>-13</v>
      </c>
      <c r="BF120" s="182">
        <f>BF117-BD117</f>
        <v>-6</v>
      </c>
      <c r="BG120" s="182">
        <f>BG117-BF117</f>
        <v>-3</v>
      </c>
      <c r="BH120" s="182">
        <f>BH117-BG117</f>
        <v>-7</v>
      </c>
      <c r="BI120" s="182">
        <f t="shared" ref="BI120" si="262">BI117-BH117</f>
        <v>-3</v>
      </c>
      <c r="BJ120" s="183">
        <f>BJ117-BE117</f>
        <v>-19</v>
      </c>
      <c r="BK120" s="182">
        <f>BK117-BI117</f>
        <v>1</v>
      </c>
      <c r="BL120" s="182">
        <f>BL117-BK117</f>
        <v>1</v>
      </c>
      <c r="BM120" s="182">
        <f>BM117-BL117</f>
        <v>-1</v>
      </c>
      <c r="BN120" s="182">
        <f t="shared" ref="BN120" si="263">BN117-BM117</f>
        <v>1</v>
      </c>
      <c r="BO120" s="183">
        <f>BO117-BJ117</f>
        <v>2</v>
      </c>
    </row>
    <row r="121" spans="1:202" ht="8.25" customHeight="1">
      <c r="A121" s="67"/>
      <c r="B121" s="23"/>
      <c r="C121" s="69"/>
      <c r="D121" s="69"/>
      <c r="E121" s="69"/>
      <c r="F121" s="69"/>
      <c r="G121" s="23"/>
      <c r="H121" s="69"/>
      <c r="I121" s="69"/>
      <c r="J121" s="69"/>
      <c r="K121" s="68"/>
      <c r="L121" s="23"/>
      <c r="M121" s="69"/>
      <c r="N121" s="69"/>
      <c r="O121" s="69"/>
      <c r="P121" s="68"/>
      <c r="Q121" s="23"/>
      <c r="R121" s="69"/>
      <c r="S121" s="69"/>
      <c r="T121" s="69"/>
      <c r="U121" s="68"/>
      <c r="V121" s="23"/>
      <c r="W121" s="69"/>
      <c r="X121" s="69"/>
      <c r="Y121" s="69"/>
      <c r="Z121" s="68"/>
      <c r="AA121" s="23"/>
      <c r="AB121" s="69"/>
      <c r="AC121" s="69"/>
      <c r="AD121" s="69"/>
      <c r="AE121" s="68"/>
      <c r="AF121" s="23"/>
      <c r="AG121" s="69"/>
      <c r="AH121" s="69"/>
      <c r="AI121" s="69"/>
      <c r="AJ121" s="68"/>
      <c r="AK121" s="23"/>
      <c r="AL121" s="69"/>
      <c r="AM121" s="78"/>
      <c r="AN121" s="78"/>
      <c r="AO121" s="68"/>
      <c r="AP121" s="23"/>
      <c r="AQ121" s="69"/>
      <c r="AR121" s="78"/>
      <c r="AS121" s="78"/>
      <c r="AT121" s="68"/>
      <c r="AU121" s="23"/>
      <c r="AV121" s="69"/>
      <c r="AW121" s="69"/>
      <c r="AX121" s="69"/>
      <c r="AY121" s="68"/>
      <c r="AZ121" s="23"/>
      <c r="BA121" s="69"/>
      <c r="BB121" s="154"/>
      <c r="BC121" s="154"/>
      <c r="BD121" s="155"/>
      <c r="BE121" s="23"/>
      <c r="BF121" s="69"/>
      <c r="BG121" s="154"/>
      <c r="BH121" s="154"/>
      <c r="BI121" s="155"/>
      <c r="BJ121" s="23"/>
      <c r="BK121" s="69"/>
      <c r="BL121" s="154"/>
      <c r="BM121" s="154"/>
      <c r="BN121" s="155"/>
      <c r="BO121" s="23"/>
    </row>
    <row r="122" spans="1:202">
      <c r="A122" s="65" t="s">
        <v>323</v>
      </c>
      <c r="B122" s="36">
        <v>217</v>
      </c>
      <c r="C122" s="65">
        <v>231</v>
      </c>
      <c r="D122" s="65">
        <v>230</v>
      </c>
      <c r="E122" s="65">
        <v>226</v>
      </c>
      <c r="F122" s="65">
        <v>225</v>
      </c>
      <c r="G122" s="36">
        <v>228</v>
      </c>
      <c r="H122" s="65">
        <v>228</v>
      </c>
      <c r="I122" s="65">
        <v>224</v>
      </c>
      <c r="J122" s="65">
        <v>224</v>
      </c>
      <c r="K122" s="66">
        <v>229</v>
      </c>
      <c r="L122" s="27">
        <v>226</v>
      </c>
      <c r="M122" s="65">
        <v>229</v>
      </c>
      <c r="N122" s="65">
        <v>231</v>
      </c>
      <c r="O122" s="65">
        <v>229</v>
      </c>
      <c r="P122" s="66">
        <v>231</v>
      </c>
      <c r="Q122" s="27">
        <v>230</v>
      </c>
      <c r="R122" s="65">
        <v>234</v>
      </c>
      <c r="S122" s="65">
        <v>232</v>
      </c>
      <c r="T122" s="65">
        <v>232</v>
      </c>
      <c r="U122" s="66">
        <v>229</v>
      </c>
      <c r="V122" s="27">
        <v>232</v>
      </c>
      <c r="W122" s="65">
        <v>237</v>
      </c>
      <c r="X122" s="65">
        <v>234</v>
      </c>
      <c r="Y122" s="65">
        <v>231</v>
      </c>
      <c r="Z122" s="66">
        <v>234</v>
      </c>
      <c r="AA122" s="27">
        <v>234</v>
      </c>
      <c r="AB122" s="65">
        <v>233</v>
      </c>
      <c r="AC122" s="65">
        <v>232</v>
      </c>
      <c r="AD122" s="65">
        <v>233</v>
      </c>
      <c r="AE122" s="66">
        <v>233</v>
      </c>
      <c r="AF122" s="27">
        <v>233</v>
      </c>
      <c r="AG122" s="65">
        <v>234</v>
      </c>
      <c r="AH122" s="65">
        <v>234</v>
      </c>
      <c r="AI122" s="65">
        <v>234</v>
      </c>
      <c r="AJ122" s="66">
        <v>234</v>
      </c>
      <c r="AK122" s="27">
        <v>234</v>
      </c>
      <c r="AL122" s="65">
        <v>232</v>
      </c>
      <c r="AM122" s="65">
        <v>231</v>
      </c>
      <c r="AN122" s="65">
        <v>233</v>
      </c>
      <c r="AO122" s="66">
        <v>235</v>
      </c>
      <c r="AP122" s="27">
        <v>233</v>
      </c>
      <c r="AQ122" s="65">
        <v>231</v>
      </c>
      <c r="AR122" s="65">
        <v>231</v>
      </c>
      <c r="AS122" s="65">
        <v>233</v>
      </c>
      <c r="AT122" s="66">
        <v>237</v>
      </c>
      <c r="AU122" s="27">
        <v>233</v>
      </c>
      <c r="AV122" s="65">
        <v>232</v>
      </c>
      <c r="AW122" s="65">
        <v>229</v>
      </c>
      <c r="AX122" s="65">
        <v>226</v>
      </c>
      <c r="AY122" s="66">
        <v>226</v>
      </c>
      <c r="AZ122" s="27">
        <v>228</v>
      </c>
      <c r="BA122" s="65">
        <v>214</v>
      </c>
      <c r="BB122" s="34">
        <v>215</v>
      </c>
      <c r="BC122" s="34">
        <v>210</v>
      </c>
      <c r="BD122" s="137">
        <v>206</v>
      </c>
      <c r="BE122" s="203">
        <v>211</v>
      </c>
      <c r="BF122" s="65">
        <v>200</v>
      </c>
      <c r="BG122" s="34">
        <v>197</v>
      </c>
      <c r="BH122" s="34">
        <v>195</v>
      </c>
      <c r="BI122" s="137">
        <v>195</v>
      </c>
      <c r="BJ122" s="203">
        <v>197</v>
      </c>
      <c r="BK122" s="65">
        <v>195</v>
      </c>
      <c r="BL122" s="34">
        <v>190</v>
      </c>
      <c r="BM122" s="34">
        <v>187</v>
      </c>
      <c r="BN122" s="137">
        <v>186</v>
      </c>
      <c r="BO122" s="203">
        <v>190</v>
      </c>
    </row>
    <row r="123" spans="1:202" ht="10.5" customHeight="1">
      <c r="A123" s="67" t="s">
        <v>7</v>
      </c>
      <c r="B123" s="23"/>
      <c r="C123" s="68"/>
      <c r="D123" s="68">
        <f>D122/C122-1</f>
        <v>-4.3290043290042934E-3</v>
      </c>
      <c r="E123" s="68">
        <f>E122/D122-1</f>
        <v>-1.7391304347826098E-2</v>
      </c>
      <c r="F123" s="68">
        <f>F122/E122-1</f>
        <v>-4.4247787610619538E-3</v>
      </c>
      <c r="G123" s="23"/>
      <c r="H123" s="68">
        <f>H122/F122-1</f>
        <v>1.3333333333333419E-2</v>
      </c>
      <c r="I123" s="68">
        <f>I122/H122-1</f>
        <v>-1.7543859649122862E-2</v>
      </c>
      <c r="J123" s="68">
        <f>J122/I122-1</f>
        <v>0</v>
      </c>
      <c r="K123" s="68">
        <f>K122/J122-1</f>
        <v>2.2321428571428603E-2</v>
      </c>
      <c r="L123" s="26"/>
      <c r="M123" s="68">
        <f>M122/K122-1</f>
        <v>0</v>
      </c>
      <c r="N123" s="68">
        <f>N122/M122-1</f>
        <v>8.733624454148492E-3</v>
      </c>
      <c r="O123" s="68">
        <f>O122/N122-1</f>
        <v>-8.6580086580086979E-3</v>
      </c>
      <c r="P123" s="68">
        <f>P122/O122-1</f>
        <v>8.733624454148492E-3</v>
      </c>
      <c r="Q123" s="26"/>
      <c r="R123" s="68">
        <f>R122/P122-1</f>
        <v>1.298701298701288E-2</v>
      </c>
      <c r="S123" s="68">
        <f>S122/R122-1</f>
        <v>-8.5470085470085166E-3</v>
      </c>
      <c r="T123" s="68">
        <f>T122/S122-1</f>
        <v>0</v>
      </c>
      <c r="U123" s="68">
        <f>U122/T122-1</f>
        <v>-1.2931034482758674E-2</v>
      </c>
      <c r="V123" s="26"/>
      <c r="W123" s="68">
        <f>W122/U122-1</f>
        <v>3.4934497816593968E-2</v>
      </c>
      <c r="X123" s="68">
        <f>X122/W122-1</f>
        <v>-1.2658227848101222E-2</v>
      </c>
      <c r="Y123" s="68">
        <f>Y122/X122-1</f>
        <v>-1.2820512820512775E-2</v>
      </c>
      <c r="Z123" s="68">
        <f>Z122/Y122-1</f>
        <v>1.298701298701288E-2</v>
      </c>
      <c r="AA123" s="26"/>
      <c r="AB123" s="68">
        <f>AB122/Z122-1</f>
        <v>-4.2735042735042583E-3</v>
      </c>
      <c r="AC123" s="68">
        <f>AC122/AB122-1</f>
        <v>-4.2918454935622075E-3</v>
      </c>
      <c r="AD123" s="68">
        <f>AD122/AC122-1</f>
        <v>4.3103448275862988E-3</v>
      </c>
      <c r="AE123" s="68">
        <f>AE122/AD122-1</f>
        <v>0</v>
      </c>
      <c r="AF123" s="26"/>
      <c r="AG123" s="68">
        <f>AG122/AE122-1</f>
        <v>4.2918454935623185E-3</v>
      </c>
      <c r="AH123" s="68">
        <f>AH122/AG122-1</f>
        <v>0</v>
      </c>
      <c r="AI123" s="68">
        <f>AI122/AH122-1</f>
        <v>0</v>
      </c>
      <c r="AJ123" s="68">
        <f>AJ122/AI122-1</f>
        <v>0</v>
      </c>
      <c r="AK123" s="26"/>
      <c r="AL123" s="68">
        <f>AL122/AJ122-1</f>
        <v>-8.5470085470085166E-3</v>
      </c>
      <c r="AM123" s="68">
        <f>AM122/AL122-1</f>
        <v>-4.3103448275861878E-3</v>
      </c>
      <c r="AN123" s="68">
        <f>AN122/AM122-1</f>
        <v>8.6580086580085869E-3</v>
      </c>
      <c r="AO123" s="68">
        <f>AO122/AN122-1</f>
        <v>8.5836909871244149E-3</v>
      </c>
      <c r="AP123" s="26"/>
      <c r="AQ123" s="68">
        <f>AQ122/AO122-1</f>
        <v>-1.7021276595744705E-2</v>
      </c>
      <c r="AR123" s="68">
        <f>AR122/AQ122-1</f>
        <v>0</v>
      </c>
      <c r="AS123" s="68">
        <f>AS122/AR122-1</f>
        <v>8.6580086580085869E-3</v>
      </c>
      <c r="AT123" s="68">
        <f>AT122/AS122-1</f>
        <v>1.716738197424883E-2</v>
      </c>
      <c r="AU123" s="26"/>
      <c r="AV123" s="68">
        <f>AV122/AT122-1</f>
        <v>-2.1097046413502074E-2</v>
      </c>
      <c r="AW123" s="68">
        <f>AW122/AV122-1</f>
        <v>-1.2931034482758674E-2</v>
      </c>
      <c r="AX123" s="68">
        <f>AX122/AW122-1</f>
        <v>-1.3100436681222738E-2</v>
      </c>
      <c r="AY123" s="68">
        <f>AY122/AX122-1</f>
        <v>0</v>
      </c>
      <c r="AZ123" s="26"/>
      <c r="BA123" s="68">
        <f>BA122/AY122-1</f>
        <v>-5.3097345132743334E-2</v>
      </c>
      <c r="BB123" s="155">
        <f>BB122/BA122-1</f>
        <v>4.6728971962617383E-3</v>
      </c>
      <c r="BC123" s="155">
        <f>BC122/BB122-1</f>
        <v>-2.3255813953488413E-2</v>
      </c>
      <c r="BD123" s="155">
        <f>BD122/BC122-1</f>
        <v>-1.9047619047619091E-2</v>
      </c>
      <c r="BE123" s="26"/>
      <c r="BF123" s="68">
        <f>BF122/BD122-1</f>
        <v>-2.9126213592232997E-2</v>
      </c>
      <c r="BG123" s="155">
        <f>BG122/BF122-1</f>
        <v>-1.5000000000000013E-2</v>
      </c>
      <c r="BH123" s="155">
        <f>BH122/BG122-1</f>
        <v>-1.0152284263959421E-2</v>
      </c>
      <c r="BI123" s="155">
        <f>BI122/BH122-1</f>
        <v>0</v>
      </c>
      <c r="BJ123" s="26"/>
      <c r="BK123" s="68">
        <f>BK122/BI122-1</f>
        <v>0</v>
      </c>
      <c r="BL123" s="155">
        <f>BL122/BK122-1</f>
        <v>-2.5641025641025661E-2</v>
      </c>
      <c r="BM123" s="155">
        <f>BM122/BL122-1</f>
        <v>-1.5789473684210575E-2</v>
      </c>
      <c r="BN123" s="155">
        <f>BN122/BM122-1</f>
        <v>-5.3475935828877219E-3</v>
      </c>
      <c r="BO123" s="26"/>
    </row>
    <row r="124" spans="1:202">
      <c r="A124" s="67" t="s">
        <v>8</v>
      </c>
      <c r="B124" s="23"/>
      <c r="C124" s="69"/>
      <c r="D124" s="69"/>
      <c r="E124" s="69"/>
      <c r="F124" s="69"/>
      <c r="G124" s="23">
        <f t="shared" ref="G124:N124" si="264">G122/B122-1</f>
        <v>5.0691244239631228E-2</v>
      </c>
      <c r="H124" s="69">
        <f t="shared" si="264"/>
        <v>-1.2987012987012991E-2</v>
      </c>
      <c r="I124" s="69">
        <f t="shared" si="264"/>
        <v>-2.6086956521739091E-2</v>
      </c>
      <c r="J124" s="69">
        <f t="shared" si="264"/>
        <v>-8.8495575221239076E-3</v>
      </c>
      <c r="K124" s="68">
        <f t="shared" si="264"/>
        <v>1.777777777777767E-2</v>
      </c>
      <c r="L124" s="23">
        <f t="shared" si="264"/>
        <v>-8.7719298245614308E-3</v>
      </c>
      <c r="M124" s="69">
        <f t="shared" si="264"/>
        <v>4.3859649122806044E-3</v>
      </c>
      <c r="N124" s="69">
        <f t="shared" si="264"/>
        <v>3.125E-2</v>
      </c>
      <c r="O124" s="69">
        <f t="shared" ref="O124:Y124" si="265">O122/J122-1</f>
        <v>2.2321428571428603E-2</v>
      </c>
      <c r="P124" s="68">
        <f t="shared" si="265"/>
        <v>8.733624454148492E-3</v>
      </c>
      <c r="Q124" s="23">
        <f t="shared" si="265"/>
        <v>1.7699115044247815E-2</v>
      </c>
      <c r="R124" s="69">
        <f t="shared" si="265"/>
        <v>2.1834061135371119E-2</v>
      </c>
      <c r="S124" s="69">
        <f t="shared" si="265"/>
        <v>4.3290043290042934E-3</v>
      </c>
      <c r="T124" s="69">
        <f t="shared" si="265"/>
        <v>1.3100436681222627E-2</v>
      </c>
      <c r="U124" s="68">
        <f t="shared" si="265"/>
        <v>-8.6580086580086979E-3</v>
      </c>
      <c r="V124" s="23">
        <f t="shared" si="265"/>
        <v>8.6956521739129933E-3</v>
      </c>
      <c r="W124" s="69">
        <f t="shared" si="265"/>
        <v>1.2820512820512775E-2</v>
      </c>
      <c r="X124" s="69">
        <f t="shared" si="265"/>
        <v>8.6206896551723755E-3</v>
      </c>
      <c r="Y124" s="69">
        <f t="shared" si="265"/>
        <v>-4.3103448275861878E-3</v>
      </c>
      <c r="Z124" s="68">
        <f>Z122/U122-1</f>
        <v>2.1834061135371119E-2</v>
      </c>
      <c r="AA124" s="23">
        <v>0.01</v>
      </c>
      <c r="AB124" s="69">
        <f t="shared" ref="AB124:AI124" si="266">AB122/W122-1</f>
        <v>-1.6877637130801704E-2</v>
      </c>
      <c r="AC124" s="69">
        <f t="shared" si="266"/>
        <v>-8.5470085470085166E-3</v>
      </c>
      <c r="AD124" s="69">
        <f t="shared" si="266"/>
        <v>8.6580086580085869E-3</v>
      </c>
      <c r="AE124" s="68">
        <f t="shared" si="266"/>
        <v>-4.2735042735042583E-3</v>
      </c>
      <c r="AF124" s="23">
        <f t="shared" si="266"/>
        <v>-4.2735042735042583E-3</v>
      </c>
      <c r="AG124" s="69">
        <f t="shared" si="266"/>
        <v>4.2918454935623185E-3</v>
      </c>
      <c r="AH124" s="69">
        <f t="shared" si="266"/>
        <v>8.6206896551723755E-3</v>
      </c>
      <c r="AI124" s="69">
        <f t="shared" si="266"/>
        <v>4.2918454935623185E-3</v>
      </c>
      <c r="AJ124" s="68">
        <f t="shared" ref="AJ124:AS124" si="267">AJ122/AE122-1</f>
        <v>4.2918454935623185E-3</v>
      </c>
      <c r="AK124" s="23">
        <f t="shared" si="267"/>
        <v>4.2918454935623185E-3</v>
      </c>
      <c r="AL124" s="69">
        <f t="shared" si="267"/>
        <v>-8.5470085470085166E-3</v>
      </c>
      <c r="AM124" s="69">
        <f t="shared" si="267"/>
        <v>-1.2820512820512775E-2</v>
      </c>
      <c r="AN124" s="69">
        <f t="shared" si="267"/>
        <v>-4.2735042735042583E-3</v>
      </c>
      <c r="AO124" s="68">
        <f t="shared" si="267"/>
        <v>4.2735042735042583E-3</v>
      </c>
      <c r="AP124" s="23">
        <f t="shared" si="267"/>
        <v>-4.2735042735042583E-3</v>
      </c>
      <c r="AQ124" s="69">
        <f t="shared" si="267"/>
        <v>-4.3103448275861878E-3</v>
      </c>
      <c r="AR124" s="69">
        <f t="shared" si="267"/>
        <v>0</v>
      </c>
      <c r="AS124" s="69">
        <f t="shared" si="267"/>
        <v>0</v>
      </c>
      <c r="AT124" s="68">
        <f t="shared" ref="AT124" si="268">AT122/AO122-1</f>
        <v>8.5106382978723527E-3</v>
      </c>
      <c r="AU124" s="23">
        <f t="shared" ref="AU124:AX124" si="269">AU122/AP122-1</f>
        <v>0</v>
      </c>
      <c r="AV124" s="69">
        <f t="shared" si="269"/>
        <v>4.3290043290042934E-3</v>
      </c>
      <c r="AW124" s="69">
        <f t="shared" si="269"/>
        <v>-8.6580086580086979E-3</v>
      </c>
      <c r="AX124" s="69">
        <f t="shared" si="269"/>
        <v>-3.0042918454935674E-2</v>
      </c>
      <c r="AY124" s="68">
        <f t="shared" ref="AY124" si="270">AY122/AT122-1</f>
        <v>-4.641350210970463E-2</v>
      </c>
      <c r="AZ124" s="23">
        <f t="shared" ref="AZ124:BC124" si="271">AZ122/AU122-1</f>
        <v>-2.1459227467811148E-2</v>
      </c>
      <c r="BA124" s="69">
        <f t="shared" si="271"/>
        <v>-7.7586206896551713E-2</v>
      </c>
      <c r="BB124" s="154">
        <f t="shared" si="271"/>
        <v>-6.1135371179039333E-2</v>
      </c>
      <c r="BC124" s="154">
        <f t="shared" si="271"/>
        <v>-7.0796460176991149E-2</v>
      </c>
      <c r="BD124" s="155">
        <f t="shared" ref="BD124" si="272">BD122/AY122-1</f>
        <v>-8.8495575221238965E-2</v>
      </c>
      <c r="BE124" s="23">
        <f t="shared" ref="BE124:BH124" si="273">BE122/AZ122-1</f>
        <v>-7.456140350877194E-2</v>
      </c>
      <c r="BF124" s="69">
        <f t="shared" si="273"/>
        <v>-6.5420560747663559E-2</v>
      </c>
      <c r="BG124" s="154">
        <f t="shared" si="273"/>
        <v>-8.3720930232558111E-2</v>
      </c>
      <c r="BH124" s="154">
        <f t="shared" si="273"/>
        <v>-7.1428571428571397E-2</v>
      </c>
      <c r="BI124" s="155">
        <f t="shared" ref="BI124" si="274">BI122/BD122-1</f>
        <v>-5.3398058252427161E-2</v>
      </c>
      <c r="BJ124" s="23">
        <f t="shared" ref="BJ124:BM124" si="275">BJ122/BE122-1</f>
        <v>-6.6350710900473953E-2</v>
      </c>
      <c r="BK124" s="69">
        <f t="shared" si="275"/>
        <v>-2.5000000000000022E-2</v>
      </c>
      <c r="BL124" s="154">
        <f t="shared" si="275"/>
        <v>-3.5532994923857864E-2</v>
      </c>
      <c r="BM124" s="154">
        <f t="shared" si="275"/>
        <v>-4.1025641025640991E-2</v>
      </c>
      <c r="BN124" s="155">
        <f t="shared" ref="BN124" si="276">BN122/BI122-1</f>
        <v>-4.6153846153846101E-2</v>
      </c>
      <c r="BO124" s="23">
        <f t="shared" ref="BO124" si="277">BO122/BJ122-1</f>
        <v>-3.5532994923857864E-2</v>
      </c>
    </row>
    <row r="125" spans="1:202" ht="9.75" customHeight="1">
      <c r="A125" s="67"/>
      <c r="B125" s="23"/>
      <c r="C125" s="69"/>
      <c r="D125" s="69"/>
      <c r="E125" s="69"/>
      <c r="F125" s="69"/>
      <c r="G125" s="23"/>
      <c r="H125" s="69"/>
      <c r="I125" s="69"/>
      <c r="J125" s="69"/>
      <c r="K125" s="68"/>
      <c r="L125" s="23"/>
      <c r="M125" s="69"/>
      <c r="N125" s="69"/>
      <c r="O125" s="69"/>
      <c r="P125" s="68"/>
      <c r="Q125" s="23"/>
      <c r="R125" s="69"/>
      <c r="S125" s="69"/>
      <c r="T125" s="69"/>
      <c r="U125" s="68"/>
      <c r="V125" s="23"/>
      <c r="W125" s="69"/>
      <c r="X125" s="69"/>
      <c r="Y125" s="69"/>
      <c r="Z125" s="68"/>
      <c r="AA125" s="23"/>
      <c r="AB125" s="69"/>
      <c r="AC125" s="69"/>
      <c r="AD125" s="69"/>
      <c r="AE125" s="68"/>
      <c r="AF125" s="23"/>
      <c r="AG125" s="69"/>
      <c r="AH125" s="69"/>
      <c r="AI125" s="69"/>
      <c r="AJ125" s="68"/>
      <c r="AK125" s="23"/>
      <c r="AL125" s="69"/>
      <c r="AM125" s="69"/>
      <c r="AN125" s="69"/>
      <c r="AO125" s="68"/>
      <c r="AP125" s="23"/>
      <c r="AQ125" s="69"/>
      <c r="AR125" s="69"/>
      <c r="AS125" s="69"/>
      <c r="AT125" s="68"/>
      <c r="AU125" s="23"/>
      <c r="AV125" s="69"/>
      <c r="AW125" s="69"/>
      <c r="AX125" s="69"/>
      <c r="AY125" s="68"/>
      <c r="AZ125" s="23"/>
      <c r="BA125" s="69"/>
      <c r="BB125" s="154"/>
      <c r="BC125" s="154"/>
      <c r="BD125" s="155"/>
      <c r="BE125" s="23"/>
      <c r="BF125" s="69"/>
      <c r="BG125" s="154"/>
      <c r="BH125" s="154"/>
      <c r="BI125" s="155"/>
      <c r="BJ125" s="23"/>
      <c r="BK125" s="69"/>
      <c r="BL125" s="154"/>
      <c r="BM125" s="154"/>
      <c r="BN125" s="155"/>
      <c r="BO125" s="23"/>
    </row>
    <row r="126" spans="1:202">
      <c r="A126" s="65" t="s">
        <v>131</v>
      </c>
      <c r="B126" s="92" t="s">
        <v>40</v>
      </c>
      <c r="C126" s="75" t="s">
        <v>40</v>
      </c>
      <c r="D126" s="75" t="s">
        <v>40</v>
      </c>
      <c r="E126" s="75" t="s">
        <v>40</v>
      </c>
      <c r="F126" s="75" t="s">
        <v>40</v>
      </c>
      <c r="G126" s="92" t="s">
        <v>40</v>
      </c>
      <c r="H126" s="85">
        <v>3.6999999999999998E-2</v>
      </c>
      <c r="I126" s="85">
        <v>3.1E-2</v>
      </c>
      <c r="J126" s="85">
        <v>3.3000000000000002E-2</v>
      </c>
      <c r="K126" s="85">
        <v>3.2000000000000001E-2</v>
      </c>
      <c r="L126" s="37">
        <v>0.13300000000000001</v>
      </c>
      <c r="M126" s="85">
        <v>3.5000000000000003E-2</v>
      </c>
      <c r="N126" s="85">
        <v>3.1E-2</v>
      </c>
      <c r="O126" s="85">
        <v>3.3000000000000002E-2</v>
      </c>
      <c r="P126" s="85">
        <v>3.1E-2</v>
      </c>
      <c r="Q126" s="37">
        <v>0.13</v>
      </c>
      <c r="R126" s="85">
        <v>3.3000000000000002E-2</v>
      </c>
      <c r="S126" s="85">
        <v>2.9000000000000001E-2</v>
      </c>
      <c r="T126" s="85">
        <v>2.8000000000000001E-2</v>
      </c>
      <c r="U126" s="85">
        <v>2.8000000000000001E-2</v>
      </c>
      <c r="V126" s="37">
        <v>0.11899999999999999</v>
      </c>
      <c r="W126" s="85">
        <v>3.5999999999999997E-2</v>
      </c>
      <c r="X126" s="85">
        <v>3.9E-2</v>
      </c>
      <c r="Y126" s="85">
        <v>4.1000000000000002E-2</v>
      </c>
      <c r="Z126" s="85">
        <v>3.7999999999999999E-2</v>
      </c>
      <c r="AA126" s="133">
        <v>0.154</v>
      </c>
      <c r="AB126" s="85">
        <v>3.7999999999999999E-2</v>
      </c>
      <c r="AC126" s="85">
        <v>3.2000000000000001E-2</v>
      </c>
      <c r="AD126" s="85">
        <v>3.4000000000000002E-2</v>
      </c>
      <c r="AE126" s="85">
        <v>0.03</v>
      </c>
      <c r="AF126" s="133">
        <v>0.13500000000000001</v>
      </c>
      <c r="AG126" s="85">
        <v>3.5999999999999997E-2</v>
      </c>
      <c r="AH126" s="85">
        <v>3.1E-2</v>
      </c>
      <c r="AI126" s="85">
        <v>3.2000000000000001E-2</v>
      </c>
      <c r="AJ126" s="85">
        <v>2.9000000000000001E-2</v>
      </c>
      <c r="AK126" s="133">
        <v>0.128</v>
      </c>
      <c r="AL126" s="156">
        <v>3.4000000000000002E-2</v>
      </c>
      <c r="AM126" s="85">
        <v>3.1E-2</v>
      </c>
      <c r="AN126" s="85">
        <v>3.9E-2</v>
      </c>
      <c r="AO126" s="85">
        <v>3.5000000000000003E-2</v>
      </c>
      <c r="AP126" s="133">
        <v>0.13900000000000001</v>
      </c>
      <c r="AQ126" s="156">
        <v>4.2000000000000003E-2</v>
      </c>
      <c r="AR126" s="85">
        <v>3.5999999999999997E-2</v>
      </c>
      <c r="AS126" s="85">
        <v>4.4999999999999998E-2</v>
      </c>
      <c r="AT126" s="85">
        <f>AU126-AS126-AR126-AQ126</f>
        <v>3.6000000000000011E-2</v>
      </c>
      <c r="AU126" s="133">
        <v>0.159</v>
      </c>
      <c r="AV126" s="156">
        <v>4.2999999999999997E-2</v>
      </c>
      <c r="AW126" s="156">
        <v>3.7999999999999999E-2</v>
      </c>
      <c r="AX126" s="156">
        <v>4.8000000000000001E-2</v>
      </c>
      <c r="AY126" s="85">
        <v>5.8999999999999997E-2</v>
      </c>
      <c r="AZ126" s="133">
        <v>0.188</v>
      </c>
      <c r="BA126" s="156">
        <v>6.0999999999999999E-2</v>
      </c>
      <c r="BB126" s="156">
        <v>4.7E-2</v>
      </c>
      <c r="BC126" s="156">
        <v>5.0999999999999997E-2</v>
      </c>
      <c r="BD126" s="156">
        <f>BE126-BC126-BB126-BA126</f>
        <v>5.6000000000000008E-2</v>
      </c>
      <c r="BE126" s="133">
        <v>0.215</v>
      </c>
      <c r="BF126" s="156">
        <v>5.6000000000000001E-2</v>
      </c>
      <c r="BG126" s="156">
        <v>4.9000000000000002E-2</v>
      </c>
      <c r="BH126" s="156">
        <v>5.5E-2</v>
      </c>
      <c r="BI126" s="156">
        <f>BJ126-BF126-BG126-BH126</f>
        <v>5.1999999999999998E-2</v>
      </c>
      <c r="BJ126" s="133">
        <v>0.21199999999999999</v>
      </c>
      <c r="BK126" s="156">
        <v>5.8999999999999997E-2</v>
      </c>
      <c r="BL126" s="156">
        <v>4.8000000000000001E-2</v>
      </c>
      <c r="BM126" s="156">
        <v>5.3999999999999999E-2</v>
      </c>
      <c r="BN126" s="156">
        <f>BO126-BK126-BL126-BM126</f>
        <v>4.8999999999999995E-2</v>
      </c>
      <c r="BO126" s="133">
        <v>0.21</v>
      </c>
    </row>
    <row r="127" spans="1:202" ht="8.25" customHeight="1">
      <c r="A127" s="65"/>
      <c r="B127" s="92"/>
      <c r="C127" s="75"/>
      <c r="D127" s="75"/>
      <c r="E127" s="75"/>
      <c r="F127" s="75"/>
      <c r="G127" s="92"/>
      <c r="H127" s="85"/>
      <c r="I127" s="85"/>
      <c r="J127" s="85"/>
      <c r="K127" s="85"/>
      <c r="L127" s="37"/>
      <c r="M127" s="85"/>
      <c r="N127" s="85"/>
      <c r="O127" s="85"/>
      <c r="P127" s="85"/>
      <c r="Q127" s="37"/>
      <c r="R127" s="85"/>
      <c r="S127" s="85"/>
      <c r="T127" s="85"/>
      <c r="U127" s="85"/>
      <c r="V127" s="37"/>
      <c r="W127" s="85"/>
      <c r="X127" s="85"/>
      <c r="Y127" s="85"/>
      <c r="Z127" s="85"/>
      <c r="AA127" s="26"/>
      <c r="AB127" s="85"/>
      <c r="AC127" s="85"/>
      <c r="AD127" s="85"/>
      <c r="AE127" s="85"/>
      <c r="AF127" s="26"/>
      <c r="AG127" s="85"/>
      <c r="AH127" s="85"/>
      <c r="AI127" s="85"/>
      <c r="AJ127" s="85"/>
      <c r="AK127" s="26"/>
      <c r="AL127" s="85"/>
      <c r="AM127" s="85"/>
      <c r="AN127" s="85"/>
      <c r="AO127" s="85"/>
      <c r="AP127" s="26"/>
      <c r="AQ127" s="85"/>
      <c r="AR127" s="85"/>
      <c r="AS127" s="85"/>
      <c r="AT127" s="85"/>
      <c r="AU127" s="26"/>
      <c r="AV127" s="85"/>
      <c r="AW127" s="85"/>
      <c r="AX127" s="85"/>
      <c r="AY127" s="85"/>
      <c r="AZ127" s="26"/>
      <c r="BA127" s="85"/>
      <c r="BB127" s="85"/>
      <c r="BC127" s="85"/>
      <c r="BD127" s="85"/>
      <c r="BE127" s="26"/>
      <c r="BF127" s="85"/>
      <c r="BG127" s="85"/>
      <c r="BH127" s="85"/>
      <c r="BI127" s="85"/>
      <c r="BJ127" s="26"/>
      <c r="BK127" s="85"/>
      <c r="BL127" s="85"/>
      <c r="BM127" s="85"/>
      <c r="BN127" s="85"/>
      <c r="BO127" s="26"/>
    </row>
    <row r="128" spans="1:202">
      <c r="A128" s="65" t="s">
        <v>17</v>
      </c>
      <c r="B128" s="92" t="s">
        <v>40</v>
      </c>
      <c r="C128" s="75"/>
      <c r="D128" s="75"/>
      <c r="E128" s="75"/>
      <c r="F128" s="75"/>
      <c r="G128" s="132">
        <v>1999</v>
      </c>
      <c r="H128" s="85"/>
      <c r="I128" s="85"/>
      <c r="J128" s="85"/>
      <c r="K128" s="85"/>
      <c r="L128" s="132">
        <v>2158</v>
      </c>
      <c r="M128" s="85"/>
      <c r="N128" s="85"/>
      <c r="O128" s="85"/>
      <c r="P128" s="85"/>
      <c r="Q128" s="132">
        <v>2229</v>
      </c>
      <c r="R128" s="112" t="s">
        <v>35</v>
      </c>
      <c r="S128" s="112" t="s">
        <v>35</v>
      </c>
      <c r="T128" s="112" t="s">
        <v>35</v>
      </c>
      <c r="U128" s="112" t="s">
        <v>35</v>
      </c>
      <c r="V128" s="132">
        <v>2227</v>
      </c>
      <c r="W128" s="112" t="s">
        <v>35</v>
      </c>
      <c r="X128" s="112" t="s">
        <v>35</v>
      </c>
      <c r="Y128" s="112" t="s">
        <v>35</v>
      </c>
      <c r="Z128" s="112" t="s">
        <v>35</v>
      </c>
      <c r="AA128" s="132">
        <v>2276</v>
      </c>
      <c r="AB128" s="112" t="s">
        <v>35</v>
      </c>
      <c r="AC128" s="112" t="s">
        <v>35</v>
      </c>
      <c r="AD128" s="112" t="s">
        <v>35</v>
      </c>
      <c r="AE128" s="112" t="s">
        <v>35</v>
      </c>
      <c r="AF128" s="132">
        <v>2208</v>
      </c>
      <c r="AG128" s="112" t="s">
        <v>35</v>
      </c>
      <c r="AH128" s="112" t="s">
        <v>35</v>
      </c>
      <c r="AI128" s="112" t="s">
        <v>35</v>
      </c>
      <c r="AJ128" s="66">
        <v>2042</v>
      </c>
      <c r="AK128" s="132">
        <v>2042</v>
      </c>
      <c r="AL128" s="112" t="s">
        <v>35</v>
      </c>
      <c r="AM128" s="112" t="s">
        <v>35</v>
      </c>
      <c r="AN128" s="112" t="s">
        <v>35</v>
      </c>
      <c r="AO128" s="66">
        <v>1984</v>
      </c>
      <c r="AP128" s="132">
        <v>1984</v>
      </c>
      <c r="AQ128" s="112" t="s">
        <v>35</v>
      </c>
      <c r="AR128" s="112" t="s">
        <v>35</v>
      </c>
      <c r="AS128" s="112" t="s">
        <v>35</v>
      </c>
      <c r="AT128" s="66">
        <v>1753</v>
      </c>
      <c r="AU128" s="132">
        <v>1753</v>
      </c>
      <c r="AV128" s="112" t="s">
        <v>35</v>
      </c>
      <c r="AW128" s="112" t="s">
        <v>35</v>
      </c>
      <c r="AX128" s="112" t="s">
        <v>35</v>
      </c>
      <c r="AY128" s="66">
        <v>1680</v>
      </c>
      <c r="AZ128" s="132">
        <v>1680</v>
      </c>
      <c r="BA128" s="112" t="s">
        <v>35</v>
      </c>
      <c r="BB128" s="112" t="s">
        <v>35</v>
      </c>
      <c r="BC128" s="112" t="s">
        <v>35</v>
      </c>
      <c r="BD128" s="66">
        <v>1532</v>
      </c>
      <c r="BE128" s="132">
        <v>1532</v>
      </c>
      <c r="BF128" s="112" t="s">
        <v>35</v>
      </c>
      <c r="BG128" s="66">
        <v>1350</v>
      </c>
      <c r="BH128" s="112" t="s">
        <v>35</v>
      </c>
      <c r="BI128" s="66">
        <f>BJ128</f>
        <v>1335</v>
      </c>
      <c r="BJ128" s="132">
        <v>1335</v>
      </c>
      <c r="BK128" s="112" t="s">
        <v>35</v>
      </c>
      <c r="BL128" s="112" t="s">
        <v>35</v>
      </c>
      <c r="BM128" s="112" t="s">
        <v>35</v>
      </c>
      <c r="BN128" s="66">
        <f>BO128</f>
        <v>1229</v>
      </c>
      <c r="BO128" s="132">
        <v>1229</v>
      </c>
    </row>
    <row r="129" spans="1:202" ht="12.75" customHeight="1">
      <c r="A129" s="67" t="s">
        <v>8</v>
      </c>
      <c r="B129" s="23"/>
      <c r="C129" s="69"/>
      <c r="D129" s="69"/>
      <c r="E129" s="69"/>
      <c r="F129" s="69"/>
      <c r="G129" s="23"/>
      <c r="H129" s="69"/>
      <c r="I129" s="69"/>
      <c r="J129" s="69"/>
      <c r="K129" s="68"/>
      <c r="L129" s="23">
        <f>L128/G128-1</f>
        <v>7.9539769884942491E-2</v>
      </c>
      <c r="M129" s="69"/>
      <c r="N129" s="69"/>
      <c r="O129" s="69"/>
      <c r="P129" s="68"/>
      <c r="Q129" s="23">
        <f>Q128/L128-1</f>
        <v>3.2900834105653365E-2</v>
      </c>
      <c r="R129" s="69"/>
      <c r="S129" s="69"/>
      <c r="T129" s="69"/>
      <c r="U129" s="68"/>
      <c r="V129" s="23">
        <f>V128/Q128-1</f>
        <v>-8.9726334679229858E-4</v>
      </c>
      <c r="W129" s="69"/>
      <c r="X129" s="69"/>
      <c r="Y129" s="69"/>
      <c r="Z129" s="68"/>
      <c r="AA129" s="23">
        <f>AA128/V128-1</f>
        <v>2.2002694207454043E-2</v>
      </c>
      <c r="AB129" s="69"/>
      <c r="AC129" s="69"/>
      <c r="AD129" s="69"/>
      <c r="AE129" s="68"/>
      <c r="AF129" s="23">
        <f>AF128/AA128-1</f>
        <v>-2.9876977152899831E-2</v>
      </c>
      <c r="AG129" s="69"/>
      <c r="AH129" s="69"/>
      <c r="AI129" s="69"/>
      <c r="AJ129" s="68"/>
      <c r="AK129" s="23">
        <f>AK128/AF128-1</f>
        <v>-7.51811594202898E-2</v>
      </c>
      <c r="AL129" s="69"/>
      <c r="AM129" s="69"/>
      <c r="AN129" s="69"/>
      <c r="AO129" s="68"/>
      <c r="AP129" s="23">
        <f>AP128/AK128-1</f>
        <v>-2.8403525954946107E-2</v>
      </c>
      <c r="AQ129" s="69"/>
      <c r="AR129" s="69"/>
      <c r="AS129" s="69"/>
      <c r="AT129" s="68"/>
      <c r="AU129" s="23">
        <f>AU128/AP128-1</f>
        <v>-0.11643145161290325</v>
      </c>
      <c r="AV129" s="69"/>
      <c r="AW129" s="69"/>
      <c r="AX129" s="69"/>
      <c r="AY129" s="68"/>
      <c r="AZ129" s="23">
        <f>AZ128/AU128-1</f>
        <v>-4.164289788933262E-2</v>
      </c>
      <c r="BA129" s="69"/>
      <c r="BB129" s="69"/>
      <c r="BC129" s="69"/>
      <c r="BD129" s="68"/>
      <c r="BE129" s="23">
        <f>BE128/AZ128-1</f>
        <v>-8.8095238095238115E-2</v>
      </c>
      <c r="BF129" s="69"/>
      <c r="BG129" s="69"/>
      <c r="BH129" s="69"/>
      <c r="BI129" s="68"/>
      <c r="BJ129" s="23">
        <f>BJ128/BE128-1</f>
        <v>-0.12859007832898173</v>
      </c>
      <c r="BK129" s="69"/>
      <c r="BL129" s="69"/>
      <c r="BM129" s="69"/>
      <c r="BN129" s="68"/>
      <c r="BO129" s="23">
        <f>BO128/BJ128-1</f>
        <v>-7.940074906367045E-2</v>
      </c>
    </row>
    <row r="130" spans="1:202" s="44" customFormat="1" ht="4.5" customHeight="1">
      <c r="A130" s="85"/>
      <c r="B130" s="157"/>
      <c r="C130" s="85"/>
      <c r="D130" s="85"/>
      <c r="E130" s="85"/>
      <c r="F130" s="85"/>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85"/>
      <c r="AC130" s="85"/>
      <c r="AD130" s="85"/>
      <c r="AE130" s="85"/>
      <c r="AF130" s="157"/>
      <c r="AG130" s="85"/>
      <c r="AH130" s="85"/>
      <c r="AI130" s="85"/>
      <c r="AJ130" s="85"/>
      <c r="AK130" s="157"/>
      <c r="AL130" s="85"/>
      <c r="AM130" s="85"/>
      <c r="AN130" s="85"/>
      <c r="AO130" s="85"/>
      <c r="AP130" s="157"/>
      <c r="AQ130" s="85"/>
      <c r="AR130" s="85"/>
      <c r="AS130" s="85"/>
      <c r="AT130" s="85"/>
      <c r="AU130" s="157"/>
      <c r="AV130" s="85"/>
      <c r="AW130" s="85"/>
      <c r="AX130" s="85"/>
      <c r="AY130" s="85"/>
      <c r="AZ130" s="157"/>
      <c r="BA130" s="85"/>
      <c r="BB130" s="85"/>
      <c r="BC130" s="85"/>
      <c r="BD130" s="85"/>
      <c r="BE130" s="157"/>
      <c r="BF130" s="85"/>
      <c r="BG130" s="85"/>
      <c r="BH130" s="85"/>
      <c r="BI130" s="85"/>
      <c r="BJ130" s="157"/>
      <c r="BK130" s="85"/>
      <c r="BL130" s="85"/>
      <c r="BM130" s="85"/>
      <c r="BN130" s="85"/>
      <c r="BO130" s="157"/>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row>
    <row r="131" spans="1:202" s="158" customFormat="1" ht="14.25" customHeight="1">
      <c r="A131" s="65" t="s">
        <v>128</v>
      </c>
      <c r="B131" s="157">
        <v>0.37</v>
      </c>
      <c r="C131" s="69"/>
      <c r="D131" s="69"/>
      <c r="E131" s="69"/>
      <c r="F131" s="69"/>
      <c r="G131" s="157">
        <v>0.38</v>
      </c>
      <c r="H131" s="157"/>
      <c r="I131" s="157"/>
      <c r="J131" s="157"/>
      <c r="K131" s="157"/>
      <c r="L131" s="157">
        <v>0.38</v>
      </c>
      <c r="M131" s="157"/>
      <c r="N131" s="157"/>
      <c r="O131" s="157"/>
      <c r="P131" s="157"/>
      <c r="Q131" s="157">
        <v>0.39</v>
      </c>
      <c r="R131" s="157"/>
      <c r="S131" s="157"/>
      <c r="T131" s="157"/>
      <c r="U131" s="157"/>
      <c r="V131" s="157">
        <v>0.4</v>
      </c>
      <c r="W131" s="157"/>
      <c r="X131" s="157"/>
      <c r="Y131" s="157"/>
      <c r="Z131" s="157"/>
      <c r="AA131" s="157">
        <v>0.39</v>
      </c>
      <c r="AB131" s="69"/>
      <c r="AC131" s="69"/>
      <c r="AD131" s="69"/>
      <c r="AE131" s="69"/>
      <c r="AF131" s="157">
        <v>0.4</v>
      </c>
      <c r="AG131" s="112" t="s">
        <v>35</v>
      </c>
      <c r="AH131" s="112" t="s">
        <v>35</v>
      </c>
      <c r="AI131" s="112" t="s">
        <v>35</v>
      </c>
      <c r="AJ131" s="112" t="s">
        <v>35</v>
      </c>
      <c r="AK131" s="157">
        <v>0.42</v>
      </c>
      <c r="AL131" s="112" t="s">
        <v>35</v>
      </c>
      <c r="AM131" s="112" t="s">
        <v>35</v>
      </c>
      <c r="AN131" s="112" t="s">
        <v>35</v>
      </c>
      <c r="AO131" s="112" t="s">
        <v>35</v>
      </c>
      <c r="AP131" s="157">
        <v>0.42</v>
      </c>
      <c r="AQ131" s="112" t="s">
        <v>35</v>
      </c>
      <c r="AR131" s="112" t="s">
        <v>35</v>
      </c>
      <c r="AS131" s="112" t="s">
        <v>35</v>
      </c>
      <c r="AT131" s="112" t="s">
        <v>35</v>
      </c>
      <c r="AU131" s="157">
        <v>0.4</v>
      </c>
      <c r="AV131" s="112" t="s">
        <v>35</v>
      </c>
      <c r="AW131" s="112" t="s">
        <v>35</v>
      </c>
      <c r="AX131" s="112" t="s">
        <v>35</v>
      </c>
      <c r="AY131" s="112" t="s">
        <v>35</v>
      </c>
      <c r="AZ131" s="157">
        <v>0.37</v>
      </c>
      <c r="BA131" s="112" t="s">
        <v>35</v>
      </c>
      <c r="BB131" s="112" t="s">
        <v>35</v>
      </c>
      <c r="BC131" s="112" t="s">
        <v>35</v>
      </c>
      <c r="BD131" s="112" t="s">
        <v>35</v>
      </c>
      <c r="BE131" s="157">
        <v>0.34</v>
      </c>
      <c r="BF131" s="112" t="s">
        <v>35</v>
      </c>
      <c r="BG131" s="112" t="s">
        <v>35</v>
      </c>
      <c r="BH131" s="112" t="s">
        <v>35</v>
      </c>
      <c r="BI131" s="112" t="s">
        <v>35</v>
      </c>
      <c r="BJ131" s="157">
        <v>0.32</v>
      </c>
      <c r="BK131" s="112" t="s">
        <v>35</v>
      </c>
      <c r="BL131" s="112" t="s">
        <v>35</v>
      </c>
      <c r="BM131" s="112" t="s">
        <v>35</v>
      </c>
      <c r="BN131" s="112" t="s">
        <v>35</v>
      </c>
      <c r="BO131" s="157">
        <v>0.32</v>
      </c>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row>
    <row r="132" spans="1:202" ht="5.25" customHeight="1">
      <c r="A132" s="88"/>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row>
    <row r="133" spans="1:202" ht="28.5" customHeight="1">
      <c r="A133" s="318" t="s">
        <v>324</v>
      </c>
      <c r="B133" s="319"/>
      <c r="C133" s="319"/>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19"/>
      <c r="AD133" s="319"/>
      <c r="AE133" s="319"/>
      <c r="AF133" s="319"/>
      <c r="AG133" s="319"/>
      <c r="AH133" s="319"/>
      <c r="AI133" s="319"/>
      <c r="AJ133" s="319"/>
      <c r="AK133" s="319"/>
      <c r="AL133" s="319"/>
      <c r="AM133" s="319"/>
      <c r="AN133" s="319"/>
      <c r="AO133" s="319"/>
      <c r="AP133" s="319"/>
      <c r="AQ133" s="319"/>
      <c r="AR133" s="319"/>
      <c r="AS133" s="319"/>
      <c r="AT133" s="319"/>
      <c r="AU133" s="319"/>
      <c r="AV133" s="319"/>
      <c r="AW133" s="319"/>
      <c r="AX133" s="319"/>
      <c r="AY133" s="319"/>
      <c r="AZ133" s="319"/>
      <c r="BA133" s="319"/>
      <c r="BB133" s="319"/>
      <c r="BC133" s="319"/>
      <c r="BD133" s="319"/>
      <c r="BE133" s="319"/>
      <c r="BF133" s="319"/>
      <c r="BG133" s="319"/>
      <c r="BH133" s="319"/>
      <c r="BI133" s="319"/>
      <c r="BJ133" s="319"/>
      <c r="BK133" s="319"/>
      <c r="BL133" s="319"/>
      <c r="BM133" s="319"/>
    </row>
    <row r="134" spans="1:202">
      <c r="BI134" s="1"/>
      <c r="BJ134" s="1"/>
    </row>
    <row r="135" spans="1:202">
      <c r="BI135" s="1"/>
      <c r="BJ135" s="1"/>
    </row>
    <row r="136" spans="1:202">
      <c r="BI136" s="1"/>
      <c r="BJ136" s="1"/>
    </row>
    <row r="137" spans="1:202">
      <c r="BI137" s="1"/>
      <c r="BJ137" s="1"/>
    </row>
    <row r="138" spans="1:202">
      <c r="BI138" s="1"/>
      <c r="BJ138" s="1"/>
    </row>
    <row r="139" spans="1:202">
      <c r="BI139" s="1"/>
      <c r="BJ139" s="1"/>
    </row>
    <row r="140" spans="1:202">
      <c r="BI140" s="1"/>
      <c r="BJ140" s="1"/>
    </row>
    <row r="141" spans="1:202">
      <c r="BI141" s="1"/>
      <c r="BJ141" s="1"/>
    </row>
    <row r="142" spans="1:202">
      <c r="BI142" s="1"/>
      <c r="BJ142" s="1"/>
    </row>
    <row r="143" spans="1:202">
      <c r="BI143" s="1"/>
      <c r="BJ143" s="1"/>
    </row>
    <row r="144" spans="1:202">
      <c r="BI144" s="1"/>
      <c r="BJ144" s="1"/>
    </row>
    <row r="145" spans="61:62">
      <c r="BI145" s="1"/>
      <c r="BJ145" s="1"/>
    </row>
    <row r="146" spans="61:62">
      <c r="BI146" s="1"/>
      <c r="BJ146" s="1"/>
    </row>
    <row r="147" spans="61:62">
      <c r="BI147" s="1"/>
      <c r="BJ147" s="1"/>
    </row>
    <row r="148" spans="61:62">
      <c r="BI148" s="1"/>
      <c r="BJ148" s="1"/>
    </row>
    <row r="149" spans="61:62">
      <c r="BI149" s="1"/>
      <c r="BJ149" s="1"/>
    </row>
    <row r="150" spans="61:62">
      <c r="BI150" s="1"/>
      <c r="BJ150" s="1"/>
    </row>
    <row r="151" spans="61:62">
      <c r="BI151" s="1"/>
      <c r="BJ151" s="1"/>
    </row>
    <row r="152" spans="61:62">
      <c r="BI152" s="1"/>
      <c r="BJ152" s="1"/>
    </row>
    <row r="153" spans="61:62">
      <c r="BI153" s="1"/>
      <c r="BJ153" s="1"/>
    </row>
    <row r="154" spans="61:62">
      <c r="BI154" s="1"/>
      <c r="BJ154" s="1"/>
    </row>
    <row r="155" spans="61:62">
      <c r="BI155" s="1"/>
      <c r="BJ155" s="1"/>
    </row>
    <row r="156" spans="61:62">
      <c r="BI156" s="1"/>
      <c r="BJ156" s="1"/>
    </row>
    <row r="157" spans="61:62">
      <c r="BI157" s="1"/>
      <c r="BJ157" s="1"/>
    </row>
    <row r="158" spans="61:62">
      <c r="BI158" s="1"/>
      <c r="BJ158" s="1"/>
    </row>
    <row r="159" spans="61:62">
      <c r="BI159" s="1"/>
      <c r="BJ159" s="1"/>
    </row>
    <row r="160" spans="61:62">
      <c r="BI160" s="1"/>
      <c r="BJ160" s="1"/>
    </row>
    <row r="161" spans="3:62">
      <c r="BI161" s="1"/>
      <c r="BJ161" s="1"/>
    </row>
    <row r="162" spans="3:62">
      <c r="BI162" s="1"/>
      <c r="BJ162" s="1"/>
    </row>
    <row r="163" spans="3:62">
      <c r="N163" s="1">
        <v>340</v>
      </c>
      <c r="O163" s="1">
        <v>347.37700000000001</v>
      </c>
      <c r="BI163" s="1"/>
      <c r="BJ163" s="1"/>
    </row>
    <row r="164" spans="3:62">
      <c r="BI164" s="1"/>
      <c r="BJ164" s="1"/>
    </row>
    <row r="165" spans="3:62">
      <c r="BI165" s="1"/>
      <c r="BJ165" s="1"/>
    </row>
    <row r="166" spans="3:62">
      <c r="BI166" s="1"/>
      <c r="BJ166" s="1"/>
    </row>
    <row r="167" spans="3:62">
      <c r="BI167" s="1"/>
      <c r="BJ167" s="1"/>
    </row>
    <row r="168" spans="3:62">
      <c r="BI168" s="1"/>
      <c r="BJ168" s="1"/>
    </row>
    <row r="169" spans="3:62" customFormat="1"/>
    <row r="170" spans="3:62" customFormat="1"/>
    <row r="171" spans="3:62" customFormat="1"/>
    <row r="172" spans="3:62">
      <c r="AK172"/>
      <c r="AL172"/>
      <c r="AM172"/>
      <c r="AN172"/>
      <c r="AO172"/>
      <c r="AP172"/>
      <c r="AQ172"/>
      <c r="AR172"/>
      <c r="AS172"/>
      <c r="AT172"/>
      <c r="AU172"/>
      <c r="AV172"/>
      <c r="AW172"/>
      <c r="AX172"/>
      <c r="AY172"/>
      <c r="AZ172"/>
      <c r="BC172"/>
      <c r="BD172"/>
      <c r="BE172"/>
      <c r="BI172"/>
      <c r="BJ172"/>
    </row>
    <row r="173" spans="3:62">
      <c r="AK173"/>
      <c r="AL173"/>
      <c r="AM173"/>
      <c r="AN173"/>
      <c r="AO173"/>
      <c r="AP173"/>
      <c r="AQ173"/>
      <c r="AR173"/>
      <c r="AS173"/>
      <c r="AT173"/>
      <c r="AU173"/>
      <c r="AV173"/>
      <c r="AW173"/>
      <c r="AX173"/>
      <c r="AY173"/>
      <c r="AZ173"/>
      <c r="BC173"/>
      <c r="BD173"/>
      <c r="BE173"/>
      <c r="BI173"/>
      <c r="BJ173"/>
    </row>
    <row r="174" spans="3:62">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C174"/>
      <c r="BD174"/>
      <c r="BE174"/>
      <c r="BI174"/>
      <c r="BJ174"/>
    </row>
    <row r="175" spans="3:62">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C175"/>
      <c r="BD175"/>
      <c r="BE175"/>
      <c r="BI175"/>
      <c r="BJ175"/>
    </row>
    <row r="176" spans="3:62">
      <c r="AK176" s="1">
        <v>1980</v>
      </c>
      <c r="BI176" s="1"/>
      <c r="BJ176" s="1"/>
    </row>
    <row r="177" spans="37:62">
      <c r="BI177" s="1"/>
      <c r="BJ177" s="1"/>
    </row>
    <row r="178" spans="37:62">
      <c r="BI178" s="1"/>
      <c r="BJ178" s="1"/>
    </row>
    <row r="179" spans="37:62">
      <c r="AK179" s="1">
        <f>1793-478</f>
        <v>1315</v>
      </c>
      <c r="BI179" s="1"/>
      <c r="BJ179" s="1"/>
    </row>
    <row r="180" spans="37:62">
      <c r="BI180" s="1"/>
      <c r="BJ180" s="1"/>
    </row>
    <row r="181" spans="37:62">
      <c r="BI181" s="1"/>
      <c r="BJ181" s="1"/>
    </row>
    <row r="182" spans="37:62">
      <c r="BI182" s="1"/>
      <c r="BJ182" s="1"/>
    </row>
    <row r="183" spans="37:62">
      <c r="BI183" s="1"/>
      <c r="BJ183" s="1"/>
    </row>
    <row r="184" spans="37:62">
      <c r="BI184" s="1"/>
      <c r="BJ184" s="1"/>
    </row>
    <row r="185" spans="37:62">
      <c r="BI185" s="1"/>
      <c r="BJ185" s="1"/>
    </row>
    <row r="186" spans="37:62">
      <c r="BI186" s="1"/>
      <c r="BJ186" s="1"/>
    </row>
    <row r="187" spans="37:62">
      <c r="BI187" s="1"/>
      <c r="BJ187" s="1"/>
    </row>
    <row r="188" spans="37:62">
      <c r="AK188" s="1">
        <v>-23</v>
      </c>
      <c r="BI188" s="1"/>
      <c r="BJ188" s="1"/>
    </row>
    <row r="189" spans="37:62">
      <c r="BI189" s="1"/>
      <c r="BJ189" s="1"/>
    </row>
    <row r="190" spans="37:62">
      <c r="BI190" s="1"/>
      <c r="BJ190" s="1"/>
    </row>
    <row r="191" spans="37:62">
      <c r="BI191" s="1"/>
      <c r="BJ191" s="1"/>
    </row>
    <row r="192" spans="37:62">
      <c r="BI192" s="1"/>
      <c r="BJ192" s="1"/>
    </row>
    <row r="193" spans="33:62">
      <c r="AR193" s="1">
        <v>59</v>
      </c>
      <c r="BI193" s="1"/>
      <c r="BJ193" s="1"/>
    </row>
    <row r="194" spans="33:62">
      <c r="BI194" s="1"/>
      <c r="BJ194" s="1"/>
    </row>
    <row r="195" spans="33:62">
      <c r="BI195" s="1"/>
      <c r="BJ195" s="1"/>
    </row>
    <row r="196" spans="33:62">
      <c r="BI196" s="1"/>
      <c r="BJ196" s="1"/>
    </row>
    <row r="197" spans="33:62">
      <c r="BI197" s="1"/>
      <c r="BJ197" s="1"/>
    </row>
    <row r="198" spans="33:62">
      <c r="AG198" s="1">
        <v>616</v>
      </c>
      <c r="BI198" s="1"/>
      <c r="BJ198" s="1"/>
    </row>
    <row r="199" spans="33:62">
      <c r="BI199" s="1"/>
      <c r="BJ199" s="1"/>
    </row>
    <row r="200" spans="33:62">
      <c r="BI200" s="1"/>
      <c r="BJ200" s="1"/>
    </row>
    <row r="201" spans="33:62">
      <c r="BI201" s="1"/>
      <c r="BJ201" s="1"/>
    </row>
    <row r="202" spans="33:62">
      <c r="BI202" s="1"/>
      <c r="BJ202" s="1"/>
    </row>
    <row r="203" spans="33:62">
      <c r="BI203" s="1"/>
      <c r="BJ203" s="1"/>
    </row>
    <row r="204" spans="33:62">
      <c r="AG204" s="1">
        <f>18.765+190.909</f>
        <v>209.67399999999998</v>
      </c>
      <c r="BI204" s="1"/>
      <c r="BJ204" s="1"/>
    </row>
    <row r="205" spans="33:62">
      <c r="BI205" s="1"/>
      <c r="BJ205" s="1"/>
    </row>
    <row r="206" spans="33:62">
      <c r="BI206" s="1"/>
      <c r="BJ206" s="1"/>
    </row>
    <row r="207" spans="33:62">
      <c r="AG207" s="1">
        <f>AG204-27</f>
        <v>182.67399999999998</v>
      </c>
      <c r="BI207" s="1"/>
      <c r="BJ207" s="1"/>
    </row>
    <row r="208" spans="33:62">
      <c r="BI208" s="1"/>
      <c r="BJ208" s="1"/>
    </row>
    <row r="209" spans="1:62">
      <c r="T209" s="1">
        <v>405.46800000000002</v>
      </c>
      <c r="BI209" s="1"/>
      <c r="BJ209" s="1"/>
    </row>
    <row r="210" spans="1:62">
      <c r="BI210" s="1"/>
      <c r="BJ210" s="1"/>
    </row>
    <row r="211" spans="1:62">
      <c r="BI211" s="1"/>
      <c r="BJ211" s="1"/>
    </row>
    <row r="212" spans="1:62">
      <c r="T212" s="1">
        <v>63.363999999999997</v>
      </c>
      <c r="BI212" s="1"/>
      <c r="BJ212" s="1"/>
    </row>
    <row r="213" spans="1:62">
      <c r="BI213" s="1"/>
      <c r="BJ213" s="1"/>
    </row>
    <row r="214" spans="1:62">
      <c r="BI214" s="1"/>
      <c r="BJ214" s="1"/>
    </row>
    <row r="215" spans="1:62">
      <c r="T215" s="1">
        <v>-75.885000000000005</v>
      </c>
      <c r="BI215" s="1"/>
      <c r="BJ215" s="1"/>
    </row>
    <row r="216" spans="1:62">
      <c r="BI216" s="1"/>
      <c r="BJ216" s="1"/>
    </row>
    <row r="217" spans="1:62">
      <c r="BI217" s="1"/>
      <c r="BJ217" s="1"/>
    </row>
    <row r="218" spans="1:62">
      <c r="T218" s="1">
        <v>74.073999999999998</v>
      </c>
      <c r="BI218" s="1"/>
      <c r="BJ218" s="1"/>
    </row>
    <row r="219" spans="1:62">
      <c r="BI219" s="1"/>
      <c r="BJ219" s="1"/>
    </row>
    <row r="220" spans="1:62">
      <c r="BI220" s="1"/>
      <c r="BJ220" s="1"/>
    </row>
    <row r="221" spans="1:62">
      <c r="BI221" s="1"/>
      <c r="BJ221" s="1"/>
    </row>
    <row r="222" spans="1:62">
      <c r="A222" s="32"/>
      <c r="BI222" s="1"/>
      <c r="BJ222" s="1"/>
    </row>
    <row r="223" spans="1:62">
      <c r="BI223" s="1"/>
      <c r="BJ223" s="1"/>
    </row>
    <row r="224" spans="1:62">
      <c r="BI224" s="1"/>
      <c r="BJ224" s="1"/>
    </row>
    <row r="225" spans="15:62">
      <c r="BI225" s="1"/>
      <c r="BJ225" s="1"/>
    </row>
    <row r="226" spans="15:62">
      <c r="O226" s="1">
        <v>126.117</v>
      </c>
      <c r="T226" s="1">
        <v>134.20099999999999</v>
      </c>
      <c r="BI226" s="1"/>
      <c r="BJ226" s="1"/>
    </row>
    <row r="227" spans="15:62">
      <c r="BI227" s="1"/>
      <c r="BJ227" s="1"/>
    </row>
    <row r="228" spans="15:62">
      <c r="BI228" s="1"/>
      <c r="BJ228" s="1"/>
    </row>
    <row r="229" spans="15:62">
      <c r="BI229" s="1"/>
      <c r="BJ229" s="1"/>
    </row>
    <row r="230" spans="15:62">
      <c r="BI230" s="1"/>
      <c r="BJ230" s="1"/>
    </row>
    <row r="231" spans="15:62">
      <c r="W231" s="1">
        <v>118</v>
      </c>
      <c r="BI231" s="1"/>
      <c r="BJ231" s="1"/>
    </row>
    <row r="232" spans="15:62">
      <c r="O232" s="1">
        <f>52.441+2.5+9.771</f>
        <v>64.712000000000003</v>
      </c>
      <c r="T232" s="1">
        <f>51.634+6.428+9.274</f>
        <v>67.335999999999999</v>
      </c>
      <c r="BI232" s="1"/>
      <c r="BJ232" s="1"/>
    </row>
    <row r="233" spans="15:62">
      <c r="W233" s="114">
        <v>-9.1999999999999998E-2</v>
      </c>
      <c r="BI233" s="1"/>
      <c r="BJ233" s="1"/>
    </row>
    <row r="234" spans="15:62">
      <c r="BI234" s="1"/>
      <c r="BJ234" s="1"/>
    </row>
    <row r="235" spans="15:62">
      <c r="T235" s="1">
        <f>T232-0.156</f>
        <v>67.179999999999993</v>
      </c>
      <c r="BI235" s="1"/>
      <c r="BJ235" s="1"/>
    </row>
    <row r="236" spans="15:62">
      <c r="BI236" s="1"/>
      <c r="BJ236" s="1"/>
    </row>
    <row r="237" spans="15:62">
      <c r="BI237" s="1"/>
      <c r="BJ237" s="1"/>
    </row>
    <row r="238" spans="15:62">
      <c r="BI238" s="1"/>
      <c r="BJ238" s="1"/>
    </row>
    <row r="239" spans="15:62">
      <c r="BI239" s="1"/>
      <c r="BJ239" s="1"/>
    </row>
    <row r="240" spans="15:62">
      <c r="BI240" s="1"/>
      <c r="BJ240" s="1"/>
    </row>
    <row r="241" spans="61:62">
      <c r="BI241" s="1"/>
      <c r="BJ241" s="1"/>
    </row>
    <row r="242" spans="61:62">
      <c r="BI242" s="1"/>
      <c r="BJ242" s="1"/>
    </row>
    <row r="243" spans="61:62">
      <c r="BI243" s="1"/>
      <c r="BJ243" s="1"/>
    </row>
    <row r="244" spans="61:62">
      <c r="BI244" s="1"/>
      <c r="BJ244" s="1"/>
    </row>
    <row r="245" spans="61:62">
      <c r="BI245" s="1"/>
      <c r="BJ245" s="1"/>
    </row>
    <row r="246" spans="61:62">
      <c r="BI246" s="1"/>
      <c r="BJ246" s="1"/>
    </row>
    <row r="247" spans="61:62">
      <c r="BI247" s="1"/>
      <c r="BJ247" s="1"/>
    </row>
    <row r="248" spans="61:62">
      <c r="BI248" s="1"/>
      <c r="BJ248" s="1"/>
    </row>
    <row r="249" spans="61:62">
      <c r="BI249" s="1"/>
      <c r="BJ249" s="1"/>
    </row>
    <row r="250" spans="61:62">
      <c r="BI250" s="1"/>
      <c r="BJ250" s="1"/>
    </row>
    <row r="251" spans="61:62">
      <c r="BI251" s="1"/>
      <c r="BJ251" s="1"/>
    </row>
    <row r="252" spans="61:62">
      <c r="BI252" s="1"/>
      <c r="BJ252" s="1"/>
    </row>
    <row r="253" spans="61:62">
      <c r="BI253" s="1"/>
      <c r="BJ253" s="1"/>
    </row>
    <row r="254" spans="61:62">
      <c r="BI254" s="1"/>
      <c r="BJ254" s="1"/>
    </row>
    <row r="255" spans="61:62">
      <c r="BI255" s="1"/>
      <c r="BJ255" s="1"/>
    </row>
    <row r="256" spans="61:62">
      <c r="BI256" s="1"/>
      <c r="BJ256" s="1"/>
    </row>
    <row r="257" spans="61:62">
      <c r="BI257" s="1"/>
      <c r="BJ257" s="1"/>
    </row>
    <row r="258" spans="61:62">
      <c r="BI258" s="1"/>
      <c r="BJ258" s="1"/>
    </row>
    <row r="259" spans="61:62">
      <c r="BI259" s="1"/>
      <c r="BJ259" s="1"/>
    </row>
    <row r="260" spans="61:62">
      <c r="BI260" s="1"/>
      <c r="BJ260" s="1"/>
    </row>
    <row r="261" spans="61:62">
      <c r="BI261" s="1"/>
      <c r="BJ261" s="1"/>
    </row>
    <row r="262" spans="61:62">
      <c r="BI262" s="1"/>
      <c r="BJ262" s="1"/>
    </row>
    <row r="263" spans="61:62">
      <c r="BI263" s="1"/>
      <c r="BJ263" s="1"/>
    </row>
    <row r="264" spans="61:62">
      <c r="BI264" s="1"/>
      <c r="BJ264" s="1"/>
    </row>
    <row r="265" spans="61:62">
      <c r="BI265" s="1"/>
      <c r="BJ265" s="1"/>
    </row>
    <row r="266" spans="61:62">
      <c r="BI266" s="1"/>
      <c r="BJ266" s="1"/>
    </row>
    <row r="267" spans="61:62">
      <c r="BI267" s="1"/>
      <c r="BJ267" s="1"/>
    </row>
    <row r="268" spans="61:62">
      <c r="BI268" s="1"/>
      <c r="BJ268" s="1"/>
    </row>
    <row r="269" spans="61:62">
      <c r="BI269" s="1"/>
      <c r="BJ269" s="1"/>
    </row>
    <row r="270" spans="61:62">
      <c r="BI270" s="1"/>
      <c r="BJ270" s="1"/>
    </row>
    <row r="271" spans="61:62">
      <c r="BI271" s="1"/>
      <c r="BJ271" s="1"/>
    </row>
    <row r="272" spans="61:62">
      <c r="BI272" s="1"/>
      <c r="BJ272" s="1"/>
    </row>
    <row r="273" spans="61:62">
      <c r="BI273" s="1"/>
      <c r="BJ273" s="1"/>
    </row>
    <row r="274" spans="61:62">
      <c r="BI274" s="1"/>
      <c r="BJ274" s="1"/>
    </row>
    <row r="275" spans="61:62">
      <c r="BI275" s="1"/>
      <c r="BJ275" s="1"/>
    </row>
    <row r="276" spans="61:62">
      <c r="BI276" s="1"/>
      <c r="BJ276" s="1"/>
    </row>
    <row r="277" spans="61:62">
      <c r="BI277" s="1"/>
      <c r="BJ277" s="1"/>
    </row>
    <row r="278" spans="61:62">
      <c r="BI278" s="1"/>
      <c r="BJ278" s="1"/>
    </row>
    <row r="279" spans="61:62">
      <c r="BI279" s="1"/>
      <c r="BJ279" s="1"/>
    </row>
    <row r="280" spans="61:62">
      <c r="BI280" s="1"/>
      <c r="BJ280" s="1"/>
    </row>
    <row r="281" spans="61:62">
      <c r="BI281" s="1"/>
      <c r="BJ281" s="1"/>
    </row>
    <row r="282" spans="61:62">
      <c r="BI282" s="1"/>
      <c r="BJ282" s="1"/>
    </row>
    <row r="283" spans="61:62">
      <c r="BI283" s="1"/>
      <c r="BJ283" s="1"/>
    </row>
    <row r="284" spans="61:62">
      <c r="BI284" s="1"/>
      <c r="BJ284" s="1"/>
    </row>
    <row r="285" spans="61:62">
      <c r="BI285" s="1"/>
      <c r="BJ285" s="1"/>
    </row>
    <row r="286" spans="61:62">
      <c r="BI286" s="1"/>
      <c r="BJ286" s="1"/>
    </row>
    <row r="287" spans="61:62">
      <c r="BI287" s="1"/>
      <c r="BJ287" s="1"/>
    </row>
    <row r="288" spans="61:62">
      <c r="BI288" s="1"/>
      <c r="BJ288" s="1"/>
    </row>
    <row r="289" spans="61:62">
      <c r="BI289" s="1"/>
      <c r="BJ289" s="1"/>
    </row>
    <row r="290" spans="61:62">
      <c r="BI290" s="1"/>
      <c r="BJ290" s="1"/>
    </row>
    <row r="291" spans="61:62">
      <c r="BI291" s="1"/>
      <c r="BJ291" s="1"/>
    </row>
    <row r="292" spans="61:62">
      <c r="BI292" s="1"/>
      <c r="BJ292" s="1"/>
    </row>
    <row r="293" spans="61:62">
      <c r="BI293" s="1"/>
      <c r="BJ293" s="1"/>
    </row>
    <row r="294" spans="61:62">
      <c r="BI294" s="1"/>
      <c r="BJ294" s="1"/>
    </row>
    <row r="295" spans="61:62">
      <c r="BI295" s="1"/>
      <c r="BJ295" s="1"/>
    </row>
    <row r="296" spans="61:62">
      <c r="BI296" s="1"/>
      <c r="BJ296" s="1"/>
    </row>
    <row r="297" spans="61:62">
      <c r="BI297" s="1"/>
      <c r="BJ297" s="1"/>
    </row>
    <row r="298" spans="61:62">
      <c r="BI298" s="1"/>
      <c r="BJ298" s="1"/>
    </row>
    <row r="299" spans="61:62">
      <c r="BI299" s="1"/>
      <c r="BJ299" s="1"/>
    </row>
    <row r="300" spans="61:62">
      <c r="BI300" s="1"/>
      <c r="BJ300" s="1"/>
    </row>
    <row r="301" spans="61:62">
      <c r="BI301" s="1"/>
      <c r="BJ301" s="1"/>
    </row>
    <row r="302" spans="61:62">
      <c r="BI302" s="1"/>
      <c r="BJ302" s="1"/>
    </row>
    <row r="303" spans="61:62">
      <c r="BI303" s="1"/>
      <c r="BJ303" s="1"/>
    </row>
    <row r="304" spans="61:62">
      <c r="BI304" s="1"/>
      <c r="BJ304" s="1"/>
    </row>
    <row r="305" spans="61:62">
      <c r="BI305" s="1"/>
      <c r="BJ305" s="1"/>
    </row>
    <row r="306" spans="61:62">
      <c r="BI306" s="1"/>
      <c r="BJ306" s="1"/>
    </row>
    <row r="307" spans="61:62">
      <c r="BI307" s="1"/>
      <c r="BJ307" s="1"/>
    </row>
    <row r="308" spans="61:62">
      <c r="BI308" s="1"/>
      <c r="BJ308" s="1"/>
    </row>
    <row r="309" spans="61:62">
      <c r="BI309" s="1"/>
      <c r="BJ309" s="1"/>
    </row>
    <row r="310" spans="61:62">
      <c r="BI310" s="1"/>
      <c r="BJ310" s="1"/>
    </row>
    <row r="311" spans="61:62">
      <c r="BI311" s="1"/>
      <c r="BJ311" s="1"/>
    </row>
    <row r="312" spans="61:62">
      <c r="BI312" s="1"/>
      <c r="BJ312" s="1"/>
    </row>
    <row r="313" spans="61:62">
      <c r="BI313" s="1"/>
      <c r="BJ313" s="1"/>
    </row>
    <row r="314" spans="61:62">
      <c r="BI314" s="1"/>
      <c r="BJ314" s="1"/>
    </row>
    <row r="315" spans="61:62">
      <c r="BI315" s="1"/>
      <c r="BJ315" s="1"/>
    </row>
    <row r="316" spans="61:62">
      <c r="BI316" s="1"/>
      <c r="BJ316" s="1"/>
    </row>
    <row r="317" spans="61:62">
      <c r="BI317" s="1"/>
      <c r="BJ317" s="1"/>
    </row>
    <row r="318" spans="61:62">
      <c r="BI318" s="1"/>
      <c r="BJ318" s="1"/>
    </row>
    <row r="334" spans="57:57">
      <c r="BE334" s="1">
        <f>BE331-260</f>
        <v>-260</v>
      </c>
    </row>
    <row r="353" spans="55:55">
      <c r="BC353" s="114">
        <v>0.26400000000000001</v>
      </c>
    </row>
    <row r="405" spans="31:37">
      <c r="AE405" s="1">
        <v>131</v>
      </c>
      <c r="AJ405" s="1">
        <v>135</v>
      </c>
    </row>
    <row r="407" spans="31:37">
      <c r="AJ407" s="114">
        <v>3.5000000000000003E-2</v>
      </c>
    </row>
    <row r="410" spans="31:37">
      <c r="AE410" s="1">
        <v>134</v>
      </c>
      <c r="AF410" s="1">
        <v>491</v>
      </c>
    </row>
    <row r="412" spans="31:37">
      <c r="AJ412" s="114">
        <v>-8.7999999999999995E-2</v>
      </c>
      <c r="AK412" s="114">
        <v>-0.10100000000000001</v>
      </c>
    </row>
    <row r="422" spans="31:37">
      <c r="AF422" s="1">
        <v>167</v>
      </c>
      <c r="AJ422" s="1">
        <v>27</v>
      </c>
      <c r="AK422" s="1">
        <v>138</v>
      </c>
    </row>
    <row r="424" spans="31:37">
      <c r="AJ424" s="114">
        <v>-0.47899999999999998</v>
      </c>
      <c r="AK424" s="114">
        <v>-0.17799999999999999</v>
      </c>
    </row>
    <row r="430" spans="31:37">
      <c r="AE430" s="114">
        <v>0.313</v>
      </c>
    </row>
  </sheetData>
  <customSheetViews>
    <customSheetView guid="{C6BBAF30-1E81-42FB-BA93-01B6813E2C8C}" showPageBreaks="1" printArea="1" showRuler="0">
      <pane xSplit="1" ySplit="5" topLeftCell="B6" activePane="bottomRight" state="frozenSplit"/>
      <selection pane="bottomRight"/>
      <rowBreaks count="1" manualBreakCount="1">
        <brk id="39" max="14" man="1"/>
      </rowBreaks>
      <pageMargins left="0.7" right="0.7" top="0.75" bottom="0.75" header="0.3" footer="0.3"/>
      <printOptions horizontalCentered="1"/>
      <pageSetup paperSize="9" scale="78" fitToHeight="7" orientation="landscape"/>
      <headerFooter alignWithMargins="0">
        <oddHeader>&amp;C&amp;12Bezeq - The Israel Telecommunication Corp. Ltd</oddHeader>
        <oddFooter>&amp;R&amp;P of &amp;N
KPIs</oddFooter>
      </headerFooter>
    </customSheetView>
    <customSheetView guid="{F07085DA-2B2D-4BE1-891D-F25D604A092E}" showPageBreaks="1" printArea="1" showRuler="0">
      <pane xSplit="1" ySplit="5" topLeftCell="B6" activePane="bottomRight" state="frozenSplit"/>
      <selection pane="bottomRight" activeCell="A77" sqref="A77"/>
      <rowBreaks count="1" manualBreakCount="1">
        <brk id="41" max="12"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A44E415-E6EC-4CA2-8B4C-A374F00F0261}" showPageBreaks="1" printArea="1" showRuler="0">
      <pane xSplit="1" ySplit="5" topLeftCell="B6" activePane="bottomRight" state="frozenSplit"/>
      <selection pane="bottomRight" activeCell="B6" sqref="B6"/>
      <rowBreaks count="1" manualBreakCount="1">
        <brk id="41" max="18" man="1"/>
      </rowBreaks>
      <pageMargins left="0.7" right="0.7" top="0.75" bottom="0.75" header="0.3" footer="0.3"/>
      <pageSetup paperSize="9" scale="70" orientation="landscape"/>
      <headerFooter alignWithMargins="0">
        <oddHeader>&amp;C&amp;12Bezeq - The Israel Telecommunication Corp. Ltd</oddHeader>
        <oddFooter>&amp;R&amp;P of &amp;N
KPIs</oddFooter>
      </headerFooter>
    </customSheetView>
    <customSheetView guid="{C32ED439-2914-4073-BFBF-7718D6CFE811}" showPageBreaks="1" showGridLines="0" printArea="1">
      <pane xSplit="1" ySplit="5" topLeftCell="K6" activePane="bottomRight" state="frozenSplit"/>
      <selection pane="bottomRight" activeCell="S89" sqref="S89"/>
      <rowBreaks count="2" manualBreakCount="2">
        <brk id="44" max="17" man="1"/>
        <brk id="310"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44BC518B-F505-4956-BE42-792973965029}" showPageBreaks="1" showGridLines="0" printArea="1" showRuler="0">
      <pane xSplit="1" ySplit="5" topLeftCell="B64" activePane="bottomRight" state="frozenSplit"/>
      <selection pane="bottomRight" activeCell="M263" sqref="M263"/>
      <rowBreaks count="2" manualBreakCount="2">
        <brk id="44" max="17" man="1"/>
        <brk id="318"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7DC6D345-C4C0-4162-8636-D495A245EBF8}" scale="97" showPageBreaks="1" showGridLines="0" printArea="1"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7DDFA58-7FF7-4BDB-BFFF-31DB4021D095}" scale="97" showGridLines="0"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s>
  <mergeCells count="1">
    <mergeCell ref="A133:BM133"/>
  </mergeCells>
  <phoneticPr fontId="4" type="noConversion"/>
  <pageMargins left="0.39370078740157483" right="0.39370078740157483" top="0.98425196850393704" bottom="0.39370078740157483" header="0.51181102362204722" footer="0.19685039370078741"/>
  <pageSetup paperSize="9" scale="60" orientation="landscape" r:id="rId1"/>
  <headerFooter alignWithMargins="0">
    <oddHeader>&amp;C&amp;12Bezeq - The Israel Telecommunication Corp. Ltd</oddHeader>
    <oddFooter>&amp;R&amp;P of &amp;N
KPIs</oddFooter>
  </headerFooter>
  <rowBreaks count="2" manualBreakCount="2">
    <brk id="65" max="16383" man="1"/>
    <brk id="299" max="16383" man="1"/>
  </rowBreaks>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E62"/>
  <sheetViews>
    <sheetView showGridLines="0" topLeftCell="A34" zoomScale="120" zoomScaleNormal="120" workbookViewId="0">
      <selection activeCell="B47" sqref="B47:D47"/>
    </sheetView>
  </sheetViews>
  <sheetFormatPr defaultRowHeight="12.75"/>
  <cols>
    <col min="1" max="1" width="0.85546875" customWidth="1"/>
    <col min="2" max="2" width="56.42578125" customWidth="1"/>
    <col min="3" max="3" width="21.5703125" customWidth="1"/>
    <col min="4" max="4" width="18.42578125" customWidth="1"/>
  </cols>
  <sheetData>
    <row r="1" spans="2:4">
      <c r="B1" s="29"/>
      <c r="C1" s="29"/>
      <c r="D1" s="29"/>
    </row>
    <row r="2" spans="2:4">
      <c r="B2" s="29"/>
      <c r="C2" s="29"/>
      <c r="D2" s="29"/>
    </row>
    <row r="3" spans="2:4">
      <c r="B3" s="30"/>
      <c r="C3" s="260" t="s">
        <v>301</v>
      </c>
      <c r="D3" s="260" t="s">
        <v>303</v>
      </c>
    </row>
    <row r="4" spans="2:4">
      <c r="B4" s="239" t="s">
        <v>146</v>
      </c>
      <c r="C4" s="261" t="s">
        <v>302</v>
      </c>
      <c r="D4" s="261" t="s">
        <v>304</v>
      </c>
    </row>
    <row r="5" spans="2:4" ht="7.5" customHeight="1">
      <c r="B5" s="42"/>
      <c r="C5" s="42"/>
      <c r="D5" s="42"/>
    </row>
    <row r="6" spans="2:4" ht="7.5" customHeight="1">
      <c r="B6" s="56"/>
      <c r="C6" s="56"/>
      <c r="D6" s="56"/>
    </row>
    <row r="7" spans="2:4" ht="20.25">
      <c r="B7" s="33" t="s">
        <v>305</v>
      </c>
      <c r="C7" s="33"/>
      <c r="D7" s="33"/>
    </row>
    <row r="8" spans="2:4" ht="6.75" customHeight="1">
      <c r="B8" s="38"/>
      <c r="C8" s="38"/>
      <c r="D8" s="38"/>
    </row>
    <row r="9" spans="2:4" ht="12.6" customHeight="1">
      <c r="B9" s="74" t="s">
        <v>275</v>
      </c>
      <c r="C9" s="315">
        <v>431</v>
      </c>
      <c r="D9" s="171">
        <f>C45</f>
        <v>794</v>
      </c>
    </row>
    <row r="10" spans="2:4" ht="12.6" customHeight="1">
      <c r="B10" s="67"/>
      <c r="C10" s="67"/>
      <c r="D10" s="69"/>
    </row>
    <row r="11" spans="2:4" ht="12.6" customHeight="1">
      <c r="B11" s="255" t="s">
        <v>276</v>
      </c>
      <c r="C11" s="255"/>
      <c r="D11" s="255"/>
    </row>
    <row r="12" spans="2:4" ht="12.6" customHeight="1">
      <c r="B12" s="243" t="s">
        <v>277</v>
      </c>
      <c r="C12" s="247">
        <v>1876</v>
      </c>
      <c r="D12" s="247">
        <v>2009</v>
      </c>
    </row>
    <row r="13" spans="2:4" ht="12.6" customHeight="1">
      <c r="B13" s="244" t="s">
        <v>278</v>
      </c>
      <c r="C13" s="244">
        <v>260</v>
      </c>
      <c r="D13" s="244">
        <v>67</v>
      </c>
    </row>
    <row r="14" spans="2:4" ht="12.6" customHeight="1">
      <c r="B14" s="244" t="s">
        <v>279</v>
      </c>
      <c r="C14" s="245">
        <v>754</v>
      </c>
      <c r="D14" s="245">
        <v>434</v>
      </c>
    </row>
    <row r="15" spans="2:4" ht="12.6" customHeight="1">
      <c r="B15" s="244" t="s">
        <v>280</v>
      </c>
      <c r="C15" s="244">
        <v>8</v>
      </c>
      <c r="D15" s="244">
        <v>3</v>
      </c>
    </row>
    <row r="16" spans="2:4" ht="12.6" customHeight="1">
      <c r="B16" s="243" t="s">
        <v>281</v>
      </c>
      <c r="C16" s="247">
        <f>SUM(C13:C15)</f>
        <v>1022</v>
      </c>
      <c r="D16" s="247">
        <f>SUM(D13:D15)</f>
        <v>504</v>
      </c>
    </row>
    <row r="17" spans="2:5" ht="12.6" customHeight="1">
      <c r="B17" s="232" t="s">
        <v>320</v>
      </c>
      <c r="C17" s="295">
        <v>300</v>
      </c>
      <c r="D17" s="295">
        <v>650</v>
      </c>
    </row>
    <row r="18" spans="2:5" ht="12.6" customHeight="1">
      <c r="B18" s="243" t="s">
        <v>282</v>
      </c>
      <c r="C18" s="71">
        <f>C17</f>
        <v>300</v>
      </c>
      <c r="D18" s="269">
        <f>D17</f>
        <v>650</v>
      </c>
    </row>
    <row r="19" spans="2:5" ht="12.6" customHeight="1">
      <c r="B19" s="242" t="s">
        <v>285</v>
      </c>
      <c r="C19" s="252">
        <f>C12+C16+C18</f>
        <v>3198</v>
      </c>
      <c r="D19" s="252">
        <f>D12+D16+D18</f>
        <v>3163</v>
      </c>
    </row>
    <row r="20" spans="2:5" ht="5.25" customHeight="1">
      <c r="B20" s="241"/>
      <c r="C20" s="240"/>
      <c r="D20" s="240"/>
    </row>
    <row r="21" spans="2:5" ht="12.6" customHeight="1">
      <c r="B21" s="244" t="s">
        <v>283</v>
      </c>
      <c r="C21" s="244">
        <v>300</v>
      </c>
      <c r="D21" s="244">
        <v>259</v>
      </c>
    </row>
    <row r="22" spans="2:5" ht="12.6" customHeight="1">
      <c r="B22" s="244" t="s">
        <v>280</v>
      </c>
      <c r="C22" s="251">
        <v>22</v>
      </c>
      <c r="D22" s="182" t="s">
        <v>120</v>
      </c>
    </row>
    <row r="23" spans="2:5" ht="12.6" customHeight="1">
      <c r="B23" s="243" t="s">
        <v>284</v>
      </c>
      <c r="C23" s="248">
        <f>SUM(C21:C22)</f>
        <v>322</v>
      </c>
      <c r="D23" s="248">
        <f>SUM(D21:D22)</f>
        <v>259</v>
      </c>
    </row>
    <row r="24" spans="2:5" ht="12.6" customHeight="1">
      <c r="B24" s="256" t="s">
        <v>297</v>
      </c>
      <c r="C24" s="257">
        <f>C19+C23</f>
        <v>3520</v>
      </c>
      <c r="D24" s="257">
        <f>D19+D23</f>
        <v>3422</v>
      </c>
    </row>
    <row r="25" spans="2:5" ht="7.5" customHeight="1">
      <c r="B25" s="67"/>
      <c r="C25" s="69"/>
      <c r="D25" s="69"/>
    </row>
    <row r="26" spans="2:5" ht="12.6" customHeight="1">
      <c r="B26" s="256" t="s">
        <v>292</v>
      </c>
      <c r="C26" s="258"/>
      <c r="D26" s="258"/>
    </row>
    <row r="27" spans="2:5" ht="12.6" customHeight="1">
      <c r="B27" s="244" t="s">
        <v>286</v>
      </c>
      <c r="C27" s="182">
        <v>-1105</v>
      </c>
      <c r="D27" s="182">
        <v>-1027</v>
      </c>
    </row>
    <row r="28" spans="2:5" ht="12.6" customHeight="1">
      <c r="B28" s="244" t="s">
        <v>287</v>
      </c>
      <c r="C28" s="182">
        <v>-464</v>
      </c>
      <c r="D28" s="182" t="s">
        <v>120</v>
      </c>
    </row>
    <row r="29" spans="2:5" ht="12.6" customHeight="1">
      <c r="B29" s="243" t="s">
        <v>288</v>
      </c>
      <c r="C29" s="249">
        <f>SUM(C27:C28)</f>
        <v>-1569</v>
      </c>
      <c r="D29" s="249">
        <f>SUM(D27:D28)</f>
        <v>-1027</v>
      </c>
      <c r="E29" s="270"/>
    </row>
    <row r="30" spans="2:5" ht="12.6" customHeight="1">
      <c r="B30" s="244" t="s">
        <v>321</v>
      </c>
      <c r="C30" s="296">
        <v>-402</v>
      </c>
      <c r="D30" s="296">
        <v>-306</v>
      </c>
    </row>
    <row r="31" spans="2:5" ht="12.6" customHeight="1">
      <c r="B31" s="244" t="s">
        <v>306</v>
      </c>
      <c r="C31" s="182">
        <v>-558</v>
      </c>
      <c r="D31" s="182">
        <v>-864</v>
      </c>
    </row>
    <row r="32" spans="2:5" ht="12.6" customHeight="1">
      <c r="B32" s="244" t="s">
        <v>343</v>
      </c>
      <c r="C32" s="182">
        <v>-98</v>
      </c>
      <c r="D32" s="182">
        <v>-77</v>
      </c>
    </row>
    <row r="33" spans="2:4" ht="12.6" customHeight="1">
      <c r="B33" s="244" t="s">
        <v>289</v>
      </c>
      <c r="C33" s="182">
        <v>-115</v>
      </c>
      <c r="D33" s="182">
        <v>-130</v>
      </c>
    </row>
    <row r="34" spans="2:4" ht="12.6" customHeight="1">
      <c r="B34" s="244" t="s">
        <v>290</v>
      </c>
      <c r="C34" s="182">
        <v>-276</v>
      </c>
      <c r="D34" s="182">
        <v>-254</v>
      </c>
    </row>
    <row r="35" spans="2:4" ht="12.6" customHeight="1">
      <c r="B35" s="244" t="s">
        <v>280</v>
      </c>
      <c r="C35" s="182">
        <v>-40</v>
      </c>
      <c r="D35" s="182">
        <v>-47</v>
      </c>
    </row>
    <row r="36" spans="2:4" ht="12.6" customHeight="1">
      <c r="B36" s="243" t="s">
        <v>291</v>
      </c>
      <c r="C36" s="249">
        <f>SUM(C30:C35)</f>
        <v>-1489</v>
      </c>
      <c r="D36" s="249">
        <f>SUM(D30:D35)</f>
        <v>-1678</v>
      </c>
    </row>
    <row r="37" spans="2:4" ht="12.6" customHeight="1">
      <c r="B37" s="250" t="s">
        <v>256</v>
      </c>
      <c r="C37" s="253">
        <f>C29+C36</f>
        <v>-3058</v>
      </c>
      <c r="D37" s="253">
        <f>D29+D36</f>
        <v>-2705</v>
      </c>
    </row>
    <row r="38" spans="2:4" ht="6" customHeight="1">
      <c r="B38" s="67"/>
      <c r="C38" s="69"/>
      <c r="D38" s="69"/>
    </row>
    <row r="39" spans="2:4" s="254" customFormat="1" ht="12.6" customHeight="1">
      <c r="B39" s="244" t="s">
        <v>293</v>
      </c>
      <c r="C39" s="182">
        <v>-63</v>
      </c>
      <c r="D39" s="182">
        <v>-45</v>
      </c>
    </row>
    <row r="40" spans="2:4" s="254" customFormat="1" ht="12.6" customHeight="1">
      <c r="B40" s="244" t="s">
        <v>294</v>
      </c>
      <c r="C40" s="182">
        <v>-36</v>
      </c>
      <c r="D40" s="182">
        <v>-43</v>
      </c>
    </row>
    <row r="41" spans="2:4" s="254" customFormat="1" ht="12.6" customHeight="1">
      <c r="B41" s="244" t="s">
        <v>307</v>
      </c>
      <c r="C41" s="180" t="s">
        <v>120</v>
      </c>
      <c r="D41" s="251">
        <v>-160</v>
      </c>
    </row>
    <row r="42" spans="2:4" s="254" customFormat="1" ht="12.6" customHeight="1">
      <c r="B42" s="243" t="s">
        <v>295</v>
      </c>
      <c r="C42" s="249">
        <f>SUM(C39:C41)</f>
        <v>-99</v>
      </c>
      <c r="D42" s="249">
        <f>SUM(D39:D41)</f>
        <v>-248</v>
      </c>
    </row>
    <row r="43" spans="2:4" s="254" customFormat="1" ht="12.6" customHeight="1">
      <c r="B43" s="256" t="s">
        <v>298</v>
      </c>
      <c r="C43" s="259">
        <f>C37+C42</f>
        <v>-3157</v>
      </c>
      <c r="D43" s="259">
        <f>D37+D42</f>
        <v>-2953</v>
      </c>
    </row>
    <row r="44" spans="2:4" s="254" customFormat="1" ht="5.25" customHeight="1">
      <c r="B44" s="243"/>
      <c r="C44" s="243"/>
      <c r="D44" s="243"/>
    </row>
    <row r="45" spans="2:4" s="254" customFormat="1" ht="12.6" customHeight="1">
      <c r="B45" s="250" t="s">
        <v>296</v>
      </c>
      <c r="C45" s="246">
        <f>C9+C24+C43</f>
        <v>794</v>
      </c>
      <c r="D45" s="246">
        <f>D9+D24+D43</f>
        <v>1263</v>
      </c>
    </row>
    <row r="46" spans="2:4" s="254" customFormat="1" ht="4.5" customHeight="1">
      <c r="B46" s="42"/>
      <c r="C46" s="44"/>
      <c r="D46" s="44"/>
    </row>
    <row r="47" spans="2:4" ht="36" customHeight="1">
      <c r="B47" s="320" t="s">
        <v>341</v>
      </c>
      <c r="C47" s="321"/>
      <c r="D47" s="321"/>
    </row>
    <row r="48" spans="2:4" ht="24.75" customHeight="1">
      <c r="B48" s="322" t="s">
        <v>416</v>
      </c>
      <c r="C48" s="323"/>
      <c r="D48" s="323"/>
    </row>
    <row r="49" spans="2:4" ht="12.75" customHeight="1">
      <c r="B49" s="67"/>
      <c r="C49" s="67"/>
      <c r="D49" s="69"/>
    </row>
    <row r="50" spans="2:4" ht="12.75" customHeight="1">
      <c r="B50" s="67"/>
      <c r="C50" s="67"/>
      <c r="D50" s="69"/>
    </row>
    <row r="51" spans="2:4" ht="12.75" customHeight="1">
      <c r="B51" s="96"/>
      <c r="C51" s="96"/>
      <c r="D51" s="69"/>
    </row>
    <row r="52" spans="2:4" ht="12.75" customHeight="1">
      <c r="B52" s="67"/>
      <c r="C52" s="67"/>
      <c r="D52" s="69"/>
    </row>
    <row r="53" spans="2:4" ht="12.75" customHeight="1">
      <c r="B53" s="67"/>
      <c r="C53" s="67"/>
      <c r="D53" s="69"/>
    </row>
    <row r="54" spans="2:4" ht="12.75" customHeight="1">
      <c r="B54" s="67"/>
      <c r="C54" s="67"/>
      <c r="D54" s="69"/>
    </row>
    <row r="55" spans="2:4" ht="12.75" customHeight="1">
      <c r="B55" s="65"/>
      <c r="C55" s="65"/>
      <c r="D55" s="69"/>
    </row>
    <row r="56" spans="2:4" ht="12.75" customHeight="1">
      <c r="B56" s="67"/>
      <c r="C56" s="67"/>
      <c r="D56" s="69"/>
    </row>
    <row r="57" spans="2:4" ht="12.75" customHeight="1">
      <c r="B57" s="67"/>
      <c r="C57" s="67"/>
      <c r="D57" s="69"/>
    </row>
    <row r="58" spans="2:4">
      <c r="B58" s="65"/>
      <c r="C58" s="65"/>
      <c r="D58" s="69"/>
    </row>
    <row r="59" spans="2:4">
      <c r="B59" s="65"/>
      <c r="C59" s="65"/>
      <c r="D59" s="69"/>
    </row>
    <row r="60" spans="2:4">
      <c r="B60" s="65"/>
      <c r="C60" s="65"/>
      <c r="D60" s="69"/>
    </row>
    <row r="61" spans="2:4" ht="6" customHeight="1"/>
    <row r="62" spans="2:4">
      <c r="B62" s="89"/>
      <c r="C62" s="89"/>
      <c r="D62" s="67"/>
    </row>
  </sheetData>
  <mergeCells count="2">
    <mergeCell ref="B47:D47"/>
    <mergeCell ref="B48:D48"/>
  </mergeCells>
  <pageMargins left="0.39370078740157483" right="0.39370078740157483" top="0.39370078740157483" bottom="0.31496062992125984" header="0.11811023622047245" footer="0.31496062992125984"/>
  <pageSetup paperSize="9" scale="90" orientation="landscape" r:id="rId1"/>
  <headerFooter>
    <oddHeader>&amp;CBezeq - The Israel Telecommunication Corp. Ltd</oddHeader>
    <oddFooter>&amp;R&amp;P of &amp;N
Fixed-Line Cash Flow Forecast</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59"/>
  <sheetViews>
    <sheetView showGridLines="0" topLeftCell="A41" zoomScale="120" zoomScaleNormal="120" workbookViewId="0">
      <selection activeCell="M18" sqref="M18"/>
    </sheetView>
  </sheetViews>
  <sheetFormatPr defaultRowHeight="12.75"/>
  <cols>
    <col min="1" max="1" width="3.140625" customWidth="1"/>
    <col min="2" max="2" width="27.7109375" customWidth="1"/>
    <col min="3" max="3" width="14.5703125" customWidth="1"/>
    <col min="4" max="4" width="12.5703125" customWidth="1"/>
    <col min="5" max="5" width="14.140625" customWidth="1"/>
    <col min="6" max="6" width="25.140625" customWidth="1"/>
    <col min="7" max="7" width="10.5703125" bestFit="1" customWidth="1"/>
  </cols>
  <sheetData>
    <row r="1" spans="2:6">
      <c r="B1" s="98"/>
      <c r="C1" s="98"/>
      <c r="D1" s="98"/>
      <c r="E1" s="98"/>
      <c r="F1" s="98"/>
    </row>
    <row r="2" spans="2:6">
      <c r="B2" s="98"/>
      <c r="C2" s="45"/>
      <c r="D2" s="45"/>
      <c r="E2" s="45"/>
      <c r="F2" s="45"/>
    </row>
    <row r="3" spans="2:6">
      <c r="B3" s="55"/>
      <c r="C3" s="45"/>
      <c r="D3" s="45"/>
      <c r="E3" s="45"/>
      <c r="F3" s="45"/>
    </row>
    <row r="4" spans="2:6" ht="6.75" customHeight="1">
      <c r="B4" s="42"/>
      <c r="C4" s="43"/>
      <c r="D4" s="43"/>
      <c r="E4" s="43"/>
      <c r="F4" s="43"/>
    </row>
    <row r="5" spans="2:6" ht="20.25">
      <c r="B5" s="33" t="s">
        <v>257</v>
      </c>
      <c r="C5" s="26"/>
      <c r="D5" s="26"/>
      <c r="E5" s="26"/>
      <c r="F5" s="26"/>
    </row>
    <row r="6" spans="2:6" ht="12" customHeight="1">
      <c r="B6" s="216"/>
      <c r="C6" s="216"/>
      <c r="D6" s="216"/>
      <c r="E6" s="59"/>
      <c r="F6" s="59"/>
    </row>
    <row r="7" spans="2:6" ht="8.25" customHeight="1">
      <c r="B7" s="38"/>
      <c r="C7" s="40"/>
      <c r="D7" s="40"/>
      <c r="E7" s="40"/>
      <c r="F7" s="40"/>
    </row>
    <row r="9" spans="2:6">
      <c r="B9" s="221" t="s">
        <v>244</v>
      </c>
      <c r="C9" s="221" t="s">
        <v>248</v>
      </c>
      <c r="D9" s="221" t="s">
        <v>245</v>
      </c>
    </row>
    <row r="10" spans="2:6">
      <c r="B10" s="215" t="s">
        <v>246</v>
      </c>
      <c r="C10" s="215" t="s">
        <v>300</v>
      </c>
      <c r="D10" s="238" t="s">
        <v>274</v>
      </c>
    </row>
    <row r="12" spans="2:6">
      <c r="B12" s="215" t="s">
        <v>247</v>
      </c>
      <c r="C12" s="238" t="s">
        <v>273</v>
      </c>
      <c r="D12" s="238" t="s">
        <v>274</v>
      </c>
      <c r="E12" s="215" t="s">
        <v>371</v>
      </c>
    </row>
    <row r="15" spans="2:6">
      <c r="B15" s="221" t="s">
        <v>370</v>
      </c>
    </row>
    <row r="16" spans="2:6">
      <c r="B16" t="s">
        <v>308</v>
      </c>
    </row>
    <row r="18" spans="2:7">
      <c r="B18" s="221" t="s">
        <v>262</v>
      </c>
    </row>
    <row r="19" spans="2:7" ht="18" customHeight="1">
      <c r="B19" s="222"/>
      <c r="C19" s="223" t="s">
        <v>254</v>
      </c>
      <c r="D19" s="224" t="s">
        <v>255</v>
      </c>
      <c r="E19" s="223" t="s">
        <v>359</v>
      </c>
      <c r="F19" s="223" t="s">
        <v>360</v>
      </c>
    </row>
    <row r="20" spans="2:7">
      <c r="B20" s="222"/>
      <c r="E20" s="223"/>
      <c r="F20" s="225"/>
    </row>
    <row r="21" spans="2:7" ht="15" customHeight="1">
      <c r="B21" s="217" t="s">
        <v>249</v>
      </c>
      <c r="C21" s="218">
        <v>518333</v>
      </c>
      <c r="D21" s="218">
        <v>35708</v>
      </c>
      <c r="E21" s="218">
        <v>185394</v>
      </c>
      <c r="F21" s="218">
        <f>SUM(C21:E21)</f>
        <v>739435</v>
      </c>
    </row>
    <row r="22" spans="2:7" ht="15" customHeight="1">
      <c r="B22" s="217" t="s">
        <v>250</v>
      </c>
      <c r="C22" s="218">
        <v>606668</v>
      </c>
      <c r="D22" s="218">
        <v>250205</v>
      </c>
      <c r="E22" s="218">
        <v>165704</v>
      </c>
      <c r="F22" s="218">
        <f t="shared" ref="F22:F25" si="0">SUM(C22:E22)</f>
        <v>1022577</v>
      </c>
    </row>
    <row r="23" spans="2:7" ht="15" customHeight="1">
      <c r="B23" s="217" t="s">
        <v>251</v>
      </c>
      <c r="C23" s="218">
        <v>265005</v>
      </c>
      <c r="D23" s="218">
        <v>643490</v>
      </c>
      <c r="E23" s="218">
        <v>136242</v>
      </c>
      <c r="F23" s="218">
        <f t="shared" si="0"/>
        <v>1044737</v>
      </c>
    </row>
    <row r="24" spans="2:7" ht="15" customHeight="1">
      <c r="B24" s="217" t="s">
        <v>252</v>
      </c>
      <c r="C24" s="218">
        <v>265005</v>
      </c>
      <c r="D24" s="218">
        <v>643490</v>
      </c>
      <c r="E24" s="218">
        <v>106925</v>
      </c>
      <c r="F24" s="218">
        <f t="shared" si="0"/>
        <v>1015420</v>
      </c>
    </row>
    <row r="25" spans="2:7" ht="15" customHeight="1">
      <c r="B25" s="217" t="s">
        <v>253</v>
      </c>
      <c r="C25" s="218">
        <v>1534245</v>
      </c>
      <c r="D25" s="218">
        <v>1478256</v>
      </c>
      <c r="E25" s="218">
        <v>198331</v>
      </c>
      <c r="F25" s="218">
        <f t="shared" si="0"/>
        <v>3210832</v>
      </c>
    </row>
    <row r="26" spans="2:7">
      <c r="B26" s="219" t="s">
        <v>256</v>
      </c>
      <c r="C26" s="220">
        <f>SUM(C21:C25)</f>
        <v>3189256</v>
      </c>
      <c r="D26" s="220">
        <f>SUM(D21:D25)</f>
        <v>3051149</v>
      </c>
      <c r="E26" s="220">
        <f>SUM(E21:E25)</f>
        <v>792596</v>
      </c>
      <c r="F26" s="220">
        <f>SUM(F21:F25)</f>
        <v>7033001</v>
      </c>
      <c r="G26" s="262"/>
    </row>
    <row r="29" spans="2:7">
      <c r="B29" s="221" t="s">
        <v>263</v>
      </c>
    </row>
    <row r="30" spans="2:7" ht="18" customHeight="1">
      <c r="B30" s="222"/>
      <c r="C30" s="223" t="s">
        <v>254</v>
      </c>
      <c r="D30" s="224" t="s">
        <v>255</v>
      </c>
      <c r="E30" s="223" t="s">
        <v>359</v>
      </c>
      <c r="F30" s="223" t="s">
        <v>360</v>
      </c>
    </row>
    <row r="31" spans="2:7">
      <c r="B31" s="222"/>
      <c r="C31" s="223"/>
      <c r="D31" s="224"/>
      <c r="E31" s="223"/>
      <c r="F31" s="225"/>
    </row>
    <row r="32" spans="2:7" ht="15" customHeight="1">
      <c r="B32" s="217" t="s">
        <v>249</v>
      </c>
      <c r="C32" s="218">
        <v>0</v>
      </c>
      <c r="D32" s="218">
        <v>98333</v>
      </c>
      <c r="E32" s="218">
        <v>34387</v>
      </c>
      <c r="F32" s="218">
        <f>SUM(C32:E32)</f>
        <v>132720</v>
      </c>
    </row>
    <row r="33" spans="2:6" ht="15" customHeight="1">
      <c r="B33" s="217" t="s">
        <v>250</v>
      </c>
      <c r="C33" s="218">
        <v>0</v>
      </c>
      <c r="D33" s="218">
        <v>76667</v>
      </c>
      <c r="E33" s="218">
        <v>30593</v>
      </c>
      <c r="F33" s="218">
        <f t="shared" ref="F33:F36" si="1">SUM(C33:E33)</f>
        <v>107260</v>
      </c>
    </row>
    <row r="34" spans="2:6" ht="15" customHeight="1">
      <c r="B34" s="217" t="s">
        <v>251</v>
      </c>
      <c r="C34" s="218">
        <v>0</v>
      </c>
      <c r="D34" s="218">
        <v>76667</v>
      </c>
      <c r="E34" s="218">
        <v>27771</v>
      </c>
      <c r="F34" s="218">
        <f t="shared" si="1"/>
        <v>104438</v>
      </c>
    </row>
    <row r="35" spans="2:6" ht="15" customHeight="1">
      <c r="B35" s="217" t="s">
        <v>252</v>
      </c>
      <c r="C35" s="218">
        <v>0</v>
      </c>
      <c r="D35" s="218">
        <v>45000</v>
      </c>
      <c r="E35" s="218">
        <v>25267</v>
      </c>
      <c r="F35" s="218">
        <f t="shared" si="1"/>
        <v>70267</v>
      </c>
    </row>
    <row r="36" spans="2:6" ht="15" customHeight="1">
      <c r="B36" s="217" t="s">
        <v>253</v>
      </c>
      <c r="C36" s="218"/>
      <c r="D36" s="218">
        <v>695000</v>
      </c>
      <c r="E36" s="218">
        <v>66473</v>
      </c>
      <c r="F36" s="218">
        <f t="shared" si="1"/>
        <v>761473</v>
      </c>
    </row>
    <row r="37" spans="2:6">
      <c r="B37" s="219" t="s">
        <v>256</v>
      </c>
      <c r="C37" s="220">
        <f>SUM(C32:C36)</f>
        <v>0</v>
      </c>
      <c r="D37" s="220">
        <f>SUM(D32:D36)</f>
        <v>991667</v>
      </c>
      <c r="E37" s="220">
        <f>SUM(E32:E36)</f>
        <v>184491</v>
      </c>
      <c r="F37" s="220">
        <f>SUM(F32:F36)</f>
        <v>1176158</v>
      </c>
    </row>
    <row r="38" spans="2:6">
      <c r="B38" s="221"/>
    </row>
    <row r="39" spans="2:6">
      <c r="B39" s="221"/>
    </row>
    <row r="40" spans="2:6">
      <c r="B40" s="221" t="s">
        <v>264</v>
      </c>
    </row>
    <row r="41" spans="2:6">
      <c r="B41" s="222"/>
      <c r="C41" s="223" t="s">
        <v>254</v>
      </c>
      <c r="D41" s="224" t="s">
        <v>255</v>
      </c>
      <c r="E41" s="223" t="s">
        <v>359</v>
      </c>
      <c r="F41" s="223" t="s">
        <v>360</v>
      </c>
    </row>
    <row r="42" spans="2:6">
      <c r="B42" s="222"/>
      <c r="C42" s="223"/>
      <c r="D42" s="224"/>
      <c r="E42" s="223"/>
      <c r="F42" s="225"/>
    </row>
    <row r="43" spans="2:6">
      <c r="B43" s="217" t="s">
        <v>249</v>
      </c>
      <c r="C43" s="218">
        <v>0</v>
      </c>
      <c r="D43" s="218">
        <v>101556</v>
      </c>
      <c r="E43" s="218">
        <v>37977</v>
      </c>
      <c r="F43" s="218">
        <f>SUM(C43:E43)</f>
        <v>139533</v>
      </c>
    </row>
    <row r="44" spans="2:6">
      <c r="B44" s="217" t="s">
        <v>250</v>
      </c>
      <c r="C44" s="218">
        <v>0</v>
      </c>
      <c r="D44" s="218">
        <v>6000</v>
      </c>
      <c r="E44" s="218">
        <v>33992</v>
      </c>
      <c r="F44" s="218">
        <f t="shared" ref="F44:F47" si="2">SUM(C44:E44)</f>
        <v>39992</v>
      </c>
    </row>
    <row r="45" spans="2:6">
      <c r="B45" s="217" t="s">
        <v>251</v>
      </c>
      <c r="C45" s="218">
        <v>0</v>
      </c>
      <c r="D45" s="218">
        <v>6000</v>
      </c>
      <c r="E45" s="218">
        <v>33794</v>
      </c>
      <c r="F45" s="218">
        <f t="shared" si="2"/>
        <v>39794</v>
      </c>
    </row>
    <row r="46" spans="2:6">
      <c r="B46" s="217" t="s">
        <v>252</v>
      </c>
      <c r="C46" s="218">
        <v>0</v>
      </c>
      <c r="D46" s="218">
        <v>286000</v>
      </c>
      <c r="E46" s="218">
        <v>28698</v>
      </c>
      <c r="F46" s="218">
        <f t="shared" si="2"/>
        <v>314698</v>
      </c>
    </row>
    <row r="47" spans="2:6">
      <c r="B47" s="217" t="s">
        <v>253</v>
      </c>
      <c r="C47" s="218">
        <v>0</v>
      </c>
      <c r="D47" s="218">
        <v>713000</v>
      </c>
      <c r="E47" s="218">
        <v>35922</v>
      </c>
      <c r="F47" s="218">
        <f t="shared" si="2"/>
        <v>748922</v>
      </c>
    </row>
    <row r="48" spans="2:6">
      <c r="B48" s="219" t="s">
        <v>256</v>
      </c>
      <c r="C48" s="220">
        <f>SUM(C43:C47)</f>
        <v>0</v>
      </c>
      <c r="D48" s="220">
        <f>SUM(D43:D47)</f>
        <v>1112556</v>
      </c>
      <c r="E48" s="220">
        <f>SUM(E43:E47)</f>
        <v>170383</v>
      </c>
      <c r="F48" s="220">
        <f>SUM(F43:F47)</f>
        <v>1282939</v>
      </c>
    </row>
    <row r="49" spans="2:6" ht="12.75" customHeight="1"/>
    <row r="50" spans="2:6" ht="12.75" customHeight="1">
      <c r="B50" s="221" t="s">
        <v>259</v>
      </c>
    </row>
    <row r="51" spans="2:6" ht="12.75" customHeight="1">
      <c r="B51" s="222"/>
      <c r="C51" s="223" t="s">
        <v>254</v>
      </c>
      <c r="D51" s="224" t="s">
        <v>255</v>
      </c>
      <c r="E51" s="223" t="s">
        <v>359</v>
      </c>
      <c r="F51" s="223" t="s">
        <v>360</v>
      </c>
    </row>
    <row r="52" spans="2:6" ht="12.75" customHeight="1">
      <c r="B52" s="222"/>
      <c r="C52" s="223"/>
      <c r="D52" s="224"/>
      <c r="E52" s="223"/>
      <c r="F52" s="225"/>
    </row>
    <row r="53" spans="2:6" ht="12.75" customHeight="1">
      <c r="B53" s="217" t="s">
        <v>249</v>
      </c>
      <c r="C53" s="218">
        <f>C43+C32+C21</f>
        <v>518333</v>
      </c>
      <c r="D53" s="218">
        <f>D43+D32+D21</f>
        <v>235597</v>
      </c>
      <c r="E53" s="218">
        <f>E43+E32+E21</f>
        <v>257758</v>
      </c>
      <c r="F53" s="218">
        <f>F43+F32+F21</f>
        <v>1011688</v>
      </c>
    </row>
    <row r="54" spans="2:6" ht="12.75" customHeight="1">
      <c r="B54" s="217" t="s">
        <v>250</v>
      </c>
      <c r="C54" s="218">
        <f t="shared" ref="C54:F57" si="3">C44+C33+C22</f>
        <v>606668</v>
      </c>
      <c r="D54" s="218">
        <f t="shared" si="3"/>
        <v>332872</v>
      </c>
      <c r="E54" s="218">
        <f t="shared" si="3"/>
        <v>230289</v>
      </c>
      <c r="F54" s="218">
        <f t="shared" si="3"/>
        <v>1169829</v>
      </c>
    </row>
    <row r="55" spans="2:6" ht="12.75" customHeight="1">
      <c r="B55" s="217" t="s">
        <v>251</v>
      </c>
      <c r="C55" s="218">
        <f t="shared" si="3"/>
        <v>265005</v>
      </c>
      <c r="D55" s="218">
        <f t="shared" si="3"/>
        <v>726157</v>
      </c>
      <c r="E55" s="218">
        <f t="shared" si="3"/>
        <v>197807</v>
      </c>
      <c r="F55" s="218">
        <f t="shared" si="3"/>
        <v>1188969</v>
      </c>
    </row>
    <row r="56" spans="2:6" ht="12.75" customHeight="1">
      <c r="B56" s="217" t="s">
        <v>252</v>
      </c>
      <c r="C56" s="218">
        <f t="shared" si="3"/>
        <v>265005</v>
      </c>
      <c r="D56" s="218">
        <f t="shared" si="3"/>
        <v>974490</v>
      </c>
      <c r="E56" s="218">
        <f t="shared" si="3"/>
        <v>160890</v>
      </c>
      <c r="F56" s="218">
        <f t="shared" si="3"/>
        <v>1400385</v>
      </c>
    </row>
    <row r="57" spans="2:6" ht="12.75" customHeight="1">
      <c r="B57" s="217" t="s">
        <v>253</v>
      </c>
      <c r="C57" s="218">
        <f t="shared" si="3"/>
        <v>1534245</v>
      </c>
      <c r="D57" s="218">
        <f t="shared" si="3"/>
        <v>2886256</v>
      </c>
      <c r="E57" s="218">
        <f t="shared" si="3"/>
        <v>300726</v>
      </c>
      <c r="F57" s="218">
        <f t="shared" si="3"/>
        <v>4721227</v>
      </c>
    </row>
    <row r="58" spans="2:6" ht="12.75" customHeight="1">
      <c r="B58" s="219" t="s">
        <v>256</v>
      </c>
      <c r="C58" s="220">
        <f>SUM(C53:C57)</f>
        <v>3189256</v>
      </c>
      <c r="D58" s="220">
        <f>SUM(D53:D57)</f>
        <v>5155372</v>
      </c>
      <c r="E58" s="220">
        <f>SUM(E53:E57)</f>
        <v>1147470</v>
      </c>
      <c r="F58" s="220">
        <f>SUM(F53:F57)</f>
        <v>9492098</v>
      </c>
    </row>
    <row r="59" spans="2:6" ht="3" customHeight="1">
      <c r="B59" s="42"/>
      <c r="C59" s="43"/>
      <c r="D59" s="43"/>
      <c r="E59" s="43"/>
      <c r="F59" s="43"/>
    </row>
  </sheetData>
  <pageMargins left="0.39370078740157483" right="0.39370078740157483" top="0.39370078740157483" bottom="0.59055118110236227" header="0.11811023622047245" footer="0.31496062992125984"/>
  <pageSetup paperSize="9" orientation="landscape" r:id="rId1"/>
  <headerFooter>
    <oddHeader>&amp;CBezeq - The Israel Telecommunication Corp. Ltd</oddHeader>
    <oddFooter>&amp;R&amp;P of &amp;N
Debt Ratings and Repayments</oddFooter>
  </headerFooter>
  <rowBreaks count="1" manualBreakCount="1">
    <brk id="37" min="1" max="5" man="1"/>
  </rowBreaks>
  <colBreaks count="1" manualBreakCount="1">
    <brk id="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5"/>
  <sheetViews>
    <sheetView showGridLines="0" zoomScale="140" zoomScaleNormal="140" workbookViewId="0">
      <selection activeCell="M18" sqref="M18"/>
    </sheetView>
  </sheetViews>
  <sheetFormatPr defaultRowHeight="12.75"/>
  <cols>
    <col min="1" max="1" width="1.28515625" style="215" customWidth="1"/>
    <col min="2" max="2" width="39.42578125" style="215" customWidth="1"/>
    <col min="3" max="3" width="12.85546875" style="215" customWidth="1"/>
    <col min="4" max="5" width="10.140625" style="215" customWidth="1"/>
    <col min="6" max="6" width="13.140625" style="215" customWidth="1"/>
    <col min="7" max="7" width="12" style="215" customWidth="1"/>
    <col min="8" max="8" width="21.85546875" style="215" customWidth="1"/>
    <col min="9" max="16384" width="9.140625" style="215"/>
  </cols>
  <sheetData>
    <row r="1" spans="2:8">
      <c r="B1" s="226"/>
      <c r="C1" s="226"/>
      <c r="D1" s="227"/>
      <c r="E1" s="227"/>
      <c r="F1" s="227"/>
      <c r="G1" s="227"/>
    </row>
    <row r="2" spans="2:8">
      <c r="B2" s="226"/>
      <c r="C2" s="226"/>
      <c r="D2" s="226"/>
      <c r="E2" s="226"/>
      <c r="F2" s="226"/>
      <c r="G2" s="226"/>
    </row>
    <row r="3" spans="2:8">
      <c r="B3" s="45"/>
      <c r="C3" s="260" t="s">
        <v>328</v>
      </c>
      <c r="D3" s="260" t="s">
        <v>330</v>
      </c>
      <c r="E3" s="260" t="s">
        <v>357</v>
      </c>
      <c r="F3" s="45" t="s">
        <v>334</v>
      </c>
      <c r="G3" s="45" t="s">
        <v>331</v>
      </c>
      <c r="H3" s="275" t="s">
        <v>336</v>
      </c>
    </row>
    <row r="4" spans="2:8">
      <c r="B4" s="46"/>
      <c r="C4" s="294" t="s">
        <v>329</v>
      </c>
      <c r="D4" s="273"/>
      <c r="E4" s="273"/>
      <c r="F4" s="45" t="s">
        <v>333</v>
      </c>
      <c r="G4" s="45" t="s">
        <v>332</v>
      </c>
      <c r="H4" s="275" t="s">
        <v>356</v>
      </c>
    </row>
    <row r="5" spans="2:8" ht="4.5" customHeight="1">
      <c r="B5" s="42"/>
      <c r="C5" s="42"/>
      <c r="D5" s="228"/>
      <c r="E5" s="228"/>
      <c r="F5" s="228"/>
      <c r="G5" s="228"/>
      <c r="H5" s="228"/>
    </row>
    <row r="6" spans="2:8">
      <c r="B6" s="229"/>
      <c r="C6" s="229"/>
      <c r="D6" s="229"/>
      <c r="E6" s="229"/>
      <c r="F6" s="229"/>
      <c r="G6" s="229"/>
      <c r="H6" s="229"/>
    </row>
    <row r="7" spans="2:8" ht="20.25">
      <c r="B7" s="33" t="s">
        <v>258</v>
      </c>
      <c r="C7" s="27"/>
      <c r="D7" s="230"/>
      <c r="E7" s="230"/>
      <c r="F7" s="230"/>
      <c r="G7" s="230"/>
      <c r="H7" s="230"/>
    </row>
    <row r="8" spans="2:8">
      <c r="B8" s="231"/>
      <c r="C8" s="231"/>
      <c r="D8" s="231"/>
      <c r="E8" s="231"/>
      <c r="F8" s="231"/>
      <c r="G8" s="231"/>
      <c r="H8" s="231"/>
    </row>
    <row r="9" spans="2:8">
      <c r="B9" s="38"/>
      <c r="C9" s="38"/>
      <c r="D9" s="40"/>
      <c r="E9" s="40"/>
      <c r="F9" s="40"/>
      <c r="G9" s="40"/>
      <c r="H9" s="40"/>
    </row>
    <row r="10" spans="2:8" ht="15" customHeight="1">
      <c r="B10" s="232"/>
      <c r="C10" s="234"/>
      <c r="D10" s="234"/>
      <c r="E10" s="234"/>
      <c r="F10" s="234"/>
      <c r="G10" s="234"/>
      <c r="H10" s="235"/>
    </row>
    <row r="11" spans="2:8" ht="15" customHeight="1">
      <c r="B11" s="290" t="s">
        <v>337</v>
      </c>
      <c r="C11" s="234"/>
      <c r="D11" s="234"/>
      <c r="E11" s="234"/>
      <c r="F11" s="234"/>
      <c r="G11" s="234"/>
      <c r="H11" s="235"/>
    </row>
    <row r="12" spans="2:8" ht="15" customHeight="1">
      <c r="B12" s="232"/>
      <c r="C12" s="234"/>
      <c r="D12" s="234"/>
      <c r="E12" s="234"/>
      <c r="F12" s="234"/>
      <c r="G12" s="234"/>
      <c r="H12" s="235"/>
    </row>
    <row r="13" spans="2:8" ht="15" customHeight="1">
      <c r="B13" s="232" t="s">
        <v>325</v>
      </c>
      <c r="C13" s="293">
        <v>1113</v>
      </c>
      <c r="D13" s="287" t="s">
        <v>335</v>
      </c>
      <c r="E13" s="276" t="s">
        <v>255</v>
      </c>
      <c r="F13" s="276" t="s">
        <v>326</v>
      </c>
      <c r="G13" s="271">
        <v>3.49E-2</v>
      </c>
      <c r="H13" s="272" t="s">
        <v>381</v>
      </c>
    </row>
    <row r="14" spans="2:8" ht="15" customHeight="1">
      <c r="B14" s="277"/>
      <c r="C14" s="281"/>
      <c r="D14" s="299"/>
      <c r="E14" s="285"/>
      <c r="F14" s="278"/>
      <c r="G14" s="278"/>
      <c r="H14" s="279"/>
    </row>
    <row r="15" spans="2:8" s="274" customFormat="1" ht="83.25" customHeight="1">
      <c r="B15" s="232" t="s">
        <v>327</v>
      </c>
      <c r="C15" s="280">
        <v>71</v>
      </c>
      <c r="D15" s="287" t="s">
        <v>335</v>
      </c>
      <c r="E15" s="276" t="s">
        <v>255</v>
      </c>
      <c r="F15" s="284" t="s">
        <v>353</v>
      </c>
      <c r="G15" s="271">
        <v>1.43E-2</v>
      </c>
      <c r="H15" s="272" t="s">
        <v>338</v>
      </c>
    </row>
    <row r="16" spans="2:8" ht="15" customHeight="1">
      <c r="B16" s="277"/>
      <c r="C16" s="281"/>
      <c r="D16" s="299"/>
      <c r="E16" s="285"/>
      <c r="F16" s="281"/>
      <c r="G16" s="282"/>
      <c r="H16" s="279"/>
    </row>
    <row r="17" spans="1:8" ht="15" customHeight="1">
      <c r="B17" s="232"/>
      <c r="C17" s="280"/>
      <c r="D17" s="276"/>
      <c r="E17" s="276"/>
      <c r="F17" s="234"/>
      <c r="G17" s="271"/>
      <c r="H17" s="235"/>
    </row>
    <row r="18" spans="1:8" ht="15" customHeight="1">
      <c r="B18" s="232" t="s">
        <v>327</v>
      </c>
      <c r="C18" s="292">
        <v>3971</v>
      </c>
      <c r="D18" s="287" t="s">
        <v>335</v>
      </c>
      <c r="E18" s="276" t="s">
        <v>255</v>
      </c>
      <c r="F18" s="276" t="s">
        <v>326</v>
      </c>
      <c r="G18" s="271">
        <v>3.1E-2</v>
      </c>
      <c r="H18" s="272" t="s">
        <v>339</v>
      </c>
    </row>
    <row r="19" spans="1:8" ht="15" customHeight="1">
      <c r="A19" s="233"/>
      <c r="B19" s="277"/>
      <c r="C19" s="281"/>
      <c r="D19" s="299"/>
      <c r="E19" s="285"/>
      <c r="F19" s="281"/>
      <c r="G19" s="282"/>
      <c r="H19" s="283"/>
    </row>
    <row r="20" spans="1:8" ht="15" customHeight="1">
      <c r="B20" s="232"/>
      <c r="C20" s="280"/>
      <c r="D20" s="276"/>
      <c r="E20" s="276"/>
      <c r="F20" s="234"/>
      <c r="G20" s="271"/>
      <c r="H20" s="272"/>
    </row>
    <row r="21" spans="1:8" ht="15" customHeight="1">
      <c r="B21" s="232" t="s">
        <v>327</v>
      </c>
      <c r="C21" s="280">
        <v>3189</v>
      </c>
      <c r="D21" s="287" t="s">
        <v>335</v>
      </c>
      <c r="E21" s="276" t="s">
        <v>358</v>
      </c>
      <c r="F21" s="276" t="s">
        <v>326</v>
      </c>
      <c r="G21" s="271">
        <v>1.9199999999999998E-2</v>
      </c>
      <c r="H21" s="272" t="s">
        <v>340</v>
      </c>
    </row>
    <row r="22" spans="1:8" ht="15" customHeight="1">
      <c r="B22" s="232"/>
      <c r="C22" s="291"/>
      <c r="E22" s="287"/>
      <c r="F22" s="286"/>
      <c r="G22" s="288"/>
      <c r="H22" s="289"/>
    </row>
    <row r="23" spans="1:8" ht="4.5" customHeight="1">
      <c r="B23" s="42"/>
      <c r="C23" s="42"/>
      <c r="D23" s="228"/>
      <c r="E23" s="228"/>
      <c r="F23" s="228"/>
      <c r="G23" s="228"/>
      <c r="H23" s="228"/>
    </row>
    <row r="24" spans="1:8" ht="15" customHeight="1">
      <c r="B24" s="233"/>
      <c r="C24" s="234"/>
      <c r="D24" s="234"/>
      <c r="E24" s="234"/>
      <c r="F24" s="234"/>
      <c r="G24" s="234"/>
    </row>
    <row r="25" spans="1:8" ht="15" customHeight="1">
      <c r="B25" s="233"/>
      <c r="C25" s="234"/>
      <c r="D25" s="234"/>
      <c r="E25" s="234"/>
      <c r="F25" s="234"/>
      <c r="G25" s="234"/>
    </row>
  </sheetData>
  <pageMargins left="0.39370078740157483" right="0.39370078740157483" top="0.39370078740157483" bottom="0.39370078740157483" header="0.11811023622047245" footer="0.31496062992125984"/>
  <pageSetup paperSize="9" scale="88" orientation="landscape" r:id="rId1"/>
  <headerFooter>
    <oddHeader>&amp;CBezeq - The Israel Telecommunication Corp. Ltd</oddHeader>
    <oddFooter>&amp;R&amp;P of &amp;N
Debt Terms</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IV253"/>
  <sheetViews>
    <sheetView showGridLines="0" topLeftCell="A7" zoomScale="120" zoomScaleNormal="120" workbookViewId="0">
      <selection activeCell="I18" sqref="I18"/>
    </sheetView>
  </sheetViews>
  <sheetFormatPr defaultColWidth="8.7109375" defaultRowHeight="12.75"/>
  <cols>
    <col min="1" max="1" width="34.42578125" style="97" customWidth="1"/>
    <col min="2" max="2" width="2.28515625" style="97" customWidth="1"/>
    <col min="3" max="10" width="10.28515625" style="97" customWidth="1"/>
    <col min="11" max="11" width="10.42578125" style="97" customWidth="1"/>
    <col min="12" max="12" width="17.42578125" style="97" customWidth="1"/>
    <col min="13" max="13" width="17.7109375" style="100" customWidth="1"/>
    <col min="14" max="14" width="9.28515625" style="100" customWidth="1"/>
    <col min="15" max="89" width="8.7109375" style="100"/>
    <col min="90" max="16384" width="8.7109375" style="97"/>
  </cols>
  <sheetData>
    <row r="1" spans="1:256" s="98" customFormat="1" ht="15.75">
      <c r="C1" s="324" t="s">
        <v>4</v>
      </c>
      <c r="D1" s="324"/>
      <c r="E1" s="324"/>
      <c r="F1" s="324"/>
      <c r="G1" s="324"/>
      <c r="H1" s="324"/>
      <c r="I1" s="324"/>
      <c r="J1" s="324"/>
      <c r="K1" s="324"/>
      <c r="L1" s="324"/>
      <c r="M1" s="99"/>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row>
    <row r="2" spans="1:256" s="98" customFormat="1">
      <c r="M2" s="99"/>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row>
    <row r="3" spans="1:256" s="98" customFormat="1" ht="23.25">
      <c r="C3" s="325" t="s">
        <v>41</v>
      </c>
      <c r="D3" s="325"/>
      <c r="E3" s="325"/>
      <c r="F3" s="325"/>
      <c r="G3" s="325"/>
      <c r="H3" s="325"/>
      <c r="I3" s="325"/>
      <c r="J3" s="325"/>
      <c r="K3" s="325"/>
      <c r="L3" s="325"/>
      <c r="M3" s="99"/>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row>
    <row r="4" spans="1:256" s="98" customFormat="1" ht="9.75" customHeight="1">
      <c r="M4" s="99"/>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row>
    <row r="5" spans="1:256" s="104" customFormat="1" ht="6.75" customHeight="1">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row>
    <row r="6" spans="1:256">
      <c r="A6" s="105"/>
      <c r="B6" s="98"/>
      <c r="C6" s="98"/>
      <c r="D6" s="98"/>
      <c r="E6" s="98"/>
      <c r="F6" s="98"/>
      <c r="G6" s="98"/>
      <c r="H6" s="98"/>
      <c r="I6" s="98"/>
      <c r="J6" s="98"/>
      <c r="K6" s="98"/>
      <c r="L6" s="98"/>
      <c r="M6" s="99"/>
    </row>
    <row r="7" spans="1:256" s="107" customFormat="1">
      <c r="A7" s="106" t="s">
        <v>32</v>
      </c>
    </row>
    <row r="8" spans="1:256">
      <c r="A8" s="98"/>
      <c r="B8" s="98"/>
      <c r="C8" s="108"/>
      <c r="D8" s="98"/>
      <c r="E8" s="98"/>
      <c r="F8" s="98"/>
      <c r="G8" s="98"/>
      <c r="H8" s="98"/>
      <c r="I8" s="98"/>
      <c r="J8" s="98"/>
      <c r="K8" s="98"/>
      <c r="L8" s="98"/>
      <c r="M8" s="99"/>
    </row>
    <row r="9" spans="1:256">
      <c r="A9" s="109" t="s">
        <v>9</v>
      </c>
      <c r="B9" s="109" t="s">
        <v>30</v>
      </c>
      <c r="C9" s="109" t="s">
        <v>233</v>
      </c>
      <c r="D9" s="98"/>
      <c r="E9" s="98"/>
      <c r="F9" s="98"/>
      <c r="G9" s="98"/>
      <c r="H9" s="98"/>
      <c r="I9" s="98"/>
      <c r="J9" s="98"/>
      <c r="K9" s="98"/>
      <c r="L9" s="98"/>
      <c r="M9" s="99"/>
    </row>
    <row r="10" spans="1:256">
      <c r="A10" s="109" t="s">
        <v>159</v>
      </c>
      <c r="B10" s="109" t="s">
        <v>30</v>
      </c>
      <c r="C10" s="109" t="s">
        <v>269</v>
      </c>
      <c r="D10" s="98"/>
      <c r="E10" s="98"/>
      <c r="F10" s="98"/>
      <c r="G10" s="98"/>
      <c r="H10" s="98"/>
      <c r="I10" s="98"/>
      <c r="J10" s="98"/>
      <c r="K10" s="98"/>
      <c r="L10" s="98"/>
      <c r="M10" s="99"/>
    </row>
    <row r="11" spans="1:256">
      <c r="A11" s="109" t="s">
        <v>226</v>
      </c>
      <c r="B11" s="109" t="s">
        <v>30</v>
      </c>
      <c r="C11" s="109" t="s">
        <v>366</v>
      </c>
      <c r="D11" s="98"/>
      <c r="E11" s="98"/>
      <c r="F11" s="98"/>
      <c r="G11" s="98"/>
      <c r="H11" s="98"/>
      <c r="I11" s="98"/>
      <c r="J11" s="98"/>
      <c r="K11" s="98"/>
      <c r="L11" s="98"/>
      <c r="M11" s="99"/>
    </row>
    <row r="12" spans="1:256">
      <c r="A12" s="109"/>
      <c r="B12" s="109"/>
      <c r="C12" s="109" t="s">
        <v>367</v>
      </c>
      <c r="D12" s="98"/>
      <c r="E12" s="98"/>
      <c r="F12" s="98"/>
      <c r="G12" s="98"/>
      <c r="H12" s="98"/>
      <c r="I12" s="98"/>
      <c r="J12" s="98"/>
      <c r="K12" s="98"/>
      <c r="L12" s="98"/>
      <c r="M12" s="99"/>
    </row>
    <row r="13" spans="1:256">
      <c r="A13" s="109" t="s">
        <v>13</v>
      </c>
      <c r="B13" s="109" t="s">
        <v>30</v>
      </c>
      <c r="C13" s="109" t="s">
        <v>208</v>
      </c>
      <c r="D13" s="98"/>
      <c r="E13" s="98"/>
      <c r="F13" s="98"/>
      <c r="G13" s="98"/>
      <c r="H13" s="98"/>
      <c r="I13" s="98"/>
      <c r="J13" s="98"/>
      <c r="K13" s="98"/>
      <c r="L13" s="98"/>
      <c r="M13" s="99"/>
    </row>
    <row r="14" spans="1:256">
      <c r="A14" s="109" t="s">
        <v>45</v>
      </c>
      <c r="B14" s="109" t="s">
        <v>30</v>
      </c>
      <c r="C14" s="109" t="s">
        <v>57</v>
      </c>
      <c r="D14" s="98"/>
      <c r="E14" s="98"/>
      <c r="F14" s="98"/>
      <c r="G14" s="98"/>
      <c r="H14" s="98"/>
      <c r="I14" s="98"/>
      <c r="J14" s="98"/>
      <c r="K14" s="98"/>
      <c r="L14" s="98"/>
      <c r="M14" s="99"/>
    </row>
    <row r="15" spans="1:256">
      <c r="A15" s="109" t="s">
        <v>207</v>
      </c>
      <c r="B15" s="109" t="s">
        <v>30</v>
      </c>
      <c r="C15" s="109" t="s">
        <v>213</v>
      </c>
      <c r="D15" s="98"/>
      <c r="E15" s="98"/>
      <c r="F15" s="98"/>
      <c r="G15" s="98"/>
      <c r="H15" s="98"/>
      <c r="I15" s="98"/>
      <c r="J15" s="98"/>
      <c r="K15" s="98"/>
      <c r="L15" s="98"/>
      <c r="M15" s="99"/>
    </row>
    <row r="16" spans="1:256">
      <c r="A16" s="109" t="s">
        <v>55</v>
      </c>
      <c r="B16" s="109" t="s">
        <v>30</v>
      </c>
      <c r="C16" s="109" t="s">
        <v>56</v>
      </c>
      <c r="D16" s="98"/>
      <c r="E16" s="98"/>
      <c r="F16" s="98"/>
      <c r="G16" s="98"/>
      <c r="H16" s="98"/>
      <c r="I16" s="98"/>
      <c r="J16" s="98"/>
      <c r="K16" s="98"/>
      <c r="L16" s="98"/>
      <c r="M16" s="99"/>
    </row>
    <row r="17" spans="1:13">
      <c r="A17" s="109" t="s">
        <v>29</v>
      </c>
      <c r="B17" s="109" t="s">
        <v>30</v>
      </c>
      <c r="C17" s="109" t="s">
        <v>46</v>
      </c>
      <c r="D17" s="98"/>
      <c r="E17" s="98"/>
      <c r="F17" s="98"/>
      <c r="G17" s="98"/>
      <c r="H17" s="98"/>
      <c r="I17" s="98"/>
      <c r="J17" s="98"/>
      <c r="K17" s="98"/>
      <c r="L17" s="98"/>
      <c r="M17" s="99"/>
    </row>
    <row r="18" spans="1:13">
      <c r="A18" s="109" t="s">
        <v>35</v>
      </c>
      <c r="B18" s="109" t="s">
        <v>30</v>
      </c>
      <c r="C18" s="109" t="s">
        <v>47</v>
      </c>
      <c r="D18" s="98"/>
      <c r="E18" s="98"/>
      <c r="F18" s="98"/>
      <c r="G18" s="98"/>
      <c r="H18" s="98"/>
      <c r="I18" s="98"/>
      <c r="J18" s="98"/>
      <c r="K18" s="98"/>
      <c r="L18" s="98"/>
      <c r="M18" s="99"/>
    </row>
    <row r="19" spans="1:13">
      <c r="A19" s="109" t="s">
        <v>34</v>
      </c>
      <c r="B19" s="109" t="s">
        <v>30</v>
      </c>
      <c r="C19" s="109" t="s">
        <v>48</v>
      </c>
      <c r="D19" s="98"/>
      <c r="E19" s="98"/>
      <c r="F19" s="98"/>
      <c r="G19" s="98"/>
      <c r="H19" s="98"/>
      <c r="I19" s="98"/>
      <c r="J19" s="98"/>
      <c r="K19" s="98"/>
      <c r="L19" s="98"/>
      <c r="M19" s="99"/>
    </row>
    <row r="20" spans="1:13">
      <c r="A20" s="109" t="s">
        <v>231</v>
      </c>
      <c r="B20" s="109" t="s">
        <v>30</v>
      </c>
      <c r="C20" s="109" t="s">
        <v>232</v>
      </c>
      <c r="D20" s="98"/>
      <c r="E20" s="98"/>
      <c r="F20" s="98"/>
      <c r="G20" s="98"/>
      <c r="H20" s="98"/>
      <c r="I20" s="98"/>
      <c r="J20" s="98"/>
      <c r="K20" s="98"/>
      <c r="L20" s="98"/>
      <c r="M20" s="99"/>
    </row>
    <row r="21" spans="1:13">
      <c r="A21" s="110"/>
    </row>
    <row r="24" spans="1:13" ht="6" customHeight="1"/>
    <row r="26" spans="1:13">
      <c r="A26" s="111"/>
    </row>
    <row r="27" spans="1:13" ht="7.5" customHeight="1"/>
    <row r="251" spans="23:23">
      <c r="W251" s="100">
        <v>118</v>
      </c>
    </row>
    <row r="253" spans="23:23">
      <c r="W253" s="113">
        <v>-9.1999999999999998E-2</v>
      </c>
    </row>
  </sheetData>
  <dataConsolidate/>
  <customSheetViews>
    <customSheetView guid="{C6BBAF30-1E81-42FB-BA93-01B6813E2C8C}" showPageBreaks="1" printArea="1" showRuler="0">
      <pageMargins left="0.7" right="0.7" top="0.75" bottom="0.75" header="0.3" footer="0.3"/>
      <printOptions horizontalCentered="1"/>
      <pageSetup scale="83" orientation="landscape"/>
      <headerFooter alignWithMargins="0"/>
    </customSheetView>
    <customSheetView guid="{F07085DA-2B2D-4BE1-891D-F25D604A092E}" showPageBreaks="1" printArea="1" showRuler="0" topLeftCell="A22">
      <selection activeCell="A77" sqref="A77"/>
      <pageMargins left="0.7" right="0.7" top="0.75" bottom="0.75" header="0.3" footer="0.3"/>
      <pageSetup scale="85" orientation="landscape"/>
      <headerFooter alignWithMargins="0"/>
    </customSheetView>
    <customSheetView guid="{6A44E415-E6EC-4CA2-8B4C-A374F00F0261}" showPageBreaks="1" printArea="1" showRuler="0">
      <pageMargins left="0.7" right="0.7" top="0.75" bottom="0.75" header="0.3" footer="0.3"/>
      <pageSetup scale="85" orientation="landscape"/>
      <headerFooter alignWithMargins="0"/>
    </customSheetView>
    <customSheetView guid="{C32ED439-2914-4073-BFBF-7718D6CFE811}" showPageBreaks="1" showGridLines="0" printArea="1">
      <selection activeCell="I17" sqref="I17"/>
      <pageMargins left="0.7" right="0.7" top="0.75" bottom="0.75" header="0.3" footer="0.3"/>
      <pageSetup scale="80" orientation="landscape"/>
      <headerFooter scaleWithDoc="0" alignWithMargins="0"/>
    </customSheetView>
    <customSheetView guid="{44BC518B-F505-4956-BE42-792973965029}" showPageBreaks="1" showGridLines="0" printArea="1" showRuler="0" topLeftCell="A28">
      <selection activeCell="M263" sqref="M263"/>
      <pageMargins left="0.7" right="0.7" top="0.75" bottom="0.75" header="0.3" footer="0.3"/>
      <pageSetup scale="85" orientation="landscape"/>
      <headerFooter alignWithMargins="0"/>
    </customSheetView>
    <customSheetView guid="{7DC6D345-C4C0-4162-8636-D495A245EBF8}" showPageBreaks="1" showGridLines="0" printArea="1">
      <selection activeCell="A9" sqref="A9"/>
      <pageMargins left="0.7" right="0.7" top="0.75" bottom="0.75" header="0.3" footer="0.3"/>
      <pageSetup scale="85" orientation="landscape"/>
      <headerFooter scaleWithDoc="0" alignWithMargins="0"/>
    </customSheetView>
    <customSheetView guid="{67DDFA58-7FF7-4BDB-BFFF-31DB4021D095}" showGridLines="0">
      <selection activeCell="D27" sqref="D27"/>
      <pageMargins left="0.7" right="0.7" top="0.75" bottom="0.75" header="0.3" footer="0.3"/>
      <pageSetup scale="85" orientation="landscape"/>
      <headerFooter scaleWithDoc="0" alignWithMargins="0"/>
    </customSheetView>
  </customSheetViews>
  <mergeCells count="2">
    <mergeCell ref="C1:L1"/>
    <mergeCell ref="C3:L3"/>
  </mergeCells>
  <phoneticPr fontId="4" type="noConversion"/>
  <pageMargins left="0.39370078740157483" right="0.39370078740157483" top="0.47244094488188981" bottom="0.59055118110236227" header="0.51181102362204722" footer="0.23622047244094491"/>
  <pageSetup scale="75" orientation="landscape" r:id="rId1"/>
  <headerFooter scaleWithDoc="0" alignWithMargins="0">
    <oddHeader>&amp;CBezeq - The Israel Telecommunication Corp. Ltd</oddHeader>
    <oddFooter>&amp;R&amp;P of &amp;N
Glossary</oddFooter>
  </headerFooter>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V45"/>
  <sheetViews>
    <sheetView showGridLines="0" view="pageBreakPreview" zoomScaleSheetLayoutView="100" workbookViewId="0">
      <selection activeCell="D15" sqref="D15"/>
    </sheetView>
  </sheetViews>
  <sheetFormatPr defaultColWidth="8.7109375" defaultRowHeight="12.75"/>
  <cols>
    <col min="1" max="1" width="25.42578125" style="97" customWidth="1"/>
    <col min="2" max="2" width="19.28515625" style="97" customWidth="1"/>
    <col min="3" max="3" width="23.28515625" style="97" customWidth="1"/>
    <col min="4" max="4" width="49.28515625" style="122" customWidth="1"/>
    <col min="5" max="5" width="29.42578125" style="97" customWidth="1"/>
    <col min="6" max="9" width="10.28515625" style="97" customWidth="1"/>
    <col min="10" max="10" width="10.42578125" style="97" customWidth="1"/>
    <col min="11" max="11" width="10.28515625" style="97" customWidth="1"/>
    <col min="12" max="12" width="17.7109375" style="100" customWidth="1"/>
    <col min="13" max="13" width="9.28515625" style="100" customWidth="1"/>
    <col min="14" max="74" width="8.7109375" style="100"/>
    <col min="75" max="16384" width="8.7109375" style="97"/>
  </cols>
  <sheetData>
    <row r="1" spans="1:74" s="98" customFormat="1" ht="15.75">
      <c r="B1" s="116"/>
      <c r="C1"/>
      <c r="D1" s="25"/>
      <c r="E1"/>
      <c r="F1"/>
      <c r="G1"/>
      <c r="H1"/>
      <c r="I1"/>
      <c r="J1"/>
      <c r="K1"/>
      <c r="L1" s="99"/>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s="98" customFormat="1">
      <c r="D2" s="124"/>
      <c r="L2" s="99"/>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row>
    <row r="3" spans="1:74" s="98" customFormat="1" ht="23.25">
      <c r="B3" s="117"/>
      <c r="C3"/>
      <c r="D3" s="25"/>
      <c r="E3"/>
      <c r="F3"/>
      <c r="G3"/>
      <c r="H3"/>
      <c r="I3"/>
      <c r="J3"/>
      <c r="K3"/>
      <c r="L3" s="99"/>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row>
    <row r="4" spans="1:74" s="54" customFormat="1" ht="6" customHeight="1">
      <c r="A4" s="55"/>
      <c r="B4" s="45"/>
      <c r="C4" s="45"/>
      <c r="D4" s="45"/>
      <c r="E4" s="45"/>
      <c r="F4" s="45"/>
      <c r="G4" s="45"/>
      <c r="H4" s="45"/>
      <c r="I4" s="45"/>
      <c r="J4" s="45"/>
      <c r="K4" s="45"/>
      <c r="L4" s="45"/>
      <c r="M4" s="45"/>
      <c r="N4" s="45"/>
      <c r="O4" s="45"/>
    </row>
    <row r="5" spans="1:74" s="24" customFormat="1" ht="4.5" customHeight="1">
      <c r="A5" s="42"/>
      <c r="B5" s="43"/>
      <c r="C5" s="43"/>
      <c r="D5" s="43"/>
      <c r="E5" s="43"/>
      <c r="F5" s="43"/>
      <c r="G5" s="43"/>
      <c r="H5" s="43"/>
      <c r="I5" s="43"/>
      <c r="J5" s="43"/>
      <c r="K5" s="43"/>
      <c r="L5" s="43"/>
      <c r="M5" s="43"/>
      <c r="N5" s="43"/>
      <c r="O5" s="43"/>
    </row>
    <row r="6" spans="1:74" s="3" customFormat="1" ht="18">
      <c r="A6" s="152" t="s">
        <v>98</v>
      </c>
      <c r="B6" s="26"/>
      <c r="C6" s="26"/>
      <c r="D6" s="125"/>
      <c r="E6" s="26"/>
      <c r="F6" s="26"/>
      <c r="G6" s="26"/>
      <c r="H6" s="26"/>
      <c r="I6" s="26"/>
      <c r="J6" s="26"/>
      <c r="K6" s="26"/>
      <c r="L6" s="26"/>
      <c r="M6" s="26"/>
      <c r="N6" s="26"/>
      <c r="O6" s="26"/>
    </row>
    <row r="7" spans="1:74" s="3" customFormat="1" ht="7.5" customHeight="1">
      <c r="A7" s="58"/>
      <c r="B7" s="59"/>
      <c r="C7" s="59"/>
      <c r="D7" s="126"/>
      <c r="E7" s="59"/>
      <c r="F7" s="59"/>
      <c r="G7" s="59"/>
      <c r="H7" s="59"/>
      <c r="I7" s="59"/>
      <c r="J7" s="59"/>
      <c r="K7" s="59"/>
      <c r="L7" s="59"/>
      <c r="M7" s="59"/>
      <c r="N7" s="59"/>
      <c r="O7" s="59"/>
    </row>
    <row r="8" spans="1:74" s="3" customFormat="1">
      <c r="A8" s="151" t="s">
        <v>79</v>
      </c>
      <c r="B8" s="40"/>
      <c r="C8" s="40"/>
      <c r="D8" s="127"/>
      <c r="E8" s="40"/>
      <c r="F8" s="40"/>
      <c r="G8" s="40"/>
      <c r="H8" s="40"/>
      <c r="I8" s="40"/>
      <c r="J8" s="40"/>
      <c r="K8" s="40"/>
      <c r="L8" s="40"/>
      <c r="M8" s="40"/>
      <c r="N8" s="40"/>
      <c r="O8" s="40"/>
    </row>
    <row r="9" spans="1:74" s="118" customFormat="1" ht="19.5" customHeight="1">
      <c r="A9" s="144" t="s">
        <v>99</v>
      </c>
      <c r="B9" s="144" t="s">
        <v>100</v>
      </c>
      <c r="C9" s="144" t="s">
        <v>81</v>
      </c>
      <c r="D9" s="145" t="s">
        <v>101</v>
      </c>
      <c r="E9" s="146"/>
      <c r="F9" s="119"/>
      <c r="G9" s="119"/>
      <c r="H9" s="119"/>
      <c r="I9" s="119"/>
      <c r="J9" s="119"/>
      <c r="K9" s="119"/>
      <c r="L9" s="119"/>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row>
    <row r="10" spans="1:74" s="131" customFormat="1" ht="19.5" customHeight="1">
      <c r="A10" s="186" t="s">
        <v>214</v>
      </c>
      <c r="B10" s="187">
        <v>318</v>
      </c>
      <c r="C10" s="186">
        <v>0.11</v>
      </c>
      <c r="D10" s="188" t="s">
        <v>102</v>
      </c>
      <c r="E10" s="147"/>
      <c r="F10" s="129"/>
      <c r="G10" s="129"/>
      <c r="H10" s="129"/>
      <c r="I10" s="129"/>
      <c r="J10" s="129"/>
      <c r="K10" s="129"/>
      <c r="L10" s="129"/>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row>
    <row r="11" spans="1:74" s="131" customFormat="1" ht="18" customHeight="1">
      <c r="A11" s="186" t="s">
        <v>205</v>
      </c>
      <c r="B11" s="187">
        <v>368</v>
      </c>
      <c r="C11" s="186">
        <v>0.13</v>
      </c>
      <c r="D11" s="188" t="s">
        <v>133</v>
      </c>
      <c r="E11" s="147"/>
      <c r="F11" s="129"/>
      <c r="G11" s="129"/>
      <c r="H11" s="129"/>
      <c r="I11" s="129"/>
      <c r="J11" s="129"/>
      <c r="K11" s="129"/>
      <c r="L11" s="129"/>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row>
    <row r="12" spans="1:74" s="131" customFormat="1" ht="18" customHeight="1">
      <c r="A12" s="186" t="s">
        <v>168</v>
      </c>
      <c r="B12" s="187">
        <v>708</v>
      </c>
      <c r="C12" s="186">
        <v>0.26</v>
      </c>
      <c r="D12" s="188" t="s">
        <v>133</v>
      </c>
      <c r="E12" s="147"/>
      <c r="F12" s="129"/>
      <c r="G12" s="129"/>
      <c r="H12" s="129"/>
      <c r="I12" s="129"/>
      <c r="J12" s="129"/>
      <c r="K12" s="129"/>
      <c r="L12" s="129"/>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row>
    <row r="13" spans="1:74" s="131" customFormat="1" ht="18" customHeight="1">
      <c r="A13" s="189" t="s">
        <v>164</v>
      </c>
      <c r="B13" s="187">
        <v>578</v>
      </c>
      <c r="C13" s="189">
        <v>0.21</v>
      </c>
      <c r="D13" s="188" t="s">
        <v>133</v>
      </c>
      <c r="E13" s="148"/>
      <c r="F13" s="179"/>
      <c r="G13" s="179"/>
      <c r="H13" s="179"/>
      <c r="I13" s="129"/>
      <c r="J13" s="129"/>
      <c r="K13" s="129"/>
      <c r="L13" s="129"/>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row>
    <row r="14" spans="1:74" s="131" customFormat="1" ht="18" customHeight="1">
      <c r="A14" s="186" t="s">
        <v>156</v>
      </c>
      <c r="B14" s="187">
        <v>665</v>
      </c>
      <c r="C14" s="190">
        <v>0.24046770000000001</v>
      </c>
      <c r="D14" s="188" t="s">
        <v>133</v>
      </c>
      <c r="E14" s="148"/>
      <c r="F14" s="129"/>
      <c r="G14" s="129"/>
      <c r="H14" s="129"/>
      <c r="I14" s="129"/>
      <c r="J14" s="129"/>
      <c r="K14" s="129"/>
      <c r="L14" s="129"/>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row>
    <row r="15" spans="1:74" s="131" customFormat="1" ht="18" customHeight="1">
      <c r="A15" s="191">
        <v>42520</v>
      </c>
      <c r="B15" s="187">
        <v>776</v>
      </c>
      <c r="C15" s="192">
        <v>0.28060590000000002</v>
      </c>
      <c r="D15" s="188" t="s">
        <v>102</v>
      </c>
      <c r="E15" s="147"/>
      <c r="F15" s="129"/>
      <c r="G15" s="129"/>
      <c r="H15" s="129"/>
      <c r="I15" s="129"/>
      <c r="J15" s="129"/>
      <c r="K15" s="129"/>
      <c r="L15" s="12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row>
    <row r="16" spans="1:74" s="131" customFormat="1" ht="18" customHeight="1">
      <c r="A16" s="186" t="s">
        <v>124</v>
      </c>
      <c r="B16" s="187">
        <v>933</v>
      </c>
      <c r="C16" s="190">
        <v>0.33895799999999998</v>
      </c>
      <c r="D16" s="188" t="s">
        <v>102</v>
      </c>
      <c r="E16" s="147"/>
      <c r="F16" s="129"/>
      <c r="G16" s="129"/>
      <c r="H16" s="129"/>
      <c r="I16" s="129"/>
      <c r="J16" s="129"/>
      <c r="K16" s="129"/>
      <c r="L16" s="129"/>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row>
    <row r="17" spans="1:74" s="131" customFormat="1" ht="18" customHeight="1">
      <c r="A17" s="186" t="s">
        <v>119</v>
      </c>
      <c r="B17" s="187">
        <v>844</v>
      </c>
      <c r="C17" s="186">
        <v>0.31</v>
      </c>
      <c r="D17" s="188" t="s">
        <v>133</v>
      </c>
      <c r="E17" s="147"/>
      <c r="F17" s="129"/>
      <c r="G17" s="129"/>
      <c r="H17" s="129"/>
      <c r="I17" s="129"/>
      <c r="J17" s="129"/>
      <c r="K17" s="129"/>
      <c r="L17" s="129"/>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row>
    <row r="18" spans="1:74" s="131" customFormat="1" ht="18" customHeight="1">
      <c r="A18" s="186" t="s">
        <v>118</v>
      </c>
      <c r="B18" s="187">
        <v>1267</v>
      </c>
      <c r="C18" s="190">
        <v>0.4627</v>
      </c>
      <c r="D18" s="188" t="s">
        <v>133</v>
      </c>
      <c r="E18" s="147"/>
      <c r="F18" s="129"/>
      <c r="G18" s="129"/>
      <c r="H18" s="129"/>
      <c r="I18" s="129"/>
      <c r="J18" s="129"/>
      <c r="K18" s="129"/>
      <c r="L18" s="129"/>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row>
    <row r="19" spans="1:74" s="131" customFormat="1" ht="18" customHeight="1">
      <c r="A19" s="186" t="s">
        <v>116</v>
      </c>
      <c r="B19" s="187">
        <v>802</v>
      </c>
      <c r="C19" s="190">
        <v>0.29365089999999999</v>
      </c>
      <c r="D19" s="188" t="s">
        <v>102</v>
      </c>
      <c r="E19" s="148"/>
      <c r="F19" s="129"/>
      <c r="G19" s="129"/>
      <c r="H19" s="129"/>
      <c r="I19" s="129"/>
      <c r="J19" s="129"/>
      <c r="K19" s="129"/>
      <c r="L19" s="129"/>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row>
    <row r="20" spans="1:74" ht="18" customHeight="1">
      <c r="A20" s="193" t="s">
        <v>97</v>
      </c>
      <c r="B20" s="187">
        <v>500</v>
      </c>
      <c r="C20" s="194">
        <v>0.35539340000000003</v>
      </c>
      <c r="D20" s="188" t="s">
        <v>104</v>
      </c>
      <c r="E20" s="149"/>
    </row>
    <row r="21" spans="1:74" ht="18" customHeight="1">
      <c r="A21" s="193" t="s">
        <v>97</v>
      </c>
      <c r="B21" s="187">
        <v>969</v>
      </c>
      <c r="C21" s="194">
        <v>0.1833815</v>
      </c>
      <c r="D21" s="188" t="s">
        <v>102</v>
      </c>
      <c r="E21" s="149"/>
    </row>
    <row r="22" spans="1:74" ht="18" customHeight="1">
      <c r="A22" s="193" t="s">
        <v>96</v>
      </c>
      <c r="B22" s="187">
        <v>500</v>
      </c>
      <c r="C22" s="194">
        <v>0.18347540000000001</v>
      </c>
      <c r="D22" s="188" t="s">
        <v>105</v>
      </c>
      <c r="E22" s="149"/>
    </row>
    <row r="23" spans="1:74" ht="18" customHeight="1">
      <c r="A23" s="193" t="s">
        <v>96</v>
      </c>
      <c r="B23" s="187">
        <v>861</v>
      </c>
      <c r="C23" s="194">
        <v>0.31594460000000002</v>
      </c>
      <c r="D23" s="188" t="s">
        <v>102</v>
      </c>
      <c r="E23" s="149"/>
    </row>
    <row r="24" spans="1:74" ht="18" customHeight="1">
      <c r="A24" s="193" t="s">
        <v>95</v>
      </c>
      <c r="B24" s="187">
        <v>500</v>
      </c>
      <c r="C24" s="194">
        <v>0.18353149999999999</v>
      </c>
      <c r="D24" s="188" t="s">
        <v>106</v>
      </c>
      <c r="E24" s="149"/>
    </row>
    <row r="25" spans="1:74" ht="18" customHeight="1">
      <c r="A25" s="193" t="s">
        <v>95</v>
      </c>
      <c r="B25" s="187">
        <v>997</v>
      </c>
      <c r="C25" s="194">
        <v>0.3659618</v>
      </c>
      <c r="D25" s="188" t="s">
        <v>102</v>
      </c>
      <c r="E25" s="149"/>
    </row>
    <row r="26" spans="1:74" ht="18" customHeight="1">
      <c r="A26" s="193" t="s">
        <v>94</v>
      </c>
      <c r="B26" s="187">
        <v>500</v>
      </c>
      <c r="C26" s="194">
        <v>0.18397520000000001</v>
      </c>
      <c r="D26" s="188" t="s">
        <v>107</v>
      </c>
      <c r="E26" s="149"/>
    </row>
    <row r="27" spans="1:74" ht="18" customHeight="1">
      <c r="A27" s="193" t="s">
        <v>94</v>
      </c>
      <c r="B27" s="187">
        <v>1074</v>
      </c>
      <c r="C27" s="194">
        <v>0.3951788</v>
      </c>
      <c r="D27" s="188" t="s">
        <v>102</v>
      </c>
      <c r="E27" s="149"/>
    </row>
    <row r="28" spans="1:74" ht="18" customHeight="1">
      <c r="A28" s="193" t="s">
        <v>93</v>
      </c>
      <c r="B28" s="187">
        <v>500</v>
      </c>
      <c r="C28" s="194">
        <v>0.18459929999999999</v>
      </c>
      <c r="D28" s="188" t="s">
        <v>108</v>
      </c>
      <c r="E28" s="149"/>
    </row>
    <row r="29" spans="1:74" ht="18" customHeight="1">
      <c r="A29" s="193" t="s">
        <v>93</v>
      </c>
      <c r="B29" s="187">
        <v>992</v>
      </c>
      <c r="C29" s="194">
        <v>0.36624509999999999</v>
      </c>
      <c r="D29" s="188" t="s">
        <v>102</v>
      </c>
      <c r="E29" s="149"/>
    </row>
    <row r="30" spans="1:74" ht="18" customHeight="1">
      <c r="A30" s="193" t="s">
        <v>92</v>
      </c>
      <c r="B30" s="187">
        <v>500</v>
      </c>
      <c r="C30" s="194">
        <v>0.18511250000000001</v>
      </c>
      <c r="D30" s="188" t="s">
        <v>103</v>
      </c>
      <c r="E30" s="149"/>
    </row>
    <row r="31" spans="1:74" ht="18" customHeight="1">
      <c r="A31" s="193" t="s">
        <v>92</v>
      </c>
      <c r="B31" s="187">
        <v>1163</v>
      </c>
      <c r="C31" s="194">
        <v>0.4305716</v>
      </c>
      <c r="D31" s="188" t="s">
        <v>102</v>
      </c>
      <c r="E31" s="149"/>
    </row>
    <row r="32" spans="1:74" ht="18" customHeight="1">
      <c r="A32" s="193" t="s">
        <v>91</v>
      </c>
      <c r="B32" s="187">
        <v>1280</v>
      </c>
      <c r="C32" s="194">
        <v>0.47804590000000002</v>
      </c>
      <c r="D32" s="188" t="s">
        <v>102</v>
      </c>
      <c r="E32" s="149"/>
    </row>
    <row r="33" spans="1:12" ht="18" customHeight="1">
      <c r="A33" s="193" t="s">
        <v>90</v>
      </c>
      <c r="B33" s="187">
        <v>2453</v>
      </c>
      <c r="C33" s="194">
        <v>0.91706790000000005</v>
      </c>
      <c r="D33" s="188" t="s">
        <v>102</v>
      </c>
      <c r="E33" s="149"/>
    </row>
    <row r="34" spans="1:12" ht="18" customHeight="1">
      <c r="A34" s="193" t="s">
        <v>89</v>
      </c>
      <c r="B34" s="187">
        <v>1149</v>
      </c>
      <c r="C34" s="194">
        <v>0.43297429999999998</v>
      </c>
      <c r="D34" s="188" t="s">
        <v>102</v>
      </c>
      <c r="E34" s="149"/>
    </row>
    <row r="35" spans="1:12" ht="18" customHeight="1">
      <c r="A35" s="193" t="s">
        <v>88</v>
      </c>
      <c r="B35" s="187">
        <v>792</v>
      </c>
      <c r="C35" s="194">
        <v>0.30130249999999997</v>
      </c>
      <c r="D35" s="188" t="s">
        <v>102</v>
      </c>
      <c r="E35" s="149"/>
    </row>
    <row r="36" spans="1:12" ht="18" customHeight="1">
      <c r="A36" s="193" t="s">
        <v>87</v>
      </c>
      <c r="B36" s="187">
        <v>835</v>
      </c>
      <c r="C36" s="194">
        <v>0.32053179999999998</v>
      </c>
      <c r="D36" s="188" t="s">
        <v>102</v>
      </c>
      <c r="E36" s="149"/>
    </row>
    <row r="37" spans="1:12" ht="18" customHeight="1">
      <c r="A37" s="193" t="s">
        <v>86</v>
      </c>
      <c r="B37" s="187">
        <v>679</v>
      </c>
      <c r="C37" s="194">
        <v>0.26064799999999999</v>
      </c>
      <c r="D37" s="188" t="s">
        <v>102</v>
      </c>
      <c r="E37" s="149"/>
    </row>
    <row r="38" spans="1:12" ht="18" customHeight="1">
      <c r="A38" s="195" t="s">
        <v>85</v>
      </c>
      <c r="B38" s="196">
        <v>760</v>
      </c>
      <c r="C38" s="194">
        <v>0.29174149999999999</v>
      </c>
      <c r="D38" s="188" t="s">
        <v>102</v>
      </c>
      <c r="E38" s="150"/>
      <c r="F38" s="98"/>
      <c r="G38" s="98"/>
      <c r="H38" s="98"/>
      <c r="I38" s="98"/>
      <c r="J38" s="98"/>
      <c r="K38" s="98"/>
      <c r="L38" s="99"/>
    </row>
    <row r="39" spans="1:12" ht="18" customHeight="1">
      <c r="A39" s="195" t="s">
        <v>84</v>
      </c>
      <c r="B39" s="196">
        <v>1800</v>
      </c>
      <c r="C39" s="194">
        <v>0.69096679999999999</v>
      </c>
      <c r="D39" s="188" t="s">
        <v>109</v>
      </c>
      <c r="E39" s="150"/>
      <c r="F39" s="98"/>
      <c r="G39" s="98"/>
      <c r="H39" s="98"/>
      <c r="I39" s="98"/>
      <c r="J39" s="98"/>
      <c r="K39" s="98"/>
      <c r="L39" s="99"/>
    </row>
    <row r="40" spans="1:12" ht="18" customHeight="1">
      <c r="A40" s="195" t="s">
        <v>83</v>
      </c>
      <c r="B40" s="196">
        <v>300</v>
      </c>
      <c r="C40" s="194">
        <v>0.11516120000000001</v>
      </c>
      <c r="D40" s="188" t="s">
        <v>102</v>
      </c>
      <c r="E40" s="150"/>
      <c r="F40" s="98"/>
      <c r="G40" s="98"/>
      <c r="H40" s="98"/>
      <c r="I40" s="98"/>
      <c r="J40" s="98"/>
      <c r="K40" s="98"/>
      <c r="L40" s="99"/>
    </row>
    <row r="41" spans="1:12" ht="18" customHeight="1">
      <c r="A41" s="195" t="s">
        <v>82</v>
      </c>
      <c r="B41" s="196">
        <v>400</v>
      </c>
      <c r="C41" s="194">
        <v>0.1535482</v>
      </c>
      <c r="D41" s="188" t="s">
        <v>102</v>
      </c>
      <c r="E41" s="150"/>
      <c r="F41" s="98"/>
      <c r="G41" s="98"/>
      <c r="H41" s="98"/>
      <c r="I41" s="98"/>
      <c r="J41" s="98"/>
      <c r="K41" s="98"/>
      <c r="L41" s="99"/>
    </row>
    <row r="42" spans="1:12" ht="18" customHeight="1">
      <c r="A42" s="195" t="s">
        <v>80</v>
      </c>
      <c r="B42" s="196">
        <v>1200</v>
      </c>
      <c r="C42" s="194">
        <v>0.46064460000000002</v>
      </c>
      <c r="D42" s="188" t="s">
        <v>102</v>
      </c>
      <c r="E42" s="150"/>
      <c r="F42" s="98"/>
      <c r="G42" s="98"/>
      <c r="H42" s="98"/>
      <c r="I42" s="98"/>
      <c r="J42" s="98"/>
      <c r="K42" s="98"/>
      <c r="L42" s="99"/>
    </row>
    <row r="43" spans="1:12" ht="18" customHeight="1">
      <c r="A43" s="121"/>
      <c r="B43" s="123"/>
      <c r="C43" s="98"/>
      <c r="E43" s="98"/>
      <c r="F43" s="98"/>
      <c r="G43" s="98"/>
      <c r="H43" s="98"/>
      <c r="I43" s="98"/>
      <c r="J43" s="98"/>
      <c r="K43" s="98"/>
      <c r="L43" s="99"/>
    </row>
    <row r="44" spans="1:12" ht="18" customHeight="1">
      <c r="A44" s="121"/>
      <c r="B44" s="123"/>
      <c r="C44" s="98"/>
      <c r="E44" s="98"/>
      <c r="F44" s="98"/>
      <c r="G44" s="98"/>
      <c r="H44" s="98"/>
      <c r="I44" s="98"/>
      <c r="J44" s="98"/>
      <c r="K44" s="98"/>
      <c r="L44" s="99"/>
    </row>
    <row r="45" spans="1:12" ht="18" customHeight="1">
      <c r="A45" s="121"/>
      <c r="B45" s="123"/>
      <c r="C45" s="98"/>
      <c r="E45" s="98"/>
      <c r="F45" s="98"/>
      <c r="G45" s="98"/>
      <c r="H45" s="98"/>
      <c r="I45" s="98"/>
      <c r="J45" s="98"/>
      <c r="K45" s="98"/>
      <c r="L45" s="99"/>
    </row>
  </sheetData>
  <customSheetViews>
    <customSheetView guid="{7DC6D345-C4C0-4162-8636-D495A245EBF8}" showPageBreaks="1">
      <pane xSplit="1" ySplit="4" topLeftCell="B5" activePane="bottomRight" state="frozenSplit"/>
      <selection pane="bottomRight" activeCell="C9" sqref="C9"/>
      <pageMargins left="0.7" right="0.7" top="0.75" bottom="0.75" header="0.3" footer="0.3"/>
      <pageSetup paperSize="9" orientation="portrait"/>
    </customSheetView>
    <customSheetView guid="{67DDFA58-7FF7-4BDB-BFFF-31DB4021D095}" showPageBreaks="1" showGridLines="0">
      <selection activeCell="D15" sqref="D15"/>
      <pageMargins left="0.7" right="0.7" top="0.75" bottom="0.75" header="0.3" footer="0.3"/>
      <pageSetup paperSize="9" orientation="landscape"/>
    </customSheetView>
  </customSheetViews>
  <pageMargins left="0.39370078740157483" right="0.39370078740157483" top="0.23622047244094491" bottom="0" header="0.11811023622047245" footer="0.31496062992125984"/>
  <pageSetup paperSize="9" orientation="landscape" r:id="rId1"/>
  <headerFooter>
    <oddHeader>&amp;CBezeq - The Israel Telecommunication Corp. Ltd</oddHeader>
    <oddFooter>&amp;R&amp;P of &amp;N
Dividends</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499984740745262"/>
  </sheetPr>
  <dimension ref="A1:M72"/>
  <sheetViews>
    <sheetView showGridLines="0" zoomScale="110" zoomScaleNormal="110" zoomScaleSheetLayoutView="100" workbookViewId="0">
      <pane xSplit="1" ySplit="4" topLeftCell="C5" activePane="bottomRight" state="frozen"/>
      <selection activeCell="M18" sqref="M18"/>
      <selection pane="topRight" activeCell="M18" sqref="M18"/>
      <selection pane="bottomLeft" activeCell="M18" sqref="M18"/>
      <selection pane="bottomRight" activeCell="E29" sqref="E29"/>
    </sheetView>
  </sheetViews>
  <sheetFormatPr defaultColWidth="8.7109375" defaultRowHeight="12.75"/>
  <cols>
    <col min="1" max="1" width="48.42578125" customWidth="1"/>
    <col min="2" max="2" width="9" style="3" bestFit="1" customWidth="1"/>
    <col min="3" max="4" width="9.5703125" style="3" bestFit="1" customWidth="1"/>
    <col min="5" max="7" width="8.7109375" style="3"/>
    <col min="8" max="8" width="10.42578125" style="3" bestFit="1" customWidth="1"/>
    <col min="9" max="16384" width="8.7109375" style="3"/>
  </cols>
  <sheetData>
    <row r="1" spans="1:13">
      <c r="A1" s="29"/>
    </row>
    <row r="2" spans="1:13">
      <c r="A2" s="29"/>
    </row>
    <row r="3" spans="1:13" s="24" customFormat="1">
      <c r="A3" s="30"/>
      <c r="B3" s="45" t="s">
        <v>5</v>
      </c>
      <c r="C3" s="45" t="s">
        <v>5</v>
      </c>
      <c r="D3" s="45" t="s">
        <v>74</v>
      </c>
      <c r="E3" s="45" t="s">
        <v>0</v>
      </c>
      <c r="F3" s="45" t="s">
        <v>1</v>
      </c>
      <c r="G3" s="45" t="s">
        <v>2</v>
      </c>
      <c r="H3" s="45" t="s">
        <v>5</v>
      </c>
      <c r="I3" s="45" t="s">
        <v>74</v>
      </c>
      <c r="J3" s="45" t="s">
        <v>0</v>
      </c>
      <c r="K3" s="45" t="s">
        <v>1</v>
      </c>
      <c r="L3" s="45" t="s">
        <v>2</v>
      </c>
      <c r="M3" s="45" t="s">
        <v>5</v>
      </c>
    </row>
    <row r="4" spans="1:13" s="54" customFormat="1" ht="12" customHeight="1">
      <c r="A4" s="267" t="s">
        <v>311</v>
      </c>
      <c r="B4" s="45">
        <v>2017</v>
      </c>
      <c r="C4" s="45">
        <v>2018</v>
      </c>
      <c r="D4" s="45">
        <v>2019</v>
      </c>
      <c r="E4" s="45">
        <v>2019</v>
      </c>
      <c r="F4" s="45">
        <v>2019</v>
      </c>
      <c r="G4" s="45">
        <v>2019</v>
      </c>
      <c r="H4" s="45">
        <v>2019</v>
      </c>
      <c r="I4" s="45">
        <v>2020</v>
      </c>
      <c r="J4" s="45">
        <v>2020</v>
      </c>
      <c r="K4" s="45">
        <v>2020</v>
      </c>
      <c r="L4" s="45">
        <v>2020</v>
      </c>
      <c r="M4" s="45">
        <v>2020</v>
      </c>
    </row>
    <row r="5" spans="1:13" s="24" customFormat="1" ht="4.5" customHeight="1">
      <c r="A5" s="42"/>
      <c r="B5" s="43"/>
      <c r="C5" s="43"/>
      <c r="D5" s="43"/>
      <c r="E5" s="43"/>
      <c r="F5" s="43"/>
      <c r="G5" s="43"/>
      <c r="H5" s="43"/>
      <c r="I5" s="43"/>
      <c r="J5" s="43"/>
      <c r="K5" s="43"/>
      <c r="L5" s="43"/>
      <c r="M5" s="43"/>
    </row>
    <row r="6" spans="1:13" ht="20.25">
      <c r="A6" s="33" t="s">
        <v>317</v>
      </c>
      <c r="B6" s="20"/>
      <c r="C6" s="20"/>
      <c r="D6" s="20"/>
      <c r="E6" s="20"/>
      <c r="F6" s="20"/>
      <c r="G6" s="20"/>
      <c r="H6" s="20"/>
      <c r="I6" s="20"/>
      <c r="J6" s="20"/>
      <c r="K6" s="20"/>
      <c r="L6" s="20"/>
      <c r="M6" s="20"/>
    </row>
    <row r="7" spans="1:13" ht="1.1499999999999999" customHeight="1">
      <c r="A7" s="58"/>
      <c r="B7" s="58"/>
      <c r="C7" s="58"/>
      <c r="D7" s="58"/>
      <c r="E7" s="58"/>
      <c r="F7" s="58"/>
      <c r="G7" s="58"/>
      <c r="H7" s="58"/>
      <c r="I7" s="58"/>
      <c r="J7" s="58"/>
      <c r="K7" s="58"/>
      <c r="L7" s="58"/>
      <c r="M7" s="58"/>
    </row>
    <row r="8" spans="1:13" ht="11.25" customHeight="1">
      <c r="A8" s="38" t="s">
        <v>27</v>
      </c>
      <c r="B8" s="40"/>
      <c r="C8" s="40"/>
      <c r="D8" s="40"/>
      <c r="E8" s="40"/>
      <c r="F8" s="40"/>
      <c r="G8" s="40"/>
      <c r="H8" s="40"/>
      <c r="I8" s="40"/>
      <c r="J8" s="40"/>
      <c r="K8" s="40"/>
      <c r="L8" s="40"/>
      <c r="M8" s="40"/>
    </row>
    <row r="9" spans="1:13" s="34" customFormat="1">
      <c r="A9" s="65" t="s">
        <v>16</v>
      </c>
      <c r="B9" s="62">
        <v>9789</v>
      </c>
      <c r="C9" s="62">
        <v>9321</v>
      </c>
      <c r="D9" s="66">
        <v>2256</v>
      </c>
      <c r="E9" s="66">
        <v>2224</v>
      </c>
      <c r="F9" s="66">
        <v>2247</v>
      </c>
      <c r="G9" s="66">
        <f>H9-F9-E9-D9</f>
        <v>2202</v>
      </c>
      <c r="H9" s="62">
        <v>8929</v>
      </c>
      <c r="I9" s="66">
        <v>2187</v>
      </c>
      <c r="J9" s="66">
        <v>2155</v>
      </c>
      <c r="K9" s="66">
        <v>2178</v>
      </c>
      <c r="L9" s="66">
        <f>M9-K9-J9-I9</f>
        <v>2203</v>
      </c>
      <c r="M9" s="62">
        <v>8723</v>
      </c>
    </row>
    <row r="10" spans="1:13">
      <c r="A10" s="67" t="s">
        <v>7</v>
      </c>
      <c r="B10" s="23"/>
      <c r="C10" s="23"/>
      <c r="D10" s="68"/>
      <c r="E10" s="68">
        <f>E9/D9-1</f>
        <v>-1.4184397163120588E-2</v>
      </c>
      <c r="F10" s="68">
        <f>F9/E9-1</f>
        <v>1.0341726618705138E-2</v>
      </c>
      <c r="G10" s="68">
        <f>G9/F9-1</f>
        <v>-2.0026702269692942E-2</v>
      </c>
      <c r="H10" s="23"/>
      <c r="I10" s="68">
        <f>I9/G9-1</f>
        <v>-6.8119891008174838E-3</v>
      </c>
      <c r="J10" s="68">
        <f>J9/I9-1</f>
        <v>-1.4631915866483713E-2</v>
      </c>
      <c r="K10" s="68">
        <f>K9/J9-1</f>
        <v>1.0672853828306295E-2</v>
      </c>
      <c r="L10" s="68">
        <f>L9/K9-1</f>
        <v>1.1478420569329684E-2</v>
      </c>
      <c r="M10" s="23"/>
    </row>
    <row r="11" spans="1:13" ht="10.9" customHeight="1">
      <c r="A11" s="67" t="s">
        <v>8</v>
      </c>
      <c r="B11" s="23"/>
      <c r="C11" s="23">
        <f>C9/B9-1</f>
        <v>-4.7808764940239001E-2</v>
      </c>
      <c r="D11" s="69"/>
      <c r="E11" s="69"/>
      <c r="F11" s="69"/>
      <c r="G11" s="69"/>
      <c r="H11" s="23">
        <f>H9/C9-1</f>
        <v>-4.2055573436326599E-2</v>
      </c>
      <c r="I11" s="69">
        <f>I9/D9-1</f>
        <v>-3.0585106382978733E-2</v>
      </c>
      <c r="J11" s="69">
        <f>J9/E9-1</f>
        <v>-3.1025179856115082E-2</v>
      </c>
      <c r="K11" s="69">
        <f>K9/F9-1</f>
        <v>-3.0707610146862518E-2</v>
      </c>
      <c r="L11" s="69">
        <f t="shared" ref="L11" si="0">L9/G9-1</f>
        <v>4.5413260672111377E-4</v>
      </c>
      <c r="M11" s="23">
        <f t="shared" ref="M11" si="1">M9/H9-1</f>
        <v>-2.3070892597155335E-2</v>
      </c>
    </row>
    <row r="12" spans="1:13" s="34" customFormat="1">
      <c r="A12" s="65" t="s">
        <v>224</v>
      </c>
      <c r="B12" s="62">
        <v>1715</v>
      </c>
      <c r="C12" s="62">
        <v>2189</v>
      </c>
      <c r="D12" s="66">
        <v>466</v>
      </c>
      <c r="E12" s="66">
        <v>478</v>
      </c>
      <c r="F12" s="66">
        <v>481</v>
      </c>
      <c r="G12" s="66">
        <f>H12-F12-E12-D12</f>
        <v>487</v>
      </c>
      <c r="H12" s="62">
        <v>1912</v>
      </c>
      <c r="I12" s="66">
        <v>451</v>
      </c>
      <c r="J12" s="66">
        <v>459</v>
      </c>
      <c r="K12" s="66">
        <v>464</v>
      </c>
      <c r="L12" s="66">
        <f>M12-K12-J12-I12</f>
        <v>463</v>
      </c>
      <c r="M12" s="62">
        <v>1837</v>
      </c>
    </row>
    <row r="13" spans="1:13">
      <c r="A13" s="67" t="s">
        <v>7</v>
      </c>
      <c r="B13" s="23"/>
      <c r="C13" s="23"/>
      <c r="D13" s="68"/>
      <c r="E13" s="68">
        <f t="shared" ref="E13" si="2">E12/D12-1</f>
        <v>2.5751072961373467E-2</v>
      </c>
      <c r="F13" s="68">
        <f t="shared" ref="F13" si="3">F12/E12-1</f>
        <v>6.2761506276149959E-3</v>
      </c>
      <c r="G13" s="68">
        <f>G12/F12-1</f>
        <v>1.2474012474012364E-2</v>
      </c>
      <c r="H13" s="23"/>
      <c r="I13" s="68">
        <f>I12/G12-1</f>
        <v>-7.3921971252566721E-2</v>
      </c>
      <c r="J13" s="68">
        <f>J12/I12-1</f>
        <v>1.7738359201773912E-2</v>
      </c>
      <c r="K13" s="68">
        <f>K12/J12-1</f>
        <v>1.089324618736387E-2</v>
      </c>
      <c r="L13" s="68">
        <f>L12/K12-1</f>
        <v>-2.1551724137931494E-3</v>
      </c>
      <c r="M13" s="23"/>
    </row>
    <row r="14" spans="1:13" ht="10.9" customHeight="1">
      <c r="A14" s="67" t="s">
        <v>8</v>
      </c>
      <c r="B14" s="23"/>
      <c r="C14" s="23">
        <f>C12/B12-1</f>
        <v>0.27638483965014582</v>
      </c>
      <c r="D14" s="68"/>
      <c r="E14" s="68"/>
      <c r="F14" s="68"/>
      <c r="G14" s="68"/>
      <c r="H14" s="23">
        <f>H12/C12-1</f>
        <v>-0.12654179990863412</v>
      </c>
      <c r="I14" s="69">
        <f>I12/D12-1</f>
        <v>-3.2188841201716722E-2</v>
      </c>
      <c r="J14" s="69">
        <f>J12/E12-1</f>
        <v>-3.9748953974895418E-2</v>
      </c>
      <c r="K14" s="69">
        <f>K12/F12-1</f>
        <v>-3.5343035343035289E-2</v>
      </c>
      <c r="L14" s="69">
        <f t="shared" ref="L14" si="4">L12/G12-1</f>
        <v>-4.9281314168377777E-2</v>
      </c>
      <c r="M14" s="23">
        <f t="shared" ref="M14" si="5">M12/H12-1</f>
        <v>-3.9225941422594168E-2</v>
      </c>
    </row>
    <row r="15" spans="1:13">
      <c r="A15" s="65" t="s">
        <v>64</v>
      </c>
      <c r="B15" s="62">
        <v>2005</v>
      </c>
      <c r="C15" s="62">
        <v>1992</v>
      </c>
      <c r="D15" s="66">
        <v>492</v>
      </c>
      <c r="E15" s="66">
        <v>489</v>
      </c>
      <c r="F15" s="66">
        <v>474</v>
      </c>
      <c r="G15" s="66">
        <f>H15-F15-E15-D15</f>
        <v>478</v>
      </c>
      <c r="H15" s="62">
        <v>1933</v>
      </c>
      <c r="I15" s="66">
        <v>479</v>
      </c>
      <c r="J15" s="66">
        <v>444</v>
      </c>
      <c r="K15" s="66">
        <v>474</v>
      </c>
      <c r="L15" s="66">
        <f>M15-K15-J15-I15</f>
        <v>494</v>
      </c>
      <c r="M15" s="62">
        <v>1891</v>
      </c>
    </row>
    <row r="16" spans="1:13">
      <c r="A16" s="67" t="s">
        <v>7</v>
      </c>
      <c r="B16" s="23"/>
      <c r="C16" s="23"/>
      <c r="D16" s="68"/>
      <c r="E16" s="68">
        <f>E15/D15-1</f>
        <v>-6.0975609756097615E-3</v>
      </c>
      <c r="F16" s="68">
        <f>F15/E15-1</f>
        <v>-3.0674846625766916E-2</v>
      </c>
      <c r="G16" s="68">
        <f>G15/F15-1</f>
        <v>8.4388185654007408E-3</v>
      </c>
      <c r="H16" s="23"/>
      <c r="I16" s="68">
        <f>I15/G15-1</f>
        <v>2.0920502092049986E-3</v>
      </c>
      <c r="J16" s="68">
        <f>J15/I15-1</f>
        <v>-7.3068893528183687E-2</v>
      </c>
      <c r="K16" s="68">
        <f>K15/J15-1</f>
        <v>6.7567567567567544E-2</v>
      </c>
      <c r="L16" s="68">
        <f>L15/K15-1</f>
        <v>4.2194092827004148E-2</v>
      </c>
      <c r="M16" s="23"/>
    </row>
    <row r="17" spans="1:13" ht="10.15" customHeight="1">
      <c r="A17" s="67" t="s">
        <v>8</v>
      </c>
      <c r="B17" s="23"/>
      <c r="C17" s="23">
        <f>C15/B15-1</f>
        <v>-6.4837905236907467E-3</v>
      </c>
      <c r="D17" s="69"/>
      <c r="E17" s="69"/>
      <c r="F17" s="69"/>
      <c r="G17" s="69"/>
      <c r="H17" s="23">
        <f>H15/C15-1</f>
        <v>-2.9618473895582365E-2</v>
      </c>
      <c r="I17" s="69">
        <f>I15/D15-1</f>
        <v>-2.6422764227642226E-2</v>
      </c>
      <c r="J17" s="69">
        <f>J15/E15-1</f>
        <v>-9.2024539877300637E-2</v>
      </c>
      <c r="K17" s="69">
        <f>K15/F15-1</f>
        <v>0</v>
      </c>
      <c r="L17" s="69">
        <f t="shared" ref="L17" si="6">L15/G15-1</f>
        <v>3.3472803347280422E-2</v>
      </c>
      <c r="M17" s="23">
        <f t="shared" ref="M17" si="7">M15/H15-1</f>
        <v>-2.1727884117951346E-2</v>
      </c>
    </row>
    <row r="18" spans="1:13">
      <c r="A18" s="65" t="s">
        <v>220</v>
      </c>
      <c r="B18" s="165">
        <v>-19</v>
      </c>
      <c r="C18" s="165">
        <v>634</v>
      </c>
      <c r="D18" s="171">
        <v>-25</v>
      </c>
      <c r="E18" s="171">
        <v>-414</v>
      </c>
      <c r="F18" s="171">
        <v>39</v>
      </c>
      <c r="G18" s="66">
        <f>H18-F18-E18-D18</f>
        <v>179</v>
      </c>
      <c r="H18" s="165">
        <v>-221</v>
      </c>
      <c r="I18" s="171">
        <v>-3</v>
      </c>
      <c r="J18" s="171">
        <v>-19</v>
      </c>
      <c r="K18" s="171">
        <v>-7</v>
      </c>
      <c r="L18" s="171">
        <f>M18-K18-J18-I18</f>
        <v>103</v>
      </c>
      <c r="M18" s="165">
        <v>74</v>
      </c>
    </row>
    <row r="19" spans="1:13">
      <c r="A19" s="65"/>
      <c r="B19" s="165"/>
      <c r="C19" s="165"/>
      <c r="D19" s="171"/>
      <c r="E19" s="171"/>
      <c r="F19" s="171"/>
      <c r="G19" s="171"/>
      <c r="H19" s="165"/>
      <c r="I19" s="171"/>
      <c r="J19" s="171"/>
      <c r="K19" s="171"/>
      <c r="L19" s="171"/>
      <c r="M19" s="165"/>
    </row>
    <row r="20" spans="1:13" ht="15.75" customHeight="1">
      <c r="A20" s="84" t="s">
        <v>342</v>
      </c>
      <c r="B20" s="165">
        <v>87</v>
      </c>
      <c r="C20" s="165">
        <v>1675</v>
      </c>
      <c r="D20" s="66">
        <v>0</v>
      </c>
      <c r="E20" s="171">
        <v>951</v>
      </c>
      <c r="F20" s="66">
        <v>0</v>
      </c>
      <c r="G20" s="66">
        <f>H20-F20-E20-D20</f>
        <v>196</v>
      </c>
      <c r="H20" s="165">
        <v>1147</v>
      </c>
      <c r="I20" s="66">
        <v>0</v>
      </c>
      <c r="J20" s="66">
        <v>0</v>
      </c>
      <c r="K20" s="171">
        <v>268</v>
      </c>
      <c r="L20" s="66">
        <f>M20-K20-J20-I20</f>
        <v>25</v>
      </c>
      <c r="M20" s="165">
        <v>293</v>
      </c>
    </row>
    <row r="21" spans="1:13" ht="10.5" customHeight="1">
      <c r="A21" s="65"/>
      <c r="B21" s="165"/>
      <c r="C21" s="23"/>
      <c r="D21" s="171"/>
      <c r="E21" s="171"/>
      <c r="F21" s="171"/>
      <c r="G21" s="171"/>
      <c r="H21" s="165"/>
      <c r="I21" s="66"/>
      <c r="J21" s="171"/>
      <c r="K21" s="171"/>
      <c r="L21" s="171"/>
      <c r="M21" s="165"/>
    </row>
    <row r="22" spans="1:13" s="34" customFormat="1" ht="16.5" customHeight="1">
      <c r="A22" s="65" t="s">
        <v>218</v>
      </c>
      <c r="B22" s="62">
        <f>B9-B12-B15-B18-B20-B44</f>
        <v>2098</v>
      </c>
      <c r="C22" s="165">
        <f>C9-C12-C15-C18-C20-C44</f>
        <v>-582</v>
      </c>
      <c r="D22" s="171">
        <f>D9-D12-D15-D18-D20-D44</f>
        <v>504</v>
      </c>
      <c r="E22" s="171">
        <f>E9-E12-E15-E18-E20-E44</f>
        <v>-102</v>
      </c>
      <c r="F22" s="171">
        <f>F9-F12-F15-F18-F20-F44</f>
        <v>440</v>
      </c>
      <c r="G22" s="66">
        <f>H22-F22-E22-D22</f>
        <v>8</v>
      </c>
      <c r="H22" s="165">
        <f>H9-H12-H15-H18-H20-H44</f>
        <v>850</v>
      </c>
      <c r="I22" s="171">
        <f>I9-I12-I15-I18-I20-I44</f>
        <v>459</v>
      </c>
      <c r="J22" s="171">
        <f>J9-J12-J15-J18-J20-J44</f>
        <v>511</v>
      </c>
      <c r="K22" s="171">
        <f>K9-K12-K15-K18-K20-K44</f>
        <v>189</v>
      </c>
      <c r="L22" s="171">
        <f>M22-K22-J22-I22</f>
        <v>296</v>
      </c>
      <c r="M22" s="165">
        <f>M9-M12-M15-M18-M20-M44</f>
        <v>1455</v>
      </c>
    </row>
    <row r="23" spans="1:13">
      <c r="A23" s="67" t="s">
        <v>7</v>
      </c>
      <c r="B23" s="23"/>
      <c r="C23" s="23"/>
      <c r="D23" s="80"/>
      <c r="E23" s="80" t="s">
        <v>34</v>
      </c>
      <c r="F23" s="80" t="s">
        <v>34</v>
      </c>
      <c r="G23" s="68">
        <f>G22/F22-1</f>
        <v>-0.98181818181818181</v>
      </c>
      <c r="H23" s="23"/>
      <c r="I23" s="68">
        <f>I22/G22-1</f>
        <v>56.375</v>
      </c>
      <c r="J23" s="68">
        <f>J22/I22-1</f>
        <v>0.11328976034858385</v>
      </c>
      <c r="K23" s="68">
        <f>K22/J22-1</f>
        <v>-0.63013698630136994</v>
      </c>
      <c r="L23" s="68">
        <f>L22/K22-1</f>
        <v>0.56613756613756605</v>
      </c>
      <c r="M23" s="23"/>
    </row>
    <row r="24" spans="1:13" ht="10.15" customHeight="1">
      <c r="A24" s="67" t="s">
        <v>8</v>
      </c>
      <c r="B24" s="23"/>
      <c r="C24" s="87" t="s">
        <v>34</v>
      </c>
      <c r="D24" s="69"/>
      <c r="E24" s="80"/>
      <c r="F24" s="69"/>
      <c r="G24" s="80"/>
      <c r="H24" s="87" t="s">
        <v>34</v>
      </c>
      <c r="I24" s="69">
        <f>I22/D22-1</f>
        <v>-8.9285714285714302E-2</v>
      </c>
      <c r="J24" s="80" t="s">
        <v>34</v>
      </c>
      <c r="K24" s="69">
        <f>K22/F22-1</f>
        <v>-0.57045454545454544</v>
      </c>
      <c r="L24" s="69">
        <f t="shared" ref="L24:M24" si="8">L22/G22-1</f>
        <v>36</v>
      </c>
      <c r="M24" s="23">
        <f t="shared" si="8"/>
        <v>0.71176470588235285</v>
      </c>
    </row>
    <row r="25" spans="1:13">
      <c r="A25" s="65" t="s">
        <v>73</v>
      </c>
      <c r="B25" s="62">
        <v>417</v>
      </c>
      <c r="C25" s="62">
        <v>435</v>
      </c>
      <c r="D25" s="66">
        <v>99</v>
      </c>
      <c r="E25" s="66">
        <v>136</v>
      </c>
      <c r="F25" s="66">
        <v>205</v>
      </c>
      <c r="G25" s="66">
        <f>H25-F25-E25-D25</f>
        <v>109</v>
      </c>
      <c r="H25" s="62">
        <v>549</v>
      </c>
      <c r="I25" s="66">
        <v>34</v>
      </c>
      <c r="J25" s="66">
        <v>159</v>
      </c>
      <c r="K25" s="66">
        <v>80</v>
      </c>
      <c r="L25" s="171">
        <f>M25-SUM(I25:K25)</f>
        <v>98</v>
      </c>
      <c r="M25" s="62">
        <v>371</v>
      </c>
    </row>
    <row r="26" spans="1:13">
      <c r="A26" s="67" t="s">
        <v>7</v>
      </c>
      <c r="B26" s="23"/>
      <c r="C26" s="23"/>
      <c r="D26" s="68"/>
      <c r="E26" s="68">
        <f>E25/D25-1</f>
        <v>0.3737373737373737</v>
      </c>
      <c r="F26" s="68">
        <f>F25/E25-1</f>
        <v>0.50735294117647056</v>
      </c>
      <c r="G26" s="68">
        <f>G25/F25-1</f>
        <v>-0.46829268292682924</v>
      </c>
      <c r="H26" s="23"/>
      <c r="I26" s="68">
        <f>I25/G25-1</f>
        <v>-0.68807339449541283</v>
      </c>
      <c r="J26" s="68">
        <f>J25/I25-1</f>
        <v>3.6764705882352944</v>
      </c>
      <c r="K26" s="68">
        <f>K25/J25-1</f>
        <v>-0.49685534591194969</v>
      </c>
      <c r="L26" s="68">
        <f>L25/K25-1</f>
        <v>0.22500000000000009</v>
      </c>
      <c r="M26" s="23"/>
    </row>
    <row r="27" spans="1:13" ht="10.9" customHeight="1">
      <c r="A27" s="67" t="s">
        <v>8</v>
      </c>
      <c r="B27" s="87"/>
      <c r="C27" s="87">
        <f>C25/B25-1</f>
        <v>4.3165467625899234E-2</v>
      </c>
      <c r="D27" s="69"/>
      <c r="E27" s="69"/>
      <c r="F27" s="69"/>
      <c r="G27" s="69"/>
      <c r="H27" s="87">
        <f>H25/C25-1</f>
        <v>0.26206896551724146</v>
      </c>
      <c r="I27" s="69">
        <f>I25/D25-1</f>
        <v>-0.65656565656565657</v>
      </c>
      <c r="J27" s="69">
        <f>J25/E25-1</f>
        <v>0.16911764705882359</v>
      </c>
      <c r="K27" s="69">
        <f>K25/F25-1</f>
        <v>-0.6097560975609756</v>
      </c>
      <c r="L27" s="69">
        <f t="shared" ref="L27" si="9">L25/G25-1</f>
        <v>-0.1009174311926605</v>
      </c>
      <c r="M27" s="87">
        <f>M25/H25-1</f>
        <v>-0.32422586520947172</v>
      </c>
    </row>
    <row r="28" spans="1:13">
      <c r="A28" s="65" t="s">
        <v>157</v>
      </c>
      <c r="B28" s="62">
        <v>453</v>
      </c>
      <c r="C28" s="62">
        <v>72</v>
      </c>
      <c r="D28" s="66">
        <v>110</v>
      </c>
      <c r="E28" s="66">
        <v>1340</v>
      </c>
      <c r="F28" s="66">
        <v>56</v>
      </c>
      <c r="G28" s="171">
        <f>H28-F28-E28-D28</f>
        <v>-13</v>
      </c>
      <c r="H28" s="62">
        <v>1493</v>
      </c>
      <c r="I28" s="66">
        <v>98</v>
      </c>
      <c r="J28" s="66">
        <v>83</v>
      </c>
      <c r="K28" s="66">
        <v>83</v>
      </c>
      <c r="L28" s="171">
        <f>M28-K28-J28-I28</f>
        <v>24</v>
      </c>
      <c r="M28" s="62">
        <v>288</v>
      </c>
    </row>
    <row r="29" spans="1:13" ht="10.9" customHeight="1">
      <c r="A29" s="67" t="s">
        <v>7</v>
      </c>
      <c r="B29" s="23"/>
      <c r="C29" s="23"/>
      <c r="D29" s="80"/>
      <c r="E29" s="68"/>
      <c r="F29" s="68">
        <f>F28/E28-1</f>
        <v>-0.95820895522388061</v>
      </c>
      <c r="G29" s="68">
        <f>G28/F28-1</f>
        <v>-1.2321428571428572</v>
      </c>
      <c r="H29" s="23"/>
      <c r="I29" s="68">
        <f>I28/G28-1</f>
        <v>-8.5384615384615383</v>
      </c>
      <c r="J29" s="68">
        <f>J28/I28-1</f>
        <v>-0.15306122448979587</v>
      </c>
      <c r="K29" s="68">
        <f>K28/J28-1</f>
        <v>0</v>
      </c>
      <c r="L29" s="68">
        <f>L28/K28-1</f>
        <v>-0.71084337349397586</v>
      </c>
      <c r="M29" s="23"/>
    </row>
    <row r="30" spans="1:13" ht="11.45" customHeight="1">
      <c r="A30" s="67" t="s">
        <v>8</v>
      </c>
      <c r="B30" s="23"/>
      <c r="C30" s="23">
        <f>C28/B28-1</f>
        <v>-0.84105960264900659</v>
      </c>
      <c r="D30" s="69"/>
      <c r="E30" s="69"/>
      <c r="F30" s="69"/>
      <c r="G30" s="80"/>
      <c r="H30" s="23"/>
      <c r="I30" s="69">
        <f>I28/D28-1</f>
        <v>-0.10909090909090913</v>
      </c>
      <c r="J30" s="69">
        <f>J28/E28-1</f>
        <v>-0.93805970149253737</v>
      </c>
      <c r="K30" s="69">
        <f>K28/F28-1</f>
        <v>0.48214285714285721</v>
      </c>
      <c r="L30" s="80" t="s">
        <v>34</v>
      </c>
      <c r="M30" s="23">
        <f t="shared" ref="M30" si="10">M28/H28-1</f>
        <v>-0.80709979906229068</v>
      </c>
    </row>
    <row r="31" spans="1:13" s="34" customFormat="1">
      <c r="A31" s="65" t="s">
        <v>315</v>
      </c>
      <c r="B31" s="62">
        <v>1223</v>
      </c>
      <c r="C31" s="165">
        <v>-1092</v>
      </c>
      <c r="D31" s="66">
        <f>D22-D25-D28</f>
        <v>295</v>
      </c>
      <c r="E31" s="171">
        <v>-1579</v>
      </c>
      <c r="F31" s="171">
        <v>177</v>
      </c>
      <c r="G31" s="171">
        <f>H31-F31-E31-D31</f>
        <v>-87</v>
      </c>
      <c r="H31" s="165">
        <v>-1194</v>
      </c>
      <c r="I31" s="66">
        <f>I22-I25-I28</f>
        <v>327</v>
      </c>
      <c r="J31" s="171">
        <v>269</v>
      </c>
      <c r="K31" s="171">
        <v>26</v>
      </c>
      <c r="L31" s="171">
        <f>M31-K31-J31-I31</f>
        <v>174</v>
      </c>
      <c r="M31" s="165">
        <v>796</v>
      </c>
    </row>
    <row r="32" spans="1:13" ht="12.6" customHeight="1">
      <c r="A32" s="67" t="s">
        <v>7</v>
      </c>
      <c r="B32" s="23"/>
      <c r="C32" s="23"/>
      <c r="D32" s="80"/>
      <c r="E32" s="80" t="s">
        <v>34</v>
      </c>
      <c r="F32" s="80" t="s">
        <v>34</v>
      </c>
      <c r="G32" s="80" t="s">
        <v>34</v>
      </c>
      <c r="H32" s="23"/>
      <c r="I32" s="68">
        <f>I22-I25-I28</f>
        <v>327</v>
      </c>
      <c r="J32" s="68">
        <f>J31/I31-1</f>
        <v>-0.17737003058103973</v>
      </c>
      <c r="K32" s="68">
        <f>K31/J31-1</f>
        <v>-0.90334572490706322</v>
      </c>
      <c r="L32" s="68">
        <f>L31/K31-1</f>
        <v>5.6923076923076925</v>
      </c>
      <c r="M32" s="23"/>
    </row>
    <row r="33" spans="1:13" ht="12" customHeight="1">
      <c r="A33" s="67" t="s">
        <v>8</v>
      </c>
      <c r="B33" s="23"/>
      <c r="C33" s="87" t="s">
        <v>34</v>
      </c>
      <c r="D33" s="69"/>
      <c r="E33" s="80"/>
      <c r="F33" s="69"/>
      <c r="G33" s="69"/>
      <c r="H33" s="23">
        <f>H31/C31-1</f>
        <v>9.3406593406593297E-2</v>
      </c>
      <c r="I33" s="69">
        <f>I31/D31-1</f>
        <v>0.10847457627118651</v>
      </c>
      <c r="J33" s="80" t="s">
        <v>34</v>
      </c>
      <c r="K33" s="69">
        <f>K31/F31-1</f>
        <v>-0.85310734463276838</v>
      </c>
      <c r="L33" s="80" t="s">
        <v>34</v>
      </c>
      <c r="M33" s="87" t="s">
        <v>34</v>
      </c>
    </row>
    <row r="34" spans="1:13" ht="15.75" customHeight="1">
      <c r="A34" s="207" t="s">
        <v>363</v>
      </c>
      <c r="B34" s="62">
        <f>'Group-Adj #s'!B33</f>
        <v>1295.56</v>
      </c>
      <c r="C34" s="62">
        <f>'Group-Adj #s'!C33</f>
        <v>961.09</v>
      </c>
      <c r="D34" s="202">
        <f>'Group-Adj #s'!D33</f>
        <v>285.64</v>
      </c>
      <c r="E34" s="202">
        <f>'Group-Adj #s'!E33</f>
        <v>217.15000000000009</v>
      </c>
      <c r="F34" s="202">
        <f>'Group-Adj #s'!F33</f>
        <v>207.26</v>
      </c>
      <c r="G34" s="202">
        <f>'Group-Adj #s'!G33</f>
        <v>203.36000000000007</v>
      </c>
      <c r="H34" s="62">
        <f>'Group-Adj #s'!H33</f>
        <v>913.41000000000008</v>
      </c>
      <c r="I34" s="202">
        <f>'Group-Adj #s'!I33</f>
        <v>324.69</v>
      </c>
      <c r="J34" s="202">
        <f>'Group-Adj #s'!J33</f>
        <v>252.38</v>
      </c>
      <c r="K34" s="202">
        <f>'Group-Adj #s'!K33</f>
        <v>290.14999999999998</v>
      </c>
      <c r="L34" s="202">
        <f>'Group-Adj #s'!L33</f>
        <v>277</v>
      </c>
      <c r="M34" s="165">
        <f>'Group-Adj #s'!M33</f>
        <v>1144.22</v>
      </c>
    </row>
    <row r="35" spans="1:13" s="34" customFormat="1" ht="18.75" customHeight="1">
      <c r="A35" s="65" t="s">
        <v>161</v>
      </c>
      <c r="B35" s="62">
        <f>B22+B12</f>
        <v>3813</v>
      </c>
      <c r="C35" s="62">
        <f>C22+C12</f>
        <v>1607</v>
      </c>
      <c r="D35" s="72">
        <f>D12+D22</f>
        <v>970</v>
      </c>
      <c r="E35" s="72">
        <f>E12+E22</f>
        <v>376</v>
      </c>
      <c r="F35" s="72">
        <f>F12+F22</f>
        <v>921</v>
      </c>
      <c r="G35" s="66">
        <f>H35-F35-E35-D35</f>
        <v>495</v>
      </c>
      <c r="H35" s="62">
        <f>H22+H12</f>
        <v>2762</v>
      </c>
      <c r="I35" s="72">
        <f>I12+I22</f>
        <v>910</v>
      </c>
      <c r="J35" s="72">
        <f>J12+J22</f>
        <v>970</v>
      </c>
      <c r="K35" s="72">
        <f>K12+K22</f>
        <v>653</v>
      </c>
      <c r="L35" s="171">
        <f>M35-K35-J35-I35</f>
        <v>759</v>
      </c>
      <c r="M35" s="165">
        <f>M22+M12</f>
        <v>3292</v>
      </c>
    </row>
    <row r="36" spans="1:13" ht="10.15" customHeight="1">
      <c r="A36" s="67" t="s">
        <v>7</v>
      </c>
      <c r="B36" s="23"/>
      <c r="C36" s="23"/>
      <c r="D36" s="80"/>
      <c r="E36" s="68">
        <f>E35/D35-1</f>
        <v>-0.6123711340206186</v>
      </c>
      <c r="F36" s="68">
        <f>F35/E35-1</f>
        <v>1.4494680851063828</v>
      </c>
      <c r="G36" s="68">
        <f>G35/F35-1</f>
        <v>-0.46254071661237783</v>
      </c>
      <c r="H36" s="23"/>
      <c r="I36" s="68">
        <f>I35/G35-1</f>
        <v>0.83838383838383845</v>
      </c>
      <c r="J36" s="68">
        <f>J35/I35-1</f>
        <v>6.5934065934065922E-2</v>
      </c>
      <c r="K36" s="68">
        <f>K35/J35-1</f>
        <v>-0.32680412371134016</v>
      </c>
      <c r="L36" s="68">
        <f>L35/K35-1</f>
        <v>0.16232771822358338</v>
      </c>
      <c r="M36" s="23"/>
    </row>
    <row r="37" spans="1:13" ht="10.15" customHeight="1">
      <c r="A37" s="67" t="s">
        <v>8</v>
      </c>
      <c r="B37" s="23"/>
      <c r="C37" s="23">
        <f>C35/B35-1</f>
        <v>-0.57854707579333864</v>
      </c>
      <c r="D37" s="69"/>
      <c r="E37" s="69"/>
      <c r="F37" s="69"/>
      <c r="G37" s="80"/>
      <c r="H37" s="23">
        <f>H35/C35-1</f>
        <v>0.71873055382700679</v>
      </c>
      <c r="I37" s="69">
        <f>I35/D35-1</f>
        <v>-6.1855670103092786E-2</v>
      </c>
      <c r="J37" s="69">
        <f>J35/E35-1</f>
        <v>1.5797872340425534</v>
      </c>
      <c r="K37" s="69">
        <f>K35/F35-1</f>
        <v>-0.29098805646036918</v>
      </c>
      <c r="L37" s="69">
        <f t="shared" ref="L37" si="11">L35/G35-1</f>
        <v>0.53333333333333344</v>
      </c>
      <c r="M37" s="23">
        <f>M35/H35-1</f>
        <v>0.19188993482983352</v>
      </c>
    </row>
    <row r="38" spans="1:13" ht="11.25" customHeight="1">
      <c r="A38" s="84" t="s">
        <v>362</v>
      </c>
      <c r="B38" s="165">
        <f>'Group-Adj #s'!B14</f>
        <v>3881</v>
      </c>
      <c r="C38" s="165">
        <f>'Group-Adj #s'!C14</f>
        <v>3916</v>
      </c>
      <c r="D38" s="72">
        <f>'Group-Adj #s'!D14</f>
        <v>945</v>
      </c>
      <c r="E38" s="72">
        <f>'Group-Adj #s'!E14</f>
        <v>913</v>
      </c>
      <c r="F38" s="72">
        <f>'Group-Adj #s'!F14</f>
        <v>960</v>
      </c>
      <c r="G38" s="72">
        <f>'Group-Adj #s'!G14</f>
        <v>870</v>
      </c>
      <c r="H38" s="165">
        <f>'Group-Adj #s'!H14</f>
        <v>3688</v>
      </c>
      <c r="I38" s="72">
        <f>'Group-Adj #s'!I14</f>
        <v>907</v>
      </c>
      <c r="J38" s="72">
        <f>'Group-Adj #s'!J14</f>
        <v>951</v>
      </c>
      <c r="K38" s="72">
        <f>'Group-Adj #s'!K14</f>
        <v>914</v>
      </c>
      <c r="L38" s="171">
        <f>'Group-Adj #s'!L14</f>
        <v>887</v>
      </c>
      <c r="M38" s="165">
        <f>'Group-Adj #s'!M14</f>
        <v>3659</v>
      </c>
    </row>
    <row r="39" spans="1:13" ht="10.9" customHeight="1">
      <c r="A39" s="67" t="s">
        <v>7</v>
      </c>
      <c r="B39" s="23"/>
      <c r="C39" s="23"/>
      <c r="D39" s="68"/>
      <c r="E39" s="68">
        <f>E38/D38-1</f>
        <v>-3.3862433862433816E-2</v>
      </c>
      <c r="F39" s="68">
        <f>F38/E38-1</f>
        <v>5.1478641840087658E-2</v>
      </c>
      <c r="G39" s="68">
        <f>G38/F38-1</f>
        <v>-9.375E-2</v>
      </c>
      <c r="H39" s="23"/>
      <c r="I39" s="68">
        <f>I38/G38-1</f>
        <v>4.2528735632183956E-2</v>
      </c>
      <c r="J39" s="68">
        <f>J38/I38-1</f>
        <v>4.8511576626240283E-2</v>
      </c>
      <c r="K39" s="68">
        <f>K38/J38-1</f>
        <v>-3.8906414300736047E-2</v>
      </c>
      <c r="L39" s="68">
        <f>L38/K38-1</f>
        <v>-2.9540481400437635E-2</v>
      </c>
      <c r="M39" s="23"/>
    </row>
    <row r="40" spans="1:13" ht="10.9" customHeight="1">
      <c r="A40" s="67" t="s">
        <v>8</v>
      </c>
      <c r="B40" s="23"/>
      <c r="C40" s="23">
        <f>C38/B38-1</f>
        <v>9.0182942540582012E-3</v>
      </c>
      <c r="D40" s="69"/>
      <c r="E40" s="69"/>
      <c r="F40" s="69"/>
      <c r="G40" s="69"/>
      <c r="H40" s="23">
        <f>H38/C38-1</f>
        <v>-5.8222676200204271E-2</v>
      </c>
      <c r="I40" s="69">
        <f>I38/D38-1</f>
        <v>-4.0211640211640254E-2</v>
      </c>
      <c r="J40" s="69">
        <f>J38/E38-1</f>
        <v>4.1621029572836754E-2</v>
      </c>
      <c r="K40" s="69">
        <f>K38/F38-1</f>
        <v>-4.7916666666666718E-2</v>
      </c>
      <c r="L40" s="69">
        <f t="shared" ref="L40" si="12">L38/G38-1</f>
        <v>1.9540229885057547E-2</v>
      </c>
      <c r="M40" s="23">
        <f>M38/H38-1</f>
        <v>-7.8633405639912946E-3</v>
      </c>
    </row>
    <row r="41" spans="1:13" ht="12.6" customHeight="1">
      <c r="A41" s="65" t="s">
        <v>310</v>
      </c>
      <c r="B41" s="61">
        <v>0.45</v>
      </c>
      <c r="C41" s="205">
        <v>-0.39</v>
      </c>
      <c r="D41" s="70">
        <v>0.11</v>
      </c>
      <c r="E41" s="204">
        <v>-0.56999999999999995</v>
      </c>
      <c r="F41" s="204">
        <v>0.06</v>
      </c>
      <c r="G41" s="204">
        <f>H41-F41-E41-D41</f>
        <v>-3.0000000000000041E-2</v>
      </c>
      <c r="H41" s="205">
        <v>-0.43</v>
      </c>
      <c r="I41" s="70">
        <v>0.12</v>
      </c>
      <c r="J41" s="204">
        <v>0.1</v>
      </c>
      <c r="K41" s="204">
        <v>0.01</v>
      </c>
      <c r="L41" s="204">
        <f>M41-I41-J41-K41</f>
        <v>5.9999999999999977E-2</v>
      </c>
      <c r="M41" s="205">
        <v>0.28999999999999998</v>
      </c>
    </row>
    <row r="42" spans="1:13">
      <c r="A42" s="65" t="s">
        <v>28</v>
      </c>
      <c r="B42" s="62">
        <v>2765</v>
      </c>
      <c r="C42" s="62">
        <v>2765</v>
      </c>
      <c r="D42" s="71">
        <v>2765</v>
      </c>
      <c r="E42" s="71">
        <v>2765</v>
      </c>
      <c r="F42" s="71">
        <v>2765</v>
      </c>
      <c r="G42" s="71">
        <v>2765</v>
      </c>
      <c r="H42" s="62">
        <v>2765</v>
      </c>
      <c r="I42" s="71">
        <v>2765</v>
      </c>
      <c r="J42" s="71">
        <v>2765</v>
      </c>
      <c r="K42" s="71">
        <v>2765</v>
      </c>
      <c r="L42" s="71">
        <v>2765</v>
      </c>
      <c r="M42" s="62">
        <v>2765</v>
      </c>
    </row>
    <row r="43" spans="1:13" ht="13.5" customHeight="1">
      <c r="A43" s="38" t="s">
        <v>111</v>
      </c>
      <c r="B43" s="40"/>
      <c r="C43" s="40"/>
      <c r="D43" s="40"/>
      <c r="E43" s="40"/>
      <c r="F43" s="40"/>
      <c r="G43" s="40"/>
      <c r="H43" s="40"/>
      <c r="I43" s="40"/>
      <c r="J43" s="40"/>
      <c r="K43" s="40"/>
      <c r="L43" s="40"/>
      <c r="M43" s="40"/>
    </row>
    <row r="44" spans="1:13" ht="13.5" customHeight="1">
      <c r="A44" s="65" t="s">
        <v>234</v>
      </c>
      <c r="B44" s="62">
        <f>B47+B50+B53+B56+B59+B62+B65</f>
        <v>3903</v>
      </c>
      <c r="C44" s="62">
        <f>C47+C50+C53+C56+C59+C62+C65</f>
        <v>3413</v>
      </c>
      <c r="D44" s="66">
        <f>D47+D50+D53+D56+D59+D62+D65</f>
        <v>819</v>
      </c>
      <c r="E44" s="66">
        <f>E47+E50+E53+E56+E59+E62+E65</f>
        <v>822</v>
      </c>
      <c r="F44" s="66">
        <f>F47+F50+F53+F56+F59+F62+F65</f>
        <v>813</v>
      </c>
      <c r="G44" s="66">
        <f>H44-F44-E44-D44</f>
        <v>854</v>
      </c>
      <c r="H44" s="62">
        <f>H47+H50+H53+H56+H59+H62+H65</f>
        <v>3308</v>
      </c>
      <c r="I44" s="66">
        <f>I47+I50+I53+I56+I59+I62+I65</f>
        <v>801</v>
      </c>
      <c r="J44" s="66">
        <f>J47+J50+J53+J56+J59+J62+J65</f>
        <v>760</v>
      </c>
      <c r="K44" s="66">
        <f>K47+K50+K53+K56+K59+K62+K65</f>
        <v>790</v>
      </c>
      <c r="L44" s="66">
        <f>M44-K44-J44-I44</f>
        <v>822</v>
      </c>
      <c r="M44" s="62">
        <f>M47+M50+M53+M56+M59+M62+M65</f>
        <v>3173</v>
      </c>
    </row>
    <row r="45" spans="1:13" ht="10.5" customHeight="1">
      <c r="A45" s="67" t="s">
        <v>7</v>
      </c>
      <c r="B45" s="23"/>
      <c r="C45" s="23"/>
      <c r="D45" s="68"/>
      <c r="E45" s="68">
        <f>E44/D44-1</f>
        <v>3.66300366300365E-3</v>
      </c>
      <c r="F45" s="68">
        <f>F44/E44-1</f>
        <v>-1.0948905109489093E-2</v>
      </c>
      <c r="G45" s="68">
        <f>G44/F44-1</f>
        <v>5.0430504305043033E-2</v>
      </c>
      <c r="H45" s="23"/>
      <c r="I45" s="68">
        <f>I44/G44-1</f>
        <v>-6.2060889929742347E-2</v>
      </c>
      <c r="J45" s="68">
        <f>J44/I44-1</f>
        <v>-5.1186017478152324E-2</v>
      </c>
      <c r="K45" s="68">
        <f>K44/J44-1</f>
        <v>3.9473684210526327E-2</v>
      </c>
      <c r="L45" s="68">
        <f>L44/K44-1</f>
        <v>4.0506329113924044E-2</v>
      </c>
      <c r="M45" s="23"/>
    </row>
    <row r="46" spans="1:13" ht="13.5" customHeight="1">
      <c r="A46" s="67" t="s">
        <v>8</v>
      </c>
      <c r="B46" s="23"/>
      <c r="C46" s="23">
        <f>C44/B44-1</f>
        <v>-0.12554445298488337</v>
      </c>
      <c r="D46" s="69"/>
      <c r="E46" s="69"/>
      <c r="F46" s="69"/>
      <c r="G46" s="69"/>
      <c r="H46" s="23">
        <f>H44/C44-1</f>
        <v>-3.0764723117491899E-2</v>
      </c>
      <c r="I46" s="69">
        <f>I44/D44-1</f>
        <v>-2.1978021978022011E-2</v>
      </c>
      <c r="J46" s="69">
        <f>J44/E44-1</f>
        <v>-7.5425790754257926E-2</v>
      </c>
      <c r="K46" s="69">
        <f>K44/F44-1</f>
        <v>-2.8290282902828978E-2</v>
      </c>
      <c r="L46" s="69">
        <f t="shared" ref="L46" si="13">L44/G44-1</f>
        <v>-3.7470725995316201E-2</v>
      </c>
      <c r="M46" s="23">
        <f t="shared" ref="M46" si="14">M44/H44-1</f>
        <v>-4.0810157194679619E-2</v>
      </c>
    </row>
    <row r="47" spans="1:13" ht="13.5" customHeight="1">
      <c r="A47" s="65" t="s">
        <v>69</v>
      </c>
      <c r="B47" s="62">
        <v>867</v>
      </c>
      <c r="C47" s="62">
        <v>771</v>
      </c>
      <c r="D47" s="66">
        <v>191</v>
      </c>
      <c r="E47" s="66">
        <v>181</v>
      </c>
      <c r="F47" s="66">
        <v>202</v>
      </c>
      <c r="G47" s="66">
        <f>H47-F47-E47-D47</f>
        <v>232</v>
      </c>
      <c r="H47" s="62">
        <v>806</v>
      </c>
      <c r="I47" s="66">
        <v>188</v>
      </c>
      <c r="J47" s="66">
        <v>176</v>
      </c>
      <c r="K47" s="66">
        <v>189</v>
      </c>
      <c r="L47" s="66">
        <f>M47-K47-J47-I47</f>
        <v>194</v>
      </c>
      <c r="M47" s="62">
        <v>747</v>
      </c>
    </row>
    <row r="48" spans="1:13" ht="10.15" customHeight="1">
      <c r="A48" s="67" t="s">
        <v>7</v>
      </c>
      <c r="B48" s="23"/>
      <c r="C48" s="23"/>
      <c r="D48" s="68"/>
      <c r="E48" s="68">
        <f>E47/D47-1</f>
        <v>-5.2356020942408432E-2</v>
      </c>
      <c r="F48" s="68">
        <f>F47/E47-1</f>
        <v>0.11602209944751385</v>
      </c>
      <c r="G48" s="68">
        <f>G47/F47-1</f>
        <v>0.14851485148514842</v>
      </c>
      <c r="H48" s="23"/>
      <c r="I48" s="68">
        <f>I47/G47-1</f>
        <v>-0.18965517241379315</v>
      </c>
      <c r="J48" s="68">
        <f>J47/I47-1</f>
        <v>-6.3829787234042534E-2</v>
      </c>
      <c r="K48" s="68">
        <f>K47/J47-1</f>
        <v>7.3863636363636465E-2</v>
      </c>
      <c r="L48" s="68">
        <f>L47/K47-1</f>
        <v>2.6455026455026509E-2</v>
      </c>
      <c r="M48" s="23"/>
    </row>
    <row r="49" spans="1:13" ht="14.45" customHeight="1">
      <c r="A49" s="67" t="s">
        <v>8</v>
      </c>
      <c r="B49" s="23"/>
      <c r="C49" s="23">
        <f>C47/B47-1</f>
        <v>-0.11072664359861595</v>
      </c>
      <c r="D49" s="69"/>
      <c r="E49" s="69"/>
      <c r="F49" s="69"/>
      <c r="G49" s="69"/>
      <c r="H49" s="23">
        <f t="shared" ref="H49:M49" si="15">H47/C47-1</f>
        <v>4.5395590142671916E-2</v>
      </c>
      <c r="I49" s="69">
        <f t="shared" si="15"/>
        <v>-1.5706806282722474E-2</v>
      </c>
      <c r="J49" s="69">
        <f t="shared" si="15"/>
        <v>-2.7624309392265234E-2</v>
      </c>
      <c r="K49" s="69">
        <f t="shared" si="15"/>
        <v>-6.4356435643564303E-2</v>
      </c>
      <c r="L49" s="69">
        <f t="shared" si="15"/>
        <v>-0.16379310344827591</v>
      </c>
      <c r="M49" s="23">
        <f t="shared" si="15"/>
        <v>-7.3200992555831235E-2</v>
      </c>
    </row>
    <row r="50" spans="1:13" ht="13.5" customHeight="1">
      <c r="A50" s="65" t="s">
        <v>68</v>
      </c>
      <c r="B50" s="62">
        <v>805</v>
      </c>
      <c r="C50" s="62">
        <v>789</v>
      </c>
      <c r="D50" s="66">
        <v>189</v>
      </c>
      <c r="E50" s="66">
        <v>194</v>
      </c>
      <c r="F50" s="66">
        <v>193</v>
      </c>
      <c r="G50" s="66">
        <f>H50-F50-E50-D50</f>
        <v>181</v>
      </c>
      <c r="H50" s="62">
        <v>757</v>
      </c>
      <c r="I50" s="66">
        <v>185</v>
      </c>
      <c r="J50" s="66">
        <v>201</v>
      </c>
      <c r="K50" s="66">
        <v>199</v>
      </c>
      <c r="L50" s="66">
        <f>M50-K50-J50-I50</f>
        <v>191</v>
      </c>
      <c r="M50" s="62">
        <v>776</v>
      </c>
    </row>
    <row r="51" spans="1:13" ht="10.15" customHeight="1">
      <c r="A51" s="67" t="s">
        <v>7</v>
      </c>
      <c r="B51" s="23"/>
      <c r="C51" s="23"/>
      <c r="D51" s="68"/>
      <c r="E51" s="68">
        <f>E50/D50-1</f>
        <v>2.6455026455026509E-2</v>
      </c>
      <c r="F51" s="68">
        <f>F50/E50-1</f>
        <v>-5.1546391752577136E-3</v>
      </c>
      <c r="G51" s="68">
        <f>G50/F50-1</f>
        <v>-6.2176165803108807E-2</v>
      </c>
      <c r="H51" s="23"/>
      <c r="I51" s="68">
        <f>I50/G50-1</f>
        <v>2.2099447513812098E-2</v>
      </c>
      <c r="J51" s="68">
        <f>J50/I50-1</f>
        <v>8.6486486486486491E-2</v>
      </c>
      <c r="K51" s="68">
        <f>K50/J50-1</f>
        <v>-9.9502487562188602E-3</v>
      </c>
      <c r="L51" s="68">
        <f>L50/K50-1</f>
        <v>-4.020100502512558E-2</v>
      </c>
      <c r="M51" s="23"/>
    </row>
    <row r="52" spans="1:13" ht="12.6" customHeight="1">
      <c r="A52" s="67" t="s">
        <v>8</v>
      </c>
      <c r="B52" s="23"/>
      <c r="C52" s="23">
        <f>C50/B50-1</f>
        <v>-1.9875776397515477E-2</v>
      </c>
      <c r="D52" s="69"/>
      <c r="E52" s="69"/>
      <c r="F52" s="69"/>
      <c r="G52" s="69"/>
      <c r="H52" s="23">
        <f t="shared" ref="H52:M52" si="16">H50/C50-1</f>
        <v>-4.0557667934093766E-2</v>
      </c>
      <c r="I52" s="69">
        <f t="shared" si="16"/>
        <v>-2.1164021164021163E-2</v>
      </c>
      <c r="J52" s="69">
        <f t="shared" si="16"/>
        <v>3.6082474226804218E-2</v>
      </c>
      <c r="K52" s="69">
        <f t="shared" si="16"/>
        <v>3.1088082901554515E-2</v>
      </c>
      <c r="L52" s="69">
        <f t="shared" si="16"/>
        <v>5.5248618784530468E-2</v>
      </c>
      <c r="M52" s="23">
        <f t="shared" si="16"/>
        <v>2.5099075297225992E-2</v>
      </c>
    </row>
    <row r="53" spans="1:13" ht="13.5" customHeight="1">
      <c r="A53" s="65" t="s">
        <v>70</v>
      </c>
      <c r="B53" s="62">
        <v>584</v>
      </c>
      <c r="C53" s="62">
        <v>286</v>
      </c>
      <c r="D53" s="66">
        <v>68</v>
      </c>
      <c r="E53" s="66">
        <v>65</v>
      </c>
      <c r="F53" s="66">
        <v>70</v>
      </c>
      <c r="G53" s="66">
        <f>H53-F53-E53-D53</f>
        <v>68</v>
      </c>
      <c r="H53" s="62">
        <v>271</v>
      </c>
      <c r="I53" s="66">
        <v>65</v>
      </c>
      <c r="J53" s="66">
        <v>46</v>
      </c>
      <c r="K53" s="66">
        <v>68</v>
      </c>
      <c r="L53" s="66">
        <f>M53-K53-J53-I53</f>
        <v>67</v>
      </c>
      <c r="M53" s="62">
        <v>246</v>
      </c>
    </row>
    <row r="54" spans="1:13" ht="10.5" customHeight="1">
      <c r="A54" s="67" t="s">
        <v>7</v>
      </c>
      <c r="B54" s="23"/>
      <c r="C54" s="23"/>
      <c r="D54" s="68"/>
      <c r="E54" s="68">
        <f>E53/D53-1</f>
        <v>-4.4117647058823484E-2</v>
      </c>
      <c r="F54" s="68">
        <f>F53/E53-1</f>
        <v>7.6923076923076872E-2</v>
      </c>
      <c r="G54" s="68">
        <f>G53/F53-1</f>
        <v>-2.8571428571428581E-2</v>
      </c>
      <c r="H54" s="23"/>
      <c r="I54" s="68">
        <f>I53/G53-1</f>
        <v>-4.4117647058823484E-2</v>
      </c>
      <c r="J54" s="68">
        <f>J53/I53-1</f>
        <v>-0.29230769230769227</v>
      </c>
      <c r="K54" s="68">
        <f>K53/J53-1</f>
        <v>0.47826086956521729</v>
      </c>
      <c r="L54" s="68">
        <f>L53/K53-1</f>
        <v>-1.4705882352941124E-2</v>
      </c>
      <c r="M54" s="23"/>
    </row>
    <row r="55" spans="1:13" ht="9" customHeight="1">
      <c r="A55" s="67" t="s">
        <v>8</v>
      </c>
      <c r="B55" s="23"/>
      <c r="C55" s="23">
        <f>C53/B53-1</f>
        <v>-0.51027397260273966</v>
      </c>
      <c r="D55" s="69"/>
      <c r="E55" s="69"/>
      <c r="F55" s="69"/>
      <c r="G55" s="69"/>
      <c r="H55" s="23">
        <f t="shared" ref="H55:M55" si="17">H53/C53-1</f>
        <v>-5.2447552447552392E-2</v>
      </c>
      <c r="I55" s="69">
        <f t="shared" si="17"/>
        <v>-4.4117647058823484E-2</v>
      </c>
      <c r="J55" s="69">
        <f t="shared" si="17"/>
        <v>-0.29230769230769227</v>
      </c>
      <c r="K55" s="69">
        <f t="shared" si="17"/>
        <v>-2.8571428571428581E-2</v>
      </c>
      <c r="L55" s="69">
        <f t="shared" si="17"/>
        <v>-1.4705882352941124E-2</v>
      </c>
      <c r="M55" s="23">
        <f t="shared" si="17"/>
        <v>-9.2250922509225064E-2</v>
      </c>
    </row>
    <row r="56" spans="1:13" ht="13.5" customHeight="1">
      <c r="A56" s="65" t="s">
        <v>77</v>
      </c>
      <c r="B56" s="62">
        <v>595</v>
      </c>
      <c r="C56" s="62">
        <v>555</v>
      </c>
      <c r="D56" s="66">
        <v>123</v>
      </c>
      <c r="E56" s="66">
        <v>118</v>
      </c>
      <c r="F56" s="66">
        <v>120</v>
      </c>
      <c r="G56" s="66">
        <f>H56-F56-E56-D56</f>
        <v>128</v>
      </c>
      <c r="H56" s="62">
        <v>489</v>
      </c>
      <c r="I56" s="66">
        <v>117</v>
      </c>
      <c r="J56" s="66">
        <v>114</v>
      </c>
      <c r="K56" s="66">
        <v>117</v>
      </c>
      <c r="L56" s="66">
        <f>M56-K56-J56-I56</f>
        <v>114</v>
      </c>
      <c r="M56" s="62">
        <v>462</v>
      </c>
    </row>
    <row r="57" spans="1:13" ht="9.75" customHeight="1">
      <c r="A57" s="67" t="s">
        <v>7</v>
      </c>
      <c r="B57" s="23"/>
      <c r="C57" s="23"/>
      <c r="D57" s="68"/>
      <c r="E57" s="68">
        <f>E56/D56-1</f>
        <v>-4.065040650406504E-2</v>
      </c>
      <c r="F57" s="68">
        <f>F56/E56-1</f>
        <v>1.6949152542372836E-2</v>
      </c>
      <c r="G57" s="68">
        <f>G56/F56-1</f>
        <v>6.6666666666666652E-2</v>
      </c>
      <c r="H57" s="23"/>
      <c r="I57" s="68">
        <f>I56/G56-1</f>
        <v>-8.59375E-2</v>
      </c>
      <c r="J57" s="68">
        <f>J56/I56-1</f>
        <v>-2.5641025641025661E-2</v>
      </c>
      <c r="K57" s="68">
        <f>K56/J56-1</f>
        <v>2.6315789473684292E-2</v>
      </c>
      <c r="L57" s="68">
        <f>L56/K56-1</f>
        <v>-2.5641025641025661E-2</v>
      </c>
      <c r="M57" s="23"/>
    </row>
    <row r="58" spans="1:13" ht="9.6" customHeight="1">
      <c r="A58" s="67" t="s">
        <v>8</v>
      </c>
      <c r="B58" s="23"/>
      <c r="C58" s="23">
        <f>C56/B56-1</f>
        <v>-6.7226890756302504E-2</v>
      </c>
      <c r="D58" s="69"/>
      <c r="E58" s="69"/>
      <c r="F58" s="69"/>
      <c r="G58" s="69"/>
      <c r="H58" s="23">
        <f t="shared" ref="H58:M58" si="18">H56/C56-1</f>
        <v>-0.11891891891891893</v>
      </c>
      <c r="I58" s="69">
        <f t="shared" si="18"/>
        <v>-4.8780487804878092E-2</v>
      </c>
      <c r="J58" s="69">
        <f t="shared" si="18"/>
        <v>-3.3898305084745783E-2</v>
      </c>
      <c r="K58" s="69">
        <f t="shared" si="18"/>
        <v>-2.5000000000000022E-2</v>
      </c>
      <c r="L58" s="69">
        <f t="shared" si="18"/>
        <v>-0.109375</v>
      </c>
      <c r="M58" s="23">
        <f t="shared" si="18"/>
        <v>-5.5214723926380382E-2</v>
      </c>
    </row>
    <row r="59" spans="1:13" ht="13.5" customHeight="1">
      <c r="A59" s="65" t="s">
        <v>71</v>
      </c>
      <c r="B59" s="62">
        <v>260</v>
      </c>
      <c r="C59" s="62">
        <v>277</v>
      </c>
      <c r="D59" s="66">
        <v>70</v>
      </c>
      <c r="E59" s="66">
        <v>68</v>
      </c>
      <c r="F59" s="66">
        <v>63</v>
      </c>
      <c r="G59" s="66">
        <f>H59-F59-E59-D59</f>
        <v>69</v>
      </c>
      <c r="H59" s="62">
        <v>270</v>
      </c>
      <c r="I59" s="66">
        <v>68</v>
      </c>
      <c r="J59" s="66">
        <v>71</v>
      </c>
      <c r="K59" s="66">
        <v>68</v>
      </c>
      <c r="L59" s="66">
        <f>M59-K59-J59-I59</f>
        <v>96</v>
      </c>
      <c r="M59" s="62">
        <v>303</v>
      </c>
    </row>
    <row r="60" spans="1:13" ht="9.75" customHeight="1">
      <c r="A60" s="67" t="s">
        <v>7</v>
      </c>
      <c r="B60" s="23"/>
      <c r="C60" s="23"/>
      <c r="D60" s="68"/>
      <c r="E60" s="68">
        <f>E59/D59-1</f>
        <v>-2.8571428571428581E-2</v>
      </c>
      <c r="F60" s="68">
        <f>F59/E59-1</f>
        <v>-7.3529411764705843E-2</v>
      </c>
      <c r="G60" s="68">
        <f>G59/F59-1</f>
        <v>9.5238095238095344E-2</v>
      </c>
      <c r="H60" s="23"/>
      <c r="I60" s="68">
        <f>I59/G59-1</f>
        <v>-1.4492753623188359E-2</v>
      </c>
      <c r="J60" s="68">
        <f>J59/I59-1</f>
        <v>4.4117647058823595E-2</v>
      </c>
      <c r="K60" s="68">
        <f>K59/J59-1</f>
        <v>-4.2253521126760618E-2</v>
      </c>
      <c r="L60" s="68">
        <f>L59/K59-1</f>
        <v>0.41176470588235303</v>
      </c>
      <c r="M60" s="23"/>
    </row>
    <row r="61" spans="1:13" ht="10.15" customHeight="1">
      <c r="A61" s="67" t="s">
        <v>8</v>
      </c>
      <c r="B61" s="23"/>
      <c r="C61" s="23">
        <f>C59/B59-1</f>
        <v>6.5384615384615374E-2</v>
      </c>
      <c r="D61" s="69"/>
      <c r="E61" s="69"/>
      <c r="F61" s="69"/>
      <c r="G61" s="69"/>
      <c r="H61" s="23">
        <f t="shared" ref="H61:M61" si="19">H59/C59-1</f>
        <v>-2.5270758122743708E-2</v>
      </c>
      <c r="I61" s="69">
        <f t="shared" si="19"/>
        <v>-2.8571428571428581E-2</v>
      </c>
      <c r="J61" s="69">
        <f t="shared" si="19"/>
        <v>4.4117647058823595E-2</v>
      </c>
      <c r="K61" s="69">
        <f t="shared" si="19"/>
        <v>7.9365079365079305E-2</v>
      </c>
      <c r="L61" s="69">
        <f t="shared" si="19"/>
        <v>0.39130434782608692</v>
      </c>
      <c r="M61" s="23">
        <f t="shared" si="19"/>
        <v>0.12222222222222223</v>
      </c>
    </row>
    <row r="62" spans="1:13" ht="11.25" customHeight="1">
      <c r="A62" s="65" t="s">
        <v>76</v>
      </c>
      <c r="B62" s="62">
        <v>156</v>
      </c>
      <c r="C62" s="62">
        <v>82</v>
      </c>
      <c r="D62" s="66">
        <v>18</v>
      </c>
      <c r="E62" s="66">
        <v>20</v>
      </c>
      <c r="F62" s="66">
        <v>16</v>
      </c>
      <c r="G62" s="66">
        <f>H62-F62-E62-D62</f>
        <v>17</v>
      </c>
      <c r="H62" s="62">
        <v>71</v>
      </c>
      <c r="I62" s="66">
        <v>14</v>
      </c>
      <c r="J62" s="66">
        <v>9</v>
      </c>
      <c r="K62" s="66">
        <v>14</v>
      </c>
      <c r="L62" s="66">
        <f>M62-K62-J62-I62</f>
        <v>13</v>
      </c>
      <c r="M62" s="62">
        <v>50</v>
      </c>
    </row>
    <row r="63" spans="1:13" ht="9" customHeight="1">
      <c r="A63" s="67" t="s">
        <v>7</v>
      </c>
      <c r="B63" s="23"/>
      <c r="C63" s="23"/>
      <c r="D63" s="68"/>
      <c r="E63" s="68">
        <f>E62/D62-1</f>
        <v>0.11111111111111116</v>
      </c>
      <c r="F63" s="68">
        <f>F62/E62-1</f>
        <v>-0.19999999999999996</v>
      </c>
      <c r="G63" s="68">
        <f>G62/F62-1</f>
        <v>6.25E-2</v>
      </c>
      <c r="H63" s="23"/>
      <c r="I63" s="68">
        <f>I62/G62-1</f>
        <v>-0.17647058823529416</v>
      </c>
      <c r="J63" s="68">
        <f>J62/I62-1</f>
        <v>-0.3571428571428571</v>
      </c>
      <c r="K63" s="68">
        <f>K62/J62-1</f>
        <v>0.55555555555555558</v>
      </c>
      <c r="L63" s="68">
        <f>L62/K62-1</f>
        <v>-7.1428571428571397E-2</v>
      </c>
      <c r="M63" s="23"/>
    </row>
    <row r="64" spans="1:13" ht="10.15" customHeight="1">
      <c r="A64" s="67" t="s">
        <v>8</v>
      </c>
      <c r="B64" s="23"/>
      <c r="C64" s="23">
        <f>C62/B62-1</f>
        <v>-0.47435897435897434</v>
      </c>
      <c r="D64" s="69"/>
      <c r="E64" s="69"/>
      <c r="F64" s="69"/>
      <c r="G64" s="69"/>
      <c r="H64" s="23">
        <f t="shared" ref="H64:M64" si="20">H62/C62-1</f>
        <v>-0.13414634146341464</v>
      </c>
      <c r="I64" s="69">
        <f t="shared" si="20"/>
        <v>-0.22222222222222221</v>
      </c>
      <c r="J64" s="69">
        <f t="shared" si="20"/>
        <v>-0.55000000000000004</v>
      </c>
      <c r="K64" s="69">
        <f t="shared" si="20"/>
        <v>-0.125</v>
      </c>
      <c r="L64" s="69">
        <f t="shared" si="20"/>
        <v>-0.23529411764705888</v>
      </c>
      <c r="M64" s="23">
        <f t="shared" si="20"/>
        <v>-0.29577464788732399</v>
      </c>
    </row>
    <row r="65" spans="1:13" ht="13.5" customHeight="1">
      <c r="A65" s="65" t="s">
        <v>163</v>
      </c>
      <c r="B65" s="62">
        <v>636</v>
      </c>
      <c r="C65" s="62">
        <v>653</v>
      </c>
      <c r="D65" s="66">
        <v>160</v>
      </c>
      <c r="E65" s="66">
        <v>176</v>
      </c>
      <c r="F65" s="66">
        <v>149</v>
      </c>
      <c r="G65" s="66">
        <f>H65-F65-E65-D65</f>
        <v>159</v>
      </c>
      <c r="H65" s="62">
        <v>644</v>
      </c>
      <c r="I65" s="66">
        <v>164</v>
      </c>
      <c r="J65" s="66">
        <v>143</v>
      </c>
      <c r="K65" s="66">
        <v>135</v>
      </c>
      <c r="L65" s="66">
        <f>M65-K65-J65-I65</f>
        <v>147</v>
      </c>
      <c r="M65" s="62">
        <v>589</v>
      </c>
    </row>
    <row r="66" spans="1:13" ht="9.6" customHeight="1">
      <c r="A66" s="67" t="s">
        <v>7</v>
      </c>
      <c r="B66" s="23"/>
      <c r="C66" s="23"/>
      <c r="D66" s="68"/>
      <c r="E66" s="68">
        <f>E65/D65-1</f>
        <v>0.10000000000000009</v>
      </c>
      <c r="F66" s="68">
        <f>F65/E65-1</f>
        <v>-0.15340909090909094</v>
      </c>
      <c r="G66" s="68">
        <f>G65/F65-1</f>
        <v>6.7114093959731447E-2</v>
      </c>
      <c r="H66" s="23"/>
      <c r="I66" s="68">
        <f>I65/G65-1</f>
        <v>3.1446540880503138E-2</v>
      </c>
      <c r="J66" s="68">
        <f>J65/I65-1</f>
        <v>-0.12804878048780488</v>
      </c>
      <c r="K66" s="68">
        <f>K65/J65-1</f>
        <v>-5.5944055944055937E-2</v>
      </c>
      <c r="L66" s="68">
        <f>L65/K65-1</f>
        <v>8.8888888888888795E-2</v>
      </c>
      <c r="M66" s="23"/>
    </row>
    <row r="67" spans="1:13" ht="11.25" customHeight="1">
      <c r="A67" s="67" t="s">
        <v>8</v>
      </c>
      <c r="B67" s="23"/>
      <c r="C67" s="23">
        <f>C65/B65-1</f>
        <v>2.6729559748427612E-2</v>
      </c>
      <c r="D67" s="69"/>
      <c r="E67" s="69"/>
      <c r="F67" s="69"/>
      <c r="G67" s="69"/>
      <c r="H67" s="23">
        <f>H65/C65-1</f>
        <v>-1.3782542113323082E-2</v>
      </c>
      <c r="I67" s="69">
        <f>I65/D65-1</f>
        <v>2.4999999999999911E-2</v>
      </c>
      <c r="J67" s="69">
        <f>J65/E65-1</f>
        <v>-0.1875</v>
      </c>
      <c r="K67" s="69">
        <f>K65/F65-1</f>
        <v>-9.3959731543624136E-2</v>
      </c>
      <c r="L67" s="69">
        <f t="shared" ref="L67" si="21">L65/G65-1</f>
        <v>-7.547169811320753E-2</v>
      </c>
      <c r="M67" s="23">
        <f t="shared" ref="M67" si="22">M65/H65-1</f>
        <v>-8.5403726708074501E-2</v>
      </c>
    </row>
    <row r="68" spans="1:13">
      <c r="A68" s="48" t="s">
        <v>36</v>
      </c>
      <c r="B68" s="39"/>
      <c r="C68" s="39"/>
      <c r="D68" s="49"/>
      <c r="E68" s="49"/>
      <c r="F68" s="49"/>
      <c r="G68" s="49"/>
      <c r="H68" s="39"/>
      <c r="I68" s="49"/>
      <c r="J68" s="49"/>
      <c r="K68" s="49"/>
      <c r="L68" s="49"/>
      <c r="M68" s="39"/>
    </row>
    <row r="69" spans="1:13" s="34" customFormat="1" ht="11.25" customHeight="1">
      <c r="A69" s="65" t="s">
        <v>31</v>
      </c>
      <c r="B69" s="53">
        <f t="shared" ref="B69:H69" si="23">B31/B9</f>
        <v>0.12493615282459904</v>
      </c>
      <c r="C69" s="53">
        <f t="shared" si="23"/>
        <v>-0.11715481171548117</v>
      </c>
      <c r="D69" s="73">
        <f t="shared" si="23"/>
        <v>0.13076241134751773</v>
      </c>
      <c r="E69" s="73">
        <f t="shared" si="23"/>
        <v>-0.70998201438848918</v>
      </c>
      <c r="F69" s="73">
        <f t="shared" si="23"/>
        <v>7.8771695594125501E-2</v>
      </c>
      <c r="G69" s="73">
        <f t="shared" si="23"/>
        <v>-3.9509536784741145E-2</v>
      </c>
      <c r="H69" s="53">
        <f t="shared" si="23"/>
        <v>-0.13372158136409451</v>
      </c>
      <c r="I69" s="73">
        <f t="shared" ref="I69:L69" si="24">I31/I9</f>
        <v>0.14951989026063101</v>
      </c>
      <c r="J69" s="73">
        <f t="shared" si="24"/>
        <v>0.12482598607888631</v>
      </c>
      <c r="K69" s="73">
        <f t="shared" si="24"/>
        <v>1.1937557392102846E-2</v>
      </c>
      <c r="L69" s="73">
        <f t="shared" si="24"/>
        <v>7.8983204720835226E-2</v>
      </c>
      <c r="M69" s="53">
        <f>M31/M9</f>
        <v>9.1253009285796174E-2</v>
      </c>
    </row>
    <row r="70" spans="1:13" s="34" customFormat="1" ht="11.25" customHeight="1">
      <c r="A70" s="65" t="s">
        <v>10</v>
      </c>
      <c r="B70" s="53">
        <f t="shared" ref="B70:H70" si="25">B35/B9</f>
        <v>0.38951884768617834</v>
      </c>
      <c r="C70" s="53">
        <f t="shared" si="25"/>
        <v>0.17240639416371634</v>
      </c>
      <c r="D70" s="73">
        <f t="shared" si="25"/>
        <v>0.42996453900709219</v>
      </c>
      <c r="E70" s="73">
        <f t="shared" si="25"/>
        <v>0.16906474820143885</v>
      </c>
      <c r="F70" s="73">
        <f t="shared" si="25"/>
        <v>0.40987983978638182</v>
      </c>
      <c r="G70" s="73">
        <f t="shared" si="25"/>
        <v>0.22479564032697547</v>
      </c>
      <c r="H70" s="53">
        <f t="shared" si="25"/>
        <v>0.30932915220069435</v>
      </c>
      <c r="I70" s="73">
        <f t="shared" ref="I70:L70" si="26">I35/I9</f>
        <v>0.41609510745313216</v>
      </c>
      <c r="J70" s="73">
        <f t="shared" si="26"/>
        <v>0.45011600928074247</v>
      </c>
      <c r="K70" s="73">
        <f t="shared" si="26"/>
        <v>0.29981634527089074</v>
      </c>
      <c r="L70" s="73">
        <f t="shared" si="26"/>
        <v>0.3445301861098502</v>
      </c>
      <c r="M70" s="53">
        <f>M35/M9</f>
        <v>0.3773930987045741</v>
      </c>
    </row>
    <row r="71" spans="1:13" s="34" customFormat="1" ht="11.25" customHeight="1">
      <c r="A71" s="65" t="s">
        <v>18</v>
      </c>
      <c r="B71" s="53">
        <f>'Group CF'!B12/'Group P&amp;L'!B9</f>
        <v>0.15629788538155073</v>
      </c>
      <c r="C71" s="53">
        <f>'Group CF'!C12/'Group P&amp;L'!C9</f>
        <v>0.18528054929728571</v>
      </c>
      <c r="D71" s="73">
        <f>'Group CF'!D12/'Group P&amp;L'!D9</f>
        <v>0.16533687943262412</v>
      </c>
      <c r="E71" s="73">
        <f>'Group CF'!E12/'Group P&amp;L'!E9</f>
        <v>0.23606115107913669</v>
      </c>
      <c r="F71" s="73">
        <f>'Group CF'!F12/'Group P&amp;L'!F9</f>
        <v>0.14641744548286603</v>
      </c>
      <c r="G71" s="73">
        <f>'Group CF'!G12/'Group P&amp;L'!G9</f>
        <v>0.14713896457765668</v>
      </c>
      <c r="H71" s="53">
        <f>'Group CF'!H12/'Group P&amp;L'!H9</f>
        <v>0.17370366222421324</v>
      </c>
      <c r="I71" s="73">
        <f>'Group CF'!I12/'Group P&amp;L'!I9</f>
        <v>0.1545496113397348</v>
      </c>
      <c r="J71" s="73">
        <f>'Group CF'!J12/'Group P&amp;L'!J9</f>
        <v>0.16287703016241301</v>
      </c>
      <c r="K71" s="73">
        <f>'Group CF'!K12/'Group P&amp;L'!K9</f>
        <v>0.20293847566574838</v>
      </c>
      <c r="L71" s="73">
        <f>'Group CF'!L12/'Group P&amp;L'!L9</f>
        <v>0.16704493871992737</v>
      </c>
      <c r="M71" s="53">
        <f>'Group CF'!M12/'Group P&amp;L'!M9</f>
        <v>0.17184454889372922</v>
      </c>
    </row>
    <row r="72" spans="1:13" ht="3.6" customHeight="1">
      <c r="A72" s="42"/>
      <c r="B72" s="43"/>
      <c r="C72" s="43"/>
      <c r="D72" s="43"/>
      <c r="E72" s="43"/>
      <c r="F72" s="43"/>
      <c r="G72" s="43"/>
      <c r="H72" s="43"/>
      <c r="I72" s="43"/>
      <c r="J72" s="43"/>
      <c r="K72" s="43"/>
      <c r="L72" s="43"/>
      <c r="M72" s="43"/>
    </row>
  </sheetData>
  <customSheetViews>
    <customSheetView guid="{C6BBAF30-1E81-42FB-BA93-01B6813E2C8C}" showPageBreaks="1" printArea="1" view="pageBreakPreview" showRuler="0">
      <pane xSplit="1" ySplit="5" topLeftCell="B6" activePane="bottomRight" state="frozenSplit"/>
      <selection pane="bottomRight"/>
      <rowBreaks count="5" manualBreakCount="5">
        <brk id="69" max="14" man="1"/>
        <brk id="118" max="14" man="1"/>
        <brk id="162" max="14" man="1"/>
        <brk id="209" max="14" man="1"/>
        <brk id="254" max="14" man="1"/>
      </rowBreaks>
      <pageMargins left="0.7" right="0.7" top="0.75" bottom="0.75" header="0.3" footer="0.3"/>
      <printOptions horizontalCentered="1"/>
      <pageSetup paperSize="9" scale="58" fitToWidth="3" fitToHeight="5" orientation="landscape"/>
      <headerFooter alignWithMargins="0">
        <oddHeader>&amp;C&amp;12Bezeq - The Israel Telecommunication Corp. Ltd.</oddHeader>
        <oddFooter>&amp;L
&amp;R&amp;P of &amp;N
Key financial metrics</oddFooter>
      </headerFooter>
    </customSheetView>
    <customSheetView guid="{F07085DA-2B2D-4BE1-891D-F25D604A092E}" showPageBreaks="1" printArea="1" showRuler="0">
      <pane xSplit="1" ySplit="5" topLeftCell="H75" activePane="bottomRight" state="frozenSplit"/>
      <selection pane="bottomRight" activeCell="A77" sqref="A77"/>
      <rowBreaks count="6" manualBreakCount="6">
        <brk id="65" max="12" man="1"/>
        <brk id="112" max="12" man="1"/>
        <brk id="156" max="12" man="1"/>
        <brk id="200" max="12" man="1"/>
        <brk id="244" max="12" man="1"/>
        <brk id="288" max="16383"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6A44E415-E6EC-4CA2-8B4C-A374F00F0261}" showPageBreaks="1" printArea="1" showRuler="0">
      <pane xSplit="1" ySplit="5" topLeftCell="B6" activePane="bottomRight" state="frozenSplit"/>
      <selection pane="bottomRight" activeCell="B6" sqref="B6"/>
      <rowBreaks count="4" manualBreakCount="4">
        <brk id="61" max="19" man="1"/>
        <brk id="98" max="19" man="1"/>
        <brk id="139" max="19" man="1"/>
        <brk id="180" max="19"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32ED439-2914-4073-BFBF-7718D6CFE811}" showPageBreaks="1" showGridLines="0" printArea="1">
      <pane xSplit="1" ySplit="5" topLeftCell="J6" activePane="bottomRight" state="frozenSplit"/>
      <selection pane="bottomRight" activeCell="R1" sqref="R1"/>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44BC518B-F505-4956-BE42-792973965029}" showPageBreaks="1" showGridLines="0" printArea="1" showRuler="0">
      <pane xSplit="1" ySplit="5" topLeftCell="M185" activePane="bottomRight" state="frozenSplit"/>
      <selection pane="bottomRight" activeCell="T194" sqref="T194"/>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7DC6D345-C4C0-4162-8636-D495A245EBF8}" showPageBreaks="1" showGridLines="0" printArea="1" hiddenColumns="1">
      <pane xSplit="1" ySplit="4" topLeftCell="W29" activePane="bottomRight" state="frozenSplit"/>
      <selection pane="bottomRight" activeCell="AD53" sqref="AD53"/>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67DDFA58-7FF7-4BDB-BFFF-31DB4021D095}" showGridLines="0" hiddenColumns="1">
      <pane xSplit="1" ySplit="4" topLeftCell="Y182" activePane="bottomRight" state="frozenSplit"/>
      <selection pane="bottomRight" activeCell="AD147" sqref="AD147"/>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s>
  <phoneticPr fontId="4" type="noConversion"/>
  <pageMargins left="0.39370078740157483" right="0.39370078740157483" top="0.11811023622047245" bottom="0.11811023622047245" header="0.11811023622047245" footer="3.937007874015748E-2"/>
  <pageSetup paperSize="9" scale="67" orientation="landscape" r:id="rId1"/>
  <headerFooter alignWithMargins="0">
    <oddHeader>&amp;C&amp;12Bezeq - The Israel Telecommunication Corp. Ltd.</oddHeader>
    <oddFooter>&amp;L
&amp;R&amp;P of &amp;N
Group financial metrics</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M43"/>
  <sheetViews>
    <sheetView showGridLines="0" topLeftCell="A23" workbookViewId="0">
      <selection activeCell="I32" sqref="I32"/>
    </sheetView>
  </sheetViews>
  <sheetFormatPr defaultRowHeight="12.75"/>
  <cols>
    <col min="1" max="1" width="44" customWidth="1"/>
  </cols>
  <sheetData>
    <row r="1" spans="1:13">
      <c r="A1" s="29"/>
      <c r="B1" s="3"/>
      <c r="C1" s="3"/>
      <c r="D1" s="3"/>
      <c r="E1" s="3"/>
      <c r="F1" s="3"/>
      <c r="G1" s="3"/>
      <c r="H1" s="3"/>
      <c r="I1" s="3"/>
      <c r="J1" s="3"/>
      <c r="K1" s="3"/>
      <c r="L1" s="3"/>
      <c r="M1" s="3"/>
    </row>
    <row r="2" spans="1:13">
      <c r="A2" s="29"/>
      <c r="B2" s="3"/>
      <c r="C2" s="3"/>
      <c r="D2" s="3"/>
      <c r="E2" s="3"/>
      <c r="F2" s="3"/>
      <c r="G2" s="3"/>
      <c r="H2" s="3"/>
      <c r="I2" s="3"/>
      <c r="J2" s="3"/>
      <c r="K2" s="3"/>
      <c r="L2" s="3"/>
      <c r="M2" s="3"/>
    </row>
    <row r="3" spans="1:13">
      <c r="A3" s="30"/>
      <c r="B3" s="45" t="s">
        <v>5</v>
      </c>
      <c r="C3" s="45" t="s">
        <v>5</v>
      </c>
      <c r="D3" s="45" t="s">
        <v>74</v>
      </c>
      <c r="E3" s="45" t="s">
        <v>0</v>
      </c>
      <c r="F3" s="45" t="s">
        <v>1</v>
      </c>
      <c r="G3" s="45" t="s">
        <v>2</v>
      </c>
      <c r="H3" s="45" t="s">
        <v>5</v>
      </c>
      <c r="I3" s="45" t="s">
        <v>74</v>
      </c>
      <c r="J3" s="45" t="s">
        <v>0</v>
      </c>
      <c r="K3" s="45" t="s">
        <v>1</v>
      </c>
      <c r="L3" s="45" t="s">
        <v>2</v>
      </c>
      <c r="M3" s="45" t="s">
        <v>5</v>
      </c>
    </row>
    <row r="4" spans="1:13">
      <c r="A4" s="267" t="s">
        <v>311</v>
      </c>
      <c r="B4" s="45">
        <v>2017</v>
      </c>
      <c r="C4" s="45">
        <v>2018</v>
      </c>
      <c r="D4" s="45">
        <v>2019</v>
      </c>
      <c r="E4" s="45">
        <v>2019</v>
      </c>
      <c r="F4" s="45">
        <v>2019</v>
      </c>
      <c r="G4" s="45">
        <v>2019</v>
      </c>
      <c r="H4" s="45">
        <v>2019</v>
      </c>
      <c r="I4" s="45">
        <v>2020</v>
      </c>
      <c r="J4" s="45">
        <v>2020</v>
      </c>
      <c r="K4" s="45">
        <v>2020</v>
      </c>
      <c r="L4" s="45">
        <v>2020</v>
      </c>
      <c r="M4" s="45">
        <v>2020</v>
      </c>
    </row>
    <row r="5" spans="1:13" ht="6" customHeight="1">
      <c r="A5" s="42"/>
      <c r="B5" s="43"/>
      <c r="C5" s="43"/>
      <c r="D5" s="43"/>
      <c r="E5" s="43"/>
      <c r="F5" s="43"/>
      <c r="G5" s="43"/>
      <c r="H5" s="43"/>
      <c r="I5" s="43"/>
      <c r="J5" s="43"/>
      <c r="K5" s="43"/>
      <c r="L5" s="43"/>
      <c r="M5" s="43"/>
    </row>
    <row r="6" spans="1:13" ht="20.25">
      <c r="A6" s="33" t="s">
        <v>317</v>
      </c>
      <c r="B6" s="20"/>
      <c r="C6" s="20"/>
      <c r="D6" s="20"/>
      <c r="E6" s="20"/>
      <c r="F6" s="20"/>
      <c r="G6" s="20"/>
      <c r="H6" s="20"/>
      <c r="I6" s="20"/>
      <c r="J6" s="20"/>
      <c r="K6" s="20"/>
      <c r="L6" s="20"/>
      <c r="M6" s="20"/>
    </row>
    <row r="7" spans="1:13">
      <c r="A7" s="58"/>
      <c r="B7" s="58"/>
      <c r="C7" s="58"/>
      <c r="D7" s="58"/>
      <c r="E7" s="58"/>
      <c r="F7" s="58"/>
      <c r="G7" s="58"/>
      <c r="H7" s="58"/>
      <c r="I7" s="58"/>
      <c r="J7" s="58"/>
      <c r="K7" s="58"/>
      <c r="L7" s="58"/>
      <c r="M7" s="58"/>
    </row>
    <row r="8" spans="1:13" s="3" customFormat="1" ht="13.5" customHeight="1">
      <c r="A8" s="38" t="s">
        <v>24</v>
      </c>
      <c r="B8" s="39"/>
      <c r="C8" s="39"/>
      <c r="D8" s="47"/>
      <c r="E8" s="47"/>
      <c r="F8" s="47"/>
      <c r="G8" s="47"/>
      <c r="H8" s="39"/>
      <c r="I8" s="47"/>
      <c r="J8" s="47"/>
      <c r="K8" s="47"/>
      <c r="L8" s="47"/>
      <c r="M8" s="39"/>
    </row>
    <row r="9" spans="1:13" s="3" customFormat="1" ht="13.5" customHeight="1">
      <c r="A9" s="65" t="s">
        <v>52</v>
      </c>
      <c r="B9" s="35">
        <v>3525</v>
      </c>
      <c r="C9" s="35">
        <v>3512</v>
      </c>
      <c r="D9" s="66">
        <v>765</v>
      </c>
      <c r="E9" s="66">
        <v>624</v>
      </c>
      <c r="F9" s="66">
        <v>787</v>
      </c>
      <c r="G9" s="66">
        <f>H9-F9-E9-D9</f>
        <v>748</v>
      </c>
      <c r="H9" s="35">
        <v>2924</v>
      </c>
      <c r="I9" s="66">
        <v>879</v>
      </c>
      <c r="J9" s="66">
        <v>561</v>
      </c>
      <c r="K9" s="66">
        <v>830</v>
      </c>
      <c r="L9" s="66">
        <f>M9-K9-J9-I9</f>
        <v>950</v>
      </c>
      <c r="M9" s="35">
        <v>3220</v>
      </c>
    </row>
    <row r="10" spans="1:13" s="3" customFormat="1" ht="13.5" customHeight="1">
      <c r="A10" s="67" t="s">
        <v>7</v>
      </c>
      <c r="B10" s="23"/>
      <c r="C10" s="23"/>
      <c r="D10" s="68"/>
      <c r="E10" s="68">
        <f>E9/D9-1</f>
        <v>-0.18431372549019609</v>
      </c>
      <c r="F10" s="68">
        <f>F9/E9-1</f>
        <v>0.26121794871794868</v>
      </c>
      <c r="G10" s="68">
        <f>G9/F9-1</f>
        <v>-4.955527318932651E-2</v>
      </c>
      <c r="H10" s="23"/>
      <c r="I10" s="68">
        <f>I9/G9-1</f>
        <v>0.17513368983957212</v>
      </c>
      <c r="J10" s="68">
        <f>J9/I9-1</f>
        <v>-0.36177474402730381</v>
      </c>
      <c r="K10" s="68">
        <f>K9/J9-1</f>
        <v>0.47950089126559714</v>
      </c>
      <c r="L10" s="68">
        <f>L9/K9-1</f>
        <v>0.14457831325301207</v>
      </c>
      <c r="M10" s="23"/>
    </row>
    <row r="11" spans="1:13" s="3" customFormat="1" ht="13.5" customHeight="1">
      <c r="A11" s="67" t="s">
        <v>8</v>
      </c>
      <c r="B11" s="23"/>
      <c r="C11" s="23">
        <f>C9/B9-1</f>
        <v>-3.6879432624113972E-3</v>
      </c>
      <c r="D11" s="69"/>
      <c r="E11" s="69"/>
      <c r="F11" s="69"/>
      <c r="G11" s="69"/>
      <c r="H11" s="23">
        <f>H9/C9-1</f>
        <v>-0.16742596810933941</v>
      </c>
      <c r="I11" s="69">
        <f>I9/D9-1</f>
        <v>0.14901960784313717</v>
      </c>
      <c r="J11" s="69">
        <f>J9/E9-1</f>
        <v>-0.10096153846153844</v>
      </c>
      <c r="K11" s="69">
        <f>K9/F9-1</f>
        <v>5.4637865311308875E-2</v>
      </c>
      <c r="L11" s="69">
        <f t="shared" ref="L11:M11" si="0">L9/G9-1</f>
        <v>0.27005347593582885</v>
      </c>
      <c r="M11" s="23">
        <f t="shared" si="0"/>
        <v>0.10123119015047877</v>
      </c>
    </row>
    <row r="12" spans="1:13" s="3" customFormat="1" ht="13.5" customHeight="1">
      <c r="A12" s="65" t="s">
        <v>375</v>
      </c>
      <c r="B12" s="35">
        <f>1131+399</f>
        <v>1530</v>
      </c>
      <c r="C12" s="35">
        <f>1216+390+121</f>
        <v>1727</v>
      </c>
      <c r="D12" s="66">
        <f>270+103</f>
        <v>373</v>
      </c>
      <c r="E12" s="66">
        <f>281+95+149</f>
        <v>525</v>
      </c>
      <c r="F12" s="66">
        <f>300+104-75</f>
        <v>329</v>
      </c>
      <c r="G12" s="66">
        <f>H12-F12-E12-D12</f>
        <v>324</v>
      </c>
      <c r="H12" s="35">
        <f>1095+382+74</f>
        <v>1551</v>
      </c>
      <c r="I12" s="66">
        <f>244+94</f>
        <v>338</v>
      </c>
      <c r="J12" s="66">
        <f>238+113</f>
        <v>351</v>
      </c>
      <c r="K12" s="66">
        <f>342+100</f>
        <v>442</v>
      </c>
      <c r="L12" s="66">
        <f>M12-K12-J12-I12</f>
        <v>368</v>
      </c>
      <c r="M12" s="35">
        <f>1133+366</f>
        <v>1499</v>
      </c>
    </row>
    <row r="13" spans="1:13" s="3" customFormat="1" ht="13.5" customHeight="1">
      <c r="A13" s="67" t="s">
        <v>7</v>
      </c>
      <c r="B13" s="23"/>
      <c r="C13" s="23"/>
      <c r="D13" s="68"/>
      <c r="E13" s="68">
        <f>E12/D12-1</f>
        <v>0.40750670241286868</v>
      </c>
      <c r="F13" s="68">
        <f>F12/E12-1</f>
        <v>-0.37333333333333329</v>
      </c>
      <c r="G13" s="68">
        <f>G12/F12-1</f>
        <v>-1.5197568389057725E-2</v>
      </c>
      <c r="H13" s="23"/>
      <c r="I13" s="68">
        <f>I12/G12-1</f>
        <v>4.3209876543209846E-2</v>
      </c>
      <c r="J13" s="68">
        <f>J12/I12-1</f>
        <v>3.8461538461538547E-2</v>
      </c>
      <c r="K13" s="68">
        <f>K12/J12-1</f>
        <v>0.2592592592592593</v>
      </c>
      <c r="L13" s="68">
        <f>L12/K12-1</f>
        <v>-0.16742081447963797</v>
      </c>
      <c r="M13" s="23"/>
    </row>
    <row r="14" spans="1:13" s="3" customFormat="1" ht="13.5" customHeight="1">
      <c r="A14" s="67" t="s">
        <v>8</v>
      </c>
      <c r="B14" s="23"/>
      <c r="C14" s="23">
        <f>C12/B12-1</f>
        <v>0.12875816993464051</v>
      </c>
      <c r="D14" s="69"/>
      <c r="E14" s="69"/>
      <c r="F14" s="69"/>
      <c r="G14" s="69"/>
      <c r="H14" s="23">
        <f>H12/C12-1</f>
        <v>-0.10191082802547768</v>
      </c>
      <c r="I14" s="69">
        <f>I12/D12-1</f>
        <v>-9.383378016085786E-2</v>
      </c>
      <c r="J14" s="69">
        <f>J12/E12-1</f>
        <v>-0.33142857142857141</v>
      </c>
      <c r="K14" s="69">
        <f>K12/F12-1</f>
        <v>0.34346504559270508</v>
      </c>
      <c r="L14" s="69">
        <f t="shared" ref="L14:M14" si="1">L12/G12-1</f>
        <v>0.13580246913580241</v>
      </c>
      <c r="M14" s="23">
        <f t="shared" si="1"/>
        <v>-3.3526756931012258E-2</v>
      </c>
    </row>
    <row r="15" spans="1:13" s="3" customFormat="1" ht="13.5" customHeight="1">
      <c r="A15" s="65" t="s">
        <v>198</v>
      </c>
      <c r="B15" s="35">
        <v>98</v>
      </c>
      <c r="C15" s="35">
        <f>160+155-80</f>
        <v>235</v>
      </c>
      <c r="D15" s="66">
        <f>31+5+5</f>
        <v>41</v>
      </c>
      <c r="E15" s="66">
        <f>18+323</f>
        <v>341</v>
      </c>
      <c r="F15" s="66">
        <v>15</v>
      </c>
      <c r="G15" s="66">
        <f>H15-F15-E15-D15</f>
        <v>12</v>
      </c>
      <c r="H15" s="35">
        <f>76+328+5</f>
        <v>409</v>
      </c>
      <c r="I15" s="66">
        <v>8</v>
      </c>
      <c r="J15" s="66">
        <v>20</v>
      </c>
      <c r="K15" s="66">
        <v>3</v>
      </c>
      <c r="L15" s="66">
        <f>M15-K15-J15-I15</f>
        <v>117</v>
      </c>
      <c r="M15" s="35">
        <v>148</v>
      </c>
    </row>
    <row r="16" spans="1:13" s="3" customFormat="1" ht="13.5" customHeight="1">
      <c r="A16" s="67" t="s">
        <v>7</v>
      </c>
      <c r="B16" s="23"/>
      <c r="C16" s="23"/>
      <c r="D16" s="68"/>
      <c r="E16" s="68">
        <f>E15/D15-1</f>
        <v>7.3170731707317067</v>
      </c>
      <c r="F16" s="68">
        <f>F15/E15-1</f>
        <v>-0.95601173020527863</v>
      </c>
      <c r="G16" s="68">
        <f>G15/F15-1</f>
        <v>-0.19999999999999996</v>
      </c>
      <c r="H16" s="23"/>
      <c r="I16" s="68">
        <f>I15/G15-1</f>
        <v>-0.33333333333333337</v>
      </c>
      <c r="J16" s="68">
        <f>J15/I15-1</f>
        <v>1.5</v>
      </c>
      <c r="K16" s="68">
        <f>K15/J15-1</f>
        <v>-0.85</v>
      </c>
      <c r="L16" s="68">
        <f>L15/K15-1</f>
        <v>38</v>
      </c>
      <c r="M16" s="23"/>
    </row>
    <row r="17" spans="1:13" s="3" customFormat="1" ht="13.5" customHeight="1">
      <c r="A17" s="67" t="s">
        <v>8</v>
      </c>
      <c r="B17" s="23"/>
      <c r="C17" s="23">
        <f>C15/B15-1</f>
        <v>1.3979591836734695</v>
      </c>
      <c r="D17" s="69"/>
      <c r="E17" s="69"/>
      <c r="F17" s="69"/>
      <c r="G17" s="69"/>
      <c r="H17" s="23">
        <f>H15/C15-1</f>
        <v>0.74042553191489358</v>
      </c>
      <c r="I17" s="69">
        <f>I15/D15-1</f>
        <v>-0.80487804878048785</v>
      </c>
      <c r="J17" s="69">
        <f>J15/E15-1</f>
        <v>-0.94134897360703818</v>
      </c>
      <c r="K17" s="69">
        <f>K15/F15-1</f>
        <v>-0.8</v>
      </c>
      <c r="L17" s="69">
        <f t="shared" ref="L17:M17" si="2">L15/G15-1</f>
        <v>8.75</v>
      </c>
      <c r="M17" s="23">
        <f t="shared" si="2"/>
        <v>-0.63814180929095354</v>
      </c>
    </row>
    <row r="18" spans="1:13" s="3" customFormat="1" ht="13.5" customHeight="1">
      <c r="A18" s="65" t="s">
        <v>376</v>
      </c>
      <c r="B18" s="35">
        <f>B12-B15</f>
        <v>1432</v>
      </c>
      <c r="C18" s="35">
        <f>C12-C15</f>
        <v>1492</v>
      </c>
      <c r="D18" s="66">
        <f>D12-D15</f>
        <v>332</v>
      </c>
      <c r="E18" s="66">
        <f>E12-E15</f>
        <v>184</v>
      </c>
      <c r="F18" s="66">
        <f>F12-F15</f>
        <v>314</v>
      </c>
      <c r="G18" s="66">
        <f>H18-F18-E18-D18</f>
        <v>312</v>
      </c>
      <c r="H18" s="35">
        <f>H12-H15</f>
        <v>1142</v>
      </c>
      <c r="I18" s="66">
        <f>I12-I15</f>
        <v>330</v>
      </c>
      <c r="J18" s="66">
        <f>J12-J15</f>
        <v>331</v>
      </c>
      <c r="K18" s="66">
        <f>K12-K15</f>
        <v>439</v>
      </c>
      <c r="L18" s="66">
        <f>M18-K18-J18-I18</f>
        <v>251</v>
      </c>
      <c r="M18" s="35">
        <f>M12-M15</f>
        <v>1351</v>
      </c>
    </row>
    <row r="19" spans="1:13" s="3" customFormat="1" ht="13.5" customHeight="1">
      <c r="A19" s="67" t="s">
        <v>7</v>
      </c>
      <c r="B19" s="23"/>
      <c r="C19" s="23"/>
      <c r="D19" s="68"/>
      <c r="E19" s="68">
        <f>E18/D18-1</f>
        <v>-0.44578313253012047</v>
      </c>
      <c r="F19" s="68">
        <f>F18/E18-1</f>
        <v>0.70652173913043481</v>
      </c>
      <c r="G19" s="68">
        <f>G18/F18-1</f>
        <v>-6.3694267515923553E-3</v>
      </c>
      <c r="H19" s="23"/>
      <c r="I19" s="68">
        <f>I18/G18-1</f>
        <v>5.7692307692307709E-2</v>
      </c>
      <c r="J19" s="68">
        <f>J18/I18-1</f>
        <v>3.0303030303029388E-3</v>
      </c>
      <c r="K19" s="68">
        <f>K18/J18-1</f>
        <v>0.3262839879154078</v>
      </c>
      <c r="L19" s="68">
        <f>L18/K18-1</f>
        <v>-0.42824601366742598</v>
      </c>
      <c r="M19" s="23"/>
    </row>
    <row r="20" spans="1:13" s="3" customFormat="1" ht="13.5" customHeight="1">
      <c r="A20" s="67" t="s">
        <v>8</v>
      </c>
      <c r="B20" s="23"/>
      <c r="C20" s="23">
        <f>C18/B18-1</f>
        <v>4.1899441340782051E-2</v>
      </c>
      <c r="D20" s="69"/>
      <c r="E20" s="69"/>
      <c r="F20" s="69"/>
      <c r="G20" s="69"/>
      <c r="H20" s="23">
        <f>H18/C18-1</f>
        <v>-0.23458445040214482</v>
      </c>
      <c r="I20" s="69">
        <f>I18/D18-1</f>
        <v>-6.0240963855421326E-3</v>
      </c>
      <c r="J20" s="69">
        <f>J18/E18-1</f>
        <v>0.79891304347826098</v>
      </c>
      <c r="K20" s="69">
        <f>K18/F18-1</f>
        <v>0.39808917197452232</v>
      </c>
      <c r="L20" s="69">
        <f t="shared" ref="L20:M20" si="3">L18/G18-1</f>
        <v>-0.19551282051282048</v>
      </c>
      <c r="M20" s="23">
        <f t="shared" si="3"/>
        <v>0.1830122591943959</v>
      </c>
    </row>
    <row r="21" spans="1:13" s="3" customFormat="1" ht="13.5" customHeight="1">
      <c r="A21" s="65" t="s">
        <v>212</v>
      </c>
      <c r="B21" s="23"/>
      <c r="C21" s="35">
        <f>397+25</f>
        <v>422</v>
      </c>
      <c r="D21" s="66">
        <v>117</v>
      </c>
      <c r="E21" s="66">
        <v>90</v>
      </c>
      <c r="F21" s="66">
        <v>115</v>
      </c>
      <c r="G21" s="66">
        <f>H21-F21-E21-D21</f>
        <v>92</v>
      </c>
      <c r="H21" s="35">
        <v>414</v>
      </c>
      <c r="I21" s="137">
        <v>113</v>
      </c>
      <c r="J21" s="137">
        <v>86</v>
      </c>
      <c r="K21" s="137">
        <v>106</v>
      </c>
      <c r="L21" s="66">
        <f>M21-K21-J21-I21</f>
        <v>86</v>
      </c>
      <c r="M21" s="35">
        <v>391</v>
      </c>
    </row>
    <row r="22" spans="1:13" s="3" customFormat="1" ht="19.149999999999999" customHeight="1">
      <c r="A22" s="65" t="s">
        <v>42</v>
      </c>
      <c r="B22" s="35">
        <f>B9-B18</f>
        <v>2093</v>
      </c>
      <c r="C22" s="35">
        <f>C9-C18-C21</f>
        <v>1598</v>
      </c>
      <c r="D22" s="72">
        <f>D9-D18-D21</f>
        <v>316</v>
      </c>
      <c r="E22" s="72">
        <f>E9-E18-E21</f>
        <v>350</v>
      </c>
      <c r="F22" s="72">
        <f>F9-F18-F21</f>
        <v>358</v>
      </c>
      <c r="G22" s="66">
        <f>H22-F22-E22-D22</f>
        <v>344</v>
      </c>
      <c r="H22" s="35">
        <f>H9-H18-H21</f>
        <v>1368</v>
      </c>
      <c r="I22" s="72">
        <f>I9-I18-I21</f>
        <v>436</v>
      </c>
      <c r="J22" s="72">
        <f>J9-J18-J21</f>
        <v>144</v>
      </c>
      <c r="K22" s="72">
        <f>K9-K18-K21</f>
        <v>285</v>
      </c>
      <c r="L22" s="66">
        <f>M22-K22-J22-I22</f>
        <v>613</v>
      </c>
      <c r="M22" s="35">
        <f>M9-M18-M21</f>
        <v>1478</v>
      </c>
    </row>
    <row r="23" spans="1:13" s="3" customFormat="1" ht="13.5" customHeight="1">
      <c r="A23" s="67" t="s">
        <v>7</v>
      </c>
      <c r="B23" s="23"/>
      <c r="C23" s="23"/>
      <c r="D23" s="68"/>
      <c r="E23" s="68">
        <f>E22/D22-1</f>
        <v>0.10759493670886067</v>
      </c>
      <c r="F23" s="68">
        <f>F22/E22-1</f>
        <v>2.2857142857142909E-2</v>
      </c>
      <c r="G23" s="68">
        <f>G22/F22-1</f>
        <v>-3.9106145251396662E-2</v>
      </c>
      <c r="H23" s="23"/>
      <c r="I23" s="68">
        <f>I22/G22-1</f>
        <v>0.26744186046511631</v>
      </c>
      <c r="J23" s="68">
        <f>J22/I22-1</f>
        <v>-0.66972477064220182</v>
      </c>
      <c r="K23" s="68">
        <f>K22/J22-1</f>
        <v>0.97916666666666674</v>
      </c>
      <c r="L23" s="68">
        <f>L22/K22-1</f>
        <v>1.1508771929824562</v>
      </c>
      <c r="M23" s="23"/>
    </row>
    <row r="24" spans="1:13" s="3" customFormat="1" ht="13.5" customHeight="1">
      <c r="A24" s="67" t="s">
        <v>8</v>
      </c>
      <c r="B24" s="23"/>
      <c r="C24" s="23">
        <f>C22/B22-1</f>
        <v>-0.23650262780697562</v>
      </c>
      <c r="D24" s="69"/>
      <c r="E24" s="69"/>
      <c r="F24" s="69"/>
      <c r="G24" s="69"/>
      <c r="H24" s="23">
        <f>H22/C22-1</f>
        <v>-0.14392991239048814</v>
      </c>
      <c r="I24" s="69">
        <f>I22/D22-1</f>
        <v>0.379746835443038</v>
      </c>
      <c r="J24" s="69">
        <f>J22/E22-1</f>
        <v>-0.58857142857142852</v>
      </c>
      <c r="K24" s="69">
        <f>K22/F22-1</f>
        <v>-0.2039106145251397</v>
      </c>
      <c r="L24" s="69">
        <f t="shared" ref="L24:M24" si="4">L22/G22-1</f>
        <v>0.78197674418604657</v>
      </c>
      <c r="M24" s="23">
        <f t="shared" si="4"/>
        <v>8.0409356725146264E-2</v>
      </c>
    </row>
    <row r="25" spans="1:13" s="3" customFormat="1" ht="13.5" customHeight="1">
      <c r="A25" s="38" t="s">
        <v>197</v>
      </c>
      <c r="B25" s="39"/>
      <c r="C25" s="39"/>
      <c r="D25" s="47"/>
      <c r="E25" s="47"/>
      <c r="F25" s="47"/>
      <c r="G25" s="47"/>
      <c r="H25" s="39"/>
      <c r="I25" s="47"/>
      <c r="J25" s="47"/>
      <c r="K25" s="47"/>
      <c r="L25" s="47"/>
      <c r="M25" s="39"/>
    </row>
    <row r="26" spans="1:13" s="3" customFormat="1" ht="13.5" customHeight="1">
      <c r="A26" s="65" t="s">
        <v>139</v>
      </c>
      <c r="B26" s="161">
        <v>206</v>
      </c>
      <c r="C26" s="161">
        <v>269</v>
      </c>
      <c r="D26" s="142">
        <v>-18</v>
      </c>
      <c r="E26" s="142">
        <v>45</v>
      </c>
      <c r="F26" s="142">
        <v>20</v>
      </c>
      <c r="G26" s="66">
        <f>H26-F26-E26-D26</f>
        <v>56</v>
      </c>
      <c r="H26" s="161">
        <v>103</v>
      </c>
      <c r="I26" s="142">
        <v>-44</v>
      </c>
      <c r="J26" s="66">
        <v>0</v>
      </c>
      <c r="K26" s="142">
        <v>26</v>
      </c>
      <c r="L26" s="142">
        <f>M26-K26-J26-I26</f>
        <v>75</v>
      </c>
      <c r="M26" s="161">
        <v>57</v>
      </c>
    </row>
    <row r="27" spans="1:13" s="3" customFormat="1" ht="13.5" customHeight="1">
      <c r="A27"/>
      <c r="B27" s="62"/>
      <c r="C27" s="62"/>
      <c r="D27" s="66"/>
      <c r="E27" s="66"/>
      <c r="F27" s="66"/>
      <c r="G27" s="66"/>
      <c r="H27" s="62"/>
      <c r="I27" s="66"/>
      <c r="J27" s="66"/>
      <c r="K27" s="66"/>
      <c r="L27" s="66"/>
      <c r="M27" s="161"/>
    </row>
    <row r="28" spans="1:13" s="3" customFormat="1" ht="13.5" customHeight="1">
      <c r="A28" s="65" t="s">
        <v>140</v>
      </c>
      <c r="B28" s="161">
        <v>-35</v>
      </c>
      <c r="C28" s="161">
        <v>-5</v>
      </c>
      <c r="D28" s="142">
        <v>-9</v>
      </c>
      <c r="E28" s="66">
        <v>0</v>
      </c>
      <c r="F28" s="142">
        <v>4</v>
      </c>
      <c r="G28" s="142">
        <f>H28-F28-E28-D28</f>
        <v>-14</v>
      </c>
      <c r="H28" s="161">
        <v>-19</v>
      </c>
      <c r="I28" s="142">
        <v>-17</v>
      </c>
      <c r="J28" s="142">
        <v>-3</v>
      </c>
      <c r="K28" s="142">
        <v>10</v>
      </c>
      <c r="L28" s="142">
        <f>M28-K28-J28-I28</f>
        <v>23</v>
      </c>
      <c r="M28" s="161">
        <v>13</v>
      </c>
    </row>
    <row r="29" spans="1:13" s="3" customFormat="1" ht="13.5" customHeight="1">
      <c r="A29" s="67"/>
      <c r="B29" s="161"/>
      <c r="C29" s="161"/>
      <c r="D29" s="142"/>
      <c r="E29" s="142"/>
      <c r="F29" s="142"/>
      <c r="G29" s="142"/>
      <c r="H29" s="161"/>
      <c r="I29" s="142"/>
      <c r="J29" s="142"/>
      <c r="K29" s="142"/>
      <c r="L29" s="142"/>
      <c r="M29" s="161"/>
    </row>
    <row r="30" spans="1:13" s="3" customFormat="1" ht="13.5" customHeight="1">
      <c r="A30" s="65" t="s">
        <v>141</v>
      </c>
      <c r="B30" s="161">
        <v>9</v>
      </c>
      <c r="C30" s="161">
        <v>-132</v>
      </c>
      <c r="D30" s="142">
        <v>6</v>
      </c>
      <c r="E30" s="142">
        <v>-176</v>
      </c>
      <c r="F30" s="142">
        <v>50</v>
      </c>
      <c r="G30" s="66">
        <f>H30-F30-E30-D30</f>
        <v>43</v>
      </c>
      <c r="H30" s="161">
        <v>-77</v>
      </c>
      <c r="I30" s="142">
        <v>98</v>
      </c>
      <c r="J30" s="142">
        <v>-223</v>
      </c>
      <c r="K30" s="142">
        <v>34</v>
      </c>
      <c r="L30" s="142">
        <f>M30-K30-J30-I30</f>
        <v>108</v>
      </c>
      <c r="M30" s="161">
        <v>17</v>
      </c>
    </row>
    <row r="31" spans="1:13" s="3" customFormat="1" ht="13.5" customHeight="1">
      <c r="A31" s="67"/>
      <c r="B31" s="161"/>
      <c r="C31" s="161"/>
      <c r="D31" s="142"/>
      <c r="E31" s="142"/>
      <c r="F31" s="142"/>
      <c r="G31" s="142"/>
      <c r="H31" s="161"/>
      <c r="I31" s="142"/>
      <c r="J31" s="142"/>
      <c r="K31" s="142"/>
      <c r="L31" s="142"/>
      <c r="M31" s="161"/>
    </row>
    <row r="32" spans="1:13" s="3" customFormat="1" ht="15" customHeight="1">
      <c r="A32" s="65" t="s">
        <v>142</v>
      </c>
      <c r="B32" s="161">
        <v>15</v>
      </c>
      <c r="C32" s="161">
        <v>81</v>
      </c>
      <c r="D32" s="141">
        <v>-30</v>
      </c>
      <c r="E32" s="141">
        <v>3</v>
      </c>
      <c r="F32" s="141">
        <v>-5</v>
      </c>
      <c r="G32" s="142">
        <f>H32-F32-E32-D32</f>
        <v>-17</v>
      </c>
      <c r="H32" s="161">
        <v>-49</v>
      </c>
      <c r="I32" s="66">
        <v>0</v>
      </c>
      <c r="J32" s="141">
        <v>-3</v>
      </c>
      <c r="K32" s="141">
        <v>-8</v>
      </c>
      <c r="L32" s="142">
        <f>M32-K32-J32-I32</f>
        <v>3</v>
      </c>
      <c r="M32" s="161">
        <v>-8</v>
      </c>
    </row>
    <row r="33" spans="1:13" s="3" customFormat="1" ht="13.5" customHeight="1">
      <c r="A33" s="65"/>
      <c r="B33" s="161"/>
      <c r="C33" s="161"/>
      <c r="D33" s="142"/>
      <c r="E33" s="142"/>
      <c r="F33" s="142"/>
      <c r="G33" s="142"/>
      <c r="H33" s="161"/>
      <c r="I33" s="142"/>
      <c r="J33" s="142"/>
      <c r="K33" s="142"/>
      <c r="L33" s="142"/>
      <c r="M33" s="161"/>
    </row>
    <row r="34" spans="1:13" s="3" customFormat="1" ht="13.5" customHeight="1">
      <c r="A34" s="65" t="s">
        <v>143</v>
      </c>
      <c r="B34" s="161">
        <v>-33</v>
      </c>
      <c r="C34" s="161">
        <v>489</v>
      </c>
      <c r="D34" s="142">
        <v>-46</v>
      </c>
      <c r="E34" s="142">
        <v>-52</v>
      </c>
      <c r="F34" s="142">
        <v>-58</v>
      </c>
      <c r="G34" s="66">
        <f>H34-F34-E34-D34</f>
        <v>106</v>
      </c>
      <c r="H34" s="161">
        <v>-50</v>
      </c>
      <c r="I34" s="142">
        <v>-88</v>
      </c>
      <c r="J34" s="142">
        <v>-78</v>
      </c>
      <c r="K34" s="142">
        <v>-66</v>
      </c>
      <c r="L34" s="142">
        <f>M34-K34-J34-I34</f>
        <v>40</v>
      </c>
      <c r="M34" s="161">
        <v>-192</v>
      </c>
    </row>
    <row r="35" spans="1:13" s="3" customFormat="1" ht="12" customHeight="1">
      <c r="A35" s="65"/>
      <c r="B35" s="161"/>
      <c r="C35" s="161"/>
      <c r="D35" s="142"/>
      <c r="E35" s="142"/>
      <c r="F35" s="142"/>
      <c r="G35" s="142"/>
      <c r="H35" s="161"/>
      <c r="I35" s="142"/>
      <c r="J35" s="142"/>
      <c r="K35" s="142"/>
      <c r="L35" s="142"/>
      <c r="M35" s="161"/>
    </row>
    <row r="36" spans="1:13" s="3" customFormat="1" ht="18" customHeight="1">
      <c r="A36" s="84" t="s">
        <v>374</v>
      </c>
      <c r="B36" s="161">
        <v>-34</v>
      </c>
      <c r="C36" s="60">
        <v>0</v>
      </c>
      <c r="D36" s="142">
        <v>-12</v>
      </c>
      <c r="E36" s="142">
        <v>6</v>
      </c>
      <c r="F36" s="142">
        <v>-11</v>
      </c>
      <c r="G36" s="66">
        <f>H36-F36-E36-D36</f>
        <v>9</v>
      </c>
      <c r="H36" s="161">
        <v>-8</v>
      </c>
      <c r="I36" s="142">
        <v>-7</v>
      </c>
      <c r="J36" s="66">
        <v>0</v>
      </c>
      <c r="K36" s="142">
        <v>-5</v>
      </c>
      <c r="L36" s="142">
        <v>18</v>
      </c>
      <c r="M36" s="161">
        <v>-1</v>
      </c>
    </row>
    <row r="37" spans="1:13" s="3" customFormat="1" ht="13.5" customHeight="1">
      <c r="A37" s="162" t="s">
        <v>138</v>
      </c>
      <c r="B37" s="163">
        <f>SUM(B26:B36)</f>
        <v>128</v>
      </c>
      <c r="C37" s="163">
        <f>SUM(C26:C36)</f>
        <v>702</v>
      </c>
      <c r="D37" s="163">
        <f>SUM(D26:D36)</f>
        <v>-109</v>
      </c>
      <c r="E37" s="163">
        <f>SUM(E26:E36)</f>
        <v>-174</v>
      </c>
      <c r="F37" s="163">
        <f>SUM(F26:F36)</f>
        <v>0</v>
      </c>
      <c r="G37" s="163">
        <f>H37-F37-E37-D37</f>
        <v>183</v>
      </c>
      <c r="H37" s="163">
        <f>SUM(H26:H36)</f>
        <v>-100</v>
      </c>
      <c r="I37" s="163">
        <f>SUM(I26:I36)</f>
        <v>-58</v>
      </c>
      <c r="J37" s="163">
        <f>SUM(J26:J36)</f>
        <v>-307</v>
      </c>
      <c r="K37" s="163">
        <f>SUM(K26:K36)</f>
        <v>-9</v>
      </c>
      <c r="L37" s="163">
        <f>M37-I37-J37-K37</f>
        <v>260</v>
      </c>
      <c r="M37" s="163">
        <f>SUM(M26:M36)</f>
        <v>-114</v>
      </c>
    </row>
    <row r="38" spans="1:13" s="3" customFormat="1" ht="6.6" customHeight="1">
      <c r="A38" s="65"/>
      <c r="B38" s="161"/>
      <c r="C38" s="161"/>
      <c r="D38" s="142"/>
      <c r="E38" s="142"/>
      <c r="F38" s="142"/>
      <c r="G38" s="142"/>
      <c r="H38" s="161"/>
      <c r="I38" s="142"/>
      <c r="J38" s="142"/>
      <c r="K38" s="142"/>
      <c r="L38" s="142"/>
      <c r="M38" s="161"/>
    </row>
    <row r="39" spans="1:13" s="3" customFormat="1" ht="13.5" customHeight="1">
      <c r="A39" s="65" t="s">
        <v>144</v>
      </c>
      <c r="B39" s="161">
        <v>446</v>
      </c>
      <c r="C39" s="161">
        <v>467</v>
      </c>
      <c r="D39" s="142">
        <v>49</v>
      </c>
      <c r="E39" s="142">
        <v>104</v>
      </c>
      <c r="F39" s="142">
        <v>89</v>
      </c>
      <c r="G39" s="66">
        <f>H39-F39-E39-D39</f>
        <v>83</v>
      </c>
      <c r="H39" s="161">
        <v>325</v>
      </c>
      <c r="I39" s="66">
        <v>0</v>
      </c>
      <c r="J39" s="142">
        <v>86</v>
      </c>
      <c r="K39" s="142">
        <v>78</v>
      </c>
      <c r="L39" s="142">
        <f>M39-K39-J39-I39</f>
        <v>79</v>
      </c>
      <c r="M39" s="161">
        <v>243</v>
      </c>
    </row>
    <row r="40" spans="1:13" s="3" customFormat="1" ht="4.1500000000000004" customHeight="1">
      <c r="A40" s="65"/>
      <c r="B40" s="161"/>
      <c r="C40" s="161"/>
      <c r="D40" s="142"/>
      <c r="E40" s="142"/>
      <c r="F40" s="142"/>
      <c r="G40" s="142"/>
      <c r="H40" s="161"/>
      <c r="I40" s="142"/>
      <c r="J40" s="142"/>
      <c r="K40" s="142"/>
      <c r="L40" s="142"/>
      <c r="M40" s="161"/>
    </row>
    <row r="41" spans="1:13" s="3" customFormat="1" ht="11.45" customHeight="1">
      <c r="A41" s="65" t="s">
        <v>145</v>
      </c>
      <c r="B41" s="161">
        <v>415</v>
      </c>
      <c r="C41" s="161">
        <v>421</v>
      </c>
      <c r="D41" s="142">
        <v>5</v>
      </c>
      <c r="E41" s="142">
        <v>185</v>
      </c>
      <c r="F41" s="142">
        <v>21</v>
      </c>
      <c r="G41" s="66">
        <f>H41-F41-E41-D41</f>
        <v>181</v>
      </c>
      <c r="H41" s="161">
        <v>392</v>
      </c>
      <c r="I41" s="142">
        <v>5</v>
      </c>
      <c r="J41" s="142">
        <v>154</v>
      </c>
      <c r="K41" s="142">
        <v>5</v>
      </c>
      <c r="L41" s="142">
        <f>M41-K41-J41-I41</f>
        <v>150</v>
      </c>
      <c r="M41" s="161">
        <v>314</v>
      </c>
    </row>
    <row r="42" spans="1:13" s="3" customFormat="1" ht="14.45" customHeight="1">
      <c r="A42" s="74" t="s">
        <v>206</v>
      </c>
      <c r="B42" s="161">
        <f>B9-B37</f>
        <v>3397</v>
      </c>
      <c r="C42" s="161">
        <f>C9-C37</f>
        <v>2810</v>
      </c>
      <c r="D42" s="142">
        <f>D9-D37-D21</f>
        <v>757</v>
      </c>
      <c r="E42" s="142">
        <f>E9-E37-E21</f>
        <v>708</v>
      </c>
      <c r="F42" s="142">
        <f>F9-F37-F21</f>
        <v>672</v>
      </c>
      <c r="G42" s="66">
        <f>H42-F42-E42-D42</f>
        <v>887</v>
      </c>
      <c r="H42" s="161">
        <f>H9-H37</f>
        <v>3024</v>
      </c>
      <c r="I42" s="142">
        <f>I9-I37-I21</f>
        <v>824</v>
      </c>
      <c r="J42" s="142">
        <f>J9-J37-J21</f>
        <v>782</v>
      </c>
      <c r="K42" s="142">
        <f>K9-K37-K21</f>
        <v>733</v>
      </c>
      <c r="L42" s="142">
        <f>M42-K42-J42-I42</f>
        <v>995</v>
      </c>
      <c r="M42" s="161">
        <f>M9-M37</f>
        <v>3334</v>
      </c>
    </row>
    <row r="43" spans="1:13" s="3" customFormat="1" ht="4.5" customHeight="1">
      <c r="A43" s="42"/>
      <c r="B43" s="43"/>
      <c r="C43" s="43"/>
      <c r="D43" s="43"/>
      <c r="E43" s="43"/>
      <c r="F43" s="43"/>
      <c r="G43" s="43"/>
      <c r="H43" s="43"/>
      <c r="I43" s="43"/>
      <c r="J43" s="43"/>
      <c r="K43" s="43"/>
      <c r="L43" s="43"/>
      <c r="M43" s="43"/>
    </row>
  </sheetData>
  <pageMargins left="0.39370078740157483" right="0.39370078740157483" top="0.39370078740157483" bottom="0.74803149606299213" header="0.31496062992125984" footer="0.31496062992125984"/>
  <pageSetup paperSize="9" scale="90" orientation="landscape" horizontalDpi="0" verticalDpi="0" r:id="rId1"/>
  <headerFooter>
    <oddHeader>&amp;CBezeq - The Israel Telecommunication Corp. Ltd.</oddHeader>
    <oddFooter>&amp;R&amp;P of &amp;N
Group financial metrics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3:L51"/>
  <sheetViews>
    <sheetView showGridLines="0" topLeftCell="A4" workbookViewId="0">
      <pane xSplit="1" ySplit="7" topLeftCell="B32" activePane="bottomRight" state="frozen"/>
      <selection activeCell="M18" sqref="M18"/>
      <selection pane="topRight" activeCell="M18" sqref="M18"/>
      <selection pane="bottomLeft" activeCell="M18" sqref="M18"/>
      <selection pane="bottomRight" activeCell="M18" sqref="M18"/>
    </sheetView>
  </sheetViews>
  <sheetFormatPr defaultRowHeight="12.75"/>
  <cols>
    <col min="1" max="1" width="45.42578125" customWidth="1"/>
  </cols>
  <sheetData>
    <row r="3" spans="1:12">
      <c r="A3" s="29"/>
      <c r="B3" s="3"/>
      <c r="C3" s="3"/>
      <c r="D3" s="3"/>
      <c r="E3" s="3"/>
      <c r="F3" s="3"/>
      <c r="G3" s="3"/>
      <c r="H3" s="3"/>
      <c r="I3" s="3"/>
      <c r="J3" s="3"/>
      <c r="K3" s="3"/>
      <c r="L3" s="3"/>
    </row>
    <row r="4" spans="1:12">
      <c r="A4" s="29"/>
      <c r="B4" s="3"/>
      <c r="C4" s="3"/>
      <c r="D4" s="3"/>
      <c r="E4" s="3"/>
      <c r="F4" s="3"/>
      <c r="G4" s="3"/>
      <c r="H4" s="3"/>
      <c r="I4" s="3"/>
      <c r="J4" s="3"/>
      <c r="K4" s="3"/>
      <c r="L4" s="3"/>
    </row>
    <row r="5" spans="1:12">
      <c r="A5" s="30"/>
      <c r="B5" s="45" t="s">
        <v>5</v>
      </c>
      <c r="C5" s="45" t="s">
        <v>74</v>
      </c>
      <c r="D5" s="45" t="s">
        <v>0</v>
      </c>
      <c r="E5" s="45" t="s">
        <v>1</v>
      </c>
      <c r="F5" s="45" t="s">
        <v>2</v>
      </c>
      <c r="G5" s="45" t="s">
        <v>5</v>
      </c>
      <c r="H5" s="45" t="s">
        <v>74</v>
      </c>
      <c r="I5" s="45" t="s">
        <v>0</v>
      </c>
      <c r="J5" s="45" t="s">
        <v>1</v>
      </c>
      <c r="K5" s="45" t="s">
        <v>2</v>
      </c>
      <c r="L5" s="45" t="s">
        <v>5</v>
      </c>
    </row>
    <row r="6" spans="1:12">
      <c r="A6" s="267" t="s">
        <v>311</v>
      </c>
      <c r="B6" s="45">
        <v>2018</v>
      </c>
      <c r="C6" s="45">
        <v>2019</v>
      </c>
      <c r="D6" s="45">
        <v>2019</v>
      </c>
      <c r="E6" s="45">
        <v>2019</v>
      </c>
      <c r="F6" s="45">
        <v>2019</v>
      </c>
      <c r="G6" s="45">
        <v>2019</v>
      </c>
      <c r="H6" s="45">
        <v>2020</v>
      </c>
      <c r="I6" s="45">
        <v>2020</v>
      </c>
      <c r="J6" s="45">
        <v>2020</v>
      </c>
      <c r="K6" s="45">
        <v>2020</v>
      </c>
      <c r="L6" s="45">
        <v>2020</v>
      </c>
    </row>
    <row r="7" spans="1:12" ht="6.75" customHeight="1">
      <c r="A7" s="42"/>
      <c r="B7" s="43"/>
      <c r="C7" s="43"/>
      <c r="D7" s="43"/>
      <c r="E7" s="43"/>
      <c r="F7" s="43"/>
      <c r="G7" s="43"/>
      <c r="H7" s="43"/>
      <c r="I7" s="43"/>
      <c r="J7" s="43"/>
      <c r="K7" s="43"/>
      <c r="L7" s="43"/>
    </row>
    <row r="8" spans="1:12" ht="20.25">
      <c r="A8" s="33" t="s">
        <v>317</v>
      </c>
      <c r="B8" s="20"/>
      <c r="C8" s="20"/>
      <c r="D8" s="20"/>
      <c r="E8" s="20"/>
      <c r="F8" s="20"/>
      <c r="G8" s="20"/>
      <c r="H8" s="20"/>
      <c r="I8" s="20"/>
      <c r="J8" s="20"/>
      <c r="K8" s="20"/>
      <c r="L8" s="20"/>
    </row>
    <row r="9" spans="1:12">
      <c r="A9" s="58"/>
      <c r="B9" s="58"/>
      <c r="C9" s="58"/>
      <c r="D9" s="58"/>
      <c r="E9" s="58"/>
      <c r="F9" s="58"/>
      <c r="G9" s="58"/>
      <c r="H9" s="58"/>
      <c r="I9" s="58"/>
      <c r="J9" s="58"/>
      <c r="K9" s="58"/>
      <c r="L9" s="58"/>
    </row>
    <row r="10" spans="1:12">
      <c r="A10" s="38" t="s">
        <v>361</v>
      </c>
      <c r="B10" s="40"/>
      <c r="C10" s="40"/>
      <c r="D10" s="40"/>
      <c r="E10" s="40"/>
      <c r="F10" s="40"/>
      <c r="G10" s="40"/>
      <c r="H10" s="40"/>
      <c r="I10" s="40"/>
      <c r="J10" s="40"/>
      <c r="K10" s="40"/>
      <c r="L10" s="40"/>
    </row>
    <row r="11" spans="1:12">
      <c r="A11" s="65" t="s">
        <v>169</v>
      </c>
      <c r="B11" s="161">
        <v>890</v>
      </c>
      <c r="C11" s="142">
        <v>1265</v>
      </c>
      <c r="D11" s="142">
        <v>971</v>
      </c>
      <c r="E11" s="142">
        <v>639</v>
      </c>
      <c r="F11" s="142">
        <v>400</v>
      </c>
      <c r="G11" s="161">
        <v>400</v>
      </c>
      <c r="H11" s="142">
        <v>927</v>
      </c>
      <c r="I11" s="142">
        <v>708</v>
      </c>
      <c r="J11" s="142">
        <v>897</v>
      </c>
      <c r="K11" s="142">
        <f>L11</f>
        <v>840</v>
      </c>
      <c r="L11" s="161">
        <v>840</v>
      </c>
    </row>
    <row r="12" spans="1:12">
      <c r="A12" s="65" t="s">
        <v>170</v>
      </c>
      <c r="B12" s="161">
        <v>1404</v>
      </c>
      <c r="C12" s="142">
        <v>1347</v>
      </c>
      <c r="D12" s="142">
        <v>1944</v>
      </c>
      <c r="E12" s="142">
        <v>1750</v>
      </c>
      <c r="F12" s="142">
        <v>1195</v>
      </c>
      <c r="G12" s="161">
        <v>1195</v>
      </c>
      <c r="H12" s="142">
        <v>1114</v>
      </c>
      <c r="I12" s="142">
        <v>1221</v>
      </c>
      <c r="J12" s="142">
        <v>1306</v>
      </c>
      <c r="K12" s="142">
        <f t="shared" ref="K12:K14" si="0">L12</f>
        <v>724</v>
      </c>
      <c r="L12" s="161">
        <v>724</v>
      </c>
    </row>
    <row r="13" spans="1:12">
      <c r="A13" s="65" t="s">
        <v>171</v>
      </c>
      <c r="B13" s="161">
        <v>1775</v>
      </c>
      <c r="C13" s="142">
        <v>1752</v>
      </c>
      <c r="D13" s="142">
        <v>1737</v>
      </c>
      <c r="E13" s="142">
        <v>1727</v>
      </c>
      <c r="F13" s="142">
        <v>1677</v>
      </c>
      <c r="G13" s="161">
        <v>1677</v>
      </c>
      <c r="H13" s="142">
        <v>1674</v>
      </c>
      <c r="I13" s="142">
        <v>1698</v>
      </c>
      <c r="J13" s="142">
        <v>1692</v>
      </c>
      <c r="K13" s="142">
        <f t="shared" si="0"/>
        <v>1621</v>
      </c>
      <c r="L13" s="161">
        <v>1621</v>
      </c>
    </row>
    <row r="14" spans="1:12">
      <c r="A14" s="65" t="s">
        <v>172</v>
      </c>
      <c r="B14" s="161">
        <v>284</v>
      </c>
      <c r="C14" s="142">
        <v>298</v>
      </c>
      <c r="D14" s="142">
        <v>308</v>
      </c>
      <c r="E14" s="142">
        <v>341</v>
      </c>
      <c r="F14" s="142">
        <v>342</v>
      </c>
      <c r="G14" s="161">
        <v>342</v>
      </c>
      <c r="H14" s="142">
        <v>357</v>
      </c>
      <c r="I14" s="142">
        <v>340</v>
      </c>
      <c r="J14" s="142">
        <v>332</v>
      </c>
      <c r="K14" s="142">
        <f t="shared" si="0"/>
        <v>178</v>
      </c>
      <c r="L14" s="161">
        <v>178</v>
      </c>
    </row>
    <row r="15" spans="1:12">
      <c r="A15" s="65" t="s">
        <v>173</v>
      </c>
      <c r="B15" s="198" t="s">
        <v>120</v>
      </c>
      <c r="C15" s="141" t="s">
        <v>120</v>
      </c>
      <c r="D15" s="141" t="s">
        <v>120</v>
      </c>
      <c r="E15" s="141" t="s">
        <v>120</v>
      </c>
      <c r="F15" s="141" t="s">
        <v>120</v>
      </c>
      <c r="G15" s="198" t="s">
        <v>120</v>
      </c>
      <c r="H15" s="141" t="s">
        <v>120</v>
      </c>
      <c r="I15" s="141" t="s">
        <v>120</v>
      </c>
      <c r="J15" s="141" t="s">
        <v>120</v>
      </c>
      <c r="K15" s="141" t="s">
        <v>120</v>
      </c>
      <c r="L15" s="198" t="s">
        <v>120</v>
      </c>
    </row>
    <row r="16" spans="1:12">
      <c r="A16" s="65" t="s">
        <v>174</v>
      </c>
      <c r="B16" s="161">
        <v>97</v>
      </c>
      <c r="C16" s="142">
        <v>102</v>
      </c>
      <c r="D16" s="142">
        <v>100</v>
      </c>
      <c r="E16" s="142">
        <v>94</v>
      </c>
      <c r="F16" s="142">
        <v>96</v>
      </c>
      <c r="G16" s="161">
        <v>96</v>
      </c>
      <c r="H16" s="142">
        <v>109</v>
      </c>
      <c r="I16" s="142">
        <v>110</v>
      </c>
      <c r="J16" s="142">
        <v>96</v>
      </c>
      <c r="K16" s="142">
        <f t="shared" ref="K16" si="1">L16</f>
        <v>73</v>
      </c>
      <c r="L16" s="161">
        <v>73</v>
      </c>
    </row>
    <row r="17" spans="1:12">
      <c r="A17" s="65" t="s">
        <v>261</v>
      </c>
      <c r="B17" s="198" t="s">
        <v>120</v>
      </c>
      <c r="C17" s="141" t="s">
        <v>120</v>
      </c>
      <c r="D17" s="141" t="s">
        <v>120</v>
      </c>
      <c r="E17" s="141" t="s">
        <v>120</v>
      </c>
      <c r="F17" s="141">
        <v>43</v>
      </c>
      <c r="G17" s="198">
        <v>43</v>
      </c>
      <c r="H17" s="141">
        <v>45</v>
      </c>
      <c r="I17" s="141">
        <v>46</v>
      </c>
      <c r="J17" s="141">
        <v>46</v>
      </c>
      <c r="K17" s="141">
        <f>L17</f>
        <v>10</v>
      </c>
      <c r="L17" s="198">
        <v>10</v>
      </c>
    </row>
    <row r="18" spans="1:12">
      <c r="A18" s="38" t="s">
        <v>175</v>
      </c>
      <c r="B18" s="197">
        <f t="shared" ref="B18:E18" si="2">SUM(B11:B16)</f>
        <v>4450</v>
      </c>
      <c r="C18" s="197">
        <f t="shared" si="2"/>
        <v>4764</v>
      </c>
      <c r="D18" s="197">
        <f t="shared" si="2"/>
        <v>5060</v>
      </c>
      <c r="E18" s="197">
        <f t="shared" si="2"/>
        <v>4551</v>
      </c>
      <c r="F18" s="197">
        <f t="shared" ref="F18:J18" si="3">SUM(F11:F17)</f>
        <v>3753</v>
      </c>
      <c r="G18" s="197">
        <f t="shared" si="3"/>
        <v>3753</v>
      </c>
      <c r="H18" s="197">
        <f t="shared" si="3"/>
        <v>4226</v>
      </c>
      <c r="I18" s="197">
        <f t="shared" si="3"/>
        <v>4123</v>
      </c>
      <c r="J18" s="197">
        <f t="shared" si="3"/>
        <v>4369</v>
      </c>
      <c r="K18" s="197">
        <f>SUM(K11:K17)</f>
        <v>3446</v>
      </c>
      <c r="L18" s="197">
        <f>SUM(L11:L17)</f>
        <v>3446</v>
      </c>
    </row>
    <row r="19" spans="1:12">
      <c r="A19" s="65" t="s">
        <v>176</v>
      </c>
      <c r="B19" s="161">
        <v>470</v>
      </c>
      <c r="C19" s="142">
        <v>511</v>
      </c>
      <c r="D19" s="142">
        <v>535</v>
      </c>
      <c r="E19" s="142">
        <v>442</v>
      </c>
      <c r="F19" s="142">
        <v>477</v>
      </c>
      <c r="G19" s="161">
        <v>477</v>
      </c>
      <c r="H19" s="142">
        <v>476</v>
      </c>
      <c r="I19" s="142">
        <v>454</v>
      </c>
      <c r="J19" s="142">
        <v>525</v>
      </c>
      <c r="K19" s="142">
        <f>L19</f>
        <v>514</v>
      </c>
      <c r="L19" s="161">
        <v>514</v>
      </c>
    </row>
    <row r="20" spans="1:12">
      <c r="A20" s="65" t="s">
        <v>177</v>
      </c>
      <c r="B20" s="161">
        <v>60</v>
      </c>
      <c r="C20" s="142">
        <v>69</v>
      </c>
      <c r="D20" s="142">
        <v>59</v>
      </c>
      <c r="E20" s="142">
        <v>63</v>
      </c>
      <c r="F20" s="142">
        <v>59</v>
      </c>
      <c r="G20" s="161">
        <v>59</v>
      </c>
      <c r="H20" s="142">
        <v>65</v>
      </c>
      <c r="I20" s="142">
        <v>65</v>
      </c>
      <c r="J20" s="142">
        <v>67</v>
      </c>
      <c r="K20" s="142">
        <f t="shared" ref="K20:K25" si="4">L20</f>
        <v>67</v>
      </c>
      <c r="L20" s="161">
        <v>67</v>
      </c>
    </row>
    <row r="21" spans="1:12">
      <c r="A21" s="65" t="s">
        <v>210</v>
      </c>
      <c r="B21" s="161">
        <v>1504</v>
      </c>
      <c r="C21" s="142">
        <v>1444</v>
      </c>
      <c r="D21" s="142">
        <v>1394</v>
      </c>
      <c r="E21" s="142">
        <v>1361</v>
      </c>
      <c r="F21" s="142">
        <v>1308</v>
      </c>
      <c r="G21" s="161">
        <v>1308</v>
      </c>
      <c r="H21" s="142">
        <v>1394</v>
      </c>
      <c r="I21" s="142">
        <v>1329</v>
      </c>
      <c r="J21" s="142">
        <v>1276</v>
      </c>
      <c r="K21" s="142">
        <f t="shared" si="4"/>
        <v>1804</v>
      </c>
      <c r="L21" s="161">
        <v>1804</v>
      </c>
    </row>
    <row r="22" spans="1:12">
      <c r="A22" s="65" t="s">
        <v>178</v>
      </c>
      <c r="B22" s="161">
        <v>6214</v>
      </c>
      <c r="C22" s="142">
        <v>6215</v>
      </c>
      <c r="D22" s="142">
        <v>6245</v>
      </c>
      <c r="E22" s="142">
        <v>6217</v>
      </c>
      <c r="F22" s="142">
        <v>6039</v>
      </c>
      <c r="G22" s="161">
        <v>6039</v>
      </c>
      <c r="H22" s="142">
        <v>6072</v>
      </c>
      <c r="I22" s="142">
        <v>6076</v>
      </c>
      <c r="J22" s="142">
        <v>6069</v>
      </c>
      <c r="K22" s="142">
        <f t="shared" si="4"/>
        <v>6131</v>
      </c>
      <c r="L22" s="161">
        <v>6131</v>
      </c>
    </row>
    <row r="23" spans="1:12">
      <c r="A23" s="65" t="s">
        <v>179</v>
      </c>
      <c r="B23" s="161">
        <v>1919</v>
      </c>
      <c r="C23" s="142">
        <v>1923</v>
      </c>
      <c r="D23" s="142">
        <v>977</v>
      </c>
      <c r="E23" s="142">
        <v>968</v>
      </c>
      <c r="F23" s="142">
        <v>916</v>
      </c>
      <c r="G23" s="161">
        <v>916</v>
      </c>
      <c r="H23" s="142">
        <v>916</v>
      </c>
      <c r="I23" s="142">
        <v>935</v>
      </c>
      <c r="J23" s="142">
        <v>952</v>
      </c>
      <c r="K23" s="142">
        <f t="shared" si="4"/>
        <v>929</v>
      </c>
      <c r="L23" s="161">
        <v>929</v>
      </c>
    </row>
    <row r="24" spans="1:12">
      <c r="A24" s="65" t="s">
        <v>180</v>
      </c>
      <c r="B24" s="161">
        <v>1205</v>
      </c>
      <c r="C24" s="142">
        <v>1193</v>
      </c>
      <c r="D24" s="142">
        <v>12</v>
      </c>
      <c r="E24" s="142">
        <v>18</v>
      </c>
      <c r="F24" s="142">
        <v>81</v>
      </c>
      <c r="G24" s="161">
        <v>81</v>
      </c>
      <c r="H24" s="142">
        <v>61</v>
      </c>
      <c r="I24" s="142">
        <v>57</v>
      </c>
      <c r="J24" s="142">
        <v>53</v>
      </c>
      <c r="K24" s="142">
        <f t="shared" si="4"/>
        <v>108</v>
      </c>
      <c r="L24" s="161">
        <v>108</v>
      </c>
    </row>
    <row r="25" spans="1:12">
      <c r="A25" s="65" t="s">
        <v>181</v>
      </c>
      <c r="B25" s="161">
        <v>468</v>
      </c>
      <c r="C25" s="142">
        <v>472</v>
      </c>
      <c r="D25" s="142">
        <v>474</v>
      </c>
      <c r="E25" s="142">
        <v>477</v>
      </c>
      <c r="F25" s="142">
        <v>358</v>
      </c>
      <c r="G25" s="161">
        <v>358</v>
      </c>
      <c r="H25" s="142">
        <v>364</v>
      </c>
      <c r="I25" s="142">
        <v>361</v>
      </c>
      <c r="J25" s="142">
        <v>233</v>
      </c>
      <c r="K25" s="142">
        <f t="shared" si="4"/>
        <v>242</v>
      </c>
      <c r="L25" s="161">
        <v>242</v>
      </c>
    </row>
    <row r="26" spans="1:12">
      <c r="A26" s="65" t="s">
        <v>215</v>
      </c>
      <c r="B26" s="161">
        <v>58</v>
      </c>
      <c r="C26" s="142">
        <v>58</v>
      </c>
      <c r="D26" s="141" t="s">
        <v>120</v>
      </c>
      <c r="E26" s="141" t="s">
        <v>120</v>
      </c>
      <c r="F26" s="141" t="s">
        <v>120</v>
      </c>
      <c r="G26" s="198" t="s">
        <v>120</v>
      </c>
      <c r="H26" s="141" t="s">
        <v>120</v>
      </c>
      <c r="I26" s="141" t="s">
        <v>120</v>
      </c>
      <c r="J26" s="141" t="s">
        <v>120</v>
      </c>
      <c r="K26" s="141" t="s">
        <v>120</v>
      </c>
      <c r="L26" s="198" t="s">
        <v>120</v>
      </c>
    </row>
    <row r="27" spans="1:12">
      <c r="A27" s="38" t="s">
        <v>182</v>
      </c>
      <c r="B27" s="197">
        <f>SUM(B19:B26)</f>
        <v>11898</v>
      </c>
      <c r="C27" s="197">
        <f t="shared" ref="C27:E27" si="5">SUM(C19:C26)</f>
        <v>11885</v>
      </c>
      <c r="D27" s="197">
        <f t="shared" si="5"/>
        <v>9696</v>
      </c>
      <c r="E27" s="197">
        <f t="shared" si="5"/>
        <v>9546</v>
      </c>
      <c r="F27" s="197">
        <f>SUM(F19:F26)</f>
        <v>9238</v>
      </c>
      <c r="G27" s="197">
        <f>SUM(G19:G26)</f>
        <v>9238</v>
      </c>
      <c r="H27" s="197">
        <f t="shared" ref="H27:J27" si="6">SUM(H19:H26)</f>
        <v>9348</v>
      </c>
      <c r="I27" s="197">
        <f t="shared" si="6"/>
        <v>9277</v>
      </c>
      <c r="J27" s="197">
        <f t="shared" si="6"/>
        <v>9175</v>
      </c>
      <c r="K27" s="197">
        <f>SUM(K19:K26)</f>
        <v>9795</v>
      </c>
      <c r="L27" s="197">
        <f>SUM(L19:L26)</f>
        <v>9795</v>
      </c>
    </row>
    <row r="28" spans="1:12">
      <c r="A28" s="38" t="s">
        <v>183</v>
      </c>
      <c r="B28" s="197">
        <f>B27+B18</f>
        <v>16348</v>
      </c>
      <c r="C28" s="197">
        <f t="shared" ref="C28:E28" si="7">C27+C18</f>
        <v>16649</v>
      </c>
      <c r="D28" s="197">
        <f t="shared" si="7"/>
        <v>14756</v>
      </c>
      <c r="E28" s="197">
        <f t="shared" si="7"/>
        <v>14097</v>
      </c>
      <c r="F28" s="197">
        <f>F27+F18</f>
        <v>12991</v>
      </c>
      <c r="G28" s="197">
        <f>G27+G18</f>
        <v>12991</v>
      </c>
      <c r="H28" s="197">
        <f t="shared" ref="H28:J28" si="8">H27+H18</f>
        <v>13574</v>
      </c>
      <c r="I28" s="197">
        <f t="shared" si="8"/>
        <v>13400</v>
      </c>
      <c r="J28" s="197">
        <f t="shared" si="8"/>
        <v>13544</v>
      </c>
      <c r="K28" s="197">
        <f>K27+K18</f>
        <v>13241</v>
      </c>
      <c r="L28" s="197">
        <f>L27+L18</f>
        <v>13241</v>
      </c>
    </row>
    <row r="29" spans="1:12">
      <c r="A29" s="65" t="s">
        <v>184</v>
      </c>
      <c r="B29" s="161">
        <v>1542</v>
      </c>
      <c r="C29" s="142">
        <v>1538</v>
      </c>
      <c r="D29" s="142">
        <v>1625</v>
      </c>
      <c r="E29" s="142">
        <v>1126</v>
      </c>
      <c r="F29" s="142">
        <v>1007</v>
      </c>
      <c r="G29" s="161">
        <v>1007</v>
      </c>
      <c r="H29" s="142">
        <v>1002</v>
      </c>
      <c r="I29" s="142">
        <v>955</v>
      </c>
      <c r="J29" s="142">
        <v>957</v>
      </c>
      <c r="K29" s="142">
        <f>L29</f>
        <v>786</v>
      </c>
      <c r="L29" s="161">
        <v>786</v>
      </c>
    </row>
    <row r="30" spans="1:12">
      <c r="A30" s="65" t="s">
        <v>209</v>
      </c>
      <c r="B30" s="161">
        <v>445</v>
      </c>
      <c r="C30" s="142">
        <v>422</v>
      </c>
      <c r="D30" s="142">
        <v>434</v>
      </c>
      <c r="E30" s="142">
        <v>427</v>
      </c>
      <c r="F30" s="142">
        <v>416</v>
      </c>
      <c r="G30" s="161">
        <v>416</v>
      </c>
      <c r="H30" s="142">
        <v>415</v>
      </c>
      <c r="I30" s="142">
        <v>399</v>
      </c>
      <c r="J30" s="142">
        <v>387</v>
      </c>
      <c r="K30" s="142">
        <f t="shared" ref="K30:K32" si="9">L30</f>
        <v>415</v>
      </c>
      <c r="L30" s="161">
        <v>415</v>
      </c>
    </row>
    <row r="31" spans="1:12">
      <c r="A31" s="65" t="s">
        <v>185</v>
      </c>
      <c r="B31" s="161">
        <v>1855</v>
      </c>
      <c r="C31" s="142">
        <v>2010</v>
      </c>
      <c r="D31" s="142">
        <v>1600</v>
      </c>
      <c r="E31" s="142">
        <v>1681</v>
      </c>
      <c r="F31" s="142">
        <v>1614</v>
      </c>
      <c r="G31" s="161">
        <v>1614</v>
      </c>
      <c r="H31" s="142">
        <v>1834</v>
      </c>
      <c r="I31" s="142">
        <v>1580</v>
      </c>
      <c r="J31" s="142">
        <v>1669</v>
      </c>
      <c r="K31" s="142">
        <f t="shared" si="9"/>
        <v>1759</v>
      </c>
      <c r="L31" s="161">
        <v>1759</v>
      </c>
    </row>
    <row r="32" spans="1:12">
      <c r="A32" s="65" t="s">
        <v>186</v>
      </c>
      <c r="B32" s="198" t="s">
        <v>120</v>
      </c>
      <c r="C32" s="142">
        <v>10</v>
      </c>
      <c r="D32" s="142">
        <v>20</v>
      </c>
      <c r="E32" s="142">
        <v>15</v>
      </c>
      <c r="F32" s="141" t="s">
        <v>120</v>
      </c>
      <c r="G32" s="198" t="s">
        <v>120</v>
      </c>
      <c r="H32" s="142">
        <v>51</v>
      </c>
      <c r="I32" s="142">
        <v>46</v>
      </c>
      <c r="J32" s="142">
        <v>46</v>
      </c>
      <c r="K32" s="141" t="str">
        <f t="shared" si="9"/>
        <v>-</v>
      </c>
      <c r="L32" s="198" t="s">
        <v>120</v>
      </c>
    </row>
    <row r="33" spans="1:12">
      <c r="A33" s="65" t="s">
        <v>187</v>
      </c>
      <c r="B33" s="198" t="s">
        <v>120</v>
      </c>
      <c r="C33" s="141" t="s">
        <v>120</v>
      </c>
      <c r="D33" s="141" t="s">
        <v>120</v>
      </c>
      <c r="E33" s="141" t="s">
        <v>120</v>
      </c>
      <c r="F33" s="141" t="s">
        <v>120</v>
      </c>
      <c r="G33" s="198" t="s">
        <v>120</v>
      </c>
      <c r="H33" s="66">
        <v>0</v>
      </c>
      <c r="I33" s="141" t="s">
        <v>120</v>
      </c>
      <c r="J33" s="141" t="s">
        <v>120</v>
      </c>
      <c r="K33" s="141" t="s">
        <v>120</v>
      </c>
      <c r="L33" s="198" t="s">
        <v>120</v>
      </c>
    </row>
    <row r="34" spans="1:12">
      <c r="A34" s="65" t="s">
        <v>188</v>
      </c>
      <c r="B34" s="161">
        <v>581</v>
      </c>
      <c r="C34" s="142">
        <v>500</v>
      </c>
      <c r="D34" s="142">
        <v>443</v>
      </c>
      <c r="E34" s="142">
        <v>365</v>
      </c>
      <c r="F34" s="142">
        <v>654</v>
      </c>
      <c r="G34" s="161">
        <v>654</v>
      </c>
      <c r="H34" s="142">
        <v>587</v>
      </c>
      <c r="I34" s="142">
        <v>486</v>
      </c>
      <c r="J34" s="142">
        <v>441</v>
      </c>
      <c r="K34" s="142">
        <f t="shared" ref="K34:K35" si="10">L34</f>
        <v>482</v>
      </c>
      <c r="L34" s="161">
        <v>482</v>
      </c>
    </row>
    <row r="35" spans="1:12">
      <c r="A35" s="65" t="s">
        <v>189</v>
      </c>
      <c r="B35" s="161">
        <v>175</v>
      </c>
      <c r="C35" s="142">
        <v>145</v>
      </c>
      <c r="D35" s="142">
        <v>148</v>
      </c>
      <c r="E35" s="142">
        <v>143</v>
      </c>
      <c r="F35" s="142">
        <v>125</v>
      </c>
      <c r="G35" s="161">
        <v>125</v>
      </c>
      <c r="H35" s="142">
        <v>125</v>
      </c>
      <c r="I35" s="142">
        <v>122</v>
      </c>
      <c r="J35" s="142">
        <v>113</v>
      </c>
      <c r="K35" s="142">
        <f t="shared" si="10"/>
        <v>117</v>
      </c>
      <c r="L35" s="161">
        <v>117</v>
      </c>
    </row>
    <row r="36" spans="1:12">
      <c r="A36" s="65" t="s">
        <v>190</v>
      </c>
      <c r="B36" s="198" t="s">
        <v>120</v>
      </c>
      <c r="C36" s="141" t="s">
        <v>120</v>
      </c>
      <c r="D36" s="141" t="s">
        <v>120</v>
      </c>
      <c r="E36" s="141" t="s">
        <v>120</v>
      </c>
      <c r="F36" s="141" t="s">
        <v>120</v>
      </c>
      <c r="G36" s="198" t="s">
        <v>120</v>
      </c>
      <c r="H36" s="66">
        <v>0</v>
      </c>
      <c r="I36" s="141" t="s">
        <v>120</v>
      </c>
      <c r="J36" s="141" t="s">
        <v>120</v>
      </c>
      <c r="K36" s="141" t="s">
        <v>120</v>
      </c>
      <c r="L36" s="198" t="s">
        <v>120</v>
      </c>
    </row>
    <row r="37" spans="1:12">
      <c r="A37" s="38" t="s">
        <v>191</v>
      </c>
      <c r="B37" s="197">
        <f t="shared" ref="B37:E37" si="11">SUM(B29:B36)</f>
        <v>4598</v>
      </c>
      <c r="C37" s="197">
        <f t="shared" si="11"/>
        <v>4625</v>
      </c>
      <c r="D37" s="197">
        <f t="shared" si="11"/>
        <v>4270</v>
      </c>
      <c r="E37" s="197">
        <f t="shared" si="11"/>
        <v>3757</v>
      </c>
      <c r="F37" s="197">
        <f>SUM(F29:F36)</f>
        <v>3816</v>
      </c>
      <c r="G37" s="197">
        <f>SUM(G29:G36)</f>
        <v>3816</v>
      </c>
      <c r="H37" s="197">
        <f>SUM(H29:H36)</f>
        <v>4014</v>
      </c>
      <c r="I37" s="197">
        <f>SUM(I29:I36)</f>
        <v>3588</v>
      </c>
      <c r="J37" s="197">
        <f>SUM(J29:J36)</f>
        <v>3613</v>
      </c>
      <c r="K37" s="197">
        <f t="shared" ref="K37:L37" si="12">SUM(K29:K36)</f>
        <v>3559</v>
      </c>
      <c r="L37" s="197">
        <f t="shared" si="12"/>
        <v>3559</v>
      </c>
    </row>
    <row r="38" spans="1:12">
      <c r="A38" s="65" t="s">
        <v>194</v>
      </c>
      <c r="B38" s="161">
        <v>9637</v>
      </c>
      <c r="C38" s="142">
        <v>9618</v>
      </c>
      <c r="D38" s="142">
        <v>9709</v>
      </c>
      <c r="E38" s="142">
        <v>9393</v>
      </c>
      <c r="F38" s="142">
        <v>8551</v>
      </c>
      <c r="G38" s="161">
        <v>8551</v>
      </c>
      <c r="H38" s="142">
        <v>8535</v>
      </c>
      <c r="I38" s="142">
        <v>8517</v>
      </c>
      <c r="J38" s="142">
        <v>8507</v>
      </c>
      <c r="K38" s="142">
        <f>L38</f>
        <v>7614</v>
      </c>
      <c r="L38" s="161">
        <v>7614</v>
      </c>
    </row>
    <row r="39" spans="1:12">
      <c r="A39" s="65" t="s">
        <v>209</v>
      </c>
      <c r="B39" s="161">
        <v>1106</v>
      </c>
      <c r="C39" s="142">
        <v>1061</v>
      </c>
      <c r="D39" s="142">
        <v>1022</v>
      </c>
      <c r="E39" s="142">
        <v>989</v>
      </c>
      <c r="F39" s="142">
        <v>969</v>
      </c>
      <c r="G39" s="161">
        <v>969</v>
      </c>
      <c r="H39" s="142">
        <v>1049</v>
      </c>
      <c r="I39" s="142">
        <v>1017</v>
      </c>
      <c r="J39" s="142">
        <v>971</v>
      </c>
      <c r="K39" s="142">
        <f t="shared" ref="K39:K43" si="13">L39</f>
        <v>1492</v>
      </c>
      <c r="L39" s="161">
        <v>1492</v>
      </c>
    </row>
    <row r="40" spans="1:12">
      <c r="A40" s="65" t="s">
        <v>188</v>
      </c>
      <c r="B40" s="161">
        <v>445</v>
      </c>
      <c r="C40" s="142">
        <v>482</v>
      </c>
      <c r="D40" s="142">
        <v>487</v>
      </c>
      <c r="E40" s="142">
        <v>539</v>
      </c>
      <c r="F40" s="142">
        <v>356</v>
      </c>
      <c r="G40" s="161">
        <v>356</v>
      </c>
      <c r="H40" s="142">
        <v>314</v>
      </c>
      <c r="I40" s="142">
        <v>344</v>
      </c>
      <c r="J40" s="142">
        <v>334</v>
      </c>
      <c r="K40" s="142">
        <f t="shared" si="13"/>
        <v>335</v>
      </c>
      <c r="L40" s="161">
        <v>335</v>
      </c>
    </row>
    <row r="41" spans="1:12">
      <c r="A41" s="65" t="s">
        <v>195</v>
      </c>
      <c r="B41" s="161">
        <v>174</v>
      </c>
      <c r="C41" s="142">
        <v>168</v>
      </c>
      <c r="D41" s="142">
        <v>163</v>
      </c>
      <c r="E41" s="142">
        <v>178</v>
      </c>
      <c r="F41" s="142">
        <v>139</v>
      </c>
      <c r="G41" s="161">
        <v>139</v>
      </c>
      <c r="H41" s="142">
        <v>163</v>
      </c>
      <c r="I41" s="142">
        <v>176</v>
      </c>
      <c r="J41" s="142">
        <v>342</v>
      </c>
      <c r="K41" s="142">
        <f t="shared" si="13"/>
        <v>307</v>
      </c>
      <c r="L41" s="161">
        <v>307</v>
      </c>
    </row>
    <row r="42" spans="1:12">
      <c r="A42" s="65" t="s">
        <v>196</v>
      </c>
      <c r="B42" s="161">
        <v>56</v>
      </c>
      <c r="C42" s="142">
        <v>54</v>
      </c>
      <c r="D42" s="142">
        <v>53</v>
      </c>
      <c r="E42" s="142">
        <v>50</v>
      </c>
      <c r="F42" s="142">
        <v>43</v>
      </c>
      <c r="G42" s="161">
        <v>43</v>
      </c>
      <c r="H42" s="142">
        <v>46</v>
      </c>
      <c r="I42" s="142">
        <v>46</v>
      </c>
      <c r="J42" s="142">
        <v>48</v>
      </c>
      <c r="K42" s="142">
        <f t="shared" si="13"/>
        <v>32</v>
      </c>
      <c r="L42" s="161">
        <v>32</v>
      </c>
    </row>
    <row r="43" spans="1:12">
      <c r="A43" s="65" t="s">
        <v>189</v>
      </c>
      <c r="B43" s="161">
        <v>38</v>
      </c>
      <c r="C43" s="142">
        <v>39</v>
      </c>
      <c r="D43" s="142">
        <v>39</v>
      </c>
      <c r="E43" s="142">
        <v>39</v>
      </c>
      <c r="F43" s="142">
        <v>49</v>
      </c>
      <c r="G43" s="161">
        <v>49</v>
      </c>
      <c r="H43" s="142">
        <v>50</v>
      </c>
      <c r="I43" s="142">
        <v>50</v>
      </c>
      <c r="J43" s="142">
        <v>54</v>
      </c>
      <c r="K43" s="142">
        <f t="shared" si="13"/>
        <v>52</v>
      </c>
      <c r="L43" s="161">
        <v>52</v>
      </c>
    </row>
    <row r="44" spans="1:12">
      <c r="A44" s="38" t="s">
        <v>192</v>
      </c>
      <c r="B44" s="197">
        <f>SUM(B38:B43)</f>
        <v>11456</v>
      </c>
      <c r="C44" s="197">
        <f t="shared" ref="C44:E44" si="14">SUM(C38:C43)</f>
        <v>11422</v>
      </c>
      <c r="D44" s="197">
        <f t="shared" si="14"/>
        <v>11473</v>
      </c>
      <c r="E44" s="197">
        <f t="shared" si="14"/>
        <v>11188</v>
      </c>
      <c r="F44" s="197">
        <f>SUM(F38:F43)</f>
        <v>10107</v>
      </c>
      <c r="G44" s="197">
        <f>SUM(G38:G43)</f>
        <v>10107</v>
      </c>
      <c r="H44" s="197">
        <f t="shared" ref="H44:J44" si="15">SUM(H38:H43)</f>
        <v>10157</v>
      </c>
      <c r="I44" s="197">
        <f t="shared" si="15"/>
        <v>10150</v>
      </c>
      <c r="J44" s="197">
        <f t="shared" si="15"/>
        <v>10256</v>
      </c>
      <c r="K44" s="197">
        <f>SUM(K38:K43)</f>
        <v>9832</v>
      </c>
      <c r="L44" s="197">
        <f>SUM(L38:L43)</f>
        <v>9832</v>
      </c>
    </row>
    <row r="45" spans="1:12">
      <c r="A45" s="38" t="s">
        <v>193</v>
      </c>
      <c r="B45" s="197">
        <v>294</v>
      </c>
      <c r="C45" s="197">
        <f t="shared" ref="C45:L45" si="16">C28-C37-C44</f>
        <v>602</v>
      </c>
      <c r="D45" s="197">
        <f t="shared" si="16"/>
        <v>-987</v>
      </c>
      <c r="E45" s="197">
        <f t="shared" si="16"/>
        <v>-848</v>
      </c>
      <c r="F45" s="197">
        <f t="shared" si="16"/>
        <v>-932</v>
      </c>
      <c r="G45" s="197">
        <f t="shared" si="16"/>
        <v>-932</v>
      </c>
      <c r="H45" s="197">
        <f t="shared" si="16"/>
        <v>-597</v>
      </c>
      <c r="I45" s="197">
        <f t="shared" si="16"/>
        <v>-338</v>
      </c>
      <c r="J45" s="197">
        <f t="shared" si="16"/>
        <v>-325</v>
      </c>
      <c r="K45" s="197">
        <f t="shared" si="16"/>
        <v>-150</v>
      </c>
      <c r="L45" s="197">
        <f t="shared" si="16"/>
        <v>-150</v>
      </c>
    </row>
    <row r="46" spans="1:12">
      <c r="B46" s="199"/>
      <c r="G46" s="199"/>
      <c r="L46" s="199"/>
    </row>
    <row r="47" spans="1:12">
      <c r="A47" s="65" t="s">
        <v>236</v>
      </c>
      <c r="B47" s="62">
        <f t="shared" ref="B47:E47" si="17">B29+B38</f>
        <v>11179</v>
      </c>
      <c r="C47" s="137">
        <f t="shared" si="17"/>
        <v>11156</v>
      </c>
      <c r="D47" s="137">
        <f t="shared" si="17"/>
        <v>11334</v>
      </c>
      <c r="E47" s="137">
        <f t="shared" si="17"/>
        <v>10519</v>
      </c>
      <c r="F47" s="66">
        <f>F29+F38</f>
        <v>9558</v>
      </c>
      <c r="G47" s="62">
        <f>G29+G38</f>
        <v>9558</v>
      </c>
      <c r="H47" s="137">
        <f>H29+H38</f>
        <v>9537</v>
      </c>
      <c r="I47" s="137">
        <f>I29+I38</f>
        <v>9472</v>
      </c>
      <c r="J47" s="137">
        <f>J29+J38</f>
        <v>9464</v>
      </c>
      <c r="K47" s="66">
        <f t="shared" ref="K47:L47" si="18">K29+K38</f>
        <v>8400</v>
      </c>
      <c r="L47" s="62">
        <f t="shared" si="18"/>
        <v>8400</v>
      </c>
    </row>
    <row r="48" spans="1:12">
      <c r="A48" s="65" t="s">
        <v>235</v>
      </c>
      <c r="B48" s="62">
        <f t="shared" ref="B48:E48" si="19">B11+B12</f>
        <v>2294</v>
      </c>
      <c r="C48" s="137">
        <f t="shared" si="19"/>
        <v>2612</v>
      </c>
      <c r="D48" s="137">
        <f t="shared" si="19"/>
        <v>2915</v>
      </c>
      <c r="E48" s="137">
        <f t="shared" si="19"/>
        <v>2389</v>
      </c>
      <c r="F48" s="137">
        <f>F11+F12</f>
        <v>1595</v>
      </c>
      <c r="G48" s="62">
        <f>G11+G12</f>
        <v>1595</v>
      </c>
      <c r="H48" s="137">
        <f>H11+H12</f>
        <v>2041</v>
      </c>
      <c r="I48" s="137">
        <f>I11+I12</f>
        <v>1929</v>
      </c>
      <c r="J48" s="137">
        <f>J11+J12</f>
        <v>2203</v>
      </c>
      <c r="K48" s="137">
        <f t="shared" ref="K48:L48" si="20">K11+K12</f>
        <v>1564</v>
      </c>
      <c r="L48" s="62">
        <f t="shared" si="20"/>
        <v>1564</v>
      </c>
    </row>
    <row r="49" spans="1:12">
      <c r="A49" s="65" t="s">
        <v>14</v>
      </c>
      <c r="B49" s="62">
        <f t="shared" ref="B49" si="21">B47-B11-B12</f>
        <v>8885</v>
      </c>
      <c r="C49" s="137">
        <f>C47-C48</f>
        <v>8544</v>
      </c>
      <c r="D49" s="137">
        <f>D47-D48</f>
        <v>8419</v>
      </c>
      <c r="E49" s="137">
        <f>E47-E48</f>
        <v>8130</v>
      </c>
      <c r="F49" s="66">
        <f>F47-F11-F12</f>
        <v>7963</v>
      </c>
      <c r="G49" s="62">
        <f>G47-G11-G12</f>
        <v>7963</v>
      </c>
      <c r="H49" s="137">
        <f>H47-H48</f>
        <v>7496</v>
      </c>
      <c r="I49" s="137">
        <f>I47-I48</f>
        <v>7543</v>
      </c>
      <c r="J49" s="137">
        <f>J47-J48</f>
        <v>7261</v>
      </c>
      <c r="K49" s="66">
        <f>K47-K48</f>
        <v>6836</v>
      </c>
      <c r="L49" s="62">
        <f>L47-L48</f>
        <v>6836</v>
      </c>
    </row>
    <row r="50" spans="1:12">
      <c r="A50" s="210" t="s">
        <v>221</v>
      </c>
      <c r="B50" s="211">
        <v>2.5</v>
      </c>
      <c r="C50" s="213"/>
      <c r="D50" s="213"/>
      <c r="E50" s="213"/>
      <c r="F50" s="212">
        <v>2.4</v>
      </c>
      <c r="G50" s="211">
        <v>2.4</v>
      </c>
      <c r="H50" s="213">
        <v>2.2999999999999998</v>
      </c>
      <c r="I50" s="213">
        <v>2.2999999999999998</v>
      </c>
      <c r="J50" s="213">
        <v>2.2000000000000002</v>
      </c>
      <c r="K50" s="212">
        <f>L50</f>
        <v>2.091799265605875</v>
      </c>
      <c r="L50" s="211">
        <f>L49/('Group-Adj #s'!M14-'Group CF'!M21)</f>
        <v>2.091799265605875</v>
      </c>
    </row>
    <row r="51" spans="1:12" ht="3" customHeight="1">
      <c r="A51" s="42"/>
      <c r="B51" s="43"/>
      <c r="C51" s="43"/>
      <c r="D51" s="43"/>
      <c r="E51" s="43"/>
      <c r="F51" s="43"/>
      <c r="G51" s="43"/>
      <c r="H51" s="43"/>
      <c r="I51" s="43"/>
      <c r="J51" s="43"/>
      <c r="K51" s="43"/>
      <c r="L51" s="43"/>
    </row>
  </sheetData>
  <pageMargins left="0.39370078740157483" right="0.39370078740157483" top="0.11811023622047245" bottom="0.11811023622047245" header="0.11811023622047245" footer="3.937007874015748E-2"/>
  <pageSetup paperSize="9" scale="85" orientation="landscape" horizontalDpi="0" verticalDpi="0" r:id="rId1"/>
  <headerFooter>
    <oddHeader>&amp;CBezeq - The Israel Telecommunication Corp. Ltd.</oddHeader>
    <oddFooter>&amp;R&amp;P of &amp;N
Group financial metrics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M36"/>
  <sheetViews>
    <sheetView showGridLines="0" tabSelected="1" workbookViewId="0">
      <pane xSplit="1" ySplit="8" topLeftCell="B27" activePane="bottomRight" state="frozen"/>
      <selection activeCell="M18" sqref="M18"/>
      <selection pane="topRight" activeCell="M18" sqref="M18"/>
      <selection pane="bottomLeft" activeCell="M18" sqref="M18"/>
      <selection pane="bottomRight" activeCell="L36" sqref="L36"/>
    </sheetView>
  </sheetViews>
  <sheetFormatPr defaultRowHeight="12.75"/>
  <cols>
    <col min="1" max="1" width="49.85546875" customWidth="1"/>
  </cols>
  <sheetData>
    <row r="1" spans="1:13">
      <c r="A1" s="29"/>
      <c r="B1" s="3"/>
      <c r="C1" s="3"/>
      <c r="D1" s="3"/>
      <c r="E1" s="3"/>
      <c r="F1" s="3"/>
      <c r="G1" s="3"/>
      <c r="H1" s="3"/>
      <c r="I1" s="3"/>
      <c r="J1" s="3"/>
      <c r="K1" s="3"/>
      <c r="L1" s="3"/>
      <c r="M1" s="3"/>
    </row>
    <row r="2" spans="1:13">
      <c r="A2" s="29"/>
      <c r="B2" s="3"/>
      <c r="C2" s="3"/>
      <c r="D2" s="3"/>
      <c r="E2" s="3"/>
      <c r="F2" s="3"/>
      <c r="G2" s="3"/>
      <c r="H2" s="3"/>
      <c r="I2" s="3"/>
      <c r="J2" s="3"/>
      <c r="K2" s="3"/>
      <c r="L2" s="3"/>
      <c r="M2" s="3"/>
    </row>
    <row r="3" spans="1:13">
      <c r="A3" s="30"/>
      <c r="B3" s="45" t="s">
        <v>5</v>
      </c>
      <c r="C3" s="45" t="s">
        <v>5</v>
      </c>
      <c r="D3" s="45" t="s">
        <v>74</v>
      </c>
      <c r="E3" s="45" t="s">
        <v>0</v>
      </c>
      <c r="F3" s="45" t="s">
        <v>1</v>
      </c>
      <c r="G3" s="45" t="s">
        <v>2</v>
      </c>
      <c r="H3" s="45" t="s">
        <v>5</v>
      </c>
      <c r="I3" s="45" t="s">
        <v>74</v>
      </c>
      <c r="J3" s="45" t="s">
        <v>0</v>
      </c>
      <c r="K3" s="45" t="s">
        <v>1</v>
      </c>
      <c r="L3" s="45" t="s">
        <v>2</v>
      </c>
      <c r="M3" s="45" t="s">
        <v>5</v>
      </c>
    </row>
    <row r="4" spans="1:13">
      <c r="A4" s="267" t="s">
        <v>311</v>
      </c>
      <c r="B4" s="45">
        <v>2017</v>
      </c>
      <c r="C4" s="45">
        <v>2018</v>
      </c>
      <c r="D4" s="45">
        <v>2019</v>
      </c>
      <c r="E4" s="45">
        <v>2019</v>
      </c>
      <c r="F4" s="45">
        <v>2019</v>
      </c>
      <c r="G4" s="45">
        <v>2019</v>
      </c>
      <c r="H4" s="45">
        <v>2019</v>
      </c>
      <c r="I4" s="45">
        <v>2020</v>
      </c>
      <c r="J4" s="45">
        <v>2020</v>
      </c>
      <c r="K4" s="45">
        <v>2020</v>
      </c>
      <c r="L4" s="45">
        <v>2020</v>
      </c>
      <c r="M4" s="45">
        <v>2020</v>
      </c>
    </row>
    <row r="5" spans="1:13" ht="6.75" customHeight="1">
      <c r="A5" s="42"/>
      <c r="B5" s="43"/>
      <c r="C5" s="43"/>
      <c r="D5" s="43"/>
      <c r="E5" s="43"/>
      <c r="F5" s="43"/>
      <c r="G5" s="43"/>
      <c r="H5" s="43"/>
      <c r="I5" s="43"/>
      <c r="J5" s="43"/>
      <c r="K5" s="43"/>
      <c r="L5" s="43"/>
      <c r="M5" s="43"/>
    </row>
    <row r="6" spans="1:13" ht="20.25">
      <c r="A6" s="33" t="s">
        <v>317</v>
      </c>
      <c r="B6" s="20"/>
      <c r="C6" s="20"/>
      <c r="D6" s="20"/>
      <c r="E6" s="20"/>
      <c r="F6" s="20"/>
      <c r="G6" s="20"/>
      <c r="H6" s="20"/>
      <c r="I6" s="20"/>
      <c r="J6" s="20"/>
      <c r="K6" s="20"/>
      <c r="L6" s="20"/>
      <c r="M6" s="20"/>
    </row>
    <row r="7" spans="1:13">
      <c r="A7" s="58"/>
      <c r="B7" s="58"/>
      <c r="C7" s="58"/>
      <c r="D7" s="58"/>
      <c r="E7" s="58"/>
      <c r="F7" s="58"/>
      <c r="G7" s="58"/>
      <c r="H7" s="58"/>
      <c r="I7" s="58"/>
      <c r="J7" s="58"/>
      <c r="K7" s="58"/>
      <c r="L7" s="58"/>
      <c r="M7" s="58"/>
    </row>
    <row r="8" spans="1:13" s="3" customFormat="1">
      <c r="A8" s="48" t="s">
        <v>354</v>
      </c>
      <c r="B8" s="39"/>
      <c r="C8" s="39"/>
      <c r="D8" s="49"/>
      <c r="E8" s="49"/>
      <c r="F8" s="49"/>
      <c r="G8" s="49"/>
      <c r="H8" s="39"/>
      <c r="I8" s="49"/>
      <c r="J8" s="49"/>
      <c r="K8" s="49"/>
      <c r="L8" s="49"/>
      <c r="M8" s="39"/>
    </row>
    <row r="9" spans="1:13" s="3" customFormat="1">
      <c r="B9" s="297"/>
      <c r="C9" s="297"/>
      <c r="D9" s="265"/>
      <c r="E9" s="265"/>
      <c r="F9" s="265"/>
      <c r="G9" s="265"/>
      <c r="H9" s="297"/>
      <c r="I9" s="265"/>
      <c r="J9" s="265"/>
      <c r="K9" s="265"/>
      <c r="L9" s="298"/>
      <c r="M9" s="297"/>
    </row>
    <row r="10" spans="1:13" s="3" customFormat="1">
      <c r="A10" s="65" t="s">
        <v>211</v>
      </c>
      <c r="B10" s="161">
        <f>'Group P&amp;L'!B35</f>
        <v>3813</v>
      </c>
      <c r="C10" s="161">
        <f>'Group P&amp;L'!C35</f>
        <v>1607</v>
      </c>
      <c r="D10" s="172">
        <f>'Group P&amp;L'!D35</f>
        <v>970</v>
      </c>
      <c r="E10" s="172">
        <f>'Group P&amp;L'!E35</f>
        <v>376</v>
      </c>
      <c r="F10" s="172">
        <f>'Group P&amp;L'!F35</f>
        <v>921</v>
      </c>
      <c r="G10" s="172">
        <f>H10-F10-E10-D10</f>
        <v>495</v>
      </c>
      <c r="H10" s="161">
        <f>'Group P&amp;L'!H35</f>
        <v>2762</v>
      </c>
      <c r="I10" s="172">
        <f>'Group P&amp;L'!I35</f>
        <v>910</v>
      </c>
      <c r="J10" s="172">
        <f>'Group P&amp;L'!J35</f>
        <v>970</v>
      </c>
      <c r="K10" s="172">
        <f>'Group P&amp;L'!K35</f>
        <v>653</v>
      </c>
      <c r="L10" s="172">
        <f>M10-K10-J10-I10</f>
        <v>759</v>
      </c>
      <c r="M10" s="161">
        <f>'Group P&amp;L'!M35</f>
        <v>3292</v>
      </c>
    </row>
    <row r="11" spans="1:13" s="34" customFormat="1" ht="12.95" customHeight="1">
      <c r="A11" s="65" t="s">
        <v>220</v>
      </c>
      <c r="B11" s="161">
        <f>'Group P&amp;L'!B18</f>
        <v>-19</v>
      </c>
      <c r="C11" s="161">
        <f>'Group P&amp;L'!C18</f>
        <v>634</v>
      </c>
      <c r="D11" s="172">
        <f>'Group P&amp;L'!D18</f>
        <v>-25</v>
      </c>
      <c r="E11" s="172">
        <f>'Group P&amp;L'!E18</f>
        <v>-414</v>
      </c>
      <c r="F11" s="172">
        <f>'Group P&amp;L'!F18</f>
        <v>39</v>
      </c>
      <c r="G11" s="172">
        <f>H11-F11-E11-D11</f>
        <v>179</v>
      </c>
      <c r="H11" s="161">
        <f>'Group P&amp;L'!H18</f>
        <v>-221</v>
      </c>
      <c r="I11" s="172">
        <f>'Group P&amp;L'!I18</f>
        <v>-3</v>
      </c>
      <c r="J11" s="172">
        <f>'Group P&amp;L'!J18</f>
        <v>-19</v>
      </c>
      <c r="K11" s="172">
        <f>'Group P&amp;L'!K18</f>
        <v>-7</v>
      </c>
      <c r="L11" s="172">
        <f>M11-K11-J11-I11</f>
        <v>103</v>
      </c>
      <c r="M11" s="161">
        <f>'Group P&amp;L'!M18</f>
        <v>74</v>
      </c>
    </row>
    <row r="12" spans="1:13" s="34" customFormat="1" ht="12.95" customHeight="1">
      <c r="A12" s="65" t="s">
        <v>204</v>
      </c>
      <c r="B12" s="236">
        <f>'Group P&amp;L'!B20</f>
        <v>87</v>
      </c>
      <c r="C12" s="236">
        <f>'Group P&amp;L'!C20</f>
        <v>1675</v>
      </c>
      <c r="D12" s="305">
        <f>'Group P&amp;L'!D20</f>
        <v>0</v>
      </c>
      <c r="E12" s="304">
        <f>'Group P&amp;L'!E20</f>
        <v>951</v>
      </c>
      <c r="F12" s="305">
        <f>'Group P&amp;L'!F20</f>
        <v>0</v>
      </c>
      <c r="G12" s="304">
        <f>H12-F12-E12-D12</f>
        <v>196</v>
      </c>
      <c r="H12" s="236">
        <f>'Group P&amp;L'!H20</f>
        <v>1147</v>
      </c>
      <c r="I12" s="305">
        <f>'Group P&amp;L'!I20</f>
        <v>0</v>
      </c>
      <c r="J12" s="305">
        <f>'Group P&amp;L'!J20</f>
        <v>0</v>
      </c>
      <c r="K12" s="304">
        <f>'Group P&amp;L'!K20</f>
        <v>268</v>
      </c>
      <c r="L12" s="305">
        <f>M12-K12-J12-I12</f>
        <v>25</v>
      </c>
      <c r="M12" s="236">
        <f>'Group P&amp;L'!M20</f>
        <v>293</v>
      </c>
    </row>
    <row r="13" spans="1:13" s="34" customFormat="1" ht="12.95" customHeight="1">
      <c r="A13" s="65"/>
      <c r="B13" s="297"/>
      <c r="C13" s="297"/>
      <c r="D13" s="71"/>
      <c r="E13" s="265"/>
      <c r="F13" s="71"/>
      <c r="G13" s="265"/>
      <c r="H13" s="297"/>
      <c r="I13" s="71"/>
      <c r="J13" s="71"/>
      <c r="K13" s="265"/>
      <c r="L13" s="71"/>
      <c r="M13" s="297"/>
    </row>
    <row r="14" spans="1:13" s="34" customFormat="1" ht="18" customHeight="1">
      <c r="A14" s="84" t="s">
        <v>362</v>
      </c>
      <c r="B14" s="236">
        <f t="shared" ref="B14:M14" si="0">SUM(B10:B12)</f>
        <v>3881</v>
      </c>
      <c r="C14" s="236">
        <f t="shared" si="0"/>
        <v>3916</v>
      </c>
      <c r="D14" s="304">
        <f t="shared" si="0"/>
        <v>945</v>
      </c>
      <c r="E14" s="304">
        <f t="shared" si="0"/>
        <v>913</v>
      </c>
      <c r="F14" s="304">
        <f t="shared" si="0"/>
        <v>960</v>
      </c>
      <c r="G14" s="304">
        <f t="shared" si="0"/>
        <v>870</v>
      </c>
      <c r="H14" s="236">
        <f t="shared" si="0"/>
        <v>3688</v>
      </c>
      <c r="I14" s="304">
        <f t="shared" si="0"/>
        <v>907</v>
      </c>
      <c r="J14" s="304">
        <f t="shared" si="0"/>
        <v>951</v>
      </c>
      <c r="K14" s="304">
        <f t="shared" si="0"/>
        <v>914</v>
      </c>
      <c r="L14" s="304">
        <f t="shared" si="0"/>
        <v>887</v>
      </c>
      <c r="M14" s="236">
        <f t="shared" si="0"/>
        <v>3659</v>
      </c>
    </row>
    <row r="15" spans="1:13" s="34" customFormat="1" ht="13.5" customHeight="1">
      <c r="A15" s="67" t="s">
        <v>7</v>
      </c>
      <c r="B15" s="306"/>
      <c r="C15" s="306"/>
      <c r="D15" s="68">
        <f>D14/B14-1</f>
        <v>-0.75650605514042768</v>
      </c>
      <c r="E15" s="68">
        <f t="shared" ref="E15" si="1">E14/D14-1</f>
        <v>-3.3862433862433816E-2</v>
      </c>
      <c r="F15" s="68">
        <f t="shared" ref="F15" si="2">F14/E14-1</f>
        <v>5.1478641840087658E-2</v>
      </c>
      <c r="G15" s="68">
        <f>G14/F14-1</f>
        <v>-9.375E-2</v>
      </c>
      <c r="H15" s="23"/>
      <c r="I15" s="68">
        <f>I14/G14-1</f>
        <v>4.2528735632183956E-2</v>
      </c>
      <c r="J15" s="68">
        <f t="shared" ref="J15" si="3">J14/I14-1</f>
        <v>4.8511576626240283E-2</v>
      </c>
      <c r="K15" s="68">
        <f t="shared" ref="K15" si="4">K14/J14-1</f>
        <v>-3.8906414300736047E-2</v>
      </c>
      <c r="L15" s="68">
        <f>L14/K14-1</f>
        <v>-2.9540481400437635E-2</v>
      </c>
      <c r="M15" s="23"/>
    </row>
    <row r="16" spans="1:13" s="34" customFormat="1" ht="14.25" customHeight="1">
      <c r="A16" s="67" t="s">
        <v>8</v>
      </c>
      <c r="B16" s="297"/>
      <c r="C16" s="23">
        <f>C14/B14-1</f>
        <v>9.0182942540582012E-3</v>
      </c>
      <c r="D16" s="69"/>
      <c r="E16" s="69"/>
      <c r="F16" s="69"/>
      <c r="G16" s="69"/>
      <c r="H16" s="23">
        <f>H14/C14-1</f>
        <v>-5.8222676200204271E-2</v>
      </c>
      <c r="I16" s="69">
        <f t="shared" ref="I16" si="5">I14/D14-1</f>
        <v>-4.0211640211640254E-2</v>
      </c>
      <c r="J16" s="69">
        <f t="shared" ref="J16" si="6">J14/E14-1</f>
        <v>4.1621029572836754E-2</v>
      </c>
      <c r="K16" s="69">
        <f t="shared" ref="K16" si="7">K14/F14-1</f>
        <v>-4.7916666666666718E-2</v>
      </c>
      <c r="L16" s="69">
        <f>L14/G14-1</f>
        <v>1.9540229885057547E-2</v>
      </c>
      <c r="M16" s="23">
        <f>M14/H14-1</f>
        <v>-7.8633405639912946E-3</v>
      </c>
    </row>
    <row r="17" spans="1:13" s="34" customFormat="1" ht="18" customHeight="1">
      <c r="A17" s="84" t="s">
        <v>415</v>
      </c>
      <c r="B17" s="313">
        <f>B14/'Group P&amp;L'!B9</f>
        <v>0.39646542036980281</v>
      </c>
      <c r="C17" s="313">
        <f>C14/'Group P&amp;L'!C9</f>
        <v>0.42012659585881346</v>
      </c>
      <c r="D17" s="314">
        <f>D14/'Group P&amp;L'!D9</f>
        <v>0.41888297872340424</v>
      </c>
      <c r="E17" s="314">
        <f>E14/'Group P&amp;L'!E9</f>
        <v>0.41052158273381295</v>
      </c>
      <c r="F17" s="314">
        <f>F14/'Group P&amp;L'!F9</f>
        <v>0.42723631508678239</v>
      </c>
      <c r="G17" s="314">
        <f>G14/'Group P&amp;L'!G9</f>
        <v>0.39509536784741145</v>
      </c>
      <c r="H17" s="313">
        <f>H14/'Group P&amp;L'!H9</f>
        <v>0.41303617426363537</v>
      </c>
      <c r="I17" s="314">
        <f>I14/'Group P&amp;L'!I9</f>
        <v>0.4147233653406493</v>
      </c>
      <c r="J17" s="314">
        <f>J14/'Group P&amp;L'!J9</f>
        <v>0.44129930394431555</v>
      </c>
      <c r="K17" s="314">
        <f>K14/'Group P&amp;L'!K9</f>
        <v>0.41965105601469238</v>
      </c>
      <c r="L17" s="314">
        <f>L14/'Group P&amp;L'!L9</f>
        <v>0.40263277349069448</v>
      </c>
      <c r="M17" s="313">
        <f>M14/'Group P&amp;L'!M9</f>
        <v>0.41946578012151781</v>
      </c>
    </row>
    <row r="18" spans="1:13" s="34" customFormat="1" ht="12.95" customHeight="1">
      <c r="A18" s="65"/>
      <c r="B18" s="297"/>
      <c r="C18" s="297"/>
      <c r="D18" s="265"/>
      <c r="E18" s="265"/>
      <c r="F18" s="265"/>
      <c r="G18" s="265"/>
      <c r="H18" s="297"/>
      <c r="I18" s="265"/>
      <c r="J18" s="265"/>
      <c r="K18" s="265"/>
      <c r="L18" s="298"/>
      <c r="M18" s="297"/>
    </row>
    <row r="19" spans="1:13" s="3" customFormat="1">
      <c r="A19" s="48" t="s">
        <v>355</v>
      </c>
      <c r="B19" s="39"/>
      <c r="C19" s="39"/>
      <c r="D19" s="49"/>
      <c r="E19" s="49"/>
      <c r="F19" s="49"/>
      <c r="G19" s="49"/>
      <c r="H19" s="39"/>
      <c r="I19" s="49"/>
      <c r="J19" s="49"/>
      <c r="K19" s="49"/>
      <c r="L19" s="49"/>
      <c r="M19" s="39"/>
    </row>
    <row r="20" spans="1:13" s="3" customFormat="1">
      <c r="B20" s="297"/>
      <c r="C20" s="297"/>
      <c r="D20" s="265"/>
      <c r="E20" s="265"/>
      <c r="F20" s="265"/>
      <c r="G20" s="265"/>
      <c r="H20" s="297"/>
      <c r="I20" s="265"/>
      <c r="J20" s="265"/>
      <c r="K20" s="265"/>
      <c r="L20" s="298"/>
      <c r="M20" s="297"/>
    </row>
    <row r="21" spans="1:13" s="34" customFormat="1" ht="12.95" customHeight="1">
      <c r="A21" s="65" t="s">
        <v>270</v>
      </c>
      <c r="B21" s="161">
        <f>'Group P&amp;L'!B31</f>
        <v>1223</v>
      </c>
      <c r="C21" s="161">
        <f>'Group P&amp;L'!C31</f>
        <v>-1092</v>
      </c>
      <c r="D21" s="172">
        <f>'Group P&amp;L'!D31</f>
        <v>295</v>
      </c>
      <c r="E21" s="172">
        <f>'Group P&amp;L'!E31</f>
        <v>-1579</v>
      </c>
      <c r="F21" s="172">
        <f>'Group P&amp;L'!F31</f>
        <v>177</v>
      </c>
      <c r="G21" s="172">
        <f>H21-F21-E21-D21</f>
        <v>-87</v>
      </c>
      <c r="H21" s="161">
        <f>'Group P&amp;L'!H31</f>
        <v>-1194</v>
      </c>
      <c r="I21" s="172">
        <f>'Group P&amp;L'!I31</f>
        <v>327</v>
      </c>
      <c r="J21" s="172">
        <f>'Group P&amp;L'!J31</f>
        <v>269</v>
      </c>
      <c r="K21" s="172">
        <f>'Group P&amp;L'!K31</f>
        <v>26</v>
      </c>
      <c r="L21" s="172">
        <f t="shared" ref="L21:L29" si="8">M21-K21-J21-I21</f>
        <v>174</v>
      </c>
      <c r="M21" s="60">
        <f>'Group P&amp;L'!M31</f>
        <v>796</v>
      </c>
    </row>
    <row r="22" spans="1:13" s="34" customFormat="1" ht="12.95" customHeight="1">
      <c r="A22" s="65" t="s">
        <v>388</v>
      </c>
      <c r="B22" s="161">
        <f>'Group P&amp;L'!B18*0.76</f>
        <v>-14.44</v>
      </c>
      <c r="C22" s="161">
        <f>(('Group P&amp;L'!C18-yes!L23)*0.77+yes!L23)</f>
        <v>492.09000000000003</v>
      </c>
      <c r="D22" s="172">
        <f>(('Group P&amp;L'!D18-yes!M23)*0.77+yes!M23)</f>
        <v>-9.36</v>
      </c>
      <c r="E22" s="172">
        <f>(('Group P&amp;L'!E18-yes!N23)*0.77+yes!N23)</f>
        <v>-320.85000000000002</v>
      </c>
      <c r="F22" s="172">
        <f>(('Group P&amp;L'!F18-yes!O23)*0.77+yes!O23)</f>
        <v>30.26</v>
      </c>
      <c r="G22" s="172">
        <f>H22-F22-E22-D22</f>
        <v>139.44000000000005</v>
      </c>
      <c r="H22" s="161">
        <f>(('Group P&amp;L'!H18-yes!Q23)*0.77+yes!Q23)</f>
        <v>-160.51</v>
      </c>
      <c r="I22" s="66">
        <v>0</v>
      </c>
      <c r="J22" s="66">
        <v>0</v>
      </c>
      <c r="K22" s="66">
        <v>0</v>
      </c>
      <c r="L22" s="66">
        <f t="shared" ref="L22" si="9">M22-K22-J22-I22</f>
        <v>0</v>
      </c>
      <c r="M22" s="60">
        <v>0</v>
      </c>
    </row>
    <row r="23" spans="1:13" s="34" customFormat="1" ht="12.95" customHeight="1">
      <c r="A23" s="65" t="s">
        <v>383</v>
      </c>
      <c r="B23" s="60">
        <v>0</v>
      </c>
      <c r="C23" s="60">
        <v>0</v>
      </c>
      <c r="D23" s="66">
        <v>0</v>
      </c>
      <c r="E23" s="66">
        <v>0</v>
      </c>
      <c r="F23" s="71">
        <v>0</v>
      </c>
      <c r="G23" s="66">
        <v>0</v>
      </c>
      <c r="H23" s="60">
        <v>0</v>
      </c>
      <c r="I23" s="172">
        <f>'Fixed-Line'!R37*0.77</f>
        <v>-3.08</v>
      </c>
      <c r="J23" s="172">
        <f>'Fixed-Line'!S37*0.77</f>
        <v>-1.54</v>
      </c>
      <c r="K23" s="172">
        <f>'Fixed-Line'!T37*0.77</f>
        <v>-3.85</v>
      </c>
      <c r="L23" s="172">
        <f t="shared" si="8"/>
        <v>60.83</v>
      </c>
      <c r="M23" s="60">
        <f>'Fixed-Line'!V37*0.77</f>
        <v>52.36</v>
      </c>
    </row>
    <row r="24" spans="1:13" s="34" customFormat="1" ht="12.95" customHeight="1">
      <c r="A24" s="65" t="s">
        <v>384</v>
      </c>
      <c r="B24" s="60">
        <v>0</v>
      </c>
      <c r="C24" s="60">
        <v>0</v>
      </c>
      <c r="D24" s="66">
        <v>0</v>
      </c>
      <c r="E24" s="66">
        <v>0</v>
      </c>
      <c r="F24" s="71">
        <v>0</v>
      </c>
      <c r="G24" s="66">
        <v>0</v>
      </c>
      <c r="H24" s="60">
        <v>0</v>
      </c>
      <c r="I24" s="172">
        <f>Pelephone!R32*0.77</f>
        <v>0.77</v>
      </c>
      <c r="J24" s="172">
        <f>Pelephone!S32*0.77</f>
        <v>-3.08</v>
      </c>
      <c r="K24" s="66">
        <f>Pelephone!T32*0.77</f>
        <v>0</v>
      </c>
      <c r="L24" s="172">
        <f t="shared" si="8"/>
        <v>16.169999999999998</v>
      </c>
      <c r="M24" s="60">
        <f>Pelephone!V32*0.77</f>
        <v>13.86</v>
      </c>
    </row>
    <row r="25" spans="1:13" s="34" customFormat="1" ht="12.95" customHeight="1">
      <c r="A25" s="65" t="s">
        <v>385</v>
      </c>
      <c r="B25" s="60">
        <v>0</v>
      </c>
      <c r="C25" s="60">
        <v>0</v>
      </c>
      <c r="D25" s="66">
        <v>0</v>
      </c>
      <c r="E25" s="66">
        <v>0</v>
      </c>
      <c r="F25" s="71">
        <v>0</v>
      </c>
      <c r="G25" s="66">
        <v>0</v>
      </c>
      <c r="H25" s="60">
        <v>0</v>
      </c>
      <c r="I25" s="66">
        <f>'B. Intl'!Q31</f>
        <v>0</v>
      </c>
      <c r="J25" s="66">
        <f>'B. Intl'!R31</f>
        <v>0</v>
      </c>
      <c r="K25" s="66">
        <v>0</v>
      </c>
      <c r="L25" s="172">
        <v>6</v>
      </c>
      <c r="M25" s="60">
        <v>6</v>
      </c>
    </row>
    <row r="26" spans="1:13" s="34" customFormat="1" ht="12.95" customHeight="1">
      <c r="A26" s="65" t="s">
        <v>386</v>
      </c>
      <c r="B26" s="60">
        <v>0</v>
      </c>
      <c r="C26" s="60">
        <v>0</v>
      </c>
      <c r="D26" s="66">
        <v>0</v>
      </c>
      <c r="E26" s="66">
        <v>0</v>
      </c>
      <c r="F26" s="71">
        <v>0</v>
      </c>
      <c r="G26" s="66">
        <v>0</v>
      </c>
      <c r="H26" s="60">
        <v>0</v>
      </c>
      <c r="I26" s="66">
        <f>yes!R23</f>
        <v>0</v>
      </c>
      <c r="J26" s="172">
        <f>yes!S23</f>
        <v>-12</v>
      </c>
      <c r="K26" s="66">
        <f>yes!T23</f>
        <v>0</v>
      </c>
      <c r="L26" s="172">
        <f>yes!U23</f>
        <v>-3</v>
      </c>
      <c r="M26" s="161">
        <f>yes!V23</f>
        <v>-15</v>
      </c>
    </row>
    <row r="27" spans="1:13" s="34" customFormat="1" ht="12.95" customHeight="1">
      <c r="A27" s="65" t="s">
        <v>387</v>
      </c>
      <c r="B27" s="60">
        <v>0</v>
      </c>
      <c r="C27" s="60">
        <v>0</v>
      </c>
      <c r="D27" s="66">
        <v>0</v>
      </c>
      <c r="E27" s="66">
        <v>0</v>
      </c>
      <c r="F27" s="71">
        <v>0</v>
      </c>
      <c r="G27" s="66">
        <v>0</v>
      </c>
      <c r="H27" s="60">
        <v>0</v>
      </c>
      <c r="I27" s="66">
        <v>0</v>
      </c>
      <c r="J27" s="66">
        <v>0</v>
      </c>
      <c r="K27" s="66">
        <v>0</v>
      </c>
      <c r="L27" s="172">
        <f>M27</f>
        <v>-2</v>
      </c>
      <c r="M27" s="161">
        <v>-2</v>
      </c>
    </row>
    <row r="28" spans="1:13" s="34" customFormat="1" ht="12.95" customHeight="1">
      <c r="A28" s="34" t="s">
        <v>272</v>
      </c>
      <c r="B28" s="161">
        <f>'Group P&amp;L'!B20</f>
        <v>87</v>
      </c>
      <c r="C28" s="161">
        <f>'Group P&amp;L'!C20-114</f>
        <v>1561</v>
      </c>
      <c r="D28" s="66">
        <v>0</v>
      </c>
      <c r="E28" s="66">
        <v>0</v>
      </c>
      <c r="F28" s="71">
        <v>0</v>
      </c>
      <c r="G28" s="66">
        <v>0</v>
      </c>
      <c r="H28" s="60">
        <v>0</v>
      </c>
      <c r="I28" s="66">
        <v>0</v>
      </c>
      <c r="J28" s="66">
        <v>0</v>
      </c>
      <c r="K28" s="66">
        <v>0</v>
      </c>
      <c r="L28" s="66">
        <f t="shared" si="8"/>
        <v>0</v>
      </c>
      <c r="M28" s="60">
        <v>0</v>
      </c>
    </row>
    <row r="29" spans="1:13" s="34" customFormat="1" ht="12.95" customHeight="1">
      <c r="A29" s="65" t="s">
        <v>267</v>
      </c>
      <c r="B29" s="60">
        <v>0</v>
      </c>
      <c r="C29" s="60">
        <v>0</v>
      </c>
      <c r="D29" s="66">
        <v>0</v>
      </c>
      <c r="E29" s="172">
        <f>'Group P&amp;L'!E20</f>
        <v>951</v>
      </c>
      <c r="F29" s="71">
        <v>0</v>
      </c>
      <c r="G29" s="66">
        <v>0</v>
      </c>
      <c r="H29" s="161">
        <f>'Group P&amp;L'!E20</f>
        <v>951</v>
      </c>
      <c r="I29" s="66">
        <v>0</v>
      </c>
      <c r="J29" s="66">
        <v>0</v>
      </c>
      <c r="K29" s="66">
        <v>0</v>
      </c>
      <c r="L29" s="66">
        <f t="shared" si="8"/>
        <v>0</v>
      </c>
      <c r="M29" s="60">
        <v>0</v>
      </c>
    </row>
    <row r="30" spans="1:13" s="34" customFormat="1" ht="12" customHeight="1">
      <c r="A30" s="84" t="s">
        <v>271</v>
      </c>
      <c r="B30" s="60">
        <v>0</v>
      </c>
      <c r="C30" s="60">
        <v>0</v>
      </c>
      <c r="D30" s="66">
        <v>0</v>
      </c>
      <c r="E30" s="66">
        <v>0</v>
      </c>
      <c r="F30" s="71">
        <v>0</v>
      </c>
      <c r="G30" s="71">
        <f>'Group P&amp;L'!G20*0.77</f>
        <v>150.92000000000002</v>
      </c>
      <c r="H30" s="161">
        <f>'Group P&amp;L'!G20*0.77</f>
        <v>150.92000000000002</v>
      </c>
      <c r="I30" s="66">
        <v>0</v>
      </c>
      <c r="J30" s="66">
        <v>0</v>
      </c>
      <c r="K30" s="172">
        <v>282</v>
      </c>
      <c r="L30" s="66">
        <f>M30-K30</f>
        <v>25</v>
      </c>
      <c r="M30" s="60">
        <v>307</v>
      </c>
    </row>
    <row r="31" spans="1:13" s="34" customFormat="1" ht="12" customHeight="1">
      <c r="A31" s="84" t="s">
        <v>344</v>
      </c>
      <c r="B31" s="60">
        <v>0</v>
      </c>
      <c r="C31" s="60">
        <v>0</v>
      </c>
      <c r="D31" s="66">
        <v>0</v>
      </c>
      <c r="E31" s="66">
        <v>0</v>
      </c>
      <c r="F31" s="66">
        <v>0</v>
      </c>
      <c r="G31" s="66">
        <v>0</v>
      </c>
      <c r="H31" s="60">
        <v>0</v>
      </c>
      <c r="I31" s="66">
        <v>0</v>
      </c>
      <c r="J31" s="66">
        <v>0</v>
      </c>
      <c r="K31" s="172">
        <v>-14</v>
      </c>
      <c r="L31" s="66">
        <v>0</v>
      </c>
      <c r="M31" s="161">
        <v>-14</v>
      </c>
    </row>
    <row r="32" spans="1:13" s="34" customFormat="1" ht="12.95" customHeight="1">
      <c r="A32" s="65" t="s">
        <v>260</v>
      </c>
      <c r="B32" s="60">
        <v>0</v>
      </c>
      <c r="C32" s="60">
        <v>0</v>
      </c>
      <c r="D32" s="66">
        <v>0</v>
      </c>
      <c r="E32" s="172">
        <v>1166</v>
      </c>
      <c r="F32" s="71">
        <v>0</v>
      </c>
      <c r="G32" s="71">
        <v>0</v>
      </c>
      <c r="H32" s="161">
        <v>1166</v>
      </c>
      <c r="I32" s="66">
        <v>0</v>
      </c>
      <c r="J32" s="66">
        <v>0</v>
      </c>
      <c r="K32" s="66">
        <v>0</v>
      </c>
      <c r="L32" s="66">
        <v>0</v>
      </c>
      <c r="M32" s="60">
        <v>0</v>
      </c>
    </row>
    <row r="33" spans="1:13" s="34" customFormat="1" ht="29.25" customHeight="1">
      <c r="A33" s="207" t="s">
        <v>363</v>
      </c>
      <c r="B33" s="237">
        <f t="shared" ref="B33:G33" si="10">SUM(B21:B32)</f>
        <v>1295.56</v>
      </c>
      <c r="C33" s="237">
        <f t="shared" si="10"/>
        <v>961.09</v>
      </c>
      <c r="D33" s="173">
        <f t="shared" si="10"/>
        <v>285.64</v>
      </c>
      <c r="E33" s="173">
        <f t="shared" si="10"/>
        <v>217.15000000000009</v>
      </c>
      <c r="F33" s="173">
        <f t="shared" si="10"/>
        <v>207.26</v>
      </c>
      <c r="G33" s="173">
        <f t="shared" si="10"/>
        <v>203.36000000000007</v>
      </c>
      <c r="H33" s="237">
        <f>SUM(H21:H32)</f>
        <v>913.41000000000008</v>
      </c>
      <c r="I33" s="173">
        <f t="shared" ref="I33:L33" si="11">SUM(I21:I32)</f>
        <v>324.69</v>
      </c>
      <c r="J33" s="173">
        <f t="shared" si="11"/>
        <v>252.38</v>
      </c>
      <c r="K33" s="173">
        <f t="shared" si="11"/>
        <v>290.14999999999998</v>
      </c>
      <c r="L33" s="173">
        <f t="shared" si="11"/>
        <v>277</v>
      </c>
      <c r="M33" s="237">
        <f t="shared" ref="M33" si="12">SUM(M21:M32)</f>
        <v>1144.22</v>
      </c>
    </row>
    <row r="34" spans="1:13" s="34" customFormat="1" ht="13.5" customHeight="1">
      <c r="A34" s="67" t="s">
        <v>7</v>
      </c>
      <c r="B34" s="306"/>
      <c r="C34" s="306"/>
      <c r="D34" s="68">
        <f>D33/B33-1</f>
        <v>-0.77952391243940844</v>
      </c>
      <c r="E34" s="68">
        <f t="shared" ref="E34" si="13">E33/D33-1</f>
        <v>-0.23977734210894797</v>
      </c>
      <c r="F34" s="68">
        <f t="shared" ref="F34" si="14">F33/E33-1</f>
        <v>-4.5544554455446029E-2</v>
      </c>
      <c r="G34" s="68">
        <f>G33/F33-1</f>
        <v>-1.8816944900125088E-2</v>
      </c>
      <c r="H34" s="23"/>
      <c r="I34" s="68">
        <f>I33/G33-1</f>
        <v>0.59662667191187979</v>
      </c>
      <c r="J34" s="68">
        <f t="shared" ref="J34:K34" si="15">J33/I33-1</f>
        <v>-0.22270473374603472</v>
      </c>
      <c r="K34" s="68">
        <f t="shared" si="15"/>
        <v>0.1496552817180441</v>
      </c>
      <c r="L34" s="68">
        <f>L33/K33-1</f>
        <v>-4.5321385490263544E-2</v>
      </c>
      <c r="M34" s="23"/>
    </row>
    <row r="35" spans="1:13" s="34" customFormat="1" ht="13.5" customHeight="1">
      <c r="A35" s="67" t="s">
        <v>8</v>
      </c>
      <c r="B35" s="297"/>
      <c r="C35" s="23">
        <f>C33/B33-1</f>
        <v>-0.25816635277408995</v>
      </c>
      <c r="D35" s="69"/>
      <c r="E35" s="69"/>
      <c r="F35" s="69"/>
      <c r="G35" s="69"/>
      <c r="H35" s="23">
        <f>H33/C33-1</f>
        <v>-4.9610338261765197E-2</v>
      </c>
      <c r="I35" s="69">
        <f t="shared" ref="I35:K35" si="16">I33/D33-1</f>
        <v>0.1367105447416328</v>
      </c>
      <c r="J35" s="69">
        <f t="shared" si="16"/>
        <v>0.16223808427354314</v>
      </c>
      <c r="K35" s="69">
        <f t="shared" si="16"/>
        <v>0.39993245199266614</v>
      </c>
      <c r="L35" s="69">
        <v>0.36499999999999999</v>
      </c>
      <c r="M35" s="23">
        <f>M33/H33-1</f>
        <v>0.25269046758848712</v>
      </c>
    </row>
    <row r="36" spans="1:13" s="3" customFormat="1" ht="3" customHeight="1">
      <c r="A36" s="42"/>
      <c r="B36" s="266"/>
      <c r="C36" s="266"/>
      <c r="D36" s="266"/>
      <c r="E36" s="266"/>
      <c r="F36" s="266"/>
      <c r="G36" s="266"/>
      <c r="H36" s="266"/>
      <c r="I36" s="266"/>
      <c r="J36" s="266"/>
      <c r="K36" s="266"/>
      <c r="L36" s="266"/>
      <c r="M36" s="266"/>
    </row>
  </sheetData>
  <pageMargins left="0.39370078740157483" right="0.39370078740157483" top="0.19685039370078741" bottom="0.11811023622047245" header="0.11811023622047245" footer="3.937007874015748E-2"/>
  <pageSetup paperSize="9" scale="85" orientation="landscape" horizontalDpi="0" verticalDpi="0" r:id="rId1"/>
  <headerFooter>
    <oddHeader>&amp;CBezeq - The Israel Telecommunication Corp. Ltd.</oddHeader>
    <oddFooter>&amp;R&amp;P of &amp;N
Group financial metrics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4:BE358"/>
  <sheetViews>
    <sheetView showGridLines="0" topLeftCell="A4" zoomScale="110" zoomScaleNormal="110" workbookViewId="0">
      <pane xSplit="2" ySplit="3" topLeftCell="C49" activePane="bottomRight" state="frozen"/>
      <selection activeCell="M18" sqref="M18"/>
      <selection pane="topRight" activeCell="M18" sqref="M18"/>
      <selection pane="bottomLeft" activeCell="M18" sqref="M18"/>
      <selection pane="bottomRight" activeCell="AH51" sqref="AH51"/>
    </sheetView>
  </sheetViews>
  <sheetFormatPr defaultColWidth="8.7109375" defaultRowHeight="12.75"/>
  <cols>
    <col min="1" max="1" width="47" customWidth="1"/>
    <col min="2" max="27" width="0" hidden="1" customWidth="1"/>
    <col min="28" max="28" width="9.28515625" bestFit="1" customWidth="1"/>
    <col min="33" max="33" width="8.85546875" bestFit="1" customWidth="1"/>
    <col min="38" max="38" width="8.85546875" bestFit="1" customWidth="1"/>
  </cols>
  <sheetData>
    <row r="4" spans="1:57">
      <c r="A4" s="98"/>
      <c r="B4" s="98"/>
      <c r="C4" s="98"/>
      <c r="D4" s="98"/>
      <c r="E4" s="98"/>
      <c r="F4" s="98"/>
      <c r="G4" s="98"/>
      <c r="H4" s="98"/>
      <c r="I4" s="98"/>
      <c r="AD4" s="209"/>
      <c r="BD4">
        <v>2018</v>
      </c>
      <c r="BE4">
        <v>2018</v>
      </c>
    </row>
    <row r="5" spans="1:57">
      <c r="A5" s="98"/>
      <c r="B5" s="45" t="s">
        <v>2</v>
      </c>
      <c r="C5" s="45" t="s">
        <v>5</v>
      </c>
      <c r="D5" s="45" t="s">
        <v>74</v>
      </c>
      <c r="E5" s="45" t="s">
        <v>0</v>
      </c>
      <c r="F5" s="45" t="s">
        <v>1</v>
      </c>
      <c r="G5" s="45" t="s">
        <v>2</v>
      </c>
      <c r="H5" s="45" t="s">
        <v>5</v>
      </c>
      <c r="I5" s="45" t="s">
        <v>74</v>
      </c>
      <c r="J5" s="45" t="s">
        <v>0</v>
      </c>
      <c r="K5" s="45" t="s">
        <v>1</v>
      </c>
      <c r="L5" s="45" t="s">
        <v>2</v>
      </c>
      <c r="M5" s="45" t="s">
        <v>5</v>
      </c>
      <c r="N5" s="45" t="s">
        <v>74</v>
      </c>
      <c r="O5" s="45" t="s">
        <v>0</v>
      </c>
      <c r="P5" s="45" t="s">
        <v>1</v>
      </c>
      <c r="Q5" s="45" t="s">
        <v>2</v>
      </c>
      <c r="R5" s="45" t="s">
        <v>5</v>
      </c>
      <c r="S5" s="45" t="s">
        <v>74</v>
      </c>
      <c r="T5" s="45" t="s">
        <v>0</v>
      </c>
      <c r="U5" s="45" t="s">
        <v>1</v>
      </c>
      <c r="V5" s="45" t="s">
        <v>2</v>
      </c>
      <c r="W5" s="45" t="s">
        <v>5</v>
      </c>
      <c r="X5" s="45" t="s">
        <v>74</v>
      </c>
      <c r="Y5" s="45" t="s">
        <v>0</v>
      </c>
      <c r="Z5" s="45" t="s">
        <v>1</v>
      </c>
      <c r="AA5" s="45" t="s">
        <v>2</v>
      </c>
      <c r="AB5" s="45" t="s">
        <v>5</v>
      </c>
      <c r="AC5" s="45" t="s">
        <v>74</v>
      </c>
      <c r="AD5" s="45" t="s">
        <v>0</v>
      </c>
      <c r="AE5" s="45" t="s">
        <v>1</v>
      </c>
      <c r="AF5" s="45" t="s">
        <v>2</v>
      </c>
      <c r="AG5" s="45" t="s">
        <v>5</v>
      </c>
      <c r="AH5" s="45" t="s">
        <v>74</v>
      </c>
      <c r="AI5" s="45" t="s">
        <v>0</v>
      </c>
      <c r="AJ5" s="45" t="s">
        <v>1</v>
      </c>
      <c r="AK5" s="45" t="s">
        <v>2</v>
      </c>
      <c r="AL5" s="45" t="s">
        <v>5</v>
      </c>
    </row>
    <row r="6" spans="1:57">
      <c r="A6" s="55" t="s">
        <v>146</v>
      </c>
      <c r="B6" s="45">
        <v>2013</v>
      </c>
      <c r="C6" s="45">
        <v>2013</v>
      </c>
      <c r="D6" s="45">
        <v>2014</v>
      </c>
      <c r="E6" s="45">
        <v>2014</v>
      </c>
      <c r="F6" s="45">
        <v>2014</v>
      </c>
      <c r="G6" s="45">
        <v>2014</v>
      </c>
      <c r="H6" s="45">
        <v>2014</v>
      </c>
      <c r="I6" s="45">
        <v>2015</v>
      </c>
      <c r="J6" s="45">
        <v>2015</v>
      </c>
      <c r="K6" s="45">
        <v>2015</v>
      </c>
      <c r="L6" s="45">
        <v>2015</v>
      </c>
      <c r="M6" s="45">
        <v>2015</v>
      </c>
      <c r="N6" s="45">
        <v>2016</v>
      </c>
      <c r="O6" s="45">
        <v>2016</v>
      </c>
      <c r="P6" s="45">
        <v>2016</v>
      </c>
      <c r="Q6" s="45">
        <v>2016</v>
      </c>
      <c r="R6" s="45">
        <v>2016</v>
      </c>
      <c r="S6" s="45">
        <v>2017</v>
      </c>
      <c r="T6" s="45">
        <v>2017</v>
      </c>
      <c r="U6" s="45">
        <v>2017</v>
      </c>
      <c r="V6" s="45">
        <v>2017</v>
      </c>
      <c r="W6" s="45">
        <v>2017</v>
      </c>
      <c r="X6" s="45">
        <v>2018</v>
      </c>
      <c r="Y6" s="45">
        <v>2018</v>
      </c>
      <c r="Z6" s="45">
        <v>2018</v>
      </c>
      <c r="AA6" s="45">
        <v>2018</v>
      </c>
      <c r="AB6" s="45">
        <v>2018</v>
      </c>
      <c r="AC6" s="45">
        <v>2019</v>
      </c>
      <c r="AD6" s="45">
        <v>2019</v>
      </c>
      <c r="AE6" s="45">
        <v>2019</v>
      </c>
      <c r="AF6" s="45">
        <v>2019</v>
      </c>
      <c r="AG6" s="45">
        <v>2019</v>
      </c>
      <c r="AH6" s="45">
        <v>2020</v>
      </c>
      <c r="AI6" s="45">
        <v>2020</v>
      </c>
      <c r="AJ6" s="45">
        <v>2020</v>
      </c>
      <c r="AK6" s="45">
        <v>2020</v>
      </c>
      <c r="AL6" s="45">
        <v>2020</v>
      </c>
    </row>
    <row r="7" spans="1:57" ht="6" customHeight="1">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row>
    <row r="8" spans="1:57" ht="20.25">
      <c r="A8" s="33" t="s">
        <v>147</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row>
    <row r="9" spans="1:57">
      <c r="A9" s="58"/>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57">
      <c r="A10" s="38" t="s">
        <v>148</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row>
    <row r="11" spans="1:57">
      <c r="C11" s="35"/>
      <c r="H11" s="35"/>
      <c r="M11" s="35"/>
      <c r="N11" s="32"/>
      <c r="R11" s="35"/>
      <c r="S11" s="32"/>
      <c r="T11" s="32"/>
      <c r="U11" s="32"/>
      <c r="W11" s="35"/>
      <c r="X11" s="32"/>
      <c r="Y11" s="32"/>
      <c r="Z11" s="32"/>
      <c r="AB11" s="35"/>
      <c r="AC11" s="32"/>
      <c r="AD11" s="32"/>
      <c r="AE11" s="32"/>
      <c r="AG11" s="35"/>
      <c r="AH11" s="32"/>
      <c r="AI11" s="32"/>
      <c r="AJ11" s="32"/>
      <c r="AL11" s="35"/>
    </row>
    <row r="12" spans="1:57" ht="13.15" customHeight="1">
      <c r="A12" s="164" t="s">
        <v>369</v>
      </c>
      <c r="B12" s="141" t="s">
        <v>120</v>
      </c>
      <c r="C12" s="143" t="s">
        <v>120</v>
      </c>
      <c r="D12" s="141" t="s">
        <v>120</v>
      </c>
      <c r="E12" s="141" t="s">
        <v>120</v>
      </c>
      <c r="F12" s="141" t="s">
        <v>120</v>
      </c>
      <c r="G12" s="141" t="s">
        <v>120</v>
      </c>
      <c r="H12" s="60" t="s">
        <v>120</v>
      </c>
      <c r="I12" s="141">
        <v>-12</v>
      </c>
      <c r="J12" s="141" t="s">
        <v>120</v>
      </c>
      <c r="K12" s="141" t="s">
        <v>120</v>
      </c>
      <c r="L12" s="141" t="s">
        <v>120</v>
      </c>
      <c r="M12" s="165">
        <v>-12</v>
      </c>
      <c r="N12" s="171" t="s">
        <v>120</v>
      </c>
      <c r="O12" s="171" t="s">
        <v>120</v>
      </c>
      <c r="P12" s="171" t="s">
        <v>120</v>
      </c>
      <c r="Q12" s="141" t="s">
        <v>120</v>
      </c>
      <c r="R12" s="60" t="s">
        <v>120</v>
      </c>
      <c r="S12" s="171" t="s">
        <v>120</v>
      </c>
      <c r="T12" s="171" t="s">
        <v>120</v>
      </c>
      <c r="U12" s="171" t="s">
        <v>120</v>
      </c>
      <c r="V12" s="141" t="s">
        <v>120</v>
      </c>
      <c r="W12" s="60">
        <v>0</v>
      </c>
      <c r="X12" s="71">
        <v>0</v>
      </c>
      <c r="Y12" s="71">
        <v>0</v>
      </c>
      <c r="Z12" s="71">
        <v>0</v>
      </c>
      <c r="AA12" s="71">
        <v>0</v>
      </c>
      <c r="AB12" s="60">
        <v>0</v>
      </c>
      <c r="AC12" s="71">
        <v>0</v>
      </c>
      <c r="AD12" s="71">
        <v>0</v>
      </c>
      <c r="AE12" s="71">
        <v>0</v>
      </c>
      <c r="AF12" s="71">
        <v>0</v>
      </c>
      <c r="AG12" s="60">
        <v>0</v>
      </c>
      <c r="AH12" s="71">
        <v>0</v>
      </c>
      <c r="AI12" s="71">
        <v>0</v>
      </c>
      <c r="AJ12" s="71">
        <v>0</v>
      </c>
      <c r="AK12" s="71">
        <v>0</v>
      </c>
      <c r="AL12" s="60">
        <v>0</v>
      </c>
    </row>
    <row r="13" spans="1:57" ht="13.15" customHeight="1">
      <c r="C13" s="143"/>
      <c r="H13" s="35"/>
      <c r="M13" s="35"/>
      <c r="N13" s="32"/>
      <c r="O13" s="32"/>
      <c r="P13" s="32"/>
      <c r="R13" s="35"/>
      <c r="S13" s="32"/>
      <c r="T13" s="32"/>
      <c r="U13" s="32"/>
      <c r="W13" s="60"/>
      <c r="X13" s="71"/>
      <c r="Y13" s="71"/>
      <c r="Z13" s="71"/>
      <c r="AB13" s="35"/>
      <c r="AC13" s="71"/>
      <c r="AD13" s="71"/>
      <c r="AE13" s="71"/>
      <c r="AF13" s="71"/>
      <c r="AG13" s="35"/>
      <c r="AH13" s="71"/>
      <c r="AI13" s="71"/>
      <c r="AJ13" s="71"/>
      <c r="AK13" s="71"/>
      <c r="AL13" s="35"/>
    </row>
    <row r="14" spans="1:57" ht="13.15" customHeight="1">
      <c r="A14" s="2" t="s">
        <v>149</v>
      </c>
      <c r="B14" s="141" t="s">
        <v>120</v>
      </c>
      <c r="C14" s="143" t="s">
        <v>120</v>
      </c>
      <c r="D14" s="141" t="s">
        <v>120</v>
      </c>
      <c r="E14" s="142">
        <v>-582</v>
      </c>
      <c r="F14" s="141" t="s">
        <v>120</v>
      </c>
      <c r="G14" s="141" t="s">
        <v>120</v>
      </c>
      <c r="H14" s="165">
        <v>-582</v>
      </c>
      <c r="I14" s="141" t="s">
        <v>120</v>
      </c>
      <c r="J14" s="141" t="s">
        <v>120</v>
      </c>
      <c r="K14" s="141" t="s">
        <v>120</v>
      </c>
      <c r="L14" s="141" t="s">
        <v>120</v>
      </c>
      <c r="M14" s="60" t="s">
        <v>120</v>
      </c>
      <c r="N14" s="171" t="s">
        <v>120</v>
      </c>
      <c r="O14" s="171" t="s">
        <v>120</v>
      </c>
      <c r="P14" s="171" t="s">
        <v>120</v>
      </c>
      <c r="Q14" s="141" t="s">
        <v>120</v>
      </c>
      <c r="R14" s="60" t="s">
        <v>120</v>
      </c>
      <c r="S14" s="171" t="s">
        <v>120</v>
      </c>
      <c r="T14" s="171" t="s">
        <v>120</v>
      </c>
      <c r="U14" s="171" t="s">
        <v>120</v>
      </c>
      <c r="V14" s="141" t="s">
        <v>120</v>
      </c>
      <c r="W14" s="60">
        <v>0</v>
      </c>
      <c r="X14" s="71">
        <v>0</v>
      </c>
      <c r="Y14" s="71">
        <v>0</v>
      </c>
      <c r="Z14" s="71">
        <v>0</v>
      </c>
      <c r="AA14" s="71">
        <v>0</v>
      </c>
      <c r="AB14" s="60">
        <v>0</v>
      </c>
      <c r="AC14" s="71">
        <v>0</v>
      </c>
      <c r="AD14" s="71">
        <v>0</v>
      </c>
      <c r="AE14" s="71">
        <v>0</v>
      </c>
      <c r="AF14" s="71">
        <v>0</v>
      </c>
      <c r="AG14" s="60">
        <v>0</v>
      </c>
      <c r="AH14" s="71">
        <v>0</v>
      </c>
      <c r="AI14" s="71">
        <v>0</v>
      </c>
      <c r="AJ14" s="71">
        <v>0</v>
      </c>
      <c r="AK14" s="71">
        <v>0</v>
      </c>
      <c r="AL14" s="60">
        <v>0</v>
      </c>
    </row>
    <row r="15" spans="1:57" ht="13.15" customHeight="1">
      <c r="A15" s="67"/>
      <c r="B15" s="142"/>
      <c r="C15" s="165"/>
      <c r="D15" s="142"/>
      <c r="E15" s="142"/>
      <c r="F15" s="142"/>
      <c r="G15" s="142"/>
      <c r="H15" s="35"/>
      <c r="I15" s="141"/>
      <c r="J15" s="141"/>
      <c r="K15" s="141"/>
      <c r="L15" s="142"/>
      <c r="M15" s="35"/>
      <c r="N15" s="171"/>
      <c r="O15" s="171"/>
      <c r="P15" s="171"/>
      <c r="Q15" s="142"/>
      <c r="R15" s="35"/>
      <c r="S15" s="171"/>
      <c r="T15" s="171"/>
      <c r="U15" s="171"/>
      <c r="V15" s="142"/>
      <c r="W15" s="60"/>
      <c r="X15" s="71"/>
      <c r="Y15" s="71"/>
      <c r="Z15" s="71"/>
      <c r="AA15" s="142"/>
      <c r="AB15" s="35"/>
      <c r="AC15" s="71"/>
      <c r="AD15" s="71"/>
      <c r="AE15" s="71"/>
      <c r="AF15" s="71"/>
      <c r="AG15" s="35"/>
      <c r="AH15" s="71"/>
      <c r="AI15" s="71"/>
      <c r="AJ15" s="71"/>
      <c r="AK15" s="71"/>
      <c r="AL15" s="35"/>
    </row>
    <row r="16" spans="1:57" ht="13.15" customHeight="1">
      <c r="A16" s="2" t="s">
        <v>219</v>
      </c>
      <c r="B16" s="142"/>
      <c r="C16" s="143" t="s">
        <v>120</v>
      </c>
      <c r="D16" s="142"/>
      <c r="E16" s="142"/>
      <c r="F16" s="142"/>
      <c r="G16" s="142"/>
      <c r="H16" s="143" t="s">
        <v>120</v>
      </c>
      <c r="I16" s="141"/>
      <c r="J16" s="141"/>
      <c r="K16" s="141"/>
      <c r="L16" s="142"/>
      <c r="M16" s="143" t="s">
        <v>120</v>
      </c>
      <c r="N16" s="171" t="s">
        <v>120</v>
      </c>
      <c r="O16" s="171" t="s">
        <v>120</v>
      </c>
      <c r="P16" s="171" t="s">
        <v>120</v>
      </c>
      <c r="Q16" s="141" t="s">
        <v>120</v>
      </c>
      <c r="R16" s="143" t="s">
        <v>120</v>
      </c>
      <c r="S16" s="171" t="s">
        <v>120</v>
      </c>
      <c r="T16" s="171" t="s">
        <v>120</v>
      </c>
      <c r="U16" s="171" t="s">
        <v>120</v>
      </c>
      <c r="V16" s="141" t="s">
        <v>120</v>
      </c>
      <c r="W16" s="60">
        <v>0</v>
      </c>
      <c r="X16" s="71">
        <v>0</v>
      </c>
      <c r="Y16" s="71">
        <v>0</v>
      </c>
      <c r="Z16" s="71">
        <v>0</v>
      </c>
      <c r="AA16" s="141">
        <v>-14</v>
      </c>
      <c r="AB16" s="165">
        <v>-14</v>
      </c>
      <c r="AC16" s="71">
        <v>0</v>
      </c>
      <c r="AD16" s="71">
        <v>0</v>
      </c>
      <c r="AE16" s="71">
        <v>0</v>
      </c>
      <c r="AF16" s="71">
        <v>0</v>
      </c>
      <c r="AG16" s="60">
        <v>0</v>
      </c>
      <c r="AH16" s="71">
        <v>0</v>
      </c>
      <c r="AI16" s="71">
        <v>0</v>
      </c>
      <c r="AJ16" s="71">
        <v>0</v>
      </c>
      <c r="AK16" s="142">
        <f>AL16-AJ16-AI16-AH16</f>
        <v>-22</v>
      </c>
      <c r="AL16" s="165">
        <v>-22</v>
      </c>
    </row>
    <row r="17" spans="1:38" ht="13.15" customHeight="1">
      <c r="A17" s="67"/>
      <c r="B17" s="142"/>
      <c r="C17" s="165"/>
      <c r="D17" s="142"/>
      <c r="E17" s="142"/>
      <c r="F17" s="142"/>
      <c r="G17" s="142"/>
      <c r="H17" s="35"/>
      <c r="I17" s="141"/>
      <c r="J17" s="141"/>
      <c r="K17" s="141"/>
      <c r="L17" s="142"/>
      <c r="M17" s="35"/>
      <c r="N17" s="171"/>
      <c r="O17" s="171"/>
      <c r="P17" s="171"/>
      <c r="Q17" s="142"/>
      <c r="R17" s="35"/>
      <c r="S17" s="171"/>
      <c r="T17" s="171"/>
      <c r="U17" s="171"/>
      <c r="V17" s="142"/>
      <c r="W17" s="35"/>
      <c r="X17" s="171"/>
      <c r="Y17" s="171"/>
      <c r="Z17" s="171"/>
      <c r="AA17" s="142"/>
      <c r="AB17" s="35"/>
      <c r="AC17" s="171"/>
      <c r="AD17" s="171"/>
      <c r="AE17" s="171"/>
      <c r="AF17" s="142"/>
      <c r="AG17" s="35"/>
      <c r="AH17" s="171"/>
      <c r="AI17" s="171"/>
      <c r="AJ17" s="171"/>
      <c r="AK17" s="142"/>
      <c r="AL17" s="35"/>
    </row>
    <row r="18" spans="1:38" ht="27" customHeight="1">
      <c r="A18" s="166" t="s">
        <v>368</v>
      </c>
      <c r="B18" s="142">
        <v>-29</v>
      </c>
      <c r="C18" s="165">
        <v>-120</v>
      </c>
      <c r="D18" s="142">
        <v>-12</v>
      </c>
      <c r="E18" s="142">
        <v>-102</v>
      </c>
      <c r="F18" s="141">
        <v>-27</v>
      </c>
      <c r="G18" s="142">
        <v>-26</v>
      </c>
      <c r="H18" s="165">
        <v>-167</v>
      </c>
      <c r="I18" s="141">
        <v>-11</v>
      </c>
      <c r="J18" s="141">
        <v>-148</v>
      </c>
      <c r="K18" s="141">
        <v>-13</v>
      </c>
      <c r="L18" s="142">
        <f>M18-SUM(I18:K18)</f>
        <v>-62</v>
      </c>
      <c r="M18" s="165">
        <v>-234</v>
      </c>
      <c r="N18" s="171">
        <v>-11</v>
      </c>
      <c r="O18" s="171">
        <v>-29</v>
      </c>
      <c r="P18" s="171">
        <v>-22</v>
      </c>
      <c r="Q18" s="142">
        <f>R18-P18-O18-N18</f>
        <v>-45</v>
      </c>
      <c r="R18" s="165">
        <v>-107</v>
      </c>
      <c r="S18" s="171">
        <v>-6</v>
      </c>
      <c r="T18" s="171">
        <v>-14</v>
      </c>
      <c r="U18" s="171">
        <v>-45</v>
      </c>
      <c r="V18" s="142">
        <f>W18-U18-T18-S18</f>
        <v>-1</v>
      </c>
      <c r="W18" s="165">
        <v>-66</v>
      </c>
      <c r="X18" s="171">
        <v>-1</v>
      </c>
      <c r="Y18" s="171">
        <v>-5</v>
      </c>
      <c r="Z18" s="171">
        <v>-1</v>
      </c>
      <c r="AA18" s="142">
        <f>AB18-Z18-Y18-X18</f>
        <v>6</v>
      </c>
      <c r="AB18" s="165">
        <v>-1</v>
      </c>
      <c r="AC18" s="171">
        <v>-44</v>
      </c>
      <c r="AD18" s="171">
        <v>-417</v>
      </c>
      <c r="AE18" s="171">
        <v>-11</v>
      </c>
      <c r="AF18" s="142">
        <f>AG18-AE18-AD18-AC18</f>
        <v>-36</v>
      </c>
      <c r="AG18" s="165">
        <v>-508</v>
      </c>
      <c r="AH18" s="171">
        <v>-9</v>
      </c>
      <c r="AI18" s="171">
        <v>4</v>
      </c>
      <c r="AJ18" s="171">
        <v>-6</v>
      </c>
      <c r="AK18" s="142">
        <f>AL18-AJ18-AI18-AH18</f>
        <v>-7</v>
      </c>
      <c r="AL18" s="165">
        <v>-18</v>
      </c>
    </row>
    <row r="19" spans="1:38" ht="13.15" customHeight="1">
      <c r="A19" s="67"/>
      <c r="B19" s="142"/>
      <c r="C19" s="165"/>
      <c r="D19" s="142"/>
      <c r="E19" s="142"/>
      <c r="F19" s="142"/>
      <c r="G19" s="142"/>
      <c r="H19" s="165"/>
      <c r="I19" s="141"/>
      <c r="J19" s="141"/>
      <c r="K19" s="141"/>
      <c r="L19" s="142"/>
      <c r="M19" s="165"/>
      <c r="N19" s="171"/>
      <c r="O19" s="171"/>
      <c r="P19" s="171"/>
      <c r="Q19" s="142"/>
      <c r="R19" s="165"/>
      <c r="S19" s="171"/>
      <c r="T19" s="171"/>
      <c r="U19" s="171"/>
      <c r="V19" s="142"/>
      <c r="W19" s="165"/>
      <c r="X19" s="171"/>
      <c r="Y19" s="171"/>
      <c r="Z19" s="171"/>
      <c r="AA19" s="142"/>
      <c r="AB19" s="165"/>
      <c r="AC19" s="171"/>
      <c r="AD19" s="171"/>
      <c r="AE19" s="171"/>
      <c r="AF19" s="142"/>
      <c r="AG19" s="165"/>
      <c r="AH19" s="171"/>
      <c r="AI19" s="171"/>
      <c r="AJ19" s="171"/>
      <c r="AK19" s="142"/>
      <c r="AL19" s="165"/>
    </row>
    <row r="20" spans="1:38" ht="13.15" customHeight="1">
      <c r="A20" s="2" t="s">
        <v>150</v>
      </c>
      <c r="B20" s="142">
        <v>-7</v>
      </c>
      <c r="C20" s="165">
        <v>-47</v>
      </c>
      <c r="D20" s="142">
        <v>-5</v>
      </c>
      <c r="E20" s="141">
        <v>-2</v>
      </c>
      <c r="F20" s="141">
        <v>-1</v>
      </c>
      <c r="G20" s="141" t="s">
        <v>120</v>
      </c>
      <c r="H20" s="165">
        <v>-8</v>
      </c>
      <c r="I20" s="141" t="s">
        <v>120</v>
      </c>
      <c r="J20" s="141" t="s">
        <v>120</v>
      </c>
      <c r="K20" s="141" t="s">
        <v>120</v>
      </c>
      <c r="L20" s="141" t="s">
        <v>120</v>
      </c>
      <c r="M20" s="60" t="s">
        <v>120</v>
      </c>
      <c r="N20" s="171" t="s">
        <v>120</v>
      </c>
      <c r="O20" s="171" t="s">
        <v>120</v>
      </c>
      <c r="P20" s="171" t="s">
        <v>120</v>
      </c>
      <c r="Q20" s="141" t="s">
        <v>120</v>
      </c>
      <c r="R20" s="60" t="s">
        <v>120</v>
      </c>
      <c r="S20" s="171" t="s">
        <v>120</v>
      </c>
      <c r="T20" s="171" t="s">
        <v>120</v>
      </c>
      <c r="U20" s="171" t="s">
        <v>120</v>
      </c>
      <c r="V20" s="141" t="s">
        <v>120</v>
      </c>
      <c r="W20" s="60">
        <v>0</v>
      </c>
      <c r="X20" s="71">
        <v>0</v>
      </c>
      <c r="Y20" s="71">
        <v>0</v>
      </c>
      <c r="Z20" s="71">
        <v>0</v>
      </c>
      <c r="AA20" s="71">
        <v>0</v>
      </c>
      <c r="AB20" s="60">
        <v>0</v>
      </c>
      <c r="AC20" s="171" t="s">
        <v>120</v>
      </c>
      <c r="AD20" s="171" t="s">
        <v>120</v>
      </c>
      <c r="AE20" s="171" t="s">
        <v>120</v>
      </c>
      <c r="AF20" s="141" t="s">
        <v>120</v>
      </c>
      <c r="AG20" s="60">
        <v>0</v>
      </c>
      <c r="AH20" s="71">
        <v>0</v>
      </c>
      <c r="AI20" s="71">
        <v>0</v>
      </c>
      <c r="AJ20" s="71">
        <v>0</v>
      </c>
      <c r="AK20" s="71">
        <f>AL20-AJ20-AI20-AH20</f>
        <v>0</v>
      </c>
      <c r="AL20" s="60">
        <v>0</v>
      </c>
    </row>
    <row r="21" spans="1:38" ht="13.15" customHeight="1">
      <c r="A21" s="67"/>
      <c r="B21" s="142"/>
      <c r="C21" s="165"/>
      <c r="D21" s="142"/>
      <c r="E21" s="142"/>
      <c r="F21" s="142"/>
      <c r="G21" s="142"/>
      <c r="H21" s="165"/>
      <c r="I21" s="142"/>
      <c r="J21" s="142"/>
      <c r="K21" s="142"/>
      <c r="L21" s="142"/>
      <c r="M21" s="165"/>
      <c r="N21" s="172"/>
      <c r="O21" s="172"/>
      <c r="P21" s="172"/>
      <c r="Q21" s="142"/>
      <c r="R21" s="165"/>
      <c r="S21" s="172"/>
      <c r="T21" s="172"/>
      <c r="U21" s="172"/>
      <c r="V21" s="142"/>
      <c r="W21" s="165"/>
      <c r="X21" s="71"/>
      <c r="Y21" s="71"/>
      <c r="Z21" s="71"/>
      <c r="AA21" s="71"/>
      <c r="AB21" s="165"/>
      <c r="AC21" s="172"/>
      <c r="AD21" s="172"/>
      <c r="AE21" s="172"/>
      <c r="AF21" s="142"/>
      <c r="AG21" s="165"/>
      <c r="AH21" s="71"/>
      <c r="AI21" s="71"/>
      <c r="AJ21" s="71"/>
      <c r="AK21" s="142"/>
      <c r="AL21" s="165"/>
    </row>
    <row r="22" spans="1:38" ht="13.15" customHeight="1">
      <c r="A22" s="2" t="s">
        <v>151</v>
      </c>
      <c r="B22" s="142">
        <v>2</v>
      </c>
      <c r="C22" s="143" t="s">
        <v>120</v>
      </c>
      <c r="D22" s="141" t="s">
        <v>120</v>
      </c>
      <c r="E22" s="141" t="s">
        <v>120</v>
      </c>
      <c r="F22" s="141">
        <v>-5</v>
      </c>
      <c r="G22" s="142">
        <f>H22-F22</f>
        <v>-18</v>
      </c>
      <c r="H22" s="165">
        <v>-23</v>
      </c>
      <c r="I22" s="142">
        <v>6</v>
      </c>
      <c r="J22" s="142">
        <v>6</v>
      </c>
      <c r="K22" s="141" t="s">
        <v>120</v>
      </c>
      <c r="L22" s="142">
        <f>M22-SUM(I22:K22)</f>
        <v>22</v>
      </c>
      <c r="M22" s="165">
        <v>34</v>
      </c>
      <c r="N22" s="171" t="s">
        <v>120</v>
      </c>
      <c r="O22" s="171" t="s">
        <v>120</v>
      </c>
      <c r="P22" s="171" t="s">
        <v>120</v>
      </c>
      <c r="Q22" s="142"/>
      <c r="R22" s="165"/>
      <c r="S22" s="171" t="s">
        <v>120</v>
      </c>
      <c r="T22" s="171" t="s">
        <v>120</v>
      </c>
      <c r="U22" s="171" t="s">
        <v>120</v>
      </c>
      <c r="V22" s="141" t="s">
        <v>120</v>
      </c>
      <c r="W22" s="60">
        <v>0</v>
      </c>
      <c r="X22" s="71">
        <v>0</v>
      </c>
      <c r="Y22" s="71">
        <v>0</v>
      </c>
      <c r="Z22" s="71">
        <v>0</v>
      </c>
      <c r="AA22" s="71">
        <v>0</v>
      </c>
      <c r="AB22" s="60">
        <v>0</v>
      </c>
      <c r="AC22" s="171" t="s">
        <v>120</v>
      </c>
      <c r="AD22" s="171" t="s">
        <v>120</v>
      </c>
      <c r="AE22" s="171" t="s">
        <v>120</v>
      </c>
      <c r="AF22" s="141" t="s">
        <v>120</v>
      </c>
      <c r="AG22" s="60">
        <v>0</v>
      </c>
      <c r="AH22" s="71">
        <v>0</v>
      </c>
      <c r="AI22" s="71">
        <v>0</v>
      </c>
      <c r="AJ22" s="71">
        <v>0</v>
      </c>
      <c r="AK22" s="71">
        <f>AL22-AJ22-AI22-AH22</f>
        <v>0</v>
      </c>
      <c r="AL22" s="60">
        <v>0</v>
      </c>
    </row>
    <row r="23" spans="1:38" ht="13.15" customHeight="1">
      <c r="A23" s="67"/>
      <c r="B23" s="142"/>
      <c r="C23" s="165"/>
      <c r="D23" s="142"/>
      <c r="E23" s="142"/>
      <c r="F23" s="142"/>
      <c r="G23" s="142"/>
      <c r="H23" s="35"/>
      <c r="I23" s="142"/>
      <c r="J23" s="142"/>
      <c r="K23" s="142"/>
      <c r="L23" s="142"/>
      <c r="M23" s="35"/>
      <c r="N23" s="172"/>
      <c r="O23" s="172"/>
      <c r="P23" s="172"/>
      <c r="Q23" s="142"/>
      <c r="R23" s="35"/>
      <c r="S23" s="172"/>
      <c r="T23" s="172"/>
      <c r="U23" s="172"/>
      <c r="V23" s="142"/>
      <c r="W23" s="35"/>
      <c r="X23" s="71"/>
      <c r="Y23" s="71"/>
      <c r="Z23" s="71"/>
      <c r="AA23" s="71"/>
      <c r="AB23" s="35"/>
      <c r="AC23" s="172"/>
      <c r="AD23" s="172"/>
      <c r="AE23" s="172"/>
      <c r="AF23" s="142"/>
      <c r="AG23" s="35"/>
      <c r="AH23" s="172"/>
      <c r="AI23" s="172"/>
      <c r="AJ23" s="172"/>
      <c r="AK23" s="142"/>
      <c r="AL23" s="35"/>
    </row>
    <row r="24" spans="1:38" ht="25.5" customHeight="1">
      <c r="A24" s="166" t="s">
        <v>319</v>
      </c>
      <c r="B24" s="142">
        <v>53</v>
      </c>
      <c r="C24" s="165">
        <v>90</v>
      </c>
      <c r="D24" s="142">
        <v>8</v>
      </c>
      <c r="E24" s="142">
        <v>117</v>
      </c>
      <c r="F24" s="142">
        <v>8</v>
      </c>
      <c r="G24" s="142">
        <v>43</v>
      </c>
      <c r="H24" s="60">
        <v>176</v>
      </c>
      <c r="I24" s="141" t="s">
        <v>120</v>
      </c>
      <c r="J24" s="141">
        <v>1</v>
      </c>
      <c r="K24" s="141" t="s">
        <v>120</v>
      </c>
      <c r="L24" s="142">
        <f>M24-SUM(I24:K24)</f>
        <v>116</v>
      </c>
      <c r="M24" s="165">
        <v>117</v>
      </c>
      <c r="N24" s="171">
        <v>1</v>
      </c>
      <c r="O24" s="171">
        <v>14</v>
      </c>
      <c r="P24" s="171">
        <v>3</v>
      </c>
      <c r="Q24" s="142">
        <f>R24-P24-O24-N24</f>
        <v>78</v>
      </c>
      <c r="R24" s="165">
        <v>96</v>
      </c>
      <c r="S24" s="171" t="s">
        <v>120</v>
      </c>
      <c r="T24" s="171">
        <v>12</v>
      </c>
      <c r="U24" s="171">
        <v>3</v>
      </c>
      <c r="V24" s="142">
        <f>W24-U24-T24</f>
        <v>8</v>
      </c>
      <c r="W24" s="165">
        <v>23</v>
      </c>
      <c r="X24" s="171">
        <v>12</v>
      </c>
      <c r="Y24" s="171">
        <v>81</v>
      </c>
      <c r="Z24" s="171">
        <v>6</v>
      </c>
      <c r="AA24" s="142">
        <f>AB24-X24-Y24-Z24</f>
        <v>448</v>
      </c>
      <c r="AB24" s="165">
        <v>547</v>
      </c>
      <c r="AC24" s="171">
        <v>-25</v>
      </c>
      <c r="AD24" s="171">
        <v>1</v>
      </c>
      <c r="AE24" s="171">
        <v>3</v>
      </c>
      <c r="AF24" s="142">
        <f>AG24-AC24-AD24-AE24</f>
        <v>130</v>
      </c>
      <c r="AG24" s="165">
        <v>109</v>
      </c>
      <c r="AH24" s="171">
        <v>5</v>
      </c>
      <c r="AI24" s="171">
        <v>-5</v>
      </c>
      <c r="AJ24" s="71">
        <v>0</v>
      </c>
      <c r="AK24" s="71">
        <f>AL24-AH24-AI24-AJ24</f>
        <v>64</v>
      </c>
      <c r="AL24" s="60">
        <v>64</v>
      </c>
    </row>
    <row r="25" spans="1:38" ht="13.15" customHeight="1">
      <c r="A25" s="67"/>
      <c r="B25" s="142"/>
      <c r="C25" s="165"/>
      <c r="D25" s="142"/>
      <c r="E25" s="142"/>
      <c r="F25" s="142"/>
      <c r="G25" s="142"/>
      <c r="H25" s="35"/>
      <c r="I25" s="142"/>
      <c r="J25" s="142"/>
      <c r="K25" s="142"/>
      <c r="L25" s="142"/>
      <c r="M25" s="35"/>
      <c r="N25" s="172"/>
      <c r="O25" s="172"/>
      <c r="P25" s="172"/>
      <c r="Q25" s="142"/>
      <c r="R25" s="35"/>
      <c r="S25" s="172"/>
      <c r="T25" s="172"/>
      <c r="U25" s="172"/>
      <c r="V25" s="142"/>
      <c r="W25" s="35"/>
      <c r="X25" s="172"/>
      <c r="Y25" s="172"/>
      <c r="Z25" s="172"/>
      <c r="AA25" s="142"/>
      <c r="AB25" s="35"/>
      <c r="AC25" s="172"/>
      <c r="AD25" s="172"/>
      <c r="AE25" s="172"/>
      <c r="AF25" s="142"/>
      <c r="AG25" s="35"/>
      <c r="AH25" s="172"/>
      <c r="AI25" s="172"/>
      <c r="AJ25" s="172"/>
      <c r="AK25" s="142"/>
      <c r="AL25" s="35"/>
    </row>
    <row r="26" spans="1:38" ht="38.25" customHeight="1">
      <c r="A26" s="166" t="s">
        <v>318</v>
      </c>
      <c r="B26" s="142">
        <v>61</v>
      </c>
      <c r="C26" s="165">
        <v>61</v>
      </c>
      <c r="D26" s="141" t="s">
        <v>120</v>
      </c>
      <c r="E26" s="141" t="s">
        <v>120</v>
      </c>
      <c r="F26" s="141" t="s">
        <v>120</v>
      </c>
      <c r="G26" s="142">
        <v>18</v>
      </c>
      <c r="H26" s="165">
        <v>18</v>
      </c>
      <c r="I26" s="141" t="s">
        <v>120</v>
      </c>
      <c r="J26" s="141" t="s">
        <v>120</v>
      </c>
      <c r="K26" s="141" t="s">
        <v>120</v>
      </c>
      <c r="L26" s="141" t="s">
        <v>120</v>
      </c>
      <c r="M26" s="60" t="s">
        <v>120</v>
      </c>
      <c r="N26" s="171" t="s">
        <v>120</v>
      </c>
      <c r="O26" s="171" t="s">
        <v>120</v>
      </c>
      <c r="P26" s="171" t="s">
        <v>120</v>
      </c>
      <c r="Q26" s="141" t="s">
        <v>120</v>
      </c>
      <c r="R26" s="60" t="s">
        <v>120</v>
      </c>
      <c r="S26" s="171" t="s">
        <v>120</v>
      </c>
      <c r="T26" s="171" t="s">
        <v>120</v>
      </c>
      <c r="U26" s="171" t="s">
        <v>120</v>
      </c>
      <c r="V26" s="141" t="s">
        <v>120</v>
      </c>
      <c r="W26" s="60">
        <v>3</v>
      </c>
      <c r="X26" s="71">
        <v>0</v>
      </c>
      <c r="Y26" s="171">
        <v>2</v>
      </c>
      <c r="Z26" s="171">
        <v>6</v>
      </c>
      <c r="AA26" s="171">
        <v>4</v>
      </c>
      <c r="AB26" s="60">
        <v>12</v>
      </c>
      <c r="AC26" s="171">
        <v>45</v>
      </c>
      <c r="AD26" s="171" t="s">
        <v>120</v>
      </c>
      <c r="AE26" s="171">
        <v>45</v>
      </c>
      <c r="AF26" s="141">
        <v>77</v>
      </c>
      <c r="AG26" s="165">
        <f>AF26+AE26+AC26</f>
        <v>167</v>
      </c>
      <c r="AH26" s="71">
        <v>0</v>
      </c>
      <c r="AI26" s="171">
        <v>-5</v>
      </c>
      <c r="AJ26" s="71">
        <v>0</v>
      </c>
      <c r="AK26" s="71">
        <f>AL26-AJ26-AI26-AH26</f>
        <v>14</v>
      </c>
      <c r="AL26" s="60">
        <v>9</v>
      </c>
    </row>
    <row r="27" spans="1:38" ht="12" customHeight="1">
      <c r="A27" s="67"/>
      <c r="B27" s="142"/>
      <c r="C27" s="165"/>
      <c r="D27" s="142"/>
      <c r="E27" s="142"/>
      <c r="F27" s="142"/>
      <c r="G27" s="142"/>
      <c r="H27" s="35"/>
      <c r="I27" s="142"/>
      <c r="J27" s="142"/>
      <c r="K27" s="142"/>
      <c r="L27" s="142"/>
      <c r="M27" s="35"/>
      <c r="N27" s="172"/>
      <c r="O27" s="172"/>
      <c r="P27" s="172"/>
      <c r="Q27" s="142"/>
      <c r="R27" s="35"/>
      <c r="S27" s="172"/>
      <c r="T27" s="172"/>
      <c r="U27" s="172"/>
      <c r="V27" s="142"/>
      <c r="W27" s="35"/>
      <c r="X27" s="172"/>
      <c r="Y27" s="172"/>
      <c r="Z27" s="172"/>
      <c r="AA27" s="142"/>
      <c r="AB27" s="35"/>
      <c r="AC27" s="172"/>
      <c r="AD27" s="172"/>
      <c r="AE27" s="172"/>
      <c r="AF27" s="142"/>
      <c r="AG27" s="35"/>
      <c r="AH27" s="172"/>
      <c r="AI27" s="172"/>
      <c r="AJ27" s="172"/>
      <c r="AK27" s="142"/>
      <c r="AL27" s="35"/>
    </row>
    <row r="28" spans="1:38" ht="27" customHeight="1">
      <c r="A28" s="166" t="s">
        <v>152</v>
      </c>
      <c r="B28" s="141">
        <v>1</v>
      </c>
      <c r="C28" s="165">
        <v>1</v>
      </c>
      <c r="D28" s="141" t="s">
        <v>120</v>
      </c>
      <c r="E28" s="141" t="s">
        <v>120</v>
      </c>
      <c r="F28" s="141" t="s">
        <v>120</v>
      </c>
      <c r="G28" s="141" t="s">
        <v>120</v>
      </c>
      <c r="H28" s="60" t="s">
        <v>120</v>
      </c>
      <c r="I28" s="141" t="s">
        <v>120</v>
      </c>
      <c r="J28" s="141" t="s">
        <v>120</v>
      </c>
      <c r="K28" s="141" t="s">
        <v>120</v>
      </c>
      <c r="L28" s="141" t="s">
        <v>120</v>
      </c>
      <c r="M28" s="60" t="s">
        <v>120</v>
      </c>
      <c r="N28" s="171" t="s">
        <v>120</v>
      </c>
      <c r="O28" s="171" t="s">
        <v>120</v>
      </c>
      <c r="P28" s="171" t="s">
        <v>120</v>
      </c>
      <c r="Q28" s="141" t="s">
        <v>120</v>
      </c>
      <c r="R28" s="60" t="s">
        <v>120</v>
      </c>
      <c r="S28" s="171" t="s">
        <v>120</v>
      </c>
      <c r="T28" s="171" t="s">
        <v>120</v>
      </c>
      <c r="U28" s="171" t="s">
        <v>120</v>
      </c>
      <c r="V28" s="141" t="s">
        <v>120</v>
      </c>
      <c r="W28" s="60">
        <v>0</v>
      </c>
      <c r="X28" s="71">
        <v>0</v>
      </c>
      <c r="Y28" s="71">
        <v>0</v>
      </c>
      <c r="Z28" s="71">
        <v>0</v>
      </c>
      <c r="AA28" s="71">
        <v>0</v>
      </c>
      <c r="AB28" s="60">
        <v>0</v>
      </c>
      <c r="AC28" s="71">
        <v>0</v>
      </c>
      <c r="AD28" s="71">
        <v>0</v>
      </c>
      <c r="AE28" s="71">
        <v>0</v>
      </c>
      <c r="AF28" s="71">
        <v>0</v>
      </c>
      <c r="AG28" s="60">
        <v>0</v>
      </c>
      <c r="AH28" s="71">
        <v>0</v>
      </c>
      <c r="AI28" s="71">
        <v>0</v>
      </c>
      <c r="AJ28" s="71">
        <v>0</v>
      </c>
      <c r="AK28" s="71">
        <v>0</v>
      </c>
      <c r="AL28" s="60">
        <v>0</v>
      </c>
    </row>
    <row r="29" spans="1:38" ht="13.15" customHeight="1">
      <c r="A29" s="67"/>
      <c r="B29" s="141"/>
      <c r="C29" s="165"/>
      <c r="D29" s="141"/>
      <c r="E29" s="141"/>
      <c r="F29" s="141"/>
      <c r="G29" s="141"/>
      <c r="H29" s="60"/>
      <c r="I29" s="141"/>
      <c r="J29" s="141"/>
      <c r="K29" s="141"/>
      <c r="L29" s="141"/>
      <c r="M29" s="60"/>
      <c r="N29" s="171"/>
      <c r="O29" s="171"/>
      <c r="P29" s="171"/>
      <c r="Q29" s="141"/>
      <c r="R29" s="60"/>
      <c r="S29" s="171"/>
      <c r="T29" s="171"/>
      <c r="U29" s="171"/>
      <c r="V29" s="141"/>
      <c r="W29" s="60"/>
      <c r="X29" s="171"/>
      <c r="Y29" s="171"/>
      <c r="Z29" s="171"/>
      <c r="AA29" s="141"/>
      <c r="AB29" s="60"/>
      <c r="AC29" s="71"/>
      <c r="AD29" s="71"/>
      <c r="AE29" s="71"/>
      <c r="AF29" s="71"/>
      <c r="AG29" s="60"/>
      <c r="AH29" s="171"/>
      <c r="AI29" s="171"/>
      <c r="AJ29" s="171"/>
      <c r="AK29" s="141"/>
      <c r="AL29" s="60"/>
    </row>
    <row r="30" spans="1:38" ht="13.15" customHeight="1">
      <c r="A30" s="166" t="s">
        <v>322</v>
      </c>
      <c r="B30" s="141"/>
      <c r="C30" s="165"/>
      <c r="D30" s="141"/>
      <c r="E30" s="141"/>
      <c r="F30" s="141"/>
      <c r="G30" s="141"/>
      <c r="H30" s="60"/>
      <c r="I30" s="141"/>
      <c r="J30" s="141"/>
      <c r="K30" s="141"/>
      <c r="L30" s="141"/>
      <c r="M30" s="60"/>
      <c r="N30" s="171"/>
      <c r="O30" s="171"/>
      <c r="P30" s="171"/>
      <c r="Q30" s="141"/>
      <c r="R30" s="60"/>
      <c r="S30" s="171"/>
      <c r="T30" s="171"/>
      <c r="U30" s="171"/>
      <c r="V30" s="141"/>
      <c r="W30" s="60">
        <v>0</v>
      </c>
      <c r="X30" s="71">
        <v>0</v>
      </c>
      <c r="Y30" s="71">
        <v>0</v>
      </c>
      <c r="Z30" s="71">
        <v>0</v>
      </c>
      <c r="AA30" s="71">
        <v>0</v>
      </c>
      <c r="AB30" s="60">
        <v>0</v>
      </c>
      <c r="AC30" s="71">
        <v>0</v>
      </c>
      <c r="AD30" s="71">
        <v>0</v>
      </c>
      <c r="AE30" s="71">
        <v>0</v>
      </c>
      <c r="AF30" s="71">
        <v>0</v>
      </c>
      <c r="AG30" s="60">
        <v>0</v>
      </c>
      <c r="AH30" s="71">
        <v>0</v>
      </c>
      <c r="AI30" s="171">
        <v>-9</v>
      </c>
      <c r="AJ30" s="71">
        <v>0</v>
      </c>
      <c r="AK30" s="71">
        <f>AL30-AJ30-AI30-AH30</f>
        <v>0</v>
      </c>
      <c r="AL30" s="165">
        <v>-9</v>
      </c>
    </row>
    <row r="31" spans="1:38" ht="13.15" customHeight="1">
      <c r="A31" s="67"/>
      <c r="B31" s="141"/>
      <c r="C31" s="165"/>
      <c r="D31" s="141"/>
      <c r="E31" s="141"/>
      <c r="F31" s="141"/>
      <c r="G31" s="141"/>
      <c r="H31" s="60"/>
      <c r="I31" s="141"/>
      <c r="J31" s="141"/>
      <c r="K31" s="141"/>
      <c r="L31" s="141"/>
      <c r="M31" s="60"/>
      <c r="N31" s="171"/>
      <c r="O31" s="171"/>
      <c r="P31" s="171"/>
      <c r="Q31" s="141"/>
      <c r="R31" s="60"/>
      <c r="S31" s="171"/>
      <c r="T31" s="171"/>
      <c r="U31" s="171"/>
      <c r="V31" s="141"/>
      <c r="W31" s="60"/>
      <c r="X31" s="171"/>
      <c r="Y31" s="171"/>
      <c r="Z31" s="171"/>
      <c r="AA31" s="141"/>
      <c r="AB31" s="60"/>
      <c r="AC31" s="171"/>
      <c r="AD31" s="171"/>
      <c r="AE31" s="171"/>
      <c r="AF31" s="141"/>
      <c r="AG31" s="60"/>
      <c r="AH31" s="171"/>
      <c r="AI31" s="171"/>
      <c r="AJ31" s="171"/>
      <c r="AK31" s="141"/>
      <c r="AL31" s="60"/>
    </row>
    <row r="32" spans="1:38" ht="13.15" customHeight="1">
      <c r="A32" s="166" t="s">
        <v>380</v>
      </c>
      <c r="B32" s="141"/>
      <c r="C32" s="165"/>
      <c r="D32" s="141"/>
      <c r="E32" s="141"/>
      <c r="F32" s="141"/>
      <c r="G32" s="141"/>
      <c r="H32" s="60"/>
      <c r="I32" s="141"/>
      <c r="J32" s="141"/>
      <c r="K32" s="141"/>
      <c r="L32" s="141"/>
      <c r="M32" s="60"/>
      <c r="N32" s="171"/>
      <c r="O32" s="171"/>
      <c r="P32" s="171"/>
      <c r="Q32" s="141"/>
      <c r="R32" s="60"/>
      <c r="S32" s="171"/>
      <c r="T32" s="171"/>
      <c r="U32" s="171"/>
      <c r="V32" s="141"/>
      <c r="W32" s="60">
        <v>0</v>
      </c>
      <c r="X32" s="71">
        <v>0</v>
      </c>
      <c r="Y32" s="71">
        <v>0</v>
      </c>
      <c r="Z32" s="71">
        <v>0</v>
      </c>
      <c r="AA32" s="71">
        <v>0</v>
      </c>
      <c r="AB32" s="60">
        <v>0</v>
      </c>
      <c r="AC32" s="71">
        <v>0</v>
      </c>
      <c r="AD32" s="71">
        <v>0</v>
      </c>
      <c r="AE32" s="71">
        <v>0</v>
      </c>
      <c r="AF32" s="71">
        <v>0</v>
      </c>
      <c r="AG32" s="60">
        <v>0</v>
      </c>
      <c r="AH32" s="71">
        <v>0</v>
      </c>
      <c r="AI32" s="71">
        <v>0</v>
      </c>
      <c r="AJ32" s="71">
        <v>0</v>
      </c>
      <c r="AK32" s="71">
        <f>AL32-AJ32-AI32-AH32</f>
        <v>40</v>
      </c>
      <c r="AL32" s="165">
        <v>40</v>
      </c>
    </row>
    <row r="33" spans="1:56" ht="13.15" customHeight="1">
      <c r="A33" s="67"/>
      <c r="B33" s="141"/>
      <c r="C33" s="165"/>
      <c r="D33" s="141"/>
      <c r="E33" s="141"/>
      <c r="F33" s="141"/>
      <c r="G33" s="141"/>
      <c r="H33" s="60"/>
      <c r="I33" s="141"/>
      <c r="J33" s="141"/>
      <c r="K33" s="141"/>
      <c r="L33" s="141"/>
      <c r="M33" s="60"/>
      <c r="N33" s="171"/>
      <c r="O33" s="171"/>
      <c r="P33" s="171"/>
      <c r="Q33" s="141"/>
      <c r="R33" s="60"/>
      <c r="S33" s="171"/>
      <c r="T33" s="171"/>
      <c r="U33" s="171"/>
      <c r="V33" s="141"/>
      <c r="W33" s="60"/>
      <c r="X33" s="171"/>
      <c r="Y33" s="171"/>
      <c r="Z33" s="171"/>
      <c r="AA33" s="141"/>
      <c r="AB33" s="60"/>
      <c r="AC33" s="171"/>
      <c r="AD33" s="171"/>
      <c r="AE33" s="171"/>
      <c r="AF33" s="141"/>
      <c r="AG33" s="60"/>
      <c r="AH33" s="171"/>
      <c r="AI33" s="171"/>
      <c r="AJ33" s="171"/>
      <c r="AK33" s="141"/>
      <c r="AL33" s="60"/>
    </row>
    <row r="34" spans="1:56" ht="13.15" customHeight="1">
      <c r="A34" s="166" t="s">
        <v>222</v>
      </c>
      <c r="B34" s="141" t="s">
        <v>120</v>
      </c>
      <c r="C34" s="143" t="s">
        <v>120</v>
      </c>
      <c r="D34" s="142">
        <v>1</v>
      </c>
      <c r="E34" s="142">
        <v>1</v>
      </c>
      <c r="F34" s="141" t="s">
        <v>120</v>
      </c>
      <c r="G34" s="141">
        <v>-2</v>
      </c>
      <c r="H34" s="60" t="s">
        <v>120</v>
      </c>
      <c r="I34" s="141" t="s">
        <v>120</v>
      </c>
      <c r="J34" s="141" t="s">
        <v>120</v>
      </c>
      <c r="K34" s="141" t="s">
        <v>120</v>
      </c>
      <c r="L34" s="141" t="s">
        <v>120</v>
      </c>
      <c r="M34" s="60" t="s">
        <v>120</v>
      </c>
      <c r="N34" s="171">
        <v>15</v>
      </c>
      <c r="O34" s="171">
        <v>3</v>
      </c>
      <c r="P34" s="171">
        <v>-7</v>
      </c>
      <c r="Q34" s="141" t="s">
        <v>120</v>
      </c>
      <c r="R34" s="60">
        <v>11</v>
      </c>
      <c r="S34" s="171">
        <v>2</v>
      </c>
      <c r="T34" s="171">
        <v>1</v>
      </c>
      <c r="U34" s="171">
        <v>19</v>
      </c>
      <c r="V34" s="142">
        <f>W34-U34-T34-S34</f>
        <v>-1</v>
      </c>
      <c r="W34" s="60">
        <v>21</v>
      </c>
      <c r="X34" s="171">
        <v>12</v>
      </c>
      <c r="Y34" s="171">
        <v>8</v>
      </c>
      <c r="Z34" s="171">
        <v>1</v>
      </c>
      <c r="AA34" s="142">
        <f>AB34-Z34-Y34-X34</f>
        <v>69</v>
      </c>
      <c r="AB34" s="165">
        <v>90</v>
      </c>
      <c r="AC34" s="171">
        <v>-1</v>
      </c>
      <c r="AD34" s="171">
        <v>2</v>
      </c>
      <c r="AE34" s="171">
        <v>2</v>
      </c>
      <c r="AF34" s="142">
        <f>AG34-AE34-AD34-AC34</f>
        <v>8</v>
      </c>
      <c r="AG34" s="165">
        <v>11</v>
      </c>
      <c r="AH34" s="171">
        <v>1</v>
      </c>
      <c r="AI34" s="171">
        <v>-4</v>
      </c>
      <c r="AJ34" s="171">
        <v>-1</v>
      </c>
      <c r="AK34" s="142">
        <f>AL34-AJ34-AI34-AH34</f>
        <v>14</v>
      </c>
      <c r="AL34" s="60">
        <v>10</v>
      </c>
    </row>
    <row r="35" spans="1:56" ht="13.15" customHeight="1">
      <c r="A35" s="167"/>
      <c r="B35" s="142"/>
      <c r="C35" s="165"/>
      <c r="D35" s="142"/>
      <c r="E35" s="142"/>
      <c r="F35" s="142"/>
      <c r="G35" s="142"/>
      <c r="H35" s="165"/>
      <c r="I35" s="142"/>
      <c r="J35" s="142"/>
      <c r="K35" s="142"/>
      <c r="L35" s="142"/>
      <c r="M35" s="165"/>
      <c r="N35" s="172"/>
      <c r="O35" s="172"/>
      <c r="P35" s="172"/>
      <c r="Q35" s="142"/>
      <c r="R35" s="165"/>
      <c r="S35" s="172"/>
      <c r="T35" s="172"/>
      <c r="U35" s="172"/>
      <c r="V35" s="142"/>
      <c r="W35" s="165"/>
      <c r="X35" s="172"/>
      <c r="Y35" s="172"/>
      <c r="Z35" s="172"/>
      <c r="AA35" s="142"/>
      <c r="AB35" s="165"/>
      <c r="AC35" s="172"/>
      <c r="AD35" s="172"/>
      <c r="AE35" s="172"/>
      <c r="AF35" s="142"/>
      <c r="AG35" s="165"/>
      <c r="AH35" s="172"/>
      <c r="AI35" s="172"/>
      <c r="AJ35" s="172"/>
      <c r="AK35" s="142"/>
      <c r="AL35" s="165"/>
    </row>
    <row r="36" spans="1:56" ht="13.15" customHeight="1">
      <c r="A36" s="168" t="s">
        <v>153</v>
      </c>
      <c r="B36" s="169">
        <f t="shared" ref="B36:S36" si="0">SUM(B12:B34)</f>
        <v>81</v>
      </c>
      <c r="C36" s="170">
        <f t="shared" si="0"/>
        <v>-15</v>
      </c>
      <c r="D36" s="169">
        <f t="shared" si="0"/>
        <v>-8</v>
      </c>
      <c r="E36" s="169">
        <f t="shared" si="0"/>
        <v>-568</v>
      </c>
      <c r="F36" s="169">
        <f t="shared" si="0"/>
        <v>-25</v>
      </c>
      <c r="G36" s="169">
        <f t="shared" si="0"/>
        <v>15</v>
      </c>
      <c r="H36" s="170">
        <f t="shared" si="0"/>
        <v>-586</v>
      </c>
      <c r="I36" s="169">
        <f t="shared" si="0"/>
        <v>-17</v>
      </c>
      <c r="J36" s="169">
        <f t="shared" si="0"/>
        <v>-141</v>
      </c>
      <c r="K36" s="169">
        <f t="shared" si="0"/>
        <v>-13</v>
      </c>
      <c r="L36" s="169">
        <f t="shared" si="0"/>
        <v>76</v>
      </c>
      <c r="M36" s="170">
        <f t="shared" si="0"/>
        <v>-95</v>
      </c>
      <c r="N36" s="173">
        <f t="shared" si="0"/>
        <v>5</v>
      </c>
      <c r="O36" s="173">
        <f t="shared" si="0"/>
        <v>-12</v>
      </c>
      <c r="P36" s="173">
        <f t="shared" si="0"/>
        <v>-26</v>
      </c>
      <c r="Q36" s="169">
        <f t="shared" si="0"/>
        <v>33</v>
      </c>
      <c r="R36" s="170">
        <f t="shared" si="0"/>
        <v>0</v>
      </c>
      <c r="S36" s="173">
        <f t="shared" si="0"/>
        <v>-4</v>
      </c>
      <c r="T36" s="173">
        <f t="shared" ref="T36:U36" si="1">SUM(T12:T34)</f>
        <v>-1</v>
      </c>
      <c r="U36" s="173">
        <f t="shared" si="1"/>
        <v>-23</v>
      </c>
      <c r="V36" s="169">
        <f>SUM(V12:V34)</f>
        <v>6</v>
      </c>
      <c r="W36" s="170">
        <f>SUM(W12:W35)</f>
        <v>-19</v>
      </c>
      <c r="X36" s="173">
        <f>SUM(X12:X34)</f>
        <v>23</v>
      </c>
      <c r="Y36" s="173">
        <f>SUM(Y12:Y34)</f>
        <v>86</v>
      </c>
      <c r="Z36" s="173">
        <f>SUM(Z12:Z34)</f>
        <v>12</v>
      </c>
      <c r="AA36" s="169">
        <f>SUM(AA12:AA34)</f>
        <v>513</v>
      </c>
      <c r="AB36" s="170">
        <f>SUM(AB12:AB35)</f>
        <v>634</v>
      </c>
      <c r="AC36" s="173">
        <f>SUM(AC12:AC34)</f>
        <v>-25</v>
      </c>
      <c r="AD36" s="173">
        <f>SUM(AD12:AD34)</f>
        <v>-414</v>
      </c>
      <c r="AE36" s="173">
        <f>SUM(AE12:AE34)</f>
        <v>39</v>
      </c>
      <c r="AF36" s="169">
        <f>AG36-AE36-AD36-AC36</f>
        <v>179</v>
      </c>
      <c r="AG36" s="170">
        <f>SUM(AG12:AG35)</f>
        <v>-221</v>
      </c>
      <c r="AH36" s="173">
        <f>SUM(AH12:AH34)</f>
        <v>-3</v>
      </c>
      <c r="AI36" s="173">
        <f>SUM(AI12:AI34)</f>
        <v>-19</v>
      </c>
      <c r="AJ36" s="173">
        <f>SUM(AJ12:AJ34)</f>
        <v>-7</v>
      </c>
      <c r="AK36" s="169">
        <f>AL36-AJ36-AI36-AH36</f>
        <v>103</v>
      </c>
      <c r="AL36" s="170">
        <f>SUM(AL12:AL35)</f>
        <v>74</v>
      </c>
    </row>
    <row r="37" spans="1:56" ht="3"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row>
    <row r="38" spans="1:56" ht="6" customHeight="1">
      <c r="A38" s="4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row>
    <row r="39" spans="1:56" ht="20.25">
      <c r="A39" s="33" t="s">
        <v>412</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row>
    <row r="40" spans="1:56">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row>
    <row r="41" spans="1:56">
      <c r="A41" s="38" t="s">
        <v>389</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row>
    <row r="42" spans="1:56">
      <c r="A42" s="2" t="s">
        <v>398</v>
      </c>
      <c r="W42" s="60"/>
      <c r="AB42" s="165">
        <v>370</v>
      </c>
      <c r="AC42" s="2">
        <v>85</v>
      </c>
      <c r="AD42" s="2">
        <v>89</v>
      </c>
      <c r="AE42" s="2">
        <v>94</v>
      </c>
      <c r="AF42" s="2">
        <f>AG42-AE42-AD42-AC42</f>
        <v>81</v>
      </c>
      <c r="AG42" s="165">
        <v>349</v>
      </c>
      <c r="AH42" s="2">
        <v>73</v>
      </c>
      <c r="AI42" s="2">
        <v>72</v>
      </c>
      <c r="AJ42" s="2">
        <v>66</v>
      </c>
      <c r="AK42" s="2">
        <f>AL42-AJ42-AI42-AH42</f>
        <v>62</v>
      </c>
      <c r="AL42" s="165">
        <v>273</v>
      </c>
    </row>
    <row r="43" spans="1:56" ht="12.75" customHeight="1">
      <c r="A43" s="166" t="s">
        <v>399</v>
      </c>
      <c r="W43" s="60"/>
      <c r="AB43" s="60">
        <v>0</v>
      </c>
      <c r="AC43" s="71">
        <v>0</v>
      </c>
      <c r="AD43" s="71">
        <v>0</v>
      </c>
      <c r="AE43" s="2">
        <v>73</v>
      </c>
      <c r="AF43" s="2">
        <f t="shared" ref="AF43:AF54" si="2">AG43-AE43-AD43-AC43</f>
        <v>20</v>
      </c>
      <c r="AG43" s="165">
        <v>93</v>
      </c>
      <c r="AH43" s="71">
        <v>0</v>
      </c>
      <c r="AI43" s="2">
        <v>51</v>
      </c>
      <c r="AJ43" s="71">
        <v>0</v>
      </c>
      <c r="AK43" s="2">
        <f t="shared" ref="AK43:AK54" si="3">AL43-AJ43-AI43-AH43</f>
        <v>14</v>
      </c>
      <c r="AL43" s="165">
        <v>65</v>
      </c>
    </row>
    <row r="44" spans="1:56">
      <c r="A44" s="2" t="s">
        <v>400</v>
      </c>
      <c r="W44" s="60"/>
      <c r="AB44" s="165">
        <v>26</v>
      </c>
      <c r="AC44" s="2">
        <v>6</v>
      </c>
      <c r="AD44" s="2">
        <v>7</v>
      </c>
      <c r="AE44" s="2">
        <v>9</v>
      </c>
      <c r="AF44" s="2">
        <f t="shared" si="2"/>
        <v>7</v>
      </c>
      <c r="AG44" s="165">
        <v>29</v>
      </c>
      <c r="AH44" s="2">
        <v>7</v>
      </c>
      <c r="AI44" s="2">
        <v>7</v>
      </c>
      <c r="AJ44" s="2">
        <v>7</v>
      </c>
      <c r="AK44" s="2">
        <f t="shared" si="3"/>
        <v>9</v>
      </c>
      <c r="AL44" s="165">
        <v>30</v>
      </c>
      <c r="BD44">
        <v>-0.11</v>
      </c>
    </row>
    <row r="45" spans="1:56">
      <c r="A45" s="2" t="s">
        <v>401</v>
      </c>
      <c r="W45" s="60"/>
      <c r="AB45" s="165">
        <v>63</v>
      </c>
      <c r="AC45" s="2">
        <v>5</v>
      </c>
      <c r="AD45" s="2">
        <v>31</v>
      </c>
      <c r="AE45" s="71">
        <v>0</v>
      </c>
      <c r="AF45" s="2">
        <f t="shared" si="2"/>
        <v>7</v>
      </c>
      <c r="AG45" s="165">
        <v>43</v>
      </c>
      <c r="AH45" s="2">
        <v>2</v>
      </c>
      <c r="AI45" s="2">
        <v>4</v>
      </c>
      <c r="AJ45" s="2">
        <v>10</v>
      </c>
      <c r="AK45" s="2">
        <f t="shared" si="3"/>
        <v>6</v>
      </c>
      <c r="AL45" s="165">
        <v>22</v>
      </c>
    </row>
    <row r="46" spans="1:56">
      <c r="A46" s="2" t="s">
        <v>402</v>
      </c>
      <c r="W46" s="60"/>
      <c r="AB46" s="165">
        <v>9</v>
      </c>
      <c r="AC46" s="2">
        <v>12</v>
      </c>
      <c r="AD46" s="2">
        <v>18</v>
      </c>
      <c r="AE46" s="2">
        <v>42</v>
      </c>
      <c r="AF46" s="2">
        <f t="shared" si="2"/>
        <v>17</v>
      </c>
      <c r="AG46" s="165">
        <v>89</v>
      </c>
      <c r="AH46" s="171">
        <v>-29</v>
      </c>
      <c r="AI46" s="71">
        <v>29</v>
      </c>
      <c r="AJ46" s="2">
        <v>8</v>
      </c>
      <c r="AK46" s="71">
        <f t="shared" si="3"/>
        <v>0</v>
      </c>
      <c r="AL46" s="165">
        <v>8</v>
      </c>
    </row>
    <row r="47" spans="1:56">
      <c r="A47" s="2" t="s">
        <v>403</v>
      </c>
      <c r="W47" s="60"/>
      <c r="AB47" s="60">
        <v>0</v>
      </c>
      <c r="AC47" s="2">
        <v>3</v>
      </c>
      <c r="AD47" s="2">
        <v>3</v>
      </c>
      <c r="AE47" s="2">
        <v>3</v>
      </c>
      <c r="AF47" s="71">
        <f t="shared" si="2"/>
        <v>0</v>
      </c>
      <c r="AG47" s="60">
        <v>9</v>
      </c>
      <c r="AH47" s="71">
        <v>0</v>
      </c>
      <c r="AI47" s="2">
        <v>4</v>
      </c>
      <c r="AJ47" s="71">
        <v>0</v>
      </c>
      <c r="AK47" s="2">
        <f t="shared" si="3"/>
        <v>7</v>
      </c>
      <c r="AL47" s="165">
        <v>11</v>
      </c>
    </row>
    <row r="48" spans="1:56">
      <c r="A48" s="2" t="s">
        <v>404</v>
      </c>
      <c r="W48" s="60"/>
      <c r="AB48" s="165">
        <v>5</v>
      </c>
      <c r="AC48" s="2">
        <v>2</v>
      </c>
      <c r="AD48" s="2">
        <v>1</v>
      </c>
      <c r="AE48" s="2">
        <v>3</v>
      </c>
      <c r="AF48" s="2">
        <f t="shared" si="2"/>
        <v>6</v>
      </c>
      <c r="AG48" s="165">
        <v>12</v>
      </c>
      <c r="AH48" s="2">
        <v>2</v>
      </c>
      <c r="AI48" s="2">
        <v>2</v>
      </c>
      <c r="AJ48" s="2">
        <v>3</v>
      </c>
      <c r="AK48" s="71">
        <f t="shared" si="3"/>
        <v>0</v>
      </c>
      <c r="AL48" s="165">
        <v>7</v>
      </c>
    </row>
    <row r="49" spans="1:38" ht="25.5">
      <c r="A49" s="166" t="s">
        <v>405</v>
      </c>
      <c r="W49" s="60"/>
      <c r="AB49" s="165">
        <v>43</v>
      </c>
      <c r="AC49" s="71">
        <v>0</v>
      </c>
      <c r="AD49" s="71">
        <v>0</v>
      </c>
      <c r="AE49" s="71">
        <v>0</v>
      </c>
      <c r="AF49" s="71">
        <f t="shared" si="2"/>
        <v>0</v>
      </c>
      <c r="AG49" s="60">
        <v>0</v>
      </c>
      <c r="AH49" s="71">
        <v>0</v>
      </c>
      <c r="AI49" s="71">
        <v>0</v>
      </c>
      <c r="AJ49" s="71">
        <v>0</v>
      </c>
      <c r="AK49" s="71">
        <f t="shared" si="3"/>
        <v>0</v>
      </c>
      <c r="AL49" s="60">
        <v>0</v>
      </c>
    </row>
    <row r="50" spans="1:38">
      <c r="A50" s="38" t="s">
        <v>406</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38">
        <f t="shared" ref="AB50:AL50" si="4">SUM(AB42:AB49)</f>
        <v>516</v>
      </c>
      <c r="AC50" s="38">
        <f t="shared" si="4"/>
        <v>113</v>
      </c>
      <c r="AD50" s="38">
        <f t="shared" si="4"/>
        <v>149</v>
      </c>
      <c r="AE50" s="38">
        <f t="shared" si="4"/>
        <v>224</v>
      </c>
      <c r="AF50" s="38">
        <f t="shared" si="4"/>
        <v>138</v>
      </c>
      <c r="AG50" s="38">
        <f t="shared" si="4"/>
        <v>624</v>
      </c>
      <c r="AH50" s="38">
        <f t="shared" si="4"/>
        <v>55</v>
      </c>
      <c r="AI50" s="38">
        <f t="shared" si="4"/>
        <v>169</v>
      </c>
      <c r="AJ50" s="38">
        <f t="shared" si="4"/>
        <v>94</v>
      </c>
      <c r="AK50" s="38">
        <f t="shared" si="4"/>
        <v>98</v>
      </c>
      <c r="AL50" s="38">
        <f t="shared" si="4"/>
        <v>416</v>
      </c>
    </row>
    <row r="51" spans="1:38">
      <c r="A51" s="2" t="s">
        <v>409</v>
      </c>
      <c r="W51" s="60"/>
      <c r="AB51" s="165">
        <v>30</v>
      </c>
      <c r="AC51" s="2">
        <v>8</v>
      </c>
      <c r="AD51" s="2">
        <v>7</v>
      </c>
      <c r="AE51" s="2">
        <v>8</v>
      </c>
      <c r="AF51" s="2">
        <f t="shared" si="2"/>
        <v>6</v>
      </c>
      <c r="AG51" s="165">
        <v>29</v>
      </c>
      <c r="AH51" s="2">
        <v>8</v>
      </c>
      <c r="AI51" s="2">
        <v>7</v>
      </c>
      <c r="AJ51" s="2">
        <v>8</v>
      </c>
      <c r="AK51" s="2">
        <f t="shared" si="3"/>
        <v>7</v>
      </c>
      <c r="AL51" s="165">
        <v>30</v>
      </c>
    </row>
    <row r="52" spans="1:38">
      <c r="A52" s="2" t="s">
        <v>407</v>
      </c>
      <c r="W52" s="60"/>
      <c r="AB52" s="165">
        <v>27</v>
      </c>
      <c r="AC52" s="2">
        <v>6</v>
      </c>
      <c r="AD52" s="2">
        <v>6</v>
      </c>
      <c r="AE52" s="2">
        <v>11</v>
      </c>
      <c r="AF52" s="2">
        <f t="shared" si="2"/>
        <v>9</v>
      </c>
      <c r="AG52" s="165">
        <v>32</v>
      </c>
      <c r="AH52" s="2">
        <v>6</v>
      </c>
      <c r="AI52" s="2">
        <v>3</v>
      </c>
      <c r="AJ52" s="2">
        <v>6</v>
      </c>
      <c r="AK52" s="71">
        <f t="shared" si="3"/>
        <v>0</v>
      </c>
      <c r="AL52" s="165">
        <v>15</v>
      </c>
    </row>
    <row r="53" spans="1:38">
      <c r="A53" s="2" t="s">
        <v>408</v>
      </c>
      <c r="W53" s="60"/>
      <c r="AB53" s="60">
        <v>0</v>
      </c>
      <c r="AC53" s="71">
        <v>0</v>
      </c>
      <c r="AD53" s="71">
        <v>0</v>
      </c>
      <c r="AE53" s="71">
        <v>0</v>
      </c>
      <c r="AF53" s="2">
        <f t="shared" si="2"/>
        <v>14</v>
      </c>
      <c r="AG53" s="165">
        <v>14</v>
      </c>
      <c r="AH53" s="71">
        <v>0</v>
      </c>
      <c r="AI53" s="71">
        <v>0</v>
      </c>
      <c r="AJ53" s="71">
        <v>0</v>
      </c>
      <c r="AK53" s="71">
        <f t="shared" si="3"/>
        <v>0</v>
      </c>
      <c r="AL53" s="60">
        <v>0</v>
      </c>
    </row>
    <row r="54" spans="1:38">
      <c r="A54" s="2" t="s">
        <v>403</v>
      </c>
      <c r="W54" s="60"/>
      <c r="AB54" s="165">
        <v>24</v>
      </c>
      <c r="AC54" s="71">
        <v>0</v>
      </c>
      <c r="AD54" s="71">
        <v>0</v>
      </c>
      <c r="AE54" s="71">
        <v>0</v>
      </c>
      <c r="AF54" s="71">
        <f t="shared" si="2"/>
        <v>0</v>
      </c>
      <c r="AG54" s="60">
        <v>0</v>
      </c>
      <c r="AH54" s="2">
        <v>7</v>
      </c>
      <c r="AI54" s="71">
        <v>0</v>
      </c>
      <c r="AJ54" s="71">
        <v>0</v>
      </c>
      <c r="AK54" s="171">
        <f t="shared" si="3"/>
        <v>-7</v>
      </c>
      <c r="AL54" s="60">
        <v>0</v>
      </c>
    </row>
    <row r="55" spans="1:38">
      <c r="A55" s="38" t="s">
        <v>410</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38">
        <f t="shared" ref="AB55:AL55" si="5">SUM(AB51:AB54)</f>
        <v>81</v>
      </c>
      <c r="AC55" s="38">
        <f t="shared" si="5"/>
        <v>14</v>
      </c>
      <c r="AD55" s="38">
        <f t="shared" si="5"/>
        <v>13</v>
      </c>
      <c r="AE55" s="38">
        <f t="shared" si="5"/>
        <v>19</v>
      </c>
      <c r="AF55" s="38">
        <f t="shared" si="5"/>
        <v>29</v>
      </c>
      <c r="AG55" s="38">
        <f t="shared" si="5"/>
        <v>75</v>
      </c>
      <c r="AH55" s="38">
        <f t="shared" si="5"/>
        <v>21</v>
      </c>
      <c r="AI55" s="312">
        <f t="shared" si="5"/>
        <v>10</v>
      </c>
      <c r="AJ55" s="38">
        <f t="shared" si="5"/>
        <v>14</v>
      </c>
      <c r="AK55" s="197">
        <f t="shared" si="5"/>
        <v>0</v>
      </c>
      <c r="AL55" s="38">
        <f t="shared" si="5"/>
        <v>45</v>
      </c>
    </row>
    <row r="56" spans="1:38">
      <c r="A56" s="38" t="s">
        <v>411</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38">
        <f t="shared" ref="AB56:AL56" si="6">AB50-AB55</f>
        <v>435</v>
      </c>
      <c r="AC56" s="38">
        <f t="shared" si="6"/>
        <v>99</v>
      </c>
      <c r="AD56" s="38">
        <f t="shared" si="6"/>
        <v>136</v>
      </c>
      <c r="AE56" s="38">
        <f t="shared" si="6"/>
        <v>205</v>
      </c>
      <c r="AF56" s="38">
        <f t="shared" si="6"/>
        <v>109</v>
      </c>
      <c r="AG56" s="38">
        <f t="shared" si="6"/>
        <v>549</v>
      </c>
      <c r="AH56" s="38">
        <f t="shared" si="6"/>
        <v>34</v>
      </c>
      <c r="AI56" s="38">
        <f t="shared" si="6"/>
        <v>159</v>
      </c>
      <c r="AJ56" s="38">
        <f t="shared" si="6"/>
        <v>80</v>
      </c>
      <c r="AK56" s="38">
        <f t="shared" si="6"/>
        <v>98</v>
      </c>
      <c r="AL56" s="38">
        <f t="shared" si="6"/>
        <v>371</v>
      </c>
    </row>
    <row r="57" spans="1:38" ht="3" customHeight="1">
      <c r="A57" s="42"/>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row>
    <row r="58" spans="1:38" ht="20.25">
      <c r="A58" s="33" t="s">
        <v>413</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row>
    <row r="59" spans="1:38">
      <c r="A59" s="58"/>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row>
    <row r="60" spans="1:38">
      <c r="A60" s="38" t="s">
        <v>390</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row>
    <row r="61" spans="1:38">
      <c r="A61" s="2" t="s">
        <v>394</v>
      </c>
      <c r="W61" s="60"/>
      <c r="AB61" s="60">
        <v>0</v>
      </c>
      <c r="AC61" s="71">
        <v>0</v>
      </c>
      <c r="AD61" s="71">
        <v>0</v>
      </c>
      <c r="AE61" s="71">
        <v>0</v>
      </c>
      <c r="AF61" s="308">
        <f>AG61</f>
        <v>196</v>
      </c>
      <c r="AG61" s="60">
        <v>196</v>
      </c>
      <c r="AH61" s="71">
        <v>0</v>
      </c>
      <c r="AI61" s="71">
        <v>0</v>
      </c>
      <c r="AJ61" s="309">
        <v>282</v>
      </c>
      <c r="AK61" s="309">
        <v>25</v>
      </c>
      <c r="AL61" s="60">
        <v>307</v>
      </c>
    </row>
    <row r="62" spans="1:38">
      <c r="A62" s="2" t="s">
        <v>395</v>
      </c>
      <c r="W62" s="60"/>
      <c r="AB62" s="60">
        <v>37</v>
      </c>
      <c r="AC62" s="71">
        <v>0</v>
      </c>
      <c r="AD62" s="71">
        <v>0</v>
      </c>
      <c r="AE62" s="71">
        <v>0</v>
      </c>
      <c r="AF62" s="71">
        <v>0</v>
      </c>
      <c r="AG62" s="60">
        <v>0</v>
      </c>
      <c r="AH62" s="71">
        <v>0</v>
      </c>
      <c r="AI62" s="71">
        <v>0</v>
      </c>
      <c r="AJ62" s="265">
        <f>AL62</f>
        <v>-14</v>
      </c>
      <c r="AK62" s="71">
        <v>0</v>
      </c>
      <c r="AL62" s="165">
        <v>-14</v>
      </c>
    </row>
    <row r="63" spans="1:38">
      <c r="A63" s="2" t="s">
        <v>396</v>
      </c>
      <c r="W63" s="60"/>
      <c r="AB63" s="60">
        <v>0</v>
      </c>
      <c r="AC63" s="71">
        <v>0</v>
      </c>
      <c r="AD63" s="308">
        <v>951</v>
      </c>
      <c r="AE63" s="71">
        <v>0</v>
      </c>
      <c r="AF63" s="71">
        <v>0</v>
      </c>
      <c r="AG63" s="60">
        <v>951</v>
      </c>
      <c r="AH63" s="71">
        <v>0</v>
      </c>
      <c r="AI63" s="71">
        <v>0</v>
      </c>
      <c r="AJ63" s="71">
        <v>0</v>
      </c>
      <c r="AK63" s="71">
        <v>0</v>
      </c>
      <c r="AL63" s="60">
        <v>0</v>
      </c>
    </row>
    <row r="64" spans="1:38">
      <c r="A64" s="2" t="s">
        <v>397</v>
      </c>
      <c r="W64" s="60"/>
      <c r="AB64" s="60">
        <v>1638</v>
      </c>
      <c r="AC64" s="71">
        <v>0</v>
      </c>
      <c r="AD64" s="71">
        <v>0</v>
      </c>
      <c r="AE64" s="71">
        <v>0</v>
      </c>
      <c r="AF64" s="71">
        <v>0</v>
      </c>
      <c r="AG64" s="60">
        <v>0</v>
      </c>
      <c r="AH64" s="71">
        <v>0</v>
      </c>
      <c r="AI64" s="71">
        <v>0</v>
      </c>
      <c r="AJ64" s="71">
        <v>0</v>
      </c>
      <c r="AK64" s="71">
        <v>0</v>
      </c>
      <c r="AL64" s="60">
        <v>0</v>
      </c>
    </row>
    <row r="65" spans="1:39">
      <c r="A65" s="38" t="s">
        <v>256</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310">
        <f>SUM(AB61:AB64)</f>
        <v>1675</v>
      </c>
      <c r="AC65" s="310">
        <f t="shared" ref="AC65:AF65" si="7">SUM(AC61:AC64)</f>
        <v>0</v>
      </c>
      <c r="AD65" s="310">
        <f t="shared" si="7"/>
        <v>951</v>
      </c>
      <c r="AE65" s="310">
        <f t="shared" si="7"/>
        <v>0</v>
      </c>
      <c r="AF65" s="310">
        <f t="shared" si="7"/>
        <v>196</v>
      </c>
      <c r="AG65" s="310">
        <f>SUM(AG61:AG64)</f>
        <v>1147</v>
      </c>
      <c r="AH65" s="310">
        <f t="shared" ref="AH65:AK65" si="8">SUM(AH61:AH64)</f>
        <v>0</v>
      </c>
      <c r="AI65" s="310">
        <f t="shared" si="8"/>
        <v>0</v>
      </c>
      <c r="AJ65" s="310">
        <f t="shared" si="8"/>
        <v>268</v>
      </c>
      <c r="AK65" s="310">
        <f t="shared" si="8"/>
        <v>25</v>
      </c>
      <c r="AL65" s="38">
        <f>SUM(AL61:AL64)</f>
        <v>293</v>
      </c>
    </row>
    <row r="66" spans="1:39" ht="2.25" customHeight="1">
      <c r="A66" s="42"/>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row>
    <row r="67" spans="1:39" ht="20.25">
      <c r="A67" s="33" t="s">
        <v>414</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row>
    <row r="68" spans="1:39">
      <c r="A68" s="58"/>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row>
    <row r="69" spans="1:39">
      <c r="A69" s="38" t="s">
        <v>64</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row>
    <row r="70" spans="1:39">
      <c r="A70" s="2" t="s">
        <v>391</v>
      </c>
      <c r="W70" s="311" t="s">
        <v>40</v>
      </c>
      <c r="AB70" s="60">
        <v>2571</v>
      </c>
      <c r="AC70" s="75" t="s">
        <v>40</v>
      </c>
      <c r="AD70" s="75" t="s">
        <v>40</v>
      </c>
      <c r="AE70" s="75" t="s">
        <v>40</v>
      </c>
      <c r="AF70" s="75" t="s">
        <v>40</v>
      </c>
      <c r="AG70" s="60">
        <v>2472</v>
      </c>
      <c r="AH70" s="75" t="s">
        <v>40</v>
      </c>
      <c r="AI70" s="75" t="s">
        <v>40</v>
      </c>
      <c r="AJ70" s="75" t="s">
        <v>40</v>
      </c>
      <c r="AK70" s="75" t="s">
        <v>40</v>
      </c>
      <c r="AL70" s="60">
        <v>2439</v>
      </c>
      <c r="AM70" s="66"/>
    </row>
    <row r="71" spans="1:39" ht="26.25" customHeight="1">
      <c r="A71" s="166" t="s">
        <v>392</v>
      </c>
      <c r="W71" s="311" t="s">
        <v>40</v>
      </c>
      <c r="AB71" s="165">
        <v>-579</v>
      </c>
      <c r="AC71" s="75" t="s">
        <v>40</v>
      </c>
      <c r="AD71" s="75" t="s">
        <v>40</v>
      </c>
      <c r="AE71" s="75" t="s">
        <v>40</v>
      </c>
      <c r="AF71" s="75" t="s">
        <v>40</v>
      </c>
      <c r="AG71" s="165">
        <v>-539</v>
      </c>
      <c r="AH71" s="75" t="s">
        <v>40</v>
      </c>
      <c r="AI71" s="75" t="s">
        <v>40</v>
      </c>
      <c r="AJ71" s="75" t="s">
        <v>40</v>
      </c>
      <c r="AK71" s="75" t="s">
        <v>40</v>
      </c>
      <c r="AL71" s="165">
        <v>-548</v>
      </c>
      <c r="AM71" s="66"/>
    </row>
    <row r="72" spans="1:39">
      <c r="A72" s="38" t="s">
        <v>393</v>
      </c>
      <c r="B72" s="40"/>
      <c r="C72" s="40"/>
      <c r="D72" s="40"/>
      <c r="E72" s="40"/>
      <c r="F72" s="40"/>
      <c r="G72" s="40"/>
      <c r="H72" s="40"/>
      <c r="I72" s="40"/>
      <c r="J72" s="40"/>
      <c r="K72" s="40"/>
      <c r="L72" s="40"/>
      <c r="M72" s="40"/>
      <c r="N72" s="40"/>
      <c r="O72" s="40"/>
      <c r="P72" s="40"/>
      <c r="Q72" s="40"/>
      <c r="R72" s="40"/>
      <c r="S72" s="40"/>
      <c r="T72" s="40"/>
      <c r="U72" s="40"/>
      <c r="V72" s="40"/>
      <c r="W72" s="38"/>
      <c r="X72" s="40"/>
      <c r="Y72" s="40"/>
      <c r="Z72" s="40"/>
      <c r="AA72" s="40"/>
      <c r="AB72" s="310">
        <f>SUM(AB70:AB71)</f>
        <v>1992</v>
      </c>
      <c r="AC72" s="40"/>
      <c r="AD72" s="40"/>
      <c r="AE72" s="40"/>
      <c r="AF72" s="40"/>
      <c r="AG72" s="310">
        <f>SUM(AG70:AG71)</f>
        <v>1933</v>
      </c>
      <c r="AH72" s="40"/>
      <c r="AI72" s="40"/>
      <c r="AJ72" s="40"/>
      <c r="AK72" s="40"/>
      <c r="AL72" s="310">
        <f>SUM(AL70:AL71)</f>
        <v>1891</v>
      </c>
    </row>
    <row r="73" spans="1:39" ht="2.25" customHeight="1">
      <c r="A73" s="42"/>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row>
    <row r="194" spans="44:44">
      <c r="AR194">
        <v>59</v>
      </c>
    </row>
    <row r="227" spans="1:1">
      <c r="A227" s="32"/>
    </row>
    <row r="337" spans="57:57">
      <c r="BE337">
        <f>BE334-260</f>
        <v>-260</v>
      </c>
    </row>
    <row r="358" spans="55:55">
      <c r="BC358" s="64">
        <v>0.26400000000000001</v>
      </c>
    </row>
  </sheetData>
  <pageMargins left="0.39370078740157483" right="0.39370078740157483" top="0.74803149606299213" bottom="0.74803149606299213" header="0.31496062992125984" footer="0.19685039370078741"/>
  <pageSetup paperSize="9" scale="90" orientation="landscape" r:id="rId1"/>
  <headerFooter>
    <oddHeader>&amp;CBezeq - The Israel Telecommunication Corp. Ltd.</oddHeader>
    <oddFooter xml:space="preserve">&amp;R&amp;P of &amp;N
Bezeq Group - Other 
</oddFooter>
  </headerFooter>
  <rowBreaks count="1" manualBreakCount="1">
    <brk id="37" max="16383" man="1"/>
  </rowBreaks>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V104"/>
  <sheetViews>
    <sheetView showGridLines="0" workbookViewId="0">
      <pane xSplit="1" ySplit="6" topLeftCell="G28" activePane="bottomRight" state="frozen"/>
      <selection activeCell="M18" sqref="M18"/>
      <selection pane="topRight" activeCell="M18" sqref="M18"/>
      <selection pane="bottomLeft" activeCell="M18" sqref="M18"/>
      <selection pane="bottomRight" activeCell="M28" sqref="M28"/>
    </sheetView>
  </sheetViews>
  <sheetFormatPr defaultRowHeight="12.75"/>
  <cols>
    <col min="1" max="1" width="50.7109375" bestFit="1" customWidth="1"/>
    <col min="2" max="6" width="9.140625" hidden="1" customWidth="1"/>
    <col min="8" max="11" width="0" hidden="1" customWidth="1"/>
  </cols>
  <sheetData>
    <row r="1" spans="1:22">
      <c r="A1" s="29"/>
      <c r="B1" s="3"/>
      <c r="C1" s="3"/>
      <c r="D1" s="3"/>
      <c r="E1" s="3"/>
      <c r="F1" s="3"/>
      <c r="G1" s="3"/>
      <c r="H1" s="3"/>
      <c r="I1" s="3"/>
      <c r="J1" s="3"/>
      <c r="K1" s="3"/>
      <c r="L1" s="3"/>
      <c r="M1" s="3"/>
      <c r="N1" s="3"/>
      <c r="O1" s="3"/>
      <c r="P1" s="3"/>
      <c r="Q1" s="3"/>
      <c r="R1" s="3"/>
    </row>
    <row r="2" spans="1:22">
      <c r="A2" s="30"/>
      <c r="B2" s="45" t="s">
        <v>5</v>
      </c>
      <c r="C2" s="45" t="s">
        <v>74</v>
      </c>
      <c r="D2" s="45" t="s">
        <v>0</v>
      </c>
      <c r="E2" s="45" t="s">
        <v>1</v>
      </c>
      <c r="F2" s="45" t="s">
        <v>2</v>
      </c>
      <c r="G2" s="45" t="s">
        <v>5</v>
      </c>
      <c r="H2" s="45" t="s">
        <v>74</v>
      </c>
      <c r="I2" s="45" t="s">
        <v>0</v>
      </c>
      <c r="J2" s="45" t="s">
        <v>1</v>
      </c>
      <c r="K2" s="45" t="s">
        <v>2</v>
      </c>
      <c r="L2" s="45" t="s">
        <v>5</v>
      </c>
      <c r="M2" s="45" t="s">
        <v>74</v>
      </c>
      <c r="N2" s="45" t="s">
        <v>0</v>
      </c>
      <c r="O2" s="45" t="s">
        <v>1</v>
      </c>
      <c r="P2" s="45" t="s">
        <v>2</v>
      </c>
      <c r="Q2" s="45" t="s">
        <v>5</v>
      </c>
      <c r="R2" s="45" t="s">
        <v>74</v>
      </c>
      <c r="S2" s="45" t="s">
        <v>0</v>
      </c>
      <c r="T2" s="45" t="s">
        <v>1</v>
      </c>
      <c r="U2" s="45" t="s">
        <v>2</v>
      </c>
      <c r="V2" s="45" t="s">
        <v>5</v>
      </c>
    </row>
    <row r="3" spans="1:22">
      <c r="A3" s="267" t="s">
        <v>311</v>
      </c>
      <c r="B3" s="45">
        <v>2016</v>
      </c>
      <c r="C3" s="45">
        <v>2017</v>
      </c>
      <c r="D3" s="45">
        <v>2017</v>
      </c>
      <c r="E3" s="45">
        <v>2017</v>
      </c>
      <c r="F3" s="45">
        <v>2017</v>
      </c>
      <c r="G3" s="45">
        <v>2017</v>
      </c>
      <c r="H3" s="45">
        <v>2018</v>
      </c>
      <c r="I3" s="45">
        <v>2018</v>
      </c>
      <c r="J3" s="45">
        <v>2018</v>
      </c>
      <c r="K3" s="45">
        <v>2018</v>
      </c>
      <c r="L3" s="45">
        <v>2018</v>
      </c>
      <c r="M3" s="45">
        <v>2019</v>
      </c>
      <c r="N3" s="45">
        <v>2019</v>
      </c>
      <c r="O3" s="45">
        <v>2019</v>
      </c>
      <c r="P3" s="45">
        <v>2019</v>
      </c>
      <c r="Q3" s="45">
        <v>2019</v>
      </c>
      <c r="R3" s="45">
        <v>2020</v>
      </c>
      <c r="S3" s="45">
        <v>2020</v>
      </c>
      <c r="T3" s="45">
        <v>2020</v>
      </c>
      <c r="U3" s="45">
        <v>2020</v>
      </c>
      <c r="V3" s="45">
        <v>2020</v>
      </c>
    </row>
    <row r="4" spans="1:22" ht="4.5" customHeight="1">
      <c r="A4" s="42"/>
      <c r="B4" s="43"/>
      <c r="C4" s="43"/>
      <c r="D4" s="43"/>
      <c r="E4" s="43"/>
      <c r="F4" s="43"/>
      <c r="G4" s="43"/>
      <c r="H4" s="43"/>
      <c r="I4" s="43"/>
      <c r="J4" s="43"/>
      <c r="K4" s="43"/>
      <c r="L4" s="43"/>
      <c r="M4" s="43"/>
      <c r="N4" s="43"/>
      <c r="O4" s="43"/>
      <c r="P4" s="43"/>
      <c r="Q4" s="43"/>
      <c r="R4" s="43"/>
      <c r="S4" s="43"/>
      <c r="T4" s="43"/>
      <c r="U4" s="43"/>
      <c r="V4" s="43"/>
    </row>
    <row r="5" spans="1:22" ht="20.25">
      <c r="A5" s="33" t="s">
        <v>43</v>
      </c>
      <c r="B5" s="26"/>
      <c r="C5" s="26"/>
      <c r="D5" s="26"/>
      <c r="E5" s="26"/>
      <c r="F5" s="26"/>
      <c r="G5" s="26"/>
      <c r="H5" s="26"/>
      <c r="I5" s="26"/>
      <c r="J5" s="26"/>
      <c r="K5" s="26"/>
      <c r="L5" s="26"/>
      <c r="M5" s="26"/>
      <c r="N5" s="26"/>
      <c r="O5" s="26"/>
      <c r="P5" s="26"/>
      <c r="Q5" s="26"/>
      <c r="R5" s="26"/>
      <c r="S5" s="26"/>
      <c r="T5" s="26"/>
      <c r="U5" s="26"/>
      <c r="V5" s="26"/>
    </row>
    <row r="6" spans="1:22">
      <c r="A6" s="38" t="s">
        <v>65</v>
      </c>
      <c r="B6" s="39"/>
      <c r="C6" s="47"/>
      <c r="D6" s="47"/>
      <c r="E6" s="47"/>
      <c r="F6" s="47"/>
      <c r="G6" s="39"/>
      <c r="H6" s="47"/>
      <c r="I6" s="47"/>
      <c r="J6" s="47"/>
      <c r="K6" s="47"/>
      <c r="L6" s="39"/>
      <c r="M6" s="47"/>
      <c r="N6" s="47"/>
      <c r="O6" s="47"/>
      <c r="P6" s="47"/>
      <c r="Q6" s="39"/>
      <c r="R6" s="47"/>
      <c r="S6" s="47"/>
      <c r="T6" s="47"/>
      <c r="U6" s="47"/>
      <c r="V6" s="39"/>
    </row>
    <row r="7" spans="1:22">
      <c r="A7" s="65" t="s">
        <v>49</v>
      </c>
      <c r="B7" s="35">
        <f>B13+B10+B16+B19+B22</f>
        <v>4383</v>
      </c>
      <c r="C7" s="66">
        <f>C13+C10+C16+C19+C22</f>
        <v>1078</v>
      </c>
      <c r="D7" s="66">
        <f>D13+D10+D16+D19+D22</f>
        <v>1058</v>
      </c>
      <c r="E7" s="66">
        <f>E13+E10+E16+E19+E22</f>
        <v>1061</v>
      </c>
      <c r="F7" s="66">
        <f>G7-E7-D7-C7</f>
        <v>1047</v>
      </c>
      <c r="G7" s="35">
        <f>G13+G10+G16+G19+G22</f>
        <v>4244</v>
      </c>
      <c r="H7" s="66">
        <f>H13+H10+H16+H19+H22</f>
        <v>1063</v>
      </c>
      <c r="I7" s="66">
        <f>I13+I10+I16+I19+I22</f>
        <v>1064</v>
      </c>
      <c r="J7" s="66">
        <f>J13+J10+J16+J19+J22</f>
        <v>1043</v>
      </c>
      <c r="K7" s="66">
        <f>L7-J7-I7-H7</f>
        <v>1026</v>
      </c>
      <c r="L7" s="35">
        <f>L13+L10+L16+L19+L22</f>
        <v>4196</v>
      </c>
      <c r="M7" s="66">
        <f>M13+M10+M16+M19+M22</f>
        <v>1043</v>
      </c>
      <c r="N7" s="66">
        <f>N13+N10+N16+N19+N22</f>
        <v>1020</v>
      </c>
      <c r="O7" s="66">
        <f>O13+O10+O16+O19+O22</f>
        <v>1025</v>
      </c>
      <c r="P7" s="66">
        <f>Q7-O7-N7-M7</f>
        <v>985</v>
      </c>
      <c r="Q7" s="35">
        <f>Q13+Q10+Q16+Q19+Q22</f>
        <v>4073</v>
      </c>
      <c r="R7" s="66">
        <f>R13+R10+R16+R19+R22</f>
        <v>1018</v>
      </c>
      <c r="S7" s="66">
        <f>S13+S10+S16+S19+S22</f>
        <v>1044</v>
      </c>
      <c r="T7" s="66">
        <f>T13+T10+T16+T19+T22</f>
        <v>1042</v>
      </c>
      <c r="U7" s="66">
        <f>V7-T7-S7-R7</f>
        <v>1055</v>
      </c>
      <c r="V7" s="35">
        <f>V13+V10+V16+V19+V22</f>
        <v>4159</v>
      </c>
    </row>
    <row r="8" spans="1:22">
      <c r="A8" s="67" t="s">
        <v>7</v>
      </c>
      <c r="B8" s="23"/>
      <c r="C8" s="68"/>
      <c r="D8" s="68">
        <f>D7/C7-1</f>
        <v>-1.8552875695732829E-2</v>
      </c>
      <c r="E8" s="68">
        <f>E7/D7-1</f>
        <v>2.835538752362865E-3</v>
      </c>
      <c r="F8" s="68">
        <f>F7/E7-1</f>
        <v>-1.3195098963242224E-2</v>
      </c>
      <c r="G8" s="23"/>
      <c r="H8" s="68">
        <f>H7/F7-1</f>
        <v>1.5281757402101137E-2</v>
      </c>
      <c r="I8" s="68">
        <f>I7/H7-1</f>
        <v>9.4073377234238365E-4</v>
      </c>
      <c r="J8" s="68">
        <f>J7/I7-1</f>
        <v>-1.9736842105263164E-2</v>
      </c>
      <c r="K8" s="68">
        <f>K7/J7-1</f>
        <v>-1.6299137104506256E-2</v>
      </c>
      <c r="L8" s="23"/>
      <c r="M8" s="68">
        <f>M7/K7-1</f>
        <v>1.6569200779727122E-2</v>
      </c>
      <c r="N8" s="68">
        <f>N7/M7-1</f>
        <v>-2.2051773729626079E-2</v>
      </c>
      <c r="O8" s="68">
        <f>O7/N7-1</f>
        <v>4.9019607843137081E-3</v>
      </c>
      <c r="P8" s="68">
        <f>P7/O7-1</f>
        <v>-3.9024390243902474E-2</v>
      </c>
      <c r="Q8" s="23"/>
      <c r="R8" s="68">
        <f>R7/P7-1</f>
        <v>3.3502538071066068E-2</v>
      </c>
      <c r="S8" s="68">
        <f>S7/R7-1</f>
        <v>2.5540275049115824E-2</v>
      </c>
      <c r="T8" s="68">
        <f>T7/S7-1</f>
        <v>-1.9157088122605526E-3</v>
      </c>
      <c r="U8" s="68">
        <f>U7/T7-1</f>
        <v>1.2476007677543199E-2</v>
      </c>
      <c r="V8" s="23"/>
    </row>
    <row r="9" spans="1:22" ht="11.25" customHeight="1">
      <c r="A9" s="67" t="s">
        <v>8</v>
      </c>
      <c r="B9" s="23"/>
      <c r="C9" s="69"/>
      <c r="D9" s="69"/>
      <c r="E9" s="69"/>
      <c r="F9" s="69"/>
      <c r="G9" s="23">
        <f t="shared" ref="G9:T9" si="0">G7/B7-1</f>
        <v>-3.1713438284280193E-2</v>
      </c>
      <c r="H9" s="69">
        <f t="shared" si="0"/>
        <v>-1.3914656771799594E-2</v>
      </c>
      <c r="I9" s="69">
        <f t="shared" si="0"/>
        <v>5.6710775047259521E-3</v>
      </c>
      <c r="J9" s="69">
        <f t="shared" si="0"/>
        <v>-1.6965127238454336E-2</v>
      </c>
      <c r="K9" s="69">
        <f t="shared" si="0"/>
        <v>-2.005730659025784E-2</v>
      </c>
      <c r="L9" s="23">
        <f t="shared" si="0"/>
        <v>-1.1310084825636224E-2</v>
      </c>
      <c r="M9" s="69">
        <f t="shared" si="0"/>
        <v>-1.8814675446848561E-2</v>
      </c>
      <c r="N9" s="69">
        <f t="shared" si="0"/>
        <v>-4.1353383458646586E-2</v>
      </c>
      <c r="O9" s="69">
        <f t="shared" si="0"/>
        <v>-1.7257909875359578E-2</v>
      </c>
      <c r="P9" s="69">
        <f t="shared" si="0"/>
        <v>-3.9961013645224197E-2</v>
      </c>
      <c r="Q9" s="23">
        <f t="shared" si="0"/>
        <v>-2.9313632030505188E-2</v>
      </c>
      <c r="R9" s="69">
        <f t="shared" si="0"/>
        <v>-2.3969319271332723E-2</v>
      </c>
      <c r="S9" s="69">
        <f t="shared" si="0"/>
        <v>2.3529411764705799E-2</v>
      </c>
      <c r="T9" s="69">
        <f t="shared" si="0"/>
        <v>1.6585365853658551E-2</v>
      </c>
      <c r="U9" s="69">
        <f t="shared" ref="U9" si="1">U7/P7-1</f>
        <v>7.1065989847715727E-2</v>
      </c>
      <c r="V9" s="23">
        <f t="shared" ref="V9" si="2">V7/Q7-1</f>
        <v>2.1114657500613809E-2</v>
      </c>
    </row>
    <row r="10" spans="1:22">
      <c r="A10" s="65" t="s">
        <v>199</v>
      </c>
      <c r="B10" s="35">
        <v>1500</v>
      </c>
      <c r="C10" s="66">
        <v>382</v>
      </c>
      <c r="D10" s="66">
        <v>381</v>
      </c>
      <c r="E10" s="66">
        <v>386</v>
      </c>
      <c r="F10" s="66">
        <f>G10-E10-D10-C10</f>
        <v>395</v>
      </c>
      <c r="G10" s="35">
        <v>1544</v>
      </c>
      <c r="H10" s="66">
        <v>396</v>
      </c>
      <c r="I10" s="66">
        <v>403</v>
      </c>
      <c r="J10" s="66">
        <v>401</v>
      </c>
      <c r="K10" s="66">
        <f>L10-J10-I10-H10</f>
        <v>396</v>
      </c>
      <c r="L10" s="35">
        <v>1596</v>
      </c>
      <c r="M10" s="66">
        <v>397</v>
      </c>
      <c r="N10" s="66">
        <v>396</v>
      </c>
      <c r="O10" s="66">
        <v>393</v>
      </c>
      <c r="P10" s="66">
        <f>Q10-O10-N10-M10</f>
        <v>392</v>
      </c>
      <c r="Q10" s="35">
        <v>1578</v>
      </c>
      <c r="R10" s="66">
        <v>395</v>
      </c>
      <c r="S10" s="66">
        <v>402</v>
      </c>
      <c r="T10" s="66">
        <v>408</v>
      </c>
      <c r="U10" s="66">
        <f>V10-T10-S10-R10</f>
        <v>417</v>
      </c>
      <c r="V10" s="35">
        <v>1622</v>
      </c>
    </row>
    <row r="11" spans="1:22">
      <c r="A11" s="67" t="s">
        <v>7</v>
      </c>
      <c r="B11" s="23"/>
      <c r="C11" s="68"/>
      <c r="D11" s="68">
        <f>D10/C10-1</f>
        <v>-2.6178010471203939E-3</v>
      </c>
      <c r="E11" s="68">
        <f>E10/D10-1</f>
        <v>1.3123359580052396E-2</v>
      </c>
      <c r="F11" s="68">
        <f>F10/E10-1</f>
        <v>2.3316062176165886E-2</v>
      </c>
      <c r="G11" s="23"/>
      <c r="H11" s="68">
        <f>H10/F10-1</f>
        <v>2.5316455696202667E-3</v>
      </c>
      <c r="I11" s="68">
        <f>I10/H10-1</f>
        <v>1.7676767676767735E-2</v>
      </c>
      <c r="J11" s="68">
        <f>J10/I10-1</f>
        <v>-4.9627791563275903E-3</v>
      </c>
      <c r="K11" s="68">
        <f>K10/J10-1</f>
        <v>-1.2468827930174564E-2</v>
      </c>
      <c r="L11" s="23"/>
      <c r="M11" s="68">
        <f>M10/K10-1</f>
        <v>2.525252525252597E-3</v>
      </c>
      <c r="N11" s="68">
        <f>N10/M10-1</f>
        <v>-2.5188916876573986E-3</v>
      </c>
      <c r="O11" s="68">
        <f>O10/N10-1</f>
        <v>-7.575757575757569E-3</v>
      </c>
      <c r="P11" s="68">
        <f>P10/O10-1</f>
        <v>-2.5445292620864812E-3</v>
      </c>
      <c r="Q11" s="23"/>
      <c r="R11" s="68">
        <f>R10/P10-1</f>
        <v>7.6530612244898322E-3</v>
      </c>
      <c r="S11" s="68">
        <f>S10/R10-1</f>
        <v>1.7721518987341867E-2</v>
      </c>
      <c r="T11" s="68">
        <f>T10/S10-1</f>
        <v>1.4925373134328401E-2</v>
      </c>
      <c r="U11" s="68">
        <f>U10/T10-1</f>
        <v>2.2058823529411686E-2</v>
      </c>
      <c r="V11" s="23"/>
    </row>
    <row r="12" spans="1:22" ht="11.25" customHeight="1">
      <c r="A12" s="67" t="s">
        <v>8</v>
      </c>
      <c r="B12" s="23"/>
      <c r="C12" s="69"/>
      <c r="D12" s="69"/>
      <c r="E12" s="69"/>
      <c r="F12" s="69"/>
      <c r="G12" s="23">
        <f t="shared" ref="G12:T12" si="3">G10/B10-1</f>
        <v>2.9333333333333433E-2</v>
      </c>
      <c r="H12" s="69">
        <f t="shared" si="3"/>
        <v>3.6649214659685958E-2</v>
      </c>
      <c r="I12" s="69">
        <f t="shared" si="3"/>
        <v>5.7742782152230943E-2</v>
      </c>
      <c r="J12" s="69">
        <f t="shared" si="3"/>
        <v>3.8860103626942921E-2</v>
      </c>
      <c r="K12" s="69">
        <f t="shared" si="3"/>
        <v>2.5316455696202667E-3</v>
      </c>
      <c r="L12" s="23">
        <f t="shared" si="3"/>
        <v>3.3678756476683835E-2</v>
      </c>
      <c r="M12" s="69">
        <f t="shared" si="3"/>
        <v>2.525252525252597E-3</v>
      </c>
      <c r="N12" s="69">
        <f t="shared" si="3"/>
        <v>-1.7369727047146455E-2</v>
      </c>
      <c r="O12" s="69">
        <f t="shared" si="3"/>
        <v>-1.995012468827928E-2</v>
      </c>
      <c r="P12" s="69">
        <f t="shared" si="3"/>
        <v>-1.0101010101010055E-2</v>
      </c>
      <c r="Q12" s="23">
        <f t="shared" si="3"/>
        <v>-1.1278195488721776E-2</v>
      </c>
      <c r="R12" s="69">
        <f t="shared" si="3"/>
        <v>-5.0377833753149082E-3</v>
      </c>
      <c r="S12" s="69">
        <f t="shared" si="3"/>
        <v>1.5151515151515138E-2</v>
      </c>
      <c r="T12" s="69">
        <f t="shared" si="3"/>
        <v>3.8167938931297662E-2</v>
      </c>
      <c r="U12" s="69">
        <f t="shared" ref="U12" si="4">U10/P10-1</f>
        <v>6.3775510204081565E-2</v>
      </c>
      <c r="V12" s="23">
        <f t="shared" ref="V12" si="5">V10/Q10-1</f>
        <v>2.7883396704689423E-2</v>
      </c>
    </row>
    <row r="13" spans="1:22">
      <c r="A13" s="65" t="s">
        <v>200</v>
      </c>
      <c r="B13" s="35">
        <v>1392</v>
      </c>
      <c r="C13" s="66">
        <v>334</v>
      </c>
      <c r="D13" s="66">
        <v>320</v>
      </c>
      <c r="E13" s="66">
        <v>318</v>
      </c>
      <c r="F13" s="66">
        <f>G13-E13-D13-C13</f>
        <v>309</v>
      </c>
      <c r="G13" s="35">
        <v>1281</v>
      </c>
      <c r="H13" s="66">
        <v>302</v>
      </c>
      <c r="I13" s="66">
        <v>291</v>
      </c>
      <c r="J13" s="66">
        <v>282</v>
      </c>
      <c r="K13" s="66">
        <f>L13-J13-I13-H13</f>
        <v>281</v>
      </c>
      <c r="L13" s="35">
        <v>1156</v>
      </c>
      <c r="M13" s="66">
        <v>269</v>
      </c>
      <c r="N13" s="66">
        <v>264</v>
      </c>
      <c r="O13" s="66">
        <v>259</v>
      </c>
      <c r="P13" s="66">
        <f>Q13-O13-N13-M13</f>
        <v>247</v>
      </c>
      <c r="Q13" s="35">
        <v>1039</v>
      </c>
      <c r="R13" s="66">
        <v>248</v>
      </c>
      <c r="S13" s="66">
        <v>258</v>
      </c>
      <c r="T13" s="66">
        <v>254</v>
      </c>
      <c r="U13" s="66">
        <f>V13-T13-S13-R13</f>
        <v>248</v>
      </c>
      <c r="V13" s="35">
        <v>1008</v>
      </c>
    </row>
    <row r="14" spans="1:22">
      <c r="A14" s="67" t="s">
        <v>7</v>
      </c>
      <c r="B14" s="23"/>
      <c r="C14" s="68"/>
      <c r="D14" s="68">
        <f>D13/C13-1</f>
        <v>-4.1916167664670656E-2</v>
      </c>
      <c r="E14" s="68">
        <f>E13/D13-1</f>
        <v>-6.2499999999999778E-3</v>
      </c>
      <c r="F14" s="68">
        <f>F13/E13-1</f>
        <v>-2.8301886792452824E-2</v>
      </c>
      <c r="G14" s="23"/>
      <c r="H14" s="68">
        <f>H13/F13-1</f>
        <v>-2.2653721682847849E-2</v>
      </c>
      <c r="I14" s="68">
        <f>I13/H13-1</f>
        <v>-3.6423841059602613E-2</v>
      </c>
      <c r="J14" s="68">
        <f>J13/I13-1</f>
        <v>-3.0927835051546393E-2</v>
      </c>
      <c r="K14" s="68">
        <f>K13/J13-1</f>
        <v>-3.5460992907800915E-3</v>
      </c>
      <c r="L14" s="23"/>
      <c r="M14" s="68">
        <f>M13/K13-1</f>
        <v>-4.2704626334519546E-2</v>
      </c>
      <c r="N14" s="68">
        <f>N13/M13-1</f>
        <v>-1.8587360594795488E-2</v>
      </c>
      <c r="O14" s="68">
        <f>O13/N13-1</f>
        <v>-1.8939393939393923E-2</v>
      </c>
      <c r="P14" s="68">
        <f>P13/O13-1</f>
        <v>-4.633204633204635E-2</v>
      </c>
      <c r="Q14" s="23"/>
      <c r="R14" s="68">
        <f>R13/P13-1</f>
        <v>4.0485829959513442E-3</v>
      </c>
      <c r="S14" s="68">
        <f>S13/R13-1</f>
        <v>4.0322580645161255E-2</v>
      </c>
      <c r="T14" s="68">
        <f>T13/S13-1</f>
        <v>-1.5503875968992276E-2</v>
      </c>
      <c r="U14" s="68">
        <f>U13/T13-1</f>
        <v>-2.3622047244094446E-2</v>
      </c>
      <c r="V14" s="23"/>
    </row>
    <row r="15" spans="1:22" ht="10.5" customHeight="1">
      <c r="A15" s="67" t="s">
        <v>8</v>
      </c>
      <c r="B15" s="23"/>
      <c r="C15" s="69"/>
      <c r="D15" s="69"/>
      <c r="E15" s="69"/>
      <c r="F15" s="69"/>
      <c r="G15" s="23">
        <f t="shared" ref="G15:T15" si="6">G13/B13-1</f>
        <v>-7.9741379310344862E-2</v>
      </c>
      <c r="H15" s="69">
        <f t="shared" si="6"/>
        <v>-9.5808383233532912E-2</v>
      </c>
      <c r="I15" s="69">
        <f t="shared" si="6"/>
        <v>-9.0624999999999956E-2</v>
      </c>
      <c r="J15" s="69">
        <f t="shared" si="6"/>
        <v>-0.1132075471698113</v>
      </c>
      <c r="K15" s="69">
        <f t="shared" si="6"/>
        <v>-9.061488673139162E-2</v>
      </c>
      <c r="L15" s="23">
        <f t="shared" si="6"/>
        <v>-9.7580015612802495E-2</v>
      </c>
      <c r="M15" s="69">
        <f t="shared" si="6"/>
        <v>-0.10927152317880795</v>
      </c>
      <c r="N15" s="69">
        <f t="shared" si="6"/>
        <v>-9.2783505154639179E-2</v>
      </c>
      <c r="O15" s="69">
        <f t="shared" si="6"/>
        <v>-8.1560283687943214E-2</v>
      </c>
      <c r="P15" s="69">
        <f t="shared" si="6"/>
        <v>-0.12099644128113884</v>
      </c>
      <c r="Q15" s="23">
        <f t="shared" si="6"/>
        <v>-0.10121107266435991</v>
      </c>
      <c r="R15" s="69">
        <f t="shared" si="6"/>
        <v>-7.8066914498141293E-2</v>
      </c>
      <c r="S15" s="69">
        <f t="shared" si="6"/>
        <v>-2.2727272727272707E-2</v>
      </c>
      <c r="T15" s="69">
        <f t="shared" si="6"/>
        <v>-1.9305019305019266E-2</v>
      </c>
      <c r="U15" s="69">
        <f t="shared" ref="U15" si="7">U13/P13-1</f>
        <v>4.0485829959513442E-3</v>
      </c>
      <c r="V15" s="23">
        <f t="shared" ref="V15" si="8">V13/Q13-1</f>
        <v>-2.9836381135707413E-2</v>
      </c>
    </row>
    <row r="16" spans="1:22">
      <c r="A16" s="65" t="s">
        <v>202</v>
      </c>
      <c r="B16" s="35">
        <v>1069</v>
      </c>
      <c r="C16" s="66">
        <v>250</v>
      </c>
      <c r="D16" s="66">
        <v>244</v>
      </c>
      <c r="E16" s="66">
        <v>244</v>
      </c>
      <c r="F16" s="66">
        <f>G16-E16-D16-C16</f>
        <v>237</v>
      </c>
      <c r="G16" s="35">
        <v>975</v>
      </c>
      <c r="H16" s="66">
        <v>247</v>
      </c>
      <c r="I16" s="66">
        <v>244</v>
      </c>
      <c r="J16" s="66">
        <v>243</v>
      </c>
      <c r="K16" s="66">
        <f>L16-J16-I16-H16</f>
        <v>243</v>
      </c>
      <c r="L16" s="35">
        <v>977</v>
      </c>
      <c r="M16" s="66">
        <v>246</v>
      </c>
      <c r="N16" s="66">
        <v>238</v>
      </c>
      <c r="O16" s="66">
        <v>245</v>
      </c>
      <c r="P16" s="66">
        <f>Q16-O16-N16-M16</f>
        <v>219</v>
      </c>
      <c r="Q16" s="35">
        <v>948</v>
      </c>
      <c r="R16" s="66">
        <v>244</v>
      </c>
      <c r="S16" s="66">
        <v>251</v>
      </c>
      <c r="T16" s="66">
        <v>250</v>
      </c>
      <c r="U16" s="66">
        <f>V16-T16-S16-R16</f>
        <v>266</v>
      </c>
      <c r="V16" s="35">
        <v>1011</v>
      </c>
    </row>
    <row r="17" spans="1:22">
      <c r="A17" s="67" t="s">
        <v>7</v>
      </c>
      <c r="B17" s="23"/>
      <c r="C17" s="68"/>
      <c r="D17" s="68">
        <f>D16/C16-1</f>
        <v>-2.4000000000000021E-2</v>
      </c>
      <c r="E17" s="68">
        <f>E16/D16-1</f>
        <v>0</v>
      </c>
      <c r="F17" s="68">
        <f>F16/E16-1</f>
        <v>-2.8688524590163911E-2</v>
      </c>
      <c r="G17" s="23"/>
      <c r="H17" s="68">
        <f>H16/F16-1</f>
        <v>4.2194092827004148E-2</v>
      </c>
      <c r="I17" s="68">
        <f>I16/H16-1</f>
        <v>-1.2145748987854255E-2</v>
      </c>
      <c r="J17" s="68">
        <f>J16/I16-1</f>
        <v>-4.098360655737654E-3</v>
      </c>
      <c r="K17" s="68">
        <f>K16/J16-1</f>
        <v>0</v>
      </c>
      <c r="L17" s="23"/>
      <c r="M17" s="68">
        <f>M16/K16-1</f>
        <v>1.2345679012345734E-2</v>
      </c>
      <c r="N17" s="68">
        <f>N16/M16-1</f>
        <v>-3.2520325203251987E-2</v>
      </c>
      <c r="O17" s="68">
        <f>O16/N16-1</f>
        <v>2.9411764705882248E-2</v>
      </c>
      <c r="P17" s="68">
        <f>P16/O16-1</f>
        <v>-0.10612244897959189</v>
      </c>
      <c r="Q17" s="23"/>
      <c r="R17" s="68">
        <f>R16/P16-1</f>
        <v>0.11415525114155245</v>
      </c>
      <c r="S17" s="68">
        <f>S16/R16-1</f>
        <v>2.8688524590164022E-2</v>
      </c>
      <c r="T17" s="68">
        <f>T16/S16-1</f>
        <v>-3.9840637450199168E-3</v>
      </c>
      <c r="U17" s="68">
        <f>U16/T16-1</f>
        <v>6.4000000000000057E-2</v>
      </c>
      <c r="V17" s="23"/>
    </row>
    <row r="18" spans="1:22" ht="11.25" customHeight="1">
      <c r="A18" s="67" t="s">
        <v>8</v>
      </c>
      <c r="B18" s="23"/>
      <c r="C18" s="69"/>
      <c r="D18" s="69"/>
      <c r="E18" s="69"/>
      <c r="F18" s="69"/>
      <c r="G18" s="23">
        <f t="shared" ref="G18:T18" si="9">G16/B16-1</f>
        <v>-8.7932647333957004E-2</v>
      </c>
      <c r="H18" s="69">
        <f t="shared" si="9"/>
        <v>-1.2000000000000011E-2</v>
      </c>
      <c r="I18" s="69">
        <f t="shared" si="9"/>
        <v>0</v>
      </c>
      <c r="J18" s="69">
        <f t="shared" si="9"/>
        <v>-4.098360655737654E-3</v>
      </c>
      <c r="K18" s="69">
        <f t="shared" si="9"/>
        <v>2.5316455696202445E-2</v>
      </c>
      <c r="L18" s="23">
        <f t="shared" si="9"/>
        <v>2.0512820512821328E-3</v>
      </c>
      <c r="M18" s="69">
        <f t="shared" si="9"/>
        <v>-4.0485829959514552E-3</v>
      </c>
      <c r="N18" s="69">
        <f t="shared" si="9"/>
        <v>-2.4590163934426257E-2</v>
      </c>
      <c r="O18" s="69">
        <f t="shared" si="9"/>
        <v>8.2304526748970819E-3</v>
      </c>
      <c r="P18" s="69">
        <f t="shared" si="9"/>
        <v>-9.8765432098765427E-2</v>
      </c>
      <c r="Q18" s="23">
        <f t="shared" si="9"/>
        <v>-2.9682702149437024E-2</v>
      </c>
      <c r="R18" s="69">
        <f t="shared" si="9"/>
        <v>-8.1300813008130524E-3</v>
      </c>
      <c r="S18" s="69">
        <f t="shared" si="9"/>
        <v>5.4621848739495826E-2</v>
      </c>
      <c r="T18" s="69">
        <f t="shared" si="9"/>
        <v>2.0408163265306145E-2</v>
      </c>
      <c r="U18" s="69">
        <f t="shared" ref="U18" si="10">U16/P16-1</f>
        <v>0.21461187214611877</v>
      </c>
      <c r="V18" s="23">
        <f t="shared" ref="V18" si="11">V16/Q16-1</f>
        <v>6.6455696202531556E-2</v>
      </c>
    </row>
    <row r="19" spans="1:22">
      <c r="A19" s="65" t="s">
        <v>203</v>
      </c>
      <c r="B19" s="35">
        <v>203</v>
      </c>
      <c r="C19" s="66">
        <v>56</v>
      </c>
      <c r="D19" s="66">
        <v>57</v>
      </c>
      <c r="E19" s="66">
        <v>57</v>
      </c>
      <c r="F19" s="66">
        <f>G19-E19-D19-C19</f>
        <v>60</v>
      </c>
      <c r="G19" s="35">
        <v>230</v>
      </c>
      <c r="H19" s="66">
        <v>62</v>
      </c>
      <c r="I19" s="66">
        <v>66</v>
      </c>
      <c r="J19" s="66">
        <v>69</v>
      </c>
      <c r="K19" s="66">
        <f>L19-J19-I19-H19</f>
        <v>63</v>
      </c>
      <c r="L19" s="35">
        <v>260</v>
      </c>
      <c r="M19" s="66">
        <v>71</v>
      </c>
      <c r="N19" s="66">
        <v>68</v>
      </c>
      <c r="O19" s="66">
        <v>69</v>
      </c>
      <c r="P19" s="66">
        <f>Q19-O19-N19-M19</f>
        <v>66</v>
      </c>
      <c r="Q19" s="35">
        <v>274</v>
      </c>
      <c r="R19" s="66">
        <v>72</v>
      </c>
      <c r="S19" s="66">
        <v>70</v>
      </c>
      <c r="T19" s="66">
        <v>71</v>
      </c>
      <c r="U19" s="66">
        <f>V19-T19-S19-R19</f>
        <v>75</v>
      </c>
      <c r="V19" s="35">
        <v>288</v>
      </c>
    </row>
    <row r="20" spans="1:22">
      <c r="A20" s="67" t="s">
        <v>7</v>
      </c>
      <c r="B20" s="23"/>
      <c r="C20" s="68"/>
      <c r="D20" s="68">
        <f>D19/C19-1</f>
        <v>1.7857142857142794E-2</v>
      </c>
      <c r="E20" s="68">
        <f>E19/D19-1</f>
        <v>0</v>
      </c>
      <c r="F20" s="68">
        <f>F19/E19-1</f>
        <v>5.2631578947368363E-2</v>
      </c>
      <c r="G20" s="23"/>
      <c r="H20" s="68">
        <f>H19/F19-1</f>
        <v>3.3333333333333437E-2</v>
      </c>
      <c r="I20" s="68">
        <f>I19/H19-1</f>
        <v>6.4516129032258007E-2</v>
      </c>
      <c r="J20" s="68">
        <f>J19/I19-1</f>
        <v>4.5454545454545414E-2</v>
      </c>
      <c r="K20" s="68">
        <f>K19/J19-1</f>
        <v>-8.6956521739130488E-2</v>
      </c>
      <c r="L20" s="23"/>
      <c r="M20" s="68">
        <f>M19/K19-1</f>
        <v>0.12698412698412698</v>
      </c>
      <c r="N20" s="68">
        <f>N19/M19-1</f>
        <v>-4.2253521126760618E-2</v>
      </c>
      <c r="O20" s="68">
        <f>O19/N19-1</f>
        <v>1.4705882352941124E-2</v>
      </c>
      <c r="P20" s="68">
        <f>P19/O19-1</f>
        <v>-4.3478260869565188E-2</v>
      </c>
      <c r="Q20" s="23"/>
      <c r="R20" s="68">
        <f>R19/P19-1</f>
        <v>9.0909090909090828E-2</v>
      </c>
      <c r="S20" s="68">
        <f>S19/R19-1</f>
        <v>-2.777777777777779E-2</v>
      </c>
      <c r="T20" s="68">
        <f>T19/S19-1</f>
        <v>1.4285714285714235E-2</v>
      </c>
      <c r="U20" s="68">
        <f>U19/T19-1</f>
        <v>5.6338028169014009E-2</v>
      </c>
      <c r="V20" s="23"/>
    </row>
    <row r="21" spans="1:22" ht="10.5" customHeight="1">
      <c r="A21" s="67" t="s">
        <v>8</v>
      </c>
      <c r="B21" s="23"/>
      <c r="C21" s="69"/>
      <c r="D21" s="69"/>
      <c r="E21" s="69"/>
      <c r="F21" s="69"/>
      <c r="G21" s="23">
        <f t="shared" ref="G21:T21" si="12">G19/B19-1</f>
        <v>0.13300492610837433</v>
      </c>
      <c r="H21" s="69">
        <f t="shared" si="12"/>
        <v>0.10714285714285721</v>
      </c>
      <c r="I21" s="69">
        <f t="shared" si="12"/>
        <v>0.15789473684210531</v>
      </c>
      <c r="J21" s="69">
        <f t="shared" si="12"/>
        <v>0.21052631578947367</v>
      </c>
      <c r="K21" s="69">
        <f t="shared" si="12"/>
        <v>5.0000000000000044E-2</v>
      </c>
      <c r="L21" s="23">
        <f t="shared" si="12"/>
        <v>0.13043478260869557</v>
      </c>
      <c r="M21" s="69">
        <f t="shared" si="12"/>
        <v>0.14516129032258074</v>
      </c>
      <c r="N21" s="69">
        <f t="shared" si="12"/>
        <v>3.0303030303030276E-2</v>
      </c>
      <c r="O21" s="69">
        <f t="shared" si="12"/>
        <v>0</v>
      </c>
      <c r="P21" s="69">
        <f t="shared" si="12"/>
        <v>4.7619047619047672E-2</v>
      </c>
      <c r="Q21" s="23">
        <f t="shared" si="12"/>
        <v>5.3846153846153877E-2</v>
      </c>
      <c r="R21" s="69">
        <f t="shared" si="12"/>
        <v>1.4084507042253502E-2</v>
      </c>
      <c r="S21" s="69">
        <f t="shared" si="12"/>
        <v>2.9411764705882248E-2</v>
      </c>
      <c r="T21" s="69">
        <f t="shared" si="12"/>
        <v>2.8985507246376718E-2</v>
      </c>
      <c r="U21" s="69">
        <f t="shared" ref="U21" si="13">U19/P19-1</f>
        <v>0.13636363636363646</v>
      </c>
      <c r="V21" s="23">
        <f t="shared" ref="V21" si="14">V19/Q19-1</f>
        <v>5.1094890510948954E-2</v>
      </c>
    </row>
    <row r="22" spans="1:22">
      <c r="A22" s="65" t="s">
        <v>201</v>
      </c>
      <c r="B22" s="35">
        <v>219</v>
      </c>
      <c r="C22" s="66">
        <v>56</v>
      </c>
      <c r="D22" s="66">
        <v>56</v>
      </c>
      <c r="E22" s="66">
        <v>56</v>
      </c>
      <c r="F22" s="66">
        <f>G22-E22-D22-C22</f>
        <v>46</v>
      </c>
      <c r="G22" s="35">
        <v>214</v>
      </c>
      <c r="H22" s="66">
        <v>56</v>
      </c>
      <c r="I22" s="66">
        <v>60</v>
      </c>
      <c r="J22" s="66">
        <v>48</v>
      </c>
      <c r="K22" s="66">
        <f>L22-J22-I22-H22</f>
        <v>43</v>
      </c>
      <c r="L22" s="35">
        <v>207</v>
      </c>
      <c r="M22" s="66">
        <v>60</v>
      </c>
      <c r="N22" s="66">
        <v>54</v>
      </c>
      <c r="O22" s="66">
        <v>59</v>
      </c>
      <c r="P22" s="66">
        <f>Q22-O22-N22-M22</f>
        <v>61</v>
      </c>
      <c r="Q22" s="35">
        <v>234</v>
      </c>
      <c r="R22" s="66">
        <v>59</v>
      </c>
      <c r="S22" s="66">
        <v>63</v>
      </c>
      <c r="T22" s="66">
        <v>59</v>
      </c>
      <c r="U22" s="66">
        <f>V22-T22-S22-R22</f>
        <v>49</v>
      </c>
      <c r="V22" s="35">
        <v>230</v>
      </c>
    </row>
    <row r="23" spans="1:22">
      <c r="A23" s="67" t="s">
        <v>7</v>
      </c>
      <c r="B23" s="23"/>
      <c r="C23" s="68"/>
      <c r="D23" s="68">
        <f>D22/C22-1</f>
        <v>0</v>
      </c>
      <c r="E23" s="68">
        <f>E22/D22-1</f>
        <v>0</v>
      </c>
      <c r="F23" s="68">
        <f>F22/E22-1</f>
        <v>-0.1785714285714286</v>
      </c>
      <c r="G23" s="23"/>
      <c r="H23" s="68">
        <f>H22/F22-1</f>
        <v>0.21739130434782616</v>
      </c>
      <c r="I23" s="68">
        <f>I22/H22-1</f>
        <v>7.1428571428571397E-2</v>
      </c>
      <c r="J23" s="68">
        <f>J22/I22-1</f>
        <v>-0.19999999999999996</v>
      </c>
      <c r="K23" s="68">
        <f>K22/J22-1</f>
        <v>-0.10416666666666663</v>
      </c>
      <c r="L23" s="23"/>
      <c r="M23" s="68">
        <f>M22/K22-1</f>
        <v>0.39534883720930236</v>
      </c>
      <c r="N23" s="68">
        <f>N22/M22-1</f>
        <v>-9.9999999999999978E-2</v>
      </c>
      <c r="O23" s="68">
        <f>O22/N22-1</f>
        <v>9.259259259259256E-2</v>
      </c>
      <c r="P23" s="68">
        <f>P22/O22-1</f>
        <v>3.3898305084745672E-2</v>
      </c>
      <c r="Q23" s="23"/>
      <c r="R23" s="68">
        <f>R22/P22-1</f>
        <v>-3.2786885245901676E-2</v>
      </c>
      <c r="S23" s="68">
        <f>S22/R22-1</f>
        <v>6.7796610169491567E-2</v>
      </c>
      <c r="T23" s="68">
        <f>T22/S22-1</f>
        <v>-6.3492063492063489E-2</v>
      </c>
      <c r="U23" s="68">
        <f>U22/T22-1</f>
        <v>-0.16949152542372881</v>
      </c>
      <c r="V23" s="23"/>
    </row>
    <row r="24" spans="1:22" ht="9.75" customHeight="1">
      <c r="A24" s="67" t="s">
        <v>8</v>
      </c>
      <c r="B24" s="23"/>
      <c r="C24" s="69"/>
      <c r="D24" s="69"/>
      <c r="E24" s="69"/>
      <c r="F24" s="69"/>
      <c r="G24" s="23">
        <f t="shared" ref="G24:T24" si="15">G22/B22-1</f>
        <v>-2.2831050228310557E-2</v>
      </c>
      <c r="H24" s="69">
        <f t="shared" si="15"/>
        <v>0</v>
      </c>
      <c r="I24" s="69">
        <f t="shared" si="15"/>
        <v>7.1428571428571397E-2</v>
      </c>
      <c r="J24" s="69">
        <f t="shared" si="15"/>
        <v>-0.1428571428571429</v>
      </c>
      <c r="K24" s="69">
        <f t="shared" si="15"/>
        <v>-6.5217391304347783E-2</v>
      </c>
      <c r="L24" s="23">
        <f t="shared" si="15"/>
        <v>-3.2710280373831724E-2</v>
      </c>
      <c r="M24" s="69">
        <f t="shared" si="15"/>
        <v>7.1428571428571397E-2</v>
      </c>
      <c r="N24" s="69">
        <f t="shared" si="15"/>
        <v>-9.9999999999999978E-2</v>
      </c>
      <c r="O24" s="69">
        <f t="shared" si="15"/>
        <v>0.22916666666666674</v>
      </c>
      <c r="P24" s="69">
        <f t="shared" si="15"/>
        <v>0.41860465116279078</v>
      </c>
      <c r="Q24" s="23">
        <f t="shared" si="15"/>
        <v>0.13043478260869557</v>
      </c>
      <c r="R24" s="69">
        <f t="shared" si="15"/>
        <v>-1.6666666666666718E-2</v>
      </c>
      <c r="S24" s="69">
        <f t="shared" si="15"/>
        <v>0.16666666666666674</v>
      </c>
      <c r="T24" s="69">
        <f t="shared" si="15"/>
        <v>0</v>
      </c>
      <c r="U24" s="69">
        <f t="shared" ref="U24" si="16">U22/P22-1</f>
        <v>-0.19672131147540983</v>
      </c>
      <c r="V24" s="23">
        <f t="shared" ref="V24" si="17">V22/Q22-1</f>
        <v>-1.7094017094017144E-2</v>
      </c>
    </row>
    <row r="25" spans="1:22" ht="3" customHeight="1">
      <c r="A25" s="38"/>
      <c r="B25" s="39"/>
      <c r="C25" s="40"/>
      <c r="D25" s="40"/>
      <c r="E25" s="40"/>
      <c r="F25" s="40"/>
      <c r="G25" s="39"/>
      <c r="H25" s="40"/>
      <c r="I25" s="40"/>
      <c r="J25" s="40"/>
      <c r="K25" s="40"/>
      <c r="L25" s="39"/>
      <c r="M25" s="40"/>
      <c r="N25" s="40"/>
      <c r="O25" s="40"/>
      <c r="P25" s="40"/>
      <c r="Q25" s="39"/>
      <c r="R25" s="40"/>
      <c r="S25" s="40"/>
      <c r="T25" s="40"/>
      <c r="U25" s="40"/>
      <c r="V25" s="39"/>
    </row>
    <row r="26" spans="1:22">
      <c r="A26" s="65" t="s">
        <v>112</v>
      </c>
      <c r="B26" s="35">
        <v>2329</v>
      </c>
      <c r="C26" s="75" t="s">
        <v>40</v>
      </c>
      <c r="D26" s="75" t="s">
        <v>40</v>
      </c>
      <c r="E26" s="75" t="s">
        <v>40</v>
      </c>
      <c r="F26" s="75" t="s">
        <v>40</v>
      </c>
      <c r="G26" s="35">
        <v>2232</v>
      </c>
      <c r="H26" s="75" t="s">
        <v>40</v>
      </c>
      <c r="I26" s="75" t="s">
        <v>40</v>
      </c>
      <c r="J26" s="75" t="s">
        <v>40</v>
      </c>
      <c r="K26" s="75" t="s">
        <v>40</v>
      </c>
      <c r="L26" s="35">
        <v>2101</v>
      </c>
      <c r="M26" s="75" t="s">
        <v>40</v>
      </c>
      <c r="N26" s="75" t="s">
        <v>40</v>
      </c>
      <c r="O26" s="75" t="s">
        <v>40</v>
      </c>
      <c r="P26" s="75" t="s">
        <v>40</v>
      </c>
      <c r="Q26" s="35">
        <v>2029</v>
      </c>
      <c r="R26" s="75" t="s">
        <v>40</v>
      </c>
      <c r="S26" s="75" t="s">
        <v>40</v>
      </c>
      <c r="T26" s="75" t="s">
        <v>40</v>
      </c>
      <c r="U26" s="75" t="s">
        <v>40</v>
      </c>
      <c r="V26" s="35">
        <v>2033</v>
      </c>
    </row>
    <row r="27" spans="1:22">
      <c r="A27" s="67" t="s">
        <v>114</v>
      </c>
      <c r="B27" s="23">
        <f>B26/B7</f>
        <v>0.53137120693588868</v>
      </c>
      <c r="C27" s="69"/>
      <c r="D27" s="69"/>
      <c r="E27" s="69"/>
      <c r="F27" s="69"/>
      <c r="G27" s="23">
        <f>G26/G7</f>
        <v>0.52591894439208298</v>
      </c>
      <c r="H27" s="69"/>
      <c r="I27" s="69"/>
      <c r="J27" s="69"/>
      <c r="K27" s="69"/>
      <c r="L27" s="23">
        <f>L26/L7</f>
        <v>0.50071496663489035</v>
      </c>
      <c r="M27" s="69"/>
      <c r="N27" s="69"/>
      <c r="O27" s="69"/>
      <c r="P27" s="69"/>
      <c r="Q27" s="23">
        <f>Q26/Q7</f>
        <v>0.49815860545052787</v>
      </c>
      <c r="R27" s="69"/>
      <c r="S27" s="69"/>
      <c r="T27" s="69"/>
      <c r="U27" s="69"/>
      <c r="V27" s="23">
        <f>V26/V7</f>
        <v>0.48881942774705456</v>
      </c>
    </row>
    <row r="28" spans="1:22">
      <c r="A28" s="65" t="s">
        <v>113</v>
      </c>
      <c r="B28" s="35">
        <v>2054</v>
      </c>
      <c r="C28" s="75" t="s">
        <v>40</v>
      </c>
      <c r="D28" s="75" t="s">
        <v>40</v>
      </c>
      <c r="E28" s="75" t="s">
        <v>40</v>
      </c>
      <c r="F28" s="75" t="s">
        <v>40</v>
      </c>
      <c r="G28" s="35">
        <v>2012</v>
      </c>
      <c r="H28" s="75" t="s">
        <v>40</v>
      </c>
      <c r="I28" s="75" t="s">
        <v>40</v>
      </c>
      <c r="J28" s="75" t="s">
        <v>40</v>
      </c>
      <c r="K28" s="75" t="s">
        <v>40</v>
      </c>
      <c r="L28" s="35">
        <v>2095</v>
      </c>
      <c r="M28" s="75" t="s">
        <v>40</v>
      </c>
      <c r="N28" s="75" t="s">
        <v>40</v>
      </c>
      <c r="O28" s="75" t="s">
        <v>40</v>
      </c>
      <c r="P28" s="75" t="s">
        <v>40</v>
      </c>
      <c r="Q28" s="35">
        <v>2044</v>
      </c>
      <c r="R28" s="75" t="s">
        <v>40</v>
      </c>
      <c r="S28" s="75" t="s">
        <v>40</v>
      </c>
      <c r="T28" s="75" t="s">
        <v>40</v>
      </c>
      <c r="U28" s="75" t="s">
        <v>40</v>
      </c>
      <c r="V28" s="35">
        <v>2126</v>
      </c>
    </row>
    <row r="29" spans="1:22">
      <c r="A29" s="67" t="s">
        <v>114</v>
      </c>
      <c r="B29" s="23">
        <f>B28/B7</f>
        <v>0.46862879306411132</v>
      </c>
      <c r="C29" s="69"/>
      <c r="D29" s="69"/>
      <c r="E29" s="69"/>
      <c r="F29" s="69"/>
      <c r="G29" s="23">
        <f>G28/G7</f>
        <v>0.47408105560791708</v>
      </c>
      <c r="H29" s="69"/>
      <c r="I29" s="69"/>
      <c r="J29" s="69"/>
      <c r="K29" s="69"/>
      <c r="L29" s="23">
        <f>L28/L7</f>
        <v>0.49928503336510965</v>
      </c>
      <c r="M29" s="69"/>
      <c r="N29" s="69"/>
      <c r="O29" s="69"/>
      <c r="P29" s="69"/>
      <c r="Q29" s="23">
        <f>Q28/Q7</f>
        <v>0.50184139454947219</v>
      </c>
      <c r="R29" s="69"/>
      <c r="S29" s="69"/>
      <c r="T29" s="69"/>
      <c r="U29" s="69"/>
      <c r="V29" s="23">
        <f>V28/V7</f>
        <v>0.51118057225294544</v>
      </c>
    </row>
    <row r="30" spans="1:22">
      <c r="A30" s="38" t="s">
        <v>59</v>
      </c>
      <c r="B30" s="39"/>
      <c r="C30" s="40"/>
      <c r="D30" s="40"/>
      <c r="E30" s="40"/>
      <c r="F30" s="40"/>
      <c r="G30" s="39"/>
      <c r="H30" s="40"/>
      <c r="I30" s="40"/>
      <c r="J30" s="40"/>
      <c r="K30" s="40"/>
      <c r="L30" s="39"/>
      <c r="M30" s="40"/>
      <c r="N30" s="40"/>
      <c r="O30" s="40"/>
      <c r="P30" s="40"/>
      <c r="Q30" s="39"/>
      <c r="R30" s="40"/>
      <c r="S30" s="40"/>
      <c r="T30" s="40"/>
      <c r="U30" s="40"/>
      <c r="V30" s="39"/>
    </row>
    <row r="31" spans="1:22">
      <c r="A31" s="65" t="s">
        <v>11</v>
      </c>
      <c r="B31" s="35">
        <v>717</v>
      </c>
      <c r="C31" s="66">
        <v>180</v>
      </c>
      <c r="D31" s="66">
        <v>177</v>
      </c>
      <c r="E31" s="66">
        <v>186</v>
      </c>
      <c r="F31" s="66">
        <f>G31-E31-D31-C31</f>
        <v>185</v>
      </c>
      <c r="G31" s="35">
        <v>728</v>
      </c>
      <c r="H31" s="66">
        <v>204</v>
      </c>
      <c r="I31" s="66">
        <v>211</v>
      </c>
      <c r="J31" s="66">
        <v>218</v>
      </c>
      <c r="K31" s="66">
        <f>L31-J31-I31-H31</f>
        <v>217</v>
      </c>
      <c r="L31" s="35">
        <v>850</v>
      </c>
      <c r="M31" s="66">
        <v>207</v>
      </c>
      <c r="N31" s="66">
        <v>204</v>
      </c>
      <c r="O31" s="66">
        <v>225</v>
      </c>
      <c r="P31" s="66">
        <f>Q31-O31-N31-M31</f>
        <v>225</v>
      </c>
      <c r="Q31" s="35">
        <v>861</v>
      </c>
      <c r="R31" s="66">
        <v>212</v>
      </c>
      <c r="S31" s="66">
        <v>218</v>
      </c>
      <c r="T31" s="66">
        <v>222</v>
      </c>
      <c r="U31" s="66">
        <f>V31-T31-S31-R31</f>
        <v>225</v>
      </c>
      <c r="V31" s="35">
        <v>877</v>
      </c>
    </row>
    <row r="32" spans="1:22" ht="9.75" customHeight="1">
      <c r="A32" s="67" t="s">
        <v>7</v>
      </c>
      <c r="B32" s="23"/>
      <c r="C32" s="68"/>
      <c r="D32" s="68">
        <f>D31/C31-1</f>
        <v>-1.6666666666666718E-2</v>
      </c>
      <c r="E32" s="68">
        <f>E31/D31-1</f>
        <v>5.0847457627118731E-2</v>
      </c>
      <c r="F32" s="68">
        <f>F31/E31-1</f>
        <v>-5.3763440860215006E-3</v>
      </c>
      <c r="G32" s="23"/>
      <c r="H32" s="68">
        <f>H31/F31-1</f>
        <v>0.10270270270270276</v>
      </c>
      <c r="I32" s="68">
        <f>I31/H31-1</f>
        <v>3.4313725490196179E-2</v>
      </c>
      <c r="J32" s="68">
        <f>J31/I31-1</f>
        <v>3.3175355450236976E-2</v>
      </c>
      <c r="K32" s="68">
        <f>K31/J31-1</f>
        <v>-4.5871559633027248E-3</v>
      </c>
      <c r="L32" s="23"/>
      <c r="M32" s="68">
        <f>M31/K31-1</f>
        <v>-4.6082949308755783E-2</v>
      </c>
      <c r="N32" s="68">
        <f>N31/M31-1</f>
        <v>-1.4492753623188359E-2</v>
      </c>
      <c r="O32" s="68">
        <f>O31/N31-1</f>
        <v>0.10294117647058831</v>
      </c>
      <c r="P32" s="68">
        <f>P31/O31-1</f>
        <v>0</v>
      </c>
      <c r="Q32" s="23"/>
      <c r="R32" s="68">
        <f>R31/P31-1</f>
        <v>-5.7777777777777817E-2</v>
      </c>
      <c r="S32" s="68">
        <f>S31/R31-1</f>
        <v>2.8301886792452935E-2</v>
      </c>
      <c r="T32" s="68">
        <f>T31/S31-1</f>
        <v>1.8348623853210899E-2</v>
      </c>
      <c r="U32" s="68">
        <f>U31/T31-1</f>
        <v>1.3513513513513598E-2</v>
      </c>
      <c r="V32" s="23"/>
    </row>
    <row r="33" spans="1:22" ht="10.5" customHeight="1">
      <c r="A33" s="67" t="s">
        <v>8</v>
      </c>
      <c r="B33" s="23"/>
      <c r="C33" s="69"/>
      <c r="D33" s="69"/>
      <c r="E33" s="69"/>
      <c r="F33" s="69"/>
      <c r="G33" s="23">
        <f t="shared" ref="G33:T33" si="18">G31/B31-1</f>
        <v>1.5341701534170138E-2</v>
      </c>
      <c r="H33" s="69">
        <f t="shared" si="18"/>
        <v>0.1333333333333333</v>
      </c>
      <c r="I33" s="69">
        <f t="shared" si="18"/>
        <v>0.19209039548022599</v>
      </c>
      <c r="J33" s="69">
        <f t="shared" si="18"/>
        <v>0.17204301075268824</v>
      </c>
      <c r="K33" s="69">
        <f t="shared" si="18"/>
        <v>0.17297297297297298</v>
      </c>
      <c r="L33" s="23">
        <f t="shared" si="18"/>
        <v>0.16758241758241765</v>
      </c>
      <c r="M33" s="69">
        <f t="shared" si="18"/>
        <v>1.4705882352941124E-2</v>
      </c>
      <c r="N33" s="69">
        <f t="shared" si="18"/>
        <v>-3.3175355450236976E-2</v>
      </c>
      <c r="O33" s="69">
        <f t="shared" si="18"/>
        <v>3.2110091743119185E-2</v>
      </c>
      <c r="P33" s="69">
        <f t="shared" si="18"/>
        <v>3.6866359447004671E-2</v>
      </c>
      <c r="Q33" s="23">
        <f t="shared" si="18"/>
        <v>1.2941176470588234E-2</v>
      </c>
      <c r="R33" s="69">
        <f t="shared" si="18"/>
        <v>2.4154589371980784E-2</v>
      </c>
      <c r="S33" s="69">
        <f t="shared" si="18"/>
        <v>6.8627450980392135E-2</v>
      </c>
      <c r="T33" s="69">
        <f t="shared" si="18"/>
        <v>-1.3333333333333308E-2</v>
      </c>
      <c r="U33" s="69">
        <f t="shared" ref="U33" si="19">U31/P31-1</f>
        <v>0</v>
      </c>
      <c r="V33" s="23">
        <f t="shared" ref="V33" si="20">V31/Q31-1</f>
        <v>1.8583042973286945E-2</v>
      </c>
    </row>
    <row r="34" spans="1:22">
      <c r="A34" s="65" t="s">
        <v>75</v>
      </c>
      <c r="B34" s="35">
        <v>898</v>
      </c>
      <c r="C34" s="66">
        <v>224</v>
      </c>
      <c r="D34" s="66">
        <v>220</v>
      </c>
      <c r="E34" s="66">
        <v>224</v>
      </c>
      <c r="F34" s="66">
        <f>G34-E34-D34-C34</f>
        <v>223</v>
      </c>
      <c r="G34" s="35">
        <v>891</v>
      </c>
      <c r="H34" s="66">
        <v>228</v>
      </c>
      <c r="I34" s="66">
        <v>232</v>
      </c>
      <c r="J34" s="66">
        <v>233</v>
      </c>
      <c r="K34" s="66">
        <f>L34-J34-I34-H34</f>
        <v>219</v>
      </c>
      <c r="L34" s="35">
        <v>912</v>
      </c>
      <c r="M34" s="66">
        <v>233</v>
      </c>
      <c r="N34" s="66">
        <v>231</v>
      </c>
      <c r="O34" s="66">
        <v>224</v>
      </c>
      <c r="P34" s="66">
        <f>Q34-O34-N34-M34</f>
        <v>223</v>
      </c>
      <c r="Q34" s="35">
        <v>911</v>
      </c>
      <c r="R34" s="66">
        <v>229</v>
      </c>
      <c r="S34" s="66">
        <v>224</v>
      </c>
      <c r="T34" s="66">
        <v>225</v>
      </c>
      <c r="U34" s="66">
        <f>V34-T34-S34-R34</f>
        <v>241</v>
      </c>
      <c r="V34" s="35">
        <v>919</v>
      </c>
    </row>
    <row r="35" spans="1:22">
      <c r="A35" s="67" t="s">
        <v>7</v>
      </c>
      <c r="B35" s="23"/>
      <c r="C35" s="68"/>
      <c r="D35" s="68">
        <f>D34/C34-1</f>
        <v>-1.7857142857142905E-2</v>
      </c>
      <c r="E35" s="68">
        <f>E34/D34-1</f>
        <v>1.8181818181818077E-2</v>
      </c>
      <c r="F35" s="68">
        <f>F34/E34-1</f>
        <v>-4.4642857142856984E-3</v>
      </c>
      <c r="G35" s="23"/>
      <c r="H35" s="68">
        <f>H34/F34-1</f>
        <v>2.2421524663677195E-2</v>
      </c>
      <c r="I35" s="68">
        <f>I34/H34-1</f>
        <v>1.7543859649122862E-2</v>
      </c>
      <c r="J35" s="68">
        <f>J34/I34-1</f>
        <v>4.3103448275862988E-3</v>
      </c>
      <c r="K35" s="68">
        <f>K34/J34-1</f>
        <v>-6.0085836909871237E-2</v>
      </c>
      <c r="L35" s="23"/>
      <c r="M35" s="68">
        <f>M34/K34-1</f>
        <v>6.3926940639269514E-2</v>
      </c>
      <c r="N35" s="68">
        <f>N34/M34-1</f>
        <v>-8.5836909871244149E-3</v>
      </c>
      <c r="O35" s="68">
        <f>O34/N34-1</f>
        <v>-3.0303030303030276E-2</v>
      </c>
      <c r="P35" s="68">
        <f>P34/O34-1</f>
        <v>-4.4642857142856984E-3</v>
      </c>
      <c r="Q35" s="23"/>
      <c r="R35" s="68">
        <f>R34/P34-1</f>
        <v>2.6905829596412634E-2</v>
      </c>
      <c r="S35" s="68">
        <f>S34/R34-1</f>
        <v>-2.183406113537123E-2</v>
      </c>
      <c r="T35" s="68">
        <f>T34/S34-1</f>
        <v>4.4642857142858094E-3</v>
      </c>
      <c r="U35" s="68">
        <f>U34/T34-1</f>
        <v>7.1111111111111125E-2</v>
      </c>
      <c r="V35" s="23"/>
    </row>
    <row r="36" spans="1:22" ht="11.25" customHeight="1">
      <c r="A36" s="67" t="s">
        <v>8</v>
      </c>
      <c r="B36" s="23"/>
      <c r="C36" s="69"/>
      <c r="D36" s="69"/>
      <c r="E36" s="69"/>
      <c r="F36" s="69"/>
      <c r="G36" s="23">
        <f t="shared" ref="G36:T36" si="21">G34/B34-1</f>
        <v>-7.7951002227171218E-3</v>
      </c>
      <c r="H36" s="69">
        <f t="shared" si="21"/>
        <v>1.7857142857142794E-2</v>
      </c>
      <c r="I36" s="69">
        <f t="shared" si="21"/>
        <v>5.4545454545454453E-2</v>
      </c>
      <c r="J36" s="69">
        <f t="shared" si="21"/>
        <v>4.0178571428571397E-2</v>
      </c>
      <c r="K36" s="69">
        <f t="shared" si="21"/>
        <v>-1.7937219730941756E-2</v>
      </c>
      <c r="L36" s="23">
        <f t="shared" si="21"/>
        <v>2.3569023569023573E-2</v>
      </c>
      <c r="M36" s="69">
        <f t="shared" si="21"/>
        <v>2.1929824561403466E-2</v>
      </c>
      <c r="N36" s="69">
        <f t="shared" si="21"/>
        <v>-4.3103448275861878E-3</v>
      </c>
      <c r="O36" s="69">
        <f t="shared" si="21"/>
        <v>-3.8626609442060089E-2</v>
      </c>
      <c r="P36" s="69">
        <f t="shared" si="21"/>
        <v>1.8264840182648401E-2</v>
      </c>
      <c r="Q36" s="23">
        <f t="shared" si="21"/>
        <v>-1.0964912280702066E-3</v>
      </c>
      <c r="R36" s="69">
        <f t="shared" si="21"/>
        <v>-1.7167381974248941E-2</v>
      </c>
      <c r="S36" s="69">
        <f t="shared" si="21"/>
        <v>-3.0303030303030276E-2</v>
      </c>
      <c r="T36" s="69">
        <f t="shared" si="21"/>
        <v>4.4642857142858094E-3</v>
      </c>
      <c r="U36" s="69">
        <f t="shared" ref="U36" si="22">U34/P34-1</f>
        <v>8.0717488789237679E-2</v>
      </c>
      <c r="V36" s="23">
        <f t="shared" ref="V36" si="23">V34/Q34-1</f>
        <v>8.7815587266739659E-3</v>
      </c>
    </row>
    <row r="37" spans="1:22">
      <c r="A37" s="65" t="s">
        <v>220</v>
      </c>
      <c r="B37" s="165">
        <v>-13</v>
      </c>
      <c r="C37" s="171">
        <v>-4</v>
      </c>
      <c r="D37" s="171">
        <v>-1</v>
      </c>
      <c r="E37" s="171">
        <v>-24</v>
      </c>
      <c r="F37" s="171">
        <f>G37-E37-D37-C37</f>
        <v>6</v>
      </c>
      <c r="G37" s="165">
        <v>-23</v>
      </c>
      <c r="H37" s="171">
        <v>18</v>
      </c>
      <c r="I37" s="171">
        <v>89</v>
      </c>
      <c r="J37" s="171">
        <v>-2</v>
      </c>
      <c r="K37" s="171">
        <f>L37-J37-I37-H37</f>
        <v>509</v>
      </c>
      <c r="L37" s="165">
        <v>614</v>
      </c>
      <c r="M37" s="171">
        <v>-69</v>
      </c>
      <c r="N37" s="171">
        <v>-423</v>
      </c>
      <c r="O37" s="171">
        <v>-8</v>
      </c>
      <c r="P37" s="171">
        <f>Q37-O37-N37-M37</f>
        <v>94</v>
      </c>
      <c r="Q37" s="165">
        <v>-406</v>
      </c>
      <c r="R37" s="171">
        <v>-4</v>
      </c>
      <c r="S37" s="171">
        <v>-2</v>
      </c>
      <c r="T37" s="171">
        <v>-5</v>
      </c>
      <c r="U37" s="171">
        <f>V37-T37-S37-R37</f>
        <v>79</v>
      </c>
      <c r="V37" s="165">
        <v>68</v>
      </c>
    </row>
    <row r="38" spans="1:22" ht="7.5" customHeight="1">
      <c r="A38" s="65"/>
      <c r="B38" s="165"/>
      <c r="C38" s="171"/>
      <c r="D38" s="171"/>
      <c r="E38" s="171"/>
      <c r="F38" s="171"/>
      <c r="G38" s="165"/>
      <c r="H38" s="171"/>
      <c r="I38" s="171"/>
      <c r="J38" s="171"/>
      <c r="K38" s="171"/>
      <c r="L38" s="165"/>
      <c r="M38" s="171"/>
      <c r="N38" s="171"/>
      <c r="O38" s="171"/>
      <c r="P38" s="171"/>
      <c r="Q38" s="165"/>
      <c r="R38" s="171"/>
      <c r="S38" s="171"/>
      <c r="T38" s="171"/>
      <c r="U38" s="171"/>
      <c r="V38" s="165"/>
    </row>
    <row r="39" spans="1:22">
      <c r="A39" s="65" t="s">
        <v>218</v>
      </c>
      <c r="B39" s="35">
        <v>2076</v>
      </c>
      <c r="C39" s="66">
        <v>513</v>
      </c>
      <c r="D39" s="66">
        <v>496</v>
      </c>
      <c r="E39" s="66">
        <v>492</v>
      </c>
      <c r="F39" s="66">
        <f>G39-E39-D39-C39</f>
        <v>470</v>
      </c>
      <c r="G39" s="35">
        <f>G7-G31-G34-G37-G83</f>
        <v>1971</v>
      </c>
      <c r="H39" s="66">
        <v>473</v>
      </c>
      <c r="I39" s="66">
        <v>387</v>
      </c>
      <c r="J39" s="66">
        <v>451</v>
      </c>
      <c r="K39" s="171">
        <f>L39-J39-I39-H39</f>
        <v>-87</v>
      </c>
      <c r="L39" s="35">
        <f>L7-L31-L34-L37-L83</f>
        <v>1224</v>
      </c>
      <c r="M39" s="66">
        <f>M7-M31-M34-M37-M83</f>
        <v>531</v>
      </c>
      <c r="N39" s="66">
        <f>N7-N31-N34-N37-N83</f>
        <v>875</v>
      </c>
      <c r="O39" s="66">
        <f>O7-O31-O34-O37-O83</f>
        <v>440</v>
      </c>
      <c r="P39" s="171">
        <f>Q39-O39-N39-M39</f>
        <v>296</v>
      </c>
      <c r="Q39" s="35">
        <f>Q7-Q31-Q34-Q37-Q83</f>
        <v>2142</v>
      </c>
      <c r="R39" s="66">
        <f>R7-R31-R34-R37-R83</f>
        <v>439</v>
      </c>
      <c r="S39" s="66">
        <f>S7-S31-S34-S37-S83</f>
        <v>464</v>
      </c>
      <c r="T39" s="66">
        <f>T7-T31-T34-T37-T83</f>
        <v>446</v>
      </c>
      <c r="U39" s="171">
        <f>V39-T39-S39-R39</f>
        <v>356</v>
      </c>
      <c r="V39" s="35">
        <f>V7-V31-V34-V37-V83</f>
        <v>1705</v>
      </c>
    </row>
    <row r="40" spans="1:22" ht="9.75" customHeight="1">
      <c r="A40" s="67" t="s">
        <v>7</v>
      </c>
      <c r="B40" s="23"/>
      <c r="C40" s="68"/>
      <c r="D40" s="68">
        <f>D39/C39-1</f>
        <v>-3.3138401559454245E-2</v>
      </c>
      <c r="E40" s="68">
        <f>E39/D39-1</f>
        <v>-8.0645161290322509E-3</v>
      </c>
      <c r="F40" s="68">
        <f>F39/E39-1</f>
        <v>-4.471544715447151E-2</v>
      </c>
      <c r="G40" s="23"/>
      <c r="H40" s="68">
        <f>H39/F39-1</f>
        <v>6.382978723404209E-3</v>
      </c>
      <c r="I40" s="68">
        <f>I39/H39-1</f>
        <v>-0.18181818181818177</v>
      </c>
      <c r="J40" s="68">
        <f>J39/I39-1</f>
        <v>0.1653746770025839</v>
      </c>
      <c r="K40" s="80" t="s">
        <v>34</v>
      </c>
      <c r="L40" s="23"/>
      <c r="M40" s="80" t="s">
        <v>34</v>
      </c>
      <c r="N40" s="68">
        <f>N39/M39-1</f>
        <v>0.64783427495291912</v>
      </c>
      <c r="O40" s="68">
        <f>O39/N39-1</f>
        <v>-0.49714285714285711</v>
      </c>
      <c r="P40" s="68">
        <f>P39/O39-1</f>
        <v>-0.32727272727272727</v>
      </c>
      <c r="Q40" s="23"/>
      <c r="R40" s="68">
        <f>R39/P39-1</f>
        <v>0.48310810810810811</v>
      </c>
      <c r="S40" s="68">
        <f>S39/R39-1</f>
        <v>5.6947608200455635E-2</v>
      </c>
      <c r="T40" s="68">
        <f>T39/S39-1</f>
        <v>-3.8793103448275912E-2</v>
      </c>
      <c r="U40" s="68">
        <f>U39/T39-1</f>
        <v>-0.2017937219730942</v>
      </c>
      <c r="V40" s="23"/>
    </row>
    <row r="41" spans="1:22" ht="12.75" customHeight="1">
      <c r="A41" s="67" t="s">
        <v>8</v>
      </c>
      <c r="B41" s="23"/>
      <c r="C41" s="69"/>
      <c r="D41" s="69"/>
      <c r="E41" s="69"/>
      <c r="F41" s="69"/>
      <c r="G41" s="23">
        <f t="shared" ref="G41:J41" si="24">G39/B39-1</f>
        <v>-5.0578034682080886E-2</v>
      </c>
      <c r="H41" s="69">
        <f t="shared" si="24"/>
        <v>-7.7972709551656916E-2</v>
      </c>
      <c r="I41" s="69">
        <f t="shared" si="24"/>
        <v>-0.219758064516129</v>
      </c>
      <c r="J41" s="69">
        <f t="shared" si="24"/>
        <v>-8.333333333333337E-2</v>
      </c>
      <c r="K41" s="80" t="s">
        <v>34</v>
      </c>
      <c r="L41" s="23">
        <f t="shared" ref="L41:O41" si="25">L39/G39-1</f>
        <v>-0.37899543378995437</v>
      </c>
      <c r="M41" s="69">
        <f t="shared" si="25"/>
        <v>0.12262156448202965</v>
      </c>
      <c r="N41" s="69">
        <f t="shared" si="25"/>
        <v>1.260981912144703</v>
      </c>
      <c r="O41" s="69">
        <f t="shared" si="25"/>
        <v>-2.4390243902439046E-2</v>
      </c>
      <c r="P41" s="80" t="s">
        <v>34</v>
      </c>
      <c r="Q41" s="23">
        <f t="shared" ref="Q41:T41" si="26">Q39/L39-1</f>
        <v>0.75</v>
      </c>
      <c r="R41" s="69">
        <f t="shared" si="26"/>
        <v>-0.17325800376647837</v>
      </c>
      <c r="S41" s="69">
        <f t="shared" si="26"/>
        <v>-0.46971428571428575</v>
      </c>
      <c r="T41" s="69">
        <f t="shared" si="26"/>
        <v>1.3636363636363669E-2</v>
      </c>
      <c r="U41" s="69">
        <f>U39/P39-1</f>
        <v>0.20270270270270263</v>
      </c>
      <c r="V41" s="23">
        <f t="shared" ref="V41" si="27">V39/Q39-1</f>
        <v>-0.20401493930905701</v>
      </c>
    </row>
    <row r="42" spans="1:22">
      <c r="A42" s="65" t="s">
        <v>73</v>
      </c>
      <c r="B42" s="35">
        <v>445</v>
      </c>
      <c r="C42" s="137">
        <v>92</v>
      </c>
      <c r="D42" s="137">
        <v>82</v>
      </c>
      <c r="E42" s="137">
        <v>107</v>
      </c>
      <c r="F42" s="137">
        <f>G42-E42-D42-C42</f>
        <v>122</v>
      </c>
      <c r="G42" s="35">
        <v>403</v>
      </c>
      <c r="H42" s="137">
        <v>121</v>
      </c>
      <c r="I42" s="137">
        <v>119</v>
      </c>
      <c r="J42" s="137">
        <v>113</v>
      </c>
      <c r="K42" s="137">
        <f>L42-J42-I42-H42</f>
        <v>117</v>
      </c>
      <c r="L42" s="35">
        <v>470</v>
      </c>
      <c r="M42" s="137">
        <v>106</v>
      </c>
      <c r="N42" s="137">
        <v>141</v>
      </c>
      <c r="O42" s="137">
        <v>207</v>
      </c>
      <c r="P42" s="137">
        <f>Q42-O42-N42-M42</f>
        <v>115</v>
      </c>
      <c r="Q42" s="35">
        <v>569</v>
      </c>
      <c r="R42" s="137">
        <v>49</v>
      </c>
      <c r="S42" s="137">
        <v>163</v>
      </c>
      <c r="T42" s="137">
        <v>91</v>
      </c>
      <c r="U42" s="137">
        <f>V42-T42-S42-R42</f>
        <v>100</v>
      </c>
      <c r="V42" s="35">
        <v>403</v>
      </c>
    </row>
    <row r="43" spans="1:22" ht="9.75" customHeight="1">
      <c r="A43" s="67" t="s">
        <v>7</v>
      </c>
      <c r="B43" s="23"/>
      <c r="C43" s="68"/>
      <c r="D43" s="68">
        <f>D42/C42-1</f>
        <v>-0.10869565217391308</v>
      </c>
      <c r="E43" s="68">
        <f>E42/D42-1</f>
        <v>0.30487804878048785</v>
      </c>
      <c r="F43" s="68">
        <f>F42/E42-1</f>
        <v>0.14018691588785037</v>
      </c>
      <c r="G43" s="23"/>
      <c r="H43" s="68">
        <f>H42/F42-1</f>
        <v>-8.1967213114754189E-3</v>
      </c>
      <c r="I43" s="68">
        <f>I42/H42-1</f>
        <v>-1.6528925619834656E-2</v>
      </c>
      <c r="J43" s="68">
        <f>J42/I42-1</f>
        <v>-5.0420168067226934E-2</v>
      </c>
      <c r="K43" s="68">
        <f>K42/J42-1</f>
        <v>3.539823008849563E-2</v>
      </c>
      <c r="L43" s="23"/>
      <c r="M43" s="68">
        <f>M42/K42-1</f>
        <v>-9.4017094017094016E-2</v>
      </c>
      <c r="N43" s="68">
        <f>N42/M42-1</f>
        <v>0.33018867924528306</v>
      </c>
      <c r="O43" s="68">
        <f>O42/N42-1</f>
        <v>0.46808510638297873</v>
      </c>
      <c r="P43" s="68">
        <f>P42/O42-1</f>
        <v>-0.44444444444444442</v>
      </c>
      <c r="Q43" s="23"/>
      <c r="R43" s="68">
        <f>R42/P42-1</f>
        <v>-0.57391304347826089</v>
      </c>
      <c r="S43" s="68">
        <f>S42/R42-1</f>
        <v>2.3265306122448979</v>
      </c>
      <c r="T43" s="68">
        <f>T42/S42-1</f>
        <v>-0.44171779141104295</v>
      </c>
      <c r="U43" s="68">
        <f>U42/T42-1</f>
        <v>9.8901098901098994E-2</v>
      </c>
      <c r="V43" s="23"/>
    </row>
    <row r="44" spans="1:22" ht="11.25" customHeight="1">
      <c r="A44" s="67" t="s">
        <v>8</v>
      </c>
      <c r="B44" s="23"/>
      <c r="C44" s="69"/>
      <c r="D44" s="69"/>
      <c r="E44" s="69"/>
      <c r="F44" s="69"/>
      <c r="G44" s="23">
        <f>G42/B42-1</f>
        <v>-9.4382022471910076E-2</v>
      </c>
      <c r="H44" s="69">
        <f t="shared" ref="H44:J44" si="28">H42/C42-1</f>
        <v>0.31521739130434789</v>
      </c>
      <c r="I44" s="69">
        <f t="shared" si="28"/>
        <v>0.45121951219512191</v>
      </c>
      <c r="J44" s="69">
        <f t="shared" si="28"/>
        <v>5.6074766355140193E-2</v>
      </c>
      <c r="K44" s="69">
        <f>K42/F42-1</f>
        <v>-4.0983606557377095E-2</v>
      </c>
      <c r="L44" s="23">
        <f>L42/G42-1</f>
        <v>0.16625310173697261</v>
      </c>
      <c r="M44" s="69">
        <f t="shared" ref="M44:O44" si="29">M42/H42-1</f>
        <v>-0.12396694214876036</v>
      </c>
      <c r="N44" s="69">
        <f t="shared" si="29"/>
        <v>0.18487394957983194</v>
      </c>
      <c r="O44" s="69">
        <f t="shared" si="29"/>
        <v>0.83185840707964598</v>
      </c>
      <c r="P44" s="69">
        <f>P42/K42-1</f>
        <v>-1.7094017094017144E-2</v>
      </c>
      <c r="Q44" s="23">
        <f>Q42/L42-1</f>
        <v>0.21063829787234045</v>
      </c>
      <c r="R44" s="69">
        <f t="shared" ref="R44:T44" si="30">R42/M42-1</f>
        <v>-0.53773584905660377</v>
      </c>
      <c r="S44" s="69">
        <f t="shared" si="30"/>
        <v>0.15602836879432624</v>
      </c>
      <c r="T44" s="69">
        <f t="shared" si="30"/>
        <v>-0.56038647342995174</v>
      </c>
      <c r="U44" s="69">
        <f>U42/P42-1</f>
        <v>-0.13043478260869568</v>
      </c>
      <c r="V44" s="23">
        <f>V42/Q42-1</f>
        <v>-0.29173989455184535</v>
      </c>
    </row>
    <row r="45" spans="1:22">
      <c r="A45" s="65" t="s">
        <v>157</v>
      </c>
      <c r="B45" s="35">
        <v>399</v>
      </c>
      <c r="C45" s="137">
        <v>102</v>
      </c>
      <c r="D45" s="137">
        <v>97</v>
      </c>
      <c r="E45" s="137">
        <v>109</v>
      </c>
      <c r="F45" s="137">
        <f>G45-E45-D45-C45</f>
        <v>88</v>
      </c>
      <c r="G45" s="35">
        <v>396</v>
      </c>
      <c r="H45" s="137">
        <v>89</v>
      </c>
      <c r="I45" s="137">
        <v>66</v>
      </c>
      <c r="J45" s="137">
        <v>81</v>
      </c>
      <c r="K45" s="171">
        <f>L45-J45-I45-H45</f>
        <v>-49</v>
      </c>
      <c r="L45" s="35">
        <v>187</v>
      </c>
      <c r="M45" s="137">
        <v>104</v>
      </c>
      <c r="N45" s="137">
        <v>172</v>
      </c>
      <c r="O45" s="137">
        <v>58</v>
      </c>
      <c r="P45" s="171">
        <f>Q45-O45-N45-M45</f>
        <v>47</v>
      </c>
      <c r="Q45" s="35">
        <v>381</v>
      </c>
      <c r="R45" s="137">
        <v>95</v>
      </c>
      <c r="S45" s="137">
        <v>72</v>
      </c>
      <c r="T45" s="137">
        <v>55</v>
      </c>
      <c r="U45" s="171">
        <f>V45-T45-S45-R45</f>
        <v>40</v>
      </c>
      <c r="V45" s="35">
        <v>262</v>
      </c>
    </row>
    <row r="46" spans="1:22" ht="9" customHeight="1">
      <c r="A46" s="67" t="s">
        <v>7</v>
      </c>
      <c r="B46" s="23"/>
      <c r="C46" s="68"/>
      <c r="D46" s="68">
        <f>D45/C45-1</f>
        <v>-4.9019607843137303E-2</v>
      </c>
      <c r="E46" s="68">
        <f>E45/D45-1</f>
        <v>0.12371134020618557</v>
      </c>
      <c r="F46" s="68">
        <f>F45/E45-1</f>
        <v>-0.19266055045871555</v>
      </c>
      <c r="G46" s="23"/>
      <c r="H46" s="68">
        <f>H45/F45-1</f>
        <v>1.1363636363636465E-2</v>
      </c>
      <c r="I46" s="68">
        <f>I45/H45-1</f>
        <v>-0.2584269662921348</v>
      </c>
      <c r="J46" s="68">
        <f>J45/I45-1</f>
        <v>0.22727272727272729</v>
      </c>
      <c r="K46" s="80" t="s">
        <v>34</v>
      </c>
      <c r="L46" s="23"/>
      <c r="M46" s="80" t="s">
        <v>34</v>
      </c>
      <c r="N46" s="68">
        <f>N45/M45-1</f>
        <v>0.65384615384615374</v>
      </c>
      <c r="O46" s="68">
        <f>O45/N45-1</f>
        <v>-0.66279069767441867</v>
      </c>
      <c r="P46" s="68">
        <f>P45/O45-1</f>
        <v>-0.18965517241379315</v>
      </c>
      <c r="Q46" s="23"/>
      <c r="R46" s="68">
        <f>R45/P45-1</f>
        <v>1.021276595744681</v>
      </c>
      <c r="S46" s="68">
        <f>S45/R45-1</f>
        <v>-0.24210526315789471</v>
      </c>
      <c r="T46" s="68">
        <f>T45/S45-1</f>
        <v>-0.23611111111111116</v>
      </c>
      <c r="U46" s="68">
        <f>U45/T45-1</f>
        <v>-0.27272727272727271</v>
      </c>
      <c r="V46" s="23"/>
    </row>
    <row r="47" spans="1:22" ht="11.25" customHeight="1">
      <c r="A47" s="67" t="s">
        <v>8</v>
      </c>
      <c r="B47" s="23"/>
      <c r="C47" s="69"/>
      <c r="D47" s="69"/>
      <c r="E47" s="69"/>
      <c r="F47" s="69"/>
      <c r="G47" s="23">
        <f t="shared" ref="G47:J47" si="31">G45/B45-1</f>
        <v>-7.5187969924812581E-3</v>
      </c>
      <c r="H47" s="69">
        <f t="shared" si="31"/>
        <v>-0.12745098039215685</v>
      </c>
      <c r="I47" s="69">
        <f t="shared" si="31"/>
        <v>-0.31958762886597936</v>
      </c>
      <c r="J47" s="69">
        <f t="shared" si="31"/>
        <v>-0.25688073394495414</v>
      </c>
      <c r="K47" s="80" t="s">
        <v>34</v>
      </c>
      <c r="L47" s="23">
        <f t="shared" ref="L47:O47" si="32">L45/G45-1</f>
        <v>-0.52777777777777779</v>
      </c>
      <c r="M47" s="69">
        <f t="shared" si="32"/>
        <v>0.1685393258426966</v>
      </c>
      <c r="N47" s="69">
        <f t="shared" si="32"/>
        <v>1.606060606060606</v>
      </c>
      <c r="O47" s="69">
        <f t="shared" si="32"/>
        <v>-0.28395061728395066</v>
      </c>
      <c r="P47" s="80" t="s">
        <v>34</v>
      </c>
      <c r="Q47" s="23">
        <f t="shared" ref="Q47:T47" si="33">Q45/L45-1</f>
        <v>1.0374331550802141</v>
      </c>
      <c r="R47" s="69">
        <f t="shared" si="33"/>
        <v>-8.6538461538461564E-2</v>
      </c>
      <c r="S47" s="69">
        <f t="shared" si="33"/>
        <v>-0.58139534883720922</v>
      </c>
      <c r="T47" s="69">
        <f t="shared" si="33"/>
        <v>-5.1724137931034475E-2</v>
      </c>
      <c r="U47" s="69">
        <f>U45/P45-1</f>
        <v>-0.14893617021276595</v>
      </c>
      <c r="V47" s="23">
        <f t="shared" ref="V47" si="34">V45/Q45-1</f>
        <v>-0.31233595800524938</v>
      </c>
    </row>
    <row r="48" spans="1:22">
      <c r="A48" s="65" t="s">
        <v>315</v>
      </c>
      <c r="B48" s="35">
        <f>1631-399</f>
        <v>1232</v>
      </c>
      <c r="C48" s="66">
        <v>319</v>
      </c>
      <c r="D48" s="66">
        <f>414-97</f>
        <v>317</v>
      </c>
      <c r="E48" s="66">
        <f>385-109</f>
        <v>276</v>
      </c>
      <c r="F48" s="137">
        <f>G48-E48-D48-C48</f>
        <v>260</v>
      </c>
      <c r="G48" s="35">
        <f>1568-396</f>
        <v>1172</v>
      </c>
      <c r="H48" s="66">
        <f>352-89</f>
        <v>263</v>
      </c>
      <c r="I48" s="66">
        <f>268-66</f>
        <v>202</v>
      </c>
      <c r="J48" s="66">
        <f>338-81</f>
        <v>257</v>
      </c>
      <c r="K48" s="171">
        <f>L48-J48-I48-H48</f>
        <v>-155</v>
      </c>
      <c r="L48" s="35">
        <f>754-L45</f>
        <v>567</v>
      </c>
      <c r="M48" s="66">
        <f>425-104</f>
        <v>321</v>
      </c>
      <c r="N48" s="66">
        <f>734-172</f>
        <v>562</v>
      </c>
      <c r="O48" s="66">
        <f>233-O45</f>
        <v>175</v>
      </c>
      <c r="P48" s="171">
        <f>Q48-O48-N48-M48</f>
        <v>134</v>
      </c>
      <c r="Q48" s="35">
        <f>1573-Q45</f>
        <v>1192</v>
      </c>
      <c r="R48" s="66">
        <f>390-R45</f>
        <v>295</v>
      </c>
      <c r="S48" s="66">
        <f>301-72</f>
        <v>229</v>
      </c>
      <c r="T48" s="66">
        <f>355-T45</f>
        <v>300</v>
      </c>
      <c r="U48" s="171">
        <f>V48-T48-S48-R48</f>
        <v>216</v>
      </c>
      <c r="V48" s="35">
        <f>1302-V45</f>
        <v>1040</v>
      </c>
    </row>
    <row r="49" spans="1:22" ht="10.5" customHeight="1">
      <c r="A49" s="67" t="s">
        <v>7</v>
      </c>
      <c r="B49" s="23"/>
      <c r="C49" s="68"/>
      <c r="D49" s="68">
        <f>D48/C48-1</f>
        <v>-6.2695924764890609E-3</v>
      </c>
      <c r="E49" s="68">
        <f>E48/D48-1</f>
        <v>-0.12933753943217663</v>
      </c>
      <c r="F49" s="68">
        <f>F48/E48-1</f>
        <v>-5.7971014492753659E-2</v>
      </c>
      <c r="G49" s="23"/>
      <c r="H49" s="68">
        <f>H48/F48-1</f>
        <v>1.1538461538461497E-2</v>
      </c>
      <c r="I49" s="68">
        <f>I48/H48-1</f>
        <v>-0.23193916349809884</v>
      </c>
      <c r="J49" s="68">
        <f>J48/I48-1</f>
        <v>0.2722772277227723</v>
      </c>
      <c r="K49" s="80" t="s">
        <v>34</v>
      </c>
      <c r="L49" s="23"/>
      <c r="M49" s="80" t="s">
        <v>34</v>
      </c>
      <c r="N49" s="68">
        <f>N48/M48-1</f>
        <v>0.75077881619937692</v>
      </c>
      <c r="O49" s="68">
        <f>O48/N48-1</f>
        <v>-0.68861209964412806</v>
      </c>
      <c r="P49" s="68">
        <f>P48/O48-1</f>
        <v>-0.23428571428571432</v>
      </c>
      <c r="Q49" s="23"/>
      <c r="R49" s="68">
        <f>R48/P48-1</f>
        <v>1.2014925373134329</v>
      </c>
      <c r="S49" s="68">
        <f>S48/R48-1</f>
        <v>-0.22372881355932206</v>
      </c>
      <c r="T49" s="68">
        <f>T48/S48-1</f>
        <v>0.31004366812227069</v>
      </c>
      <c r="U49" s="68">
        <f>U48/T48-1</f>
        <v>-0.28000000000000003</v>
      </c>
      <c r="V49" s="23"/>
    </row>
    <row r="50" spans="1:22" ht="11.25" customHeight="1">
      <c r="A50" s="67" t="s">
        <v>8</v>
      </c>
      <c r="B50" s="23"/>
      <c r="C50" s="69"/>
      <c r="D50" s="69"/>
      <c r="E50" s="69"/>
      <c r="F50" s="69"/>
      <c r="G50" s="23">
        <f t="shared" ref="G50:J50" si="35">G48/B48-1</f>
        <v>-4.870129870129869E-2</v>
      </c>
      <c r="H50" s="69">
        <f t="shared" si="35"/>
        <v>-0.17554858934169282</v>
      </c>
      <c r="I50" s="69">
        <f t="shared" si="35"/>
        <v>-0.36277602523659302</v>
      </c>
      <c r="J50" s="69">
        <f t="shared" si="35"/>
        <v>-6.88405797101449E-2</v>
      </c>
      <c r="K50" s="80" t="s">
        <v>34</v>
      </c>
      <c r="L50" s="23">
        <f t="shared" ref="L50:O50" si="36">L48/G48-1</f>
        <v>-0.5162116040955631</v>
      </c>
      <c r="M50" s="69">
        <f t="shared" si="36"/>
        <v>0.22053231939163509</v>
      </c>
      <c r="N50" s="69">
        <f t="shared" si="36"/>
        <v>1.782178217821782</v>
      </c>
      <c r="O50" s="69">
        <f t="shared" si="36"/>
        <v>-0.31906614785992216</v>
      </c>
      <c r="P50" s="80" t="s">
        <v>34</v>
      </c>
      <c r="Q50" s="23">
        <f t="shared" ref="Q50:T50" si="37">Q48/L48-1</f>
        <v>1.1022927689594355</v>
      </c>
      <c r="R50" s="69">
        <f t="shared" si="37"/>
        <v>-8.0996884735202501E-2</v>
      </c>
      <c r="S50" s="69">
        <f t="shared" si="37"/>
        <v>-0.592526690391459</v>
      </c>
      <c r="T50" s="69">
        <f t="shared" si="37"/>
        <v>0.71428571428571419</v>
      </c>
      <c r="U50" s="69">
        <f>U48/P48-1</f>
        <v>0.61194029850746268</v>
      </c>
      <c r="V50" s="23">
        <f t="shared" ref="V50" si="38">V48/Q48-1</f>
        <v>-0.12751677852348997</v>
      </c>
    </row>
    <row r="51" spans="1:22" ht="24">
      <c r="A51" s="84" t="s">
        <v>314</v>
      </c>
      <c r="B51" s="35">
        <f>B48+(B37*0.75)</f>
        <v>1222.25</v>
      </c>
      <c r="C51" s="202">
        <f>C48+(C37*0.76)</f>
        <v>315.95999999999998</v>
      </c>
      <c r="D51" s="202">
        <f>D48+(D37*0.76)</f>
        <v>316.24</v>
      </c>
      <c r="E51" s="202">
        <f>E48+(E37*0.76)</f>
        <v>257.76</v>
      </c>
      <c r="F51" s="137">
        <f>G51-E51-D51-C51</f>
        <v>264.56</v>
      </c>
      <c r="G51" s="35">
        <f>G48+(G37*0.76)</f>
        <v>1154.52</v>
      </c>
      <c r="H51" s="202">
        <f>H48+(H37*0.77)</f>
        <v>276.86</v>
      </c>
      <c r="I51" s="202">
        <f>I48+(I37*0.77)</f>
        <v>270.52999999999997</v>
      </c>
      <c r="J51" s="202">
        <f>J48+(J37*0.77)</f>
        <v>255.46</v>
      </c>
      <c r="K51" s="137">
        <f>L51-J51-I51-H51</f>
        <v>236.92999999999995</v>
      </c>
      <c r="L51" s="35">
        <f>L48+(L37*0.77)</f>
        <v>1039.78</v>
      </c>
      <c r="M51" s="202">
        <f>M48+(M37*0.77)</f>
        <v>267.87</v>
      </c>
      <c r="N51" s="202">
        <f>N48+(N37*0.77)</f>
        <v>236.29000000000002</v>
      </c>
      <c r="O51" s="202">
        <f>O48+(O37*0.77)</f>
        <v>168.84</v>
      </c>
      <c r="P51" s="137">
        <f>Q51-O51-N51-M51</f>
        <v>206.37999999999994</v>
      </c>
      <c r="Q51" s="35">
        <f>Q48+(Q37*0.77)</f>
        <v>879.38</v>
      </c>
      <c r="R51" s="202">
        <f>R48+(R37*0.77)</f>
        <v>291.92</v>
      </c>
      <c r="S51" s="202">
        <f>S48+(S37*0.77)</f>
        <v>227.46</v>
      </c>
      <c r="T51" s="202">
        <f>T48+(T37*0.77)</f>
        <v>296.14999999999998</v>
      </c>
      <c r="U51" s="137">
        <f>V51-T51-S51-R51</f>
        <v>276.82999999999987</v>
      </c>
      <c r="V51" s="35">
        <f>V48+(V37*0.77)</f>
        <v>1092.3599999999999</v>
      </c>
    </row>
    <row r="52" spans="1:22" ht="3.75" customHeight="1">
      <c r="A52" s="207"/>
      <c r="B52" s="35"/>
      <c r="C52" s="202"/>
      <c r="D52" s="202"/>
      <c r="E52" s="202"/>
      <c r="F52" s="137"/>
      <c r="G52" s="35"/>
      <c r="H52" s="202"/>
      <c r="I52" s="202"/>
      <c r="J52" s="202"/>
      <c r="K52" s="137"/>
      <c r="L52" s="35"/>
      <c r="M52" s="202"/>
      <c r="N52" s="202"/>
      <c r="O52" s="202"/>
      <c r="P52" s="137"/>
      <c r="Q52" s="35"/>
      <c r="R52" s="202"/>
      <c r="S52" s="202"/>
      <c r="T52" s="202"/>
      <c r="U52" s="137"/>
      <c r="V52" s="35"/>
    </row>
    <row r="53" spans="1:22">
      <c r="A53" s="65" t="s">
        <v>161</v>
      </c>
      <c r="B53" s="35">
        <f>B31+B39</f>
        <v>2793</v>
      </c>
      <c r="C53" s="72">
        <f>C31+C39</f>
        <v>693</v>
      </c>
      <c r="D53" s="72">
        <f>D31+D39</f>
        <v>673</v>
      </c>
      <c r="E53" s="72">
        <f>E31+E39</f>
        <v>678</v>
      </c>
      <c r="F53" s="66">
        <f>G53-E53-D53-C53</f>
        <v>655</v>
      </c>
      <c r="G53" s="35">
        <f>G31+G39</f>
        <v>2699</v>
      </c>
      <c r="H53" s="72">
        <f>H31+H39</f>
        <v>677</v>
      </c>
      <c r="I53" s="72">
        <f>I31+I39</f>
        <v>598</v>
      </c>
      <c r="J53" s="72">
        <f>J31+J39</f>
        <v>669</v>
      </c>
      <c r="K53" s="66">
        <f>L53-J53-I53-H53</f>
        <v>130</v>
      </c>
      <c r="L53" s="35">
        <f>L31+L39</f>
        <v>2074</v>
      </c>
      <c r="M53" s="72">
        <f>M31+M39</f>
        <v>738</v>
      </c>
      <c r="N53" s="72">
        <f>N31+N39</f>
        <v>1079</v>
      </c>
      <c r="O53" s="72">
        <f>O31+O39</f>
        <v>665</v>
      </c>
      <c r="P53" s="66">
        <f>Q53-O53-N53-M53</f>
        <v>521</v>
      </c>
      <c r="Q53" s="35">
        <f>Q31+Q39</f>
        <v>3003</v>
      </c>
      <c r="R53" s="72">
        <f>R31+R39</f>
        <v>651</v>
      </c>
      <c r="S53" s="72">
        <f>S31+S39</f>
        <v>682</v>
      </c>
      <c r="T53" s="72">
        <f>T31+T39</f>
        <v>668</v>
      </c>
      <c r="U53" s="66">
        <f>V53-T53-S53-R53</f>
        <v>581</v>
      </c>
      <c r="V53" s="35">
        <f>V31+V39</f>
        <v>2582</v>
      </c>
    </row>
    <row r="54" spans="1:22" ht="9" customHeight="1">
      <c r="A54" s="67" t="s">
        <v>7</v>
      </c>
      <c r="B54" s="23"/>
      <c r="C54" s="68"/>
      <c r="D54" s="68">
        <f>D53/C53-1</f>
        <v>-2.8860028860028808E-2</v>
      </c>
      <c r="E54" s="68">
        <f>E53/D53-1</f>
        <v>7.429420505200568E-3</v>
      </c>
      <c r="F54" s="68">
        <f>F53/E53-1</f>
        <v>-3.3923303834808238E-2</v>
      </c>
      <c r="G54" s="23"/>
      <c r="H54" s="68">
        <f>H53/F53-1</f>
        <v>3.3587786259541952E-2</v>
      </c>
      <c r="I54" s="68">
        <f>I53/H53-1</f>
        <v>-0.11669128508124071</v>
      </c>
      <c r="J54" s="68">
        <f>J53/I53-1</f>
        <v>0.11872909698996659</v>
      </c>
      <c r="K54" s="68">
        <f>K53/J53-1</f>
        <v>-0.8056801195814649</v>
      </c>
      <c r="L54" s="23"/>
      <c r="M54" s="68">
        <f>M53/K53-1</f>
        <v>4.6769230769230772</v>
      </c>
      <c r="N54" s="68">
        <f>N53/M53-1</f>
        <v>0.46205962059620598</v>
      </c>
      <c r="O54" s="68">
        <f>O53/N53-1</f>
        <v>-0.38368860055607046</v>
      </c>
      <c r="P54" s="68">
        <f>P53/O53-1</f>
        <v>-0.2165413533834587</v>
      </c>
      <c r="Q54" s="23"/>
      <c r="R54" s="68">
        <f>R53/P53-1</f>
        <v>0.24952015355086377</v>
      </c>
      <c r="S54" s="68">
        <f>S53/R53-1</f>
        <v>4.7619047619047672E-2</v>
      </c>
      <c r="T54" s="68">
        <f>T53/S53-1</f>
        <v>-2.0527859237536639E-2</v>
      </c>
      <c r="U54" s="68">
        <f>U53/T53-1</f>
        <v>-0.13023952095808389</v>
      </c>
      <c r="V54" s="23"/>
    </row>
    <row r="55" spans="1:22" ht="11.25" customHeight="1">
      <c r="A55" s="67" t="s">
        <v>8</v>
      </c>
      <c r="B55" s="23"/>
      <c r="C55" s="69"/>
      <c r="D55" s="69"/>
      <c r="E55" s="69"/>
      <c r="F55" s="69"/>
      <c r="G55" s="23">
        <f t="shared" ref="G55:T55" si="39">G53/B53-1</f>
        <v>-3.365556749015397E-2</v>
      </c>
      <c r="H55" s="69">
        <f t="shared" si="39"/>
        <v>-2.3088023088023046E-2</v>
      </c>
      <c r="I55" s="69">
        <f t="shared" si="39"/>
        <v>-0.11144130757800896</v>
      </c>
      <c r="J55" s="69">
        <f t="shared" si="39"/>
        <v>-1.3274336283185861E-2</v>
      </c>
      <c r="K55" s="69">
        <f t="shared" si="39"/>
        <v>-0.80152671755725191</v>
      </c>
      <c r="L55" s="23">
        <f t="shared" si="39"/>
        <v>-0.23156724712856613</v>
      </c>
      <c r="M55" s="69">
        <f t="shared" si="39"/>
        <v>9.0103397341211311E-2</v>
      </c>
      <c r="N55" s="69">
        <f t="shared" si="39"/>
        <v>0.80434782608695654</v>
      </c>
      <c r="O55" s="69">
        <f t="shared" si="39"/>
        <v>-5.9790732436472149E-3</v>
      </c>
      <c r="P55" s="69">
        <f t="shared" si="39"/>
        <v>3.0076923076923077</v>
      </c>
      <c r="Q55" s="23">
        <f t="shared" si="39"/>
        <v>0.44792671166827391</v>
      </c>
      <c r="R55" s="69">
        <f t="shared" si="39"/>
        <v>-0.11788617886178865</v>
      </c>
      <c r="S55" s="69">
        <f t="shared" si="39"/>
        <v>-0.36793327154772937</v>
      </c>
      <c r="T55" s="69">
        <f t="shared" si="39"/>
        <v>4.5112781954887993E-3</v>
      </c>
      <c r="U55" s="69">
        <f t="shared" ref="U55" si="40">U53/P53-1</f>
        <v>0.11516314779270642</v>
      </c>
      <c r="V55" s="23">
        <f t="shared" ref="V55" si="41">V53/Q53-1</f>
        <v>-0.14019314019314022</v>
      </c>
    </row>
    <row r="56" spans="1:22" ht="24">
      <c r="A56" s="84" t="s">
        <v>223</v>
      </c>
      <c r="B56" s="35">
        <f>B53+B37</f>
        <v>2780</v>
      </c>
      <c r="C56" s="202">
        <f>C53+C37</f>
        <v>689</v>
      </c>
      <c r="D56" s="202">
        <f>D53+D37</f>
        <v>672</v>
      </c>
      <c r="E56" s="202">
        <f>E53+E37</f>
        <v>654</v>
      </c>
      <c r="F56" s="202">
        <f>G56-E56-D56-C56</f>
        <v>661</v>
      </c>
      <c r="G56" s="35">
        <f>G53+G37</f>
        <v>2676</v>
      </c>
      <c r="H56" s="202">
        <f>H53+H37</f>
        <v>695</v>
      </c>
      <c r="I56" s="202">
        <f>I53+I37</f>
        <v>687</v>
      </c>
      <c r="J56" s="202">
        <f>J53+J37</f>
        <v>667</v>
      </c>
      <c r="K56" s="202">
        <f>L56-J56-I56-H56</f>
        <v>639</v>
      </c>
      <c r="L56" s="35">
        <f>L53+L37</f>
        <v>2688</v>
      </c>
      <c r="M56" s="202">
        <f>M53+M37</f>
        <v>669</v>
      </c>
      <c r="N56" s="202">
        <f>N53+N37</f>
        <v>656</v>
      </c>
      <c r="O56" s="202">
        <f>O53+O37</f>
        <v>657</v>
      </c>
      <c r="P56" s="202">
        <f>Q56-O56-N56-M56</f>
        <v>615</v>
      </c>
      <c r="Q56" s="35">
        <f>Q53+Q37</f>
        <v>2597</v>
      </c>
      <c r="R56" s="202">
        <f>R53+R37</f>
        <v>647</v>
      </c>
      <c r="S56" s="202">
        <f>S53+S37</f>
        <v>680</v>
      </c>
      <c r="T56" s="202">
        <f>T53+T37</f>
        <v>663</v>
      </c>
      <c r="U56" s="202">
        <f>V56-T56-S56-R56</f>
        <v>660</v>
      </c>
      <c r="V56" s="35">
        <f>V53+V37</f>
        <v>2650</v>
      </c>
    </row>
    <row r="57" spans="1:22" ht="9.75" customHeight="1">
      <c r="A57" s="67" t="s">
        <v>7</v>
      </c>
      <c r="B57" s="23"/>
      <c r="C57" s="68"/>
      <c r="D57" s="68">
        <f>D56/C56-1</f>
        <v>-2.4673439767779359E-2</v>
      </c>
      <c r="E57" s="68">
        <f>E56/D56-1</f>
        <v>-2.6785714285714302E-2</v>
      </c>
      <c r="F57" s="68">
        <f>F56/E56-1</f>
        <v>1.0703363914372988E-2</v>
      </c>
      <c r="G57" s="23"/>
      <c r="H57" s="68">
        <f>H56/F56-1</f>
        <v>5.1437216338880543E-2</v>
      </c>
      <c r="I57" s="68">
        <f>I56/H56-1</f>
        <v>-1.151079136690647E-2</v>
      </c>
      <c r="J57" s="68">
        <f>J56/I56-1</f>
        <v>-2.911208151382827E-2</v>
      </c>
      <c r="K57" s="68">
        <f>K56/J56-1</f>
        <v>-4.1979010494752611E-2</v>
      </c>
      <c r="L57" s="23"/>
      <c r="M57" s="68">
        <f>M56/K56-1</f>
        <v>4.6948356807511749E-2</v>
      </c>
      <c r="N57" s="68">
        <f>N56/M56-1</f>
        <v>-1.9431988041853532E-2</v>
      </c>
      <c r="O57" s="68">
        <f>O56/N56-1</f>
        <v>1.5243902439023849E-3</v>
      </c>
      <c r="P57" s="68">
        <f>P56/O56-1</f>
        <v>-6.3926940639269403E-2</v>
      </c>
      <c r="Q57" s="23"/>
      <c r="R57" s="68">
        <f>R56/P56-1</f>
        <v>5.2032520325203224E-2</v>
      </c>
      <c r="S57" s="68">
        <f>S56/R56-1</f>
        <v>5.1004636785162205E-2</v>
      </c>
      <c r="T57" s="68">
        <f>T56/S56-1</f>
        <v>-2.5000000000000022E-2</v>
      </c>
      <c r="U57" s="68">
        <f>U56/T56-1</f>
        <v>-4.5248868778280382E-3</v>
      </c>
      <c r="V57" s="23"/>
    </row>
    <row r="58" spans="1:22" ht="9" customHeight="1">
      <c r="A58" s="67" t="s">
        <v>8</v>
      </c>
      <c r="B58" s="23"/>
      <c r="C58" s="69"/>
      <c r="D58" s="69"/>
      <c r="E58" s="69"/>
      <c r="F58" s="69"/>
      <c r="G58" s="23">
        <f t="shared" ref="G58" si="42">G56/B56-1</f>
        <v>-3.7410071942446055E-2</v>
      </c>
      <c r="H58" s="69">
        <f t="shared" ref="H58" si="43">H56/C56-1</f>
        <v>8.7082728592162706E-3</v>
      </c>
      <c r="I58" s="69">
        <f t="shared" ref="I58" si="44">I56/D56-1</f>
        <v>2.2321428571428603E-2</v>
      </c>
      <c r="J58" s="69">
        <f t="shared" ref="J58" si="45">J56/E56-1</f>
        <v>1.9877675840978659E-2</v>
      </c>
      <c r="K58" s="69">
        <f t="shared" ref="K58" si="46">K56/F56-1</f>
        <v>-3.3282904689863835E-2</v>
      </c>
      <c r="L58" s="23">
        <f t="shared" ref="L58" si="47">L56/G56-1</f>
        <v>4.484304932735439E-3</v>
      </c>
      <c r="M58" s="69">
        <f t="shared" ref="M58" si="48">M56/H56-1</f>
        <v>-3.7410071942446055E-2</v>
      </c>
      <c r="N58" s="69">
        <f t="shared" ref="N58" si="49">N56/I56-1</f>
        <v>-4.5123726346433801E-2</v>
      </c>
      <c r="O58" s="69">
        <f t="shared" ref="O58" si="50">O56/J56-1</f>
        <v>-1.4992503748125885E-2</v>
      </c>
      <c r="P58" s="69">
        <f t="shared" ref="P58" si="51">P56/K56-1</f>
        <v>-3.7558685446009377E-2</v>
      </c>
      <c r="Q58" s="23">
        <f t="shared" ref="Q58" si="52">Q56/L56-1</f>
        <v>-3.385416666666663E-2</v>
      </c>
      <c r="R58" s="69">
        <f t="shared" ref="R58:T58" si="53">R56/M56-1</f>
        <v>-3.2884902840059738E-2</v>
      </c>
      <c r="S58" s="69">
        <f t="shared" si="53"/>
        <v>3.6585365853658569E-2</v>
      </c>
      <c r="T58" s="69">
        <f t="shared" si="53"/>
        <v>9.1324200913243114E-3</v>
      </c>
      <c r="U58" s="69">
        <f t="shared" ref="U58" si="54">U56/P56-1</f>
        <v>7.3170731707317138E-2</v>
      </c>
      <c r="V58" s="23">
        <f t="shared" ref="V58" si="55">V56/Q56-1</f>
        <v>2.0408163265306145E-2</v>
      </c>
    </row>
    <row r="59" spans="1:22">
      <c r="A59" s="38" t="s">
        <v>60</v>
      </c>
      <c r="B59" s="39"/>
      <c r="C59" s="47"/>
      <c r="D59" s="47"/>
      <c r="E59" s="47"/>
      <c r="F59" s="47"/>
      <c r="G59" s="39"/>
      <c r="H59" s="47"/>
      <c r="I59" s="47"/>
      <c r="J59" s="47"/>
      <c r="K59" s="47"/>
      <c r="L59" s="39"/>
      <c r="M59" s="47"/>
      <c r="N59" s="47"/>
      <c r="O59" s="47"/>
      <c r="P59" s="47"/>
      <c r="Q59" s="39"/>
      <c r="R59" s="47"/>
      <c r="S59" s="47"/>
      <c r="T59" s="47"/>
      <c r="U59" s="47"/>
      <c r="V59" s="39"/>
    </row>
    <row r="60" spans="1:22">
      <c r="A60" s="65" t="s">
        <v>12</v>
      </c>
      <c r="B60" s="62">
        <v>2064</v>
      </c>
      <c r="C60" s="66">
        <v>600</v>
      </c>
      <c r="D60" s="66">
        <v>465</v>
      </c>
      <c r="E60" s="66">
        <v>573</v>
      </c>
      <c r="F60" s="66">
        <f>G60-E60-D60-C60</f>
        <v>587</v>
      </c>
      <c r="G60" s="62">
        <v>2225</v>
      </c>
      <c r="H60" s="66">
        <v>516</v>
      </c>
      <c r="I60" s="66">
        <v>507</v>
      </c>
      <c r="J60" s="66">
        <v>583</v>
      </c>
      <c r="K60" s="66">
        <f>L60-J60-I60-H60</f>
        <v>600</v>
      </c>
      <c r="L60" s="62">
        <v>2206</v>
      </c>
      <c r="M60" s="66">
        <v>471</v>
      </c>
      <c r="N60" s="66">
        <v>416</v>
      </c>
      <c r="O60" s="66">
        <v>484</v>
      </c>
      <c r="P60" s="66">
        <f>Q60-O60-N60-M60</f>
        <v>476</v>
      </c>
      <c r="Q60" s="62">
        <v>1847</v>
      </c>
      <c r="R60" s="66">
        <v>611</v>
      </c>
      <c r="S60" s="66">
        <v>334</v>
      </c>
      <c r="T60" s="66">
        <v>561</v>
      </c>
      <c r="U60" s="66">
        <f>V60-T60-S60-R60</f>
        <v>600</v>
      </c>
      <c r="V60" s="62">
        <v>2106</v>
      </c>
    </row>
    <row r="61" spans="1:22" ht="12" customHeight="1">
      <c r="A61" s="67" t="s">
        <v>7</v>
      </c>
      <c r="B61" s="23"/>
      <c r="C61" s="68"/>
      <c r="D61" s="68">
        <f>D60/C60-1</f>
        <v>-0.22499999999999998</v>
      </c>
      <c r="E61" s="68">
        <f>E60/D60-1</f>
        <v>0.23225806451612896</v>
      </c>
      <c r="F61" s="68">
        <f>F60/E60-1</f>
        <v>2.4432809773123898E-2</v>
      </c>
      <c r="G61" s="23"/>
      <c r="H61" s="68">
        <f>H60/F60-1</f>
        <v>-0.12095400340715501</v>
      </c>
      <c r="I61" s="68">
        <f>I60/H60-1</f>
        <v>-1.744186046511631E-2</v>
      </c>
      <c r="J61" s="68">
        <f>J60/I60-1</f>
        <v>0.14990138067061154</v>
      </c>
      <c r="K61" s="68">
        <f>K60/J60-1</f>
        <v>2.9159519725557415E-2</v>
      </c>
      <c r="L61" s="23"/>
      <c r="M61" s="68">
        <f>M60/K60-1</f>
        <v>-0.21499999999999997</v>
      </c>
      <c r="N61" s="68">
        <f>N60/M60-1</f>
        <v>-0.11677282377919318</v>
      </c>
      <c r="O61" s="68">
        <f>O60/N60-1</f>
        <v>0.16346153846153855</v>
      </c>
      <c r="P61" s="68">
        <f>P60/O60-1</f>
        <v>-1.6528925619834656E-2</v>
      </c>
      <c r="Q61" s="23"/>
      <c r="R61" s="68">
        <f>R60/P60-1</f>
        <v>0.28361344537815136</v>
      </c>
      <c r="S61" s="68">
        <f>S60/R60-1</f>
        <v>-0.45335515548281502</v>
      </c>
      <c r="T61" s="68">
        <f>T60/S60-1</f>
        <v>0.67964071856287434</v>
      </c>
      <c r="U61" s="68">
        <f>U60/T60-1</f>
        <v>6.9518716577540163E-2</v>
      </c>
      <c r="V61" s="23"/>
    </row>
    <row r="62" spans="1:22" ht="10.5" customHeight="1">
      <c r="A62" s="67" t="s">
        <v>8</v>
      </c>
      <c r="B62" s="23"/>
      <c r="C62" s="69"/>
      <c r="D62" s="69"/>
      <c r="E62" s="69"/>
      <c r="F62" s="69"/>
      <c r="G62" s="23">
        <f t="shared" ref="G62:T62" si="56">G60/B60-1</f>
        <v>7.8003875968992276E-2</v>
      </c>
      <c r="H62" s="69">
        <f t="shared" si="56"/>
        <v>-0.14000000000000001</v>
      </c>
      <c r="I62" s="69">
        <f t="shared" si="56"/>
        <v>9.0322580645161299E-2</v>
      </c>
      <c r="J62" s="69">
        <f t="shared" si="56"/>
        <v>1.7452006980802848E-2</v>
      </c>
      <c r="K62" s="69">
        <f t="shared" si="56"/>
        <v>2.2146507666098714E-2</v>
      </c>
      <c r="L62" s="23">
        <f t="shared" si="56"/>
        <v>-8.5393258426966767E-3</v>
      </c>
      <c r="M62" s="69">
        <f t="shared" si="56"/>
        <v>-8.7209302325581439E-2</v>
      </c>
      <c r="N62" s="69">
        <f t="shared" si="56"/>
        <v>-0.17948717948717952</v>
      </c>
      <c r="O62" s="69">
        <f t="shared" si="56"/>
        <v>-0.16981132075471694</v>
      </c>
      <c r="P62" s="69">
        <f t="shared" si="56"/>
        <v>-0.20666666666666667</v>
      </c>
      <c r="Q62" s="23">
        <f t="shared" si="56"/>
        <v>-0.16273798730734357</v>
      </c>
      <c r="R62" s="69">
        <f t="shared" si="56"/>
        <v>0.29723991507430991</v>
      </c>
      <c r="S62" s="69">
        <f t="shared" si="56"/>
        <v>-0.19711538461538458</v>
      </c>
      <c r="T62" s="69">
        <f t="shared" si="56"/>
        <v>0.15909090909090917</v>
      </c>
      <c r="U62" s="69">
        <f t="shared" ref="U62" si="57">U60/P60-1</f>
        <v>0.26050420168067223</v>
      </c>
      <c r="V62" s="23">
        <f t="shared" ref="V62" si="58">V60/Q60-1</f>
        <v>0.14022739577693555</v>
      </c>
    </row>
    <row r="63" spans="1:22">
      <c r="A63" s="65" t="s">
        <v>375</v>
      </c>
      <c r="B63" s="62">
        <f>76+758</f>
        <v>834</v>
      </c>
      <c r="C63" s="66">
        <f>26+184</f>
        <v>210</v>
      </c>
      <c r="D63" s="66">
        <f>194+25</f>
        <v>219</v>
      </c>
      <c r="E63" s="66">
        <f>27+143</f>
        <v>170</v>
      </c>
      <c r="F63" s="66">
        <f>G63-E63-D63-C63</f>
        <v>226</v>
      </c>
      <c r="G63" s="62">
        <f>110+715</f>
        <v>825</v>
      </c>
      <c r="H63" s="66">
        <f>29+176</f>
        <v>205</v>
      </c>
      <c r="I63" s="66">
        <f>29+172+112</f>
        <v>313</v>
      </c>
      <c r="J63" s="66">
        <f>25+199+9</f>
        <v>233</v>
      </c>
      <c r="K63" s="66">
        <f>L63-J63-I63-H63</f>
        <v>225</v>
      </c>
      <c r="L63" s="62">
        <f>742+113+121</f>
        <v>976</v>
      </c>
      <c r="M63" s="66">
        <f>32+178</f>
        <v>210</v>
      </c>
      <c r="N63" s="66">
        <f>33+151+149</f>
        <v>333</v>
      </c>
      <c r="O63" s="66">
        <f>30+190-75</f>
        <v>145</v>
      </c>
      <c r="P63" s="66">
        <f>Q63-O63-N63-M63</f>
        <v>193</v>
      </c>
      <c r="Q63" s="62">
        <f>123+684+74</f>
        <v>881</v>
      </c>
      <c r="R63" s="66">
        <f>33+167</f>
        <v>200</v>
      </c>
      <c r="S63" s="66">
        <f>35+166</f>
        <v>201</v>
      </c>
      <c r="T63" s="66">
        <f>238+34</f>
        <v>272</v>
      </c>
      <c r="U63" s="66">
        <f>V63-T63-S63-R63</f>
        <v>237</v>
      </c>
      <c r="V63" s="62">
        <f>139+771</f>
        <v>910</v>
      </c>
    </row>
    <row r="64" spans="1:22" ht="11.25" customHeight="1">
      <c r="A64" s="67" t="s">
        <v>7</v>
      </c>
      <c r="B64" s="23"/>
      <c r="C64" s="68"/>
      <c r="D64" s="68">
        <f>D63/C63-1</f>
        <v>4.2857142857142927E-2</v>
      </c>
      <c r="E64" s="68">
        <f>E63/D63-1</f>
        <v>-0.22374429223744297</v>
      </c>
      <c r="F64" s="68">
        <f>F63/E63-1</f>
        <v>0.32941176470588229</v>
      </c>
      <c r="G64" s="23"/>
      <c r="H64" s="68">
        <f>H63/F63-1</f>
        <v>-9.2920353982300918E-2</v>
      </c>
      <c r="I64" s="68">
        <f>I63/H63-1</f>
        <v>0.52682926829268295</v>
      </c>
      <c r="J64" s="68">
        <f>J63/I63-1</f>
        <v>-0.25559105431309903</v>
      </c>
      <c r="K64" s="68">
        <f>K63/J63-1</f>
        <v>-3.4334763948497882E-2</v>
      </c>
      <c r="L64" s="23"/>
      <c r="M64" s="68">
        <f>M63/K63-1</f>
        <v>-6.6666666666666652E-2</v>
      </c>
      <c r="N64" s="68">
        <f>N63/M63-1</f>
        <v>0.58571428571428563</v>
      </c>
      <c r="O64" s="68">
        <f>O63/N63-1</f>
        <v>-0.5645645645645645</v>
      </c>
      <c r="P64" s="68">
        <f>P63/O63-1</f>
        <v>0.33103448275862069</v>
      </c>
      <c r="Q64" s="23"/>
      <c r="R64" s="68">
        <f>R63/P63-1</f>
        <v>3.6269430051813378E-2</v>
      </c>
      <c r="S64" s="68">
        <f>S63/R63-1</f>
        <v>4.9999999999998934E-3</v>
      </c>
      <c r="T64" s="68">
        <f>T63/S63-1</f>
        <v>0.3532338308457712</v>
      </c>
      <c r="U64" s="68">
        <f>U63/T63-1</f>
        <v>-0.12867647058823528</v>
      </c>
      <c r="V64" s="23"/>
    </row>
    <row r="65" spans="1:22" ht="10.5" customHeight="1">
      <c r="A65" s="67" t="s">
        <v>8</v>
      </c>
      <c r="B65" s="23"/>
      <c r="C65" s="69"/>
      <c r="D65" s="69"/>
      <c r="E65" s="69"/>
      <c r="F65" s="69"/>
      <c r="G65" s="23">
        <f t="shared" ref="G65:T65" si="59">G63/B63-1</f>
        <v>-1.0791366906474864E-2</v>
      </c>
      <c r="H65" s="69">
        <f t="shared" si="59"/>
        <v>-2.3809523809523836E-2</v>
      </c>
      <c r="I65" s="69">
        <f t="shared" si="59"/>
        <v>0.42922374429223753</v>
      </c>
      <c r="J65" s="69">
        <f t="shared" si="59"/>
        <v>0.37058823529411766</v>
      </c>
      <c r="K65" s="69">
        <f t="shared" si="59"/>
        <v>-4.4247787610619538E-3</v>
      </c>
      <c r="L65" s="23">
        <f t="shared" si="59"/>
        <v>0.1830303030303031</v>
      </c>
      <c r="M65" s="69">
        <f t="shared" si="59"/>
        <v>2.4390243902439046E-2</v>
      </c>
      <c r="N65" s="69">
        <f t="shared" si="59"/>
        <v>6.3897763578274702E-2</v>
      </c>
      <c r="O65" s="69">
        <f t="shared" si="59"/>
        <v>-0.37768240343347637</v>
      </c>
      <c r="P65" s="69">
        <f t="shared" si="59"/>
        <v>-0.14222222222222225</v>
      </c>
      <c r="Q65" s="23">
        <f t="shared" si="59"/>
        <v>-9.7336065573770503E-2</v>
      </c>
      <c r="R65" s="69">
        <f t="shared" si="59"/>
        <v>-4.7619047619047672E-2</v>
      </c>
      <c r="S65" s="69">
        <f t="shared" si="59"/>
        <v>-0.39639639639639634</v>
      </c>
      <c r="T65" s="69">
        <f t="shared" si="59"/>
        <v>0.87586206896551722</v>
      </c>
      <c r="U65" s="69">
        <f t="shared" ref="U65" si="60">U63/P63-1</f>
        <v>0.22797927461139889</v>
      </c>
      <c r="V65" s="23">
        <f t="shared" ref="V65" si="61">V63/Q63-1</f>
        <v>3.2917139614074831E-2</v>
      </c>
    </row>
    <row r="66" spans="1:22">
      <c r="A66" s="65" t="s">
        <v>198</v>
      </c>
      <c r="B66" s="62">
        <v>132</v>
      </c>
      <c r="C66" s="66">
        <v>10</v>
      </c>
      <c r="D66" s="66">
        <v>16</v>
      </c>
      <c r="E66" s="66">
        <v>46</v>
      </c>
      <c r="F66" s="66">
        <f>G66-C66-D66-E66</f>
        <v>22</v>
      </c>
      <c r="G66" s="62">
        <v>94</v>
      </c>
      <c r="H66" s="66">
        <v>7</v>
      </c>
      <c r="I66" s="171">
        <f>22-80</f>
        <v>-58</v>
      </c>
      <c r="J66" s="66">
        <v>8</v>
      </c>
      <c r="K66" s="66">
        <f>L66-H66-I66-J66</f>
        <v>270</v>
      </c>
      <c r="L66" s="62">
        <f>152+155-80</f>
        <v>227</v>
      </c>
      <c r="M66" s="66">
        <f>29+5+5</f>
        <v>39</v>
      </c>
      <c r="N66" s="66">
        <f>17+323</f>
        <v>340</v>
      </c>
      <c r="O66" s="66">
        <v>14</v>
      </c>
      <c r="P66" s="66">
        <f>Q66-M66-N66-O66</f>
        <v>14</v>
      </c>
      <c r="Q66" s="62">
        <f>74+328+5</f>
        <v>407</v>
      </c>
      <c r="R66" s="66">
        <v>7</v>
      </c>
      <c r="S66" s="66">
        <v>19</v>
      </c>
      <c r="T66" s="66">
        <v>1</v>
      </c>
      <c r="U66" s="66">
        <f>V66-R66-S66-T66</f>
        <v>119</v>
      </c>
      <c r="V66" s="62">
        <v>146</v>
      </c>
    </row>
    <row r="67" spans="1:22">
      <c r="A67" s="65"/>
      <c r="B67" s="62"/>
      <c r="C67" s="66"/>
      <c r="D67" s="66"/>
      <c r="E67" s="66"/>
      <c r="F67" s="66"/>
      <c r="G67" s="62"/>
      <c r="H67" s="66"/>
      <c r="I67" s="171"/>
      <c r="J67" s="66"/>
      <c r="K67" s="66"/>
      <c r="L67" s="62"/>
      <c r="M67" s="66"/>
      <c r="N67" s="66"/>
      <c r="O67" s="66"/>
      <c r="P67" s="66"/>
      <c r="Q67" s="62"/>
      <c r="R67" s="66"/>
      <c r="S67" s="66"/>
      <c r="T67" s="66"/>
      <c r="U67" s="66"/>
      <c r="V67" s="62"/>
    </row>
    <row r="68" spans="1:22">
      <c r="A68" s="65" t="s">
        <v>162</v>
      </c>
      <c r="B68" s="62">
        <f>B63-132</f>
        <v>702</v>
      </c>
      <c r="C68" s="66">
        <f>C63-10</f>
        <v>200</v>
      </c>
      <c r="D68" s="66">
        <f>D63-16</f>
        <v>203</v>
      </c>
      <c r="E68" s="66">
        <f>E63-46</f>
        <v>124</v>
      </c>
      <c r="F68" s="66">
        <f>G68-E68-D68-C68</f>
        <v>204</v>
      </c>
      <c r="G68" s="62">
        <f>G63-94</f>
        <v>731</v>
      </c>
      <c r="H68" s="66">
        <f>H63-7</f>
        <v>198</v>
      </c>
      <c r="I68" s="66">
        <f>I63-I66</f>
        <v>371</v>
      </c>
      <c r="J68" s="66">
        <f>J63-8</f>
        <v>225</v>
      </c>
      <c r="K68" s="171">
        <f>L68-J68-I68-H68</f>
        <v>-45</v>
      </c>
      <c r="L68" s="62">
        <f>L63-L66</f>
        <v>749</v>
      </c>
      <c r="M68" s="66">
        <f>M63-M66</f>
        <v>171</v>
      </c>
      <c r="N68" s="171">
        <f>N63-N66</f>
        <v>-7</v>
      </c>
      <c r="O68" s="171">
        <f>O63-O66</f>
        <v>131</v>
      </c>
      <c r="P68" s="171">
        <f>Q68-O68-N68-M68</f>
        <v>179</v>
      </c>
      <c r="Q68" s="62">
        <f>Q63-Q66</f>
        <v>474</v>
      </c>
      <c r="R68" s="66">
        <f>R63-R66</f>
        <v>193</v>
      </c>
      <c r="S68" s="171">
        <f>S63-S66</f>
        <v>182</v>
      </c>
      <c r="T68" s="171">
        <f>T63-T66</f>
        <v>271</v>
      </c>
      <c r="U68" s="171">
        <f>V68-T68-S68-R68</f>
        <v>118</v>
      </c>
      <c r="V68" s="62">
        <f>V63-V66</f>
        <v>764</v>
      </c>
    </row>
    <row r="69" spans="1:22" ht="9" customHeight="1">
      <c r="A69" s="67" t="s">
        <v>7</v>
      </c>
      <c r="B69" s="23"/>
      <c r="C69" s="68"/>
      <c r="D69" s="68">
        <f>D68/C68-1</f>
        <v>1.4999999999999902E-2</v>
      </c>
      <c r="E69" s="68">
        <f>E68/D68-1</f>
        <v>-0.38916256157635465</v>
      </c>
      <c r="F69" s="68">
        <f>F68/E68-1</f>
        <v>0.64516129032258074</v>
      </c>
      <c r="G69" s="23"/>
      <c r="H69" s="68">
        <f>H68/F68-1</f>
        <v>-2.9411764705882359E-2</v>
      </c>
      <c r="I69" s="68">
        <f>I68/H68-1</f>
        <v>0.8737373737373737</v>
      </c>
      <c r="J69" s="68">
        <f>J68/I68-1</f>
        <v>-0.39353099730458219</v>
      </c>
      <c r="K69" s="80" t="s">
        <v>34</v>
      </c>
      <c r="L69" s="23"/>
      <c r="M69" s="80" t="s">
        <v>34</v>
      </c>
      <c r="N69" s="68">
        <f>N68/M68-1</f>
        <v>-1.0409356725146199</v>
      </c>
      <c r="O69" s="68">
        <f>O68/N68-1</f>
        <v>-19.714285714285715</v>
      </c>
      <c r="P69" s="68">
        <f>P68/O68-1</f>
        <v>0.36641221374045796</v>
      </c>
      <c r="Q69" s="23"/>
      <c r="R69" s="68">
        <f>R68/P68-1</f>
        <v>7.8212290502793325E-2</v>
      </c>
      <c r="S69" s="68">
        <f>S68/R68-1</f>
        <v>-5.6994818652849721E-2</v>
      </c>
      <c r="T69" s="68">
        <f>T68/S68-1</f>
        <v>0.48901098901098905</v>
      </c>
      <c r="U69" s="68">
        <f>U68/T68-1</f>
        <v>-0.56457564575645758</v>
      </c>
      <c r="V69" s="23"/>
    </row>
    <row r="70" spans="1:22" ht="10.5" customHeight="1">
      <c r="A70" s="67" t="s">
        <v>8</v>
      </c>
      <c r="B70" s="23"/>
      <c r="C70" s="69"/>
      <c r="D70" s="69"/>
      <c r="E70" s="69"/>
      <c r="F70" s="69"/>
      <c r="G70" s="23">
        <f>G68/B68-1</f>
        <v>4.1310541310541238E-2</v>
      </c>
      <c r="H70" s="69">
        <f>H68/C68-1</f>
        <v>-1.0000000000000009E-2</v>
      </c>
      <c r="I70" s="69">
        <f>I68/D68-1</f>
        <v>0.82758620689655182</v>
      </c>
      <c r="J70" s="69">
        <f>J68/E68-1</f>
        <v>0.81451612903225801</v>
      </c>
      <c r="K70" s="80" t="s">
        <v>34</v>
      </c>
      <c r="L70" s="23">
        <f>L68/G68-1</f>
        <v>2.4623803009576006E-2</v>
      </c>
      <c r="M70" s="69">
        <f>M68/H68-1</f>
        <v>-0.13636363636363635</v>
      </c>
      <c r="N70" s="69">
        <f>N68/I68-1</f>
        <v>-1.0188679245283019</v>
      </c>
      <c r="O70" s="69">
        <f>O68/J68-1</f>
        <v>-0.4177777777777778</v>
      </c>
      <c r="P70" s="80" t="s">
        <v>34</v>
      </c>
      <c r="Q70" s="23">
        <f>Q68/L68-1</f>
        <v>-0.36715620827770357</v>
      </c>
      <c r="R70" s="69">
        <f>R68/M68-1</f>
        <v>0.12865497076023402</v>
      </c>
      <c r="S70" s="80" t="s">
        <v>34</v>
      </c>
      <c r="T70" s="80" t="s">
        <v>34</v>
      </c>
      <c r="U70" s="69">
        <f>U68/P68-1</f>
        <v>-0.34078212290502796</v>
      </c>
      <c r="V70" s="23">
        <f>V68/Q68-1</f>
        <v>0.61181434599156126</v>
      </c>
    </row>
    <row r="71" spans="1:22">
      <c r="A71" s="65" t="s">
        <v>212</v>
      </c>
      <c r="B71" s="23"/>
      <c r="C71" s="69"/>
      <c r="D71" s="69"/>
      <c r="E71" s="69"/>
      <c r="F71" s="69"/>
      <c r="G71" s="23"/>
      <c r="H71" s="66">
        <v>33</v>
      </c>
      <c r="I71" s="66">
        <v>29</v>
      </c>
      <c r="J71" s="66">
        <v>28</v>
      </c>
      <c r="K71" s="66">
        <f>L71-J71-I71-H71</f>
        <v>9</v>
      </c>
      <c r="L71" s="62">
        <v>99</v>
      </c>
      <c r="M71" s="66">
        <v>34</v>
      </c>
      <c r="N71" s="66">
        <v>27</v>
      </c>
      <c r="O71" s="66">
        <v>25</v>
      </c>
      <c r="P71" s="66">
        <f>Q71-O71-N71-M71</f>
        <v>28</v>
      </c>
      <c r="Q71" s="62">
        <v>114</v>
      </c>
      <c r="R71" s="66">
        <v>32</v>
      </c>
      <c r="S71" s="66">
        <v>26</v>
      </c>
      <c r="T71" s="66">
        <v>26</v>
      </c>
      <c r="U71" s="66">
        <f>V71-T71-S71-R71</f>
        <v>27</v>
      </c>
      <c r="V71" s="62">
        <v>111</v>
      </c>
    </row>
    <row r="72" spans="1:22">
      <c r="A72" s="65"/>
      <c r="B72" s="23"/>
      <c r="C72" s="69"/>
      <c r="D72" s="69"/>
      <c r="E72" s="69"/>
      <c r="F72" s="69"/>
      <c r="G72" s="23"/>
      <c r="H72" s="66"/>
      <c r="I72" s="66"/>
      <c r="J72" s="66"/>
      <c r="K72" s="66"/>
      <c r="L72" s="62"/>
      <c r="M72" s="66"/>
      <c r="N72" s="66"/>
      <c r="O72" s="66"/>
      <c r="P72" s="66"/>
      <c r="Q72" s="62"/>
      <c r="R72" s="66"/>
      <c r="S72" s="66"/>
      <c r="T72" s="66"/>
      <c r="U72" s="66"/>
      <c r="V72" s="62"/>
    </row>
    <row r="73" spans="1:22">
      <c r="A73" s="65" t="s">
        <v>13</v>
      </c>
      <c r="B73" s="62">
        <f>B60-B68</f>
        <v>1362</v>
      </c>
      <c r="C73" s="66">
        <f>C60-C68</f>
        <v>400</v>
      </c>
      <c r="D73" s="66">
        <f>D60-D68</f>
        <v>262</v>
      </c>
      <c r="E73" s="66">
        <f>E60-E68</f>
        <v>449</v>
      </c>
      <c r="F73" s="66">
        <f>G73-E73-D73-C73</f>
        <v>383</v>
      </c>
      <c r="G73" s="62">
        <f>G60-G68</f>
        <v>1494</v>
      </c>
      <c r="H73" s="66">
        <f>H60-H68-H71</f>
        <v>285</v>
      </c>
      <c r="I73" s="66">
        <f>I60-I68-I71</f>
        <v>107</v>
      </c>
      <c r="J73" s="66">
        <f>J60-J68-J71</f>
        <v>330</v>
      </c>
      <c r="K73" s="66">
        <f>L73-J73-I73-H73</f>
        <v>636</v>
      </c>
      <c r="L73" s="62">
        <f>L60-L68-L71</f>
        <v>1358</v>
      </c>
      <c r="M73" s="66">
        <f>M60-M68-M71</f>
        <v>266</v>
      </c>
      <c r="N73" s="66">
        <f>N60-N68-N71</f>
        <v>396</v>
      </c>
      <c r="O73" s="66">
        <f>O60-O68-O71</f>
        <v>328</v>
      </c>
      <c r="P73" s="66">
        <f>Q73-O73-N73-M73</f>
        <v>269</v>
      </c>
      <c r="Q73" s="62">
        <f>Q60-Q68-Q71</f>
        <v>1259</v>
      </c>
      <c r="R73" s="66">
        <f>R60-R68-R71</f>
        <v>386</v>
      </c>
      <c r="S73" s="66">
        <f>S60-S68-S71</f>
        <v>126</v>
      </c>
      <c r="T73" s="66">
        <f>T60-T68-T71</f>
        <v>264</v>
      </c>
      <c r="U73" s="66">
        <f>V73-T73-S73-R73</f>
        <v>455</v>
      </c>
      <c r="V73" s="62">
        <f>V60-V68-V71</f>
        <v>1231</v>
      </c>
    </row>
    <row r="74" spans="1:22">
      <c r="A74" s="67" t="s">
        <v>7</v>
      </c>
      <c r="B74" s="23"/>
      <c r="C74" s="68"/>
      <c r="D74" s="68">
        <f>D73/C73-1</f>
        <v>-0.34499999999999997</v>
      </c>
      <c r="E74" s="68">
        <f>E73/D73-1</f>
        <v>0.71374045801526709</v>
      </c>
      <c r="F74" s="68">
        <f>F73/E73-1</f>
        <v>-0.14699331848552344</v>
      </c>
      <c r="G74" s="23"/>
      <c r="H74" s="68">
        <f>H73/F73-1</f>
        <v>-0.25587467362924277</v>
      </c>
      <c r="I74" s="68">
        <f>I73/H73-1</f>
        <v>-0.62456140350877187</v>
      </c>
      <c r="J74" s="68">
        <f>J73/I73-1</f>
        <v>2.0841121495327104</v>
      </c>
      <c r="K74" s="68">
        <f>K73/J73-1</f>
        <v>0.92727272727272725</v>
      </c>
      <c r="L74" s="23"/>
      <c r="M74" s="68">
        <f>M73/K73-1</f>
        <v>-0.58176100628930816</v>
      </c>
      <c r="N74" s="68">
        <f>N73/M73-1</f>
        <v>0.48872180451127822</v>
      </c>
      <c r="O74" s="68">
        <f>O73/N73-1</f>
        <v>-0.17171717171717171</v>
      </c>
      <c r="P74" s="68">
        <f>P73/O73-1</f>
        <v>-0.17987804878048785</v>
      </c>
      <c r="Q74" s="23"/>
      <c r="R74" s="68">
        <f>R73/P73-1</f>
        <v>0.43494423791821557</v>
      </c>
      <c r="S74" s="68">
        <f>S73/R73-1</f>
        <v>-0.67357512953367871</v>
      </c>
      <c r="T74" s="68">
        <f>T73/S73-1</f>
        <v>1.0952380952380953</v>
      </c>
      <c r="U74" s="68">
        <f>U73/T73-1</f>
        <v>0.7234848484848484</v>
      </c>
      <c r="V74" s="23"/>
    </row>
    <row r="75" spans="1:22" ht="10.5" customHeight="1">
      <c r="A75" s="67" t="s">
        <v>8</v>
      </c>
      <c r="B75" s="23"/>
      <c r="C75" s="69"/>
      <c r="D75" s="69"/>
      <c r="E75" s="69"/>
      <c r="F75" s="69"/>
      <c r="G75" s="23">
        <f t="shared" ref="G75:T75" si="62">G73/B73-1</f>
        <v>9.6916299559471453E-2</v>
      </c>
      <c r="H75" s="69">
        <f t="shared" si="62"/>
        <v>-0.28749999999999998</v>
      </c>
      <c r="I75" s="69">
        <f t="shared" si="62"/>
        <v>-0.59160305343511443</v>
      </c>
      <c r="J75" s="69">
        <f t="shared" si="62"/>
        <v>-0.26503340757238303</v>
      </c>
      <c r="K75" s="69">
        <f t="shared" si="62"/>
        <v>0.66057441253263716</v>
      </c>
      <c r="L75" s="23">
        <f t="shared" si="62"/>
        <v>-9.1030789825970571E-2</v>
      </c>
      <c r="M75" s="69">
        <f t="shared" si="62"/>
        <v>-6.6666666666666652E-2</v>
      </c>
      <c r="N75" s="69">
        <f t="shared" si="62"/>
        <v>2.7009345794392523</v>
      </c>
      <c r="O75" s="69">
        <f t="shared" si="62"/>
        <v>-6.0606060606060996E-3</v>
      </c>
      <c r="P75" s="69">
        <f t="shared" si="62"/>
        <v>-0.57704402515723263</v>
      </c>
      <c r="Q75" s="23">
        <f t="shared" si="62"/>
        <v>-7.2901325478645029E-2</v>
      </c>
      <c r="R75" s="69">
        <f t="shared" si="62"/>
        <v>0.45112781954887216</v>
      </c>
      <c r="S75" s="69">
        <f t="shared" si="62"/>
        <v>-0.68181818181818188</v>
      </c>
      <c r="T75" s="69">
        <f t="shared" si="62"/>
        <v>-0.19512195121951215</v>
      </c>
      <c r="U75" s="69">
        <f t="shared" ref="U75" si="63">U73/P73-1</f>
        <v>0.69144981412639406</v>
      </c>
      <c r="V75" s="23">
        <f t="shared" ref="V75" si="64">V73/Q73-1</f>
        <v>-2.2239872915011949E-2</v>
      </c>
    </row>
    <row r="76" spans="1:22" ht="10.5" customHeight="1">
      <c r="A76" s="48" t="s">
        <v>19</v>
      </c>
      <c r="B76" s="38"/>
      <c r="C76" s="50"/>
      <c r="D76" s="50"/>
      <c r="E76" s="50"/>
      <c r="F76" s="50"/>
      <c r="G76" s="38"/>
      <c r="H76" s="50"/>
      <c r="I76" s="50"/>
      <c r="J76" s="50"/>
      <c r="K76" s="50"/>
      <c r="L76" s="38"/>
      <c r="M76" s="50"/>
      <c r="N76" s="50"/>
      <c r="O76" s="50"/>
      <c r="P76" s="50"/>
      <c r="Q76" s="38"/>
      <c r="R76" s="50"/>
      <c r="S76" s="50"/>
      <c r="T76" s="50"/>
      <c r="U76" s="50"/>
      <c r="V76" s="38"/>
    </row>
    <row r="77" spans="1:22">
      <c r="A77" s="65" t="s">
        <v>31</v>
      </c>
      <c r="B77" s="53">
        <f t="shared" ref="B77:T77" si="65">B48/B7</f>
        <v>0.28108601414556239</v>
      </c>
      <c r="C77" s="73">
        <f t="shared" si="65"/>
        <v>0.29591836734693877</v>
      </c>
      <c r="D77" s="73">
        <f t="shared" si="65"/>
        <v>0.29962192816635158</v>
      </c>
      <c r="E77" s="73">
        <f t="shared" si="65"/>
        <v>0.26013195098963243</v>
      </c>
      <c r="F77" s="73">
        <f t="shared" si="65"/>
        <v>0.24832855778414517</v>
      </c>
      <c r="G77" s="53">
        <f t="shared" si="65"/>
        <v>0.27615457115928371</v>
      </c>
      <c r="H77" s="73">
        <f t="shared" si="65"/>
        <v>0.24741298212605833</v>
      </c>
      <c r="I77" s="73">
        <f t="shared" si="65"/>
        <v>0.18984962406015038</v>
      </c>
      <c r="J77" s="73">
        <f t="shared" si="65"/>
        <v>0.2464046021093001</v>
      </c>
      <c r="K77" s="73">
        <f t="shared" si="65"/>
        <v>-0.15107212475633527</v>
      </c>
      <c r="L77" s="53">
        <f t="shared" si="65"/>
        <v>0.13512869399428026</v>
      </c>
      <c r="M77" s="73">
        <f t="shared" si="65"/>
        <v>0.30776605944391178</v>
      </c>
      <c r="N77" s="73">
        <f t="shared" si="65"/>
        <v>0.55098039215686279</v>
      </c>
      <c r="O77" s="73">
        <f t="shared" si="65"/>
        <v>0.17073170731707318</v>
      </c>
      <c r="P77" s="73">
        <f t="shared" si="65"/>
        <v>0.13604060913705585</v>
      </c>
      <c r="Q77" s="53">
        <f t="shared" si="65"/>
        <v>0.29265897372943778</v>
      </c>
      <c r="R77" s="73">
        <f t="shared" si="65"/>
        <v>0.28978388998035365</v>
      </c>
      <c r="S77" s="73">
        <f t="shared" si="65"/>
        <v>0.21934865900383141</v>
      </c>
      <c r="T77" s="73">
        <f t="shared" si="65"/>
        <v>0.28790786948176583</v>
      </c>
      <c r="U77" s="73">
        <f t="shared" ref="U77:V77" si="66">U48/U7</f>
        <v>0.204739336492891</v>
      </c>
      <c r="V77" s="53">
        <f t="shared" si="66"/>
        <v>0.25006011060351047</v>
      </c>
    </row>
    <row r="78" spans="1:22">
      <c r="A78" s="65" t="s">
        <v>10</v>
      </c>
      <c r="B78" s="53">
        <f t="shared" ref="B78:T78" si="67">B53/B7</f>
        <v>0.63723477070499657</v>
      </c>
      <c r="C78" s="73">
        <f t="shared" si="67"/>
        <v>0.6428571428571429</v>
      </c>
      <c r="D78" s="73">
        <f t="shared" si="67"/>
        <v>0.63610586011342152</v>
      </c>
      <c r="E78" s="73">
        <f t="shared" si="67"/>
        <v>0.63901979264844488</v>
      </c>
      <c r="F78" s="73">
        <f t="shared" si="67"/>
        <v>0.62559694364851959</v>
      </c>
      <c r="G78" s="53">
        <f t="shared" si="67"/>
        <v>0.63595664467483504</v>
      </c>
      <c r="H78" s="73">
        <f t="shared" si="67"/>
        <v>0.63687676387582315</v>
      </c>
      <c r="I78" s="73">
        <f t="shared" si="67"/>
        <v>0.56203007518796988</v>
      </c>
      <c r="J78" s="73">
        <f t="shared" si="67"/>
        <v>0.64141898370086292</v>
      </c>
      <c r="K78" s="73">
        <f t="shared" si="67"/>
        <v>0.12670565302144249</v>
      </c>
      <c r="L78" s="53">
        <f t="shared" si="67"/>
        <v>0.49428026692087701</v>
      </c>
      <c r="M78" s="73">
        <f t="shared" si="67"/>
        <v>0.70757430488974116</v>
      </c>
      <c r="N78" s="73">
        <f t="shared" si="67"/>
        <v>1.057843137254902</v>
      </c>
      <c r="O78" s="73">
        <f t="shared" si="67"/>
        <v>0.64878048780487807</v>
      </c>
      <c r="P78" s="73">
        <f t="shared" si="67"/>
        <v>0.52893401015228425</v>
      </c>
      <c r="Q78" s="53">
        <f t="shared" si="67"/>
        <v>0.73729437760864225</v>
      </c>
      <c r="R78" s="73">
        <f t="shared" si="67"/>
        <v>0.63948919449901764</v>
      </c>
      <c r="S78" s="73">
        <f t="shared" si="67"/>
        <v>0.65325670498084287</v>
      </c>
      <c r="T78" s="73">
        <f t="shared" si="67"/>
        <v>0.64107485604606529</v>
      </c>
      <c r="U78" s="73">
        <f t="shared" ref="U78:V78" si="68">U53/U7</f>
        <v>0.55071090047393367</v>
      </c>
      <c r="V78" s="53">
        <f t="shared" si="68"/>
        <v>0.62082231305602309</v>
      </c>
    </row>
    <row r="79" spans="1:22">
      <c r="A79" s="65" t="s">
        <v>18</v>
      </c>
      <c r="B79" s="53">
        <f t="shared" ref="B79:T79" si="69">B63/B7</f>
        <v>0.19028062970568105</v>
      </c>
      <c r="C79" s="73">
        <f t="shared" si="69"/>
        <v>0.19480519480519481</v>
      </c>
      <c r="D79" s="73">
        <f t="shared" si="69"/>
        <v>0.20699432892249528</v>
      </c>
      <c r="E79" s="73">
        <f t="shared" si="69"/>
        <v>0.16022620169651272</v>
      </c>
      <c r="F79" s="73">
        <f t="shared" si="69"/>
        <v>0.21585482330468003</v>
      </c>
      <c r="G79" s="53">
        <f t="shared" si="69"/>
        <v>0.19439208294062205</v>
      </c>
      <c r="H79" s="73">
        <f t="shared" si="69"/>
        <v>0.19285042333019756</v>
      </c>
      <c r="I79" s="73">
        <f t="shared" si="69"/>
        <v>0.29417293233082709</v>
      </c>
      <c r="J79" s="73">
        <f t="shared" si="69"/>
        <v>0.2233940556088207</v>
      </c>
      <c r="K79" s="73">
        <f t="shared" si="69"/>
        <v>0.21929824561403508</v>
      </c>
      <c r="L79" s="53">
        <f t="shared" si="69"/>
        <v>0.23260247855100094</v>
      </c>
      <c r="M79" s="73">
        <f t="shared" si="69"/>
        <v>0.20134228187919462</v>
      </c>
      <c r="N79" s="73">
        <f t="shared" si="69"/>
        <v>0.32647058823529412</v>
      </c>
      <c r="O79" s="73">
        <f t="shared" si="69"/>
        <v>0.14146341463414633</v>
      </c>
      <c r="P79" s="73">
        <f t="shared" si="69"/>
        <v>0.19593908629441625</v>
      </c>
      <c r="Q79" s="53">
        <f t="shared" si="69"/>
        <v>0.21630247974465996</v>
      </c>
      <c r="R79" s="73">
        <f t="shared" si="69"/>
        <v>0.19646365422396855</v>
      </c>
      <c r="S79" s="73">
        <f t="shared" si="69"/>
        <v>0.19252873563218389</v>
      </c>
      <c r="T79" s="73">
        <f t="shared" si="69"/>
        <v>0.26103646833013433</v>
      </c>
      <c r="U79" s="73">
        <f t="shared" ref="U79:V79" si="70">U63/U7</f>
        <v>0.22464454976303316</v>
      </c>
      <c r="V79" s="53">
        <f t="shared" si="70"/>
        <v>0.21880259677807165</v>
      </c>
    </row>
    <row r="80" spans="1:22" ht="3.75" customHeight="1">
      <c r="A80" s="42"/>
      <c r="B80" s="43"/>
      <c r="C80" s="43"/>
      <c r="D80" s="43"/>
      <c r="E80" s="43"/>
      <c r="F80" s="43"/>
      <c r="G80" s="43"/>
      <c r="H80" s="43"/>
      <c r="I80" s="43"/>
      <c r="J80" s="43"/>
      <c r="K80" s="43"/>
      <c r="L80" s="43"/>
      <c r="M80" s="43"/>
      <c r="N80" s="43"/>
      <c r="O80" s="43"/>
      <c r="P80" s="43"/>
      <c r="Q80" s="43"/>
      <c r="R80" s="43"/>
      <c r="S80" s="43"/>
      <c r="T80" s="43"/>
      <c r="U80" s="43"/>
      <c r="V80" s="43"/>
    </row>
    <row r="81" spans="1:22" ht="20.25">
      <c r="A81" s="33" t="s">
        <v>67</v>
      </c>
      <c r="B81" s="26"/>
      <c r="C81" s="26"/>
      <c r="D81" s="26"/>
      <c r="E81" s="26"/>
      <c r="F81" s="26"/>
      <c r="G81" s="26"/>
      <c r="H81" s="26"/>
      <c r="I81" s="26"/>
      <c r="J81" s="26"/>
      <c r="K81" s="26"/>
      <c r="L81" s="26"/>
      <c r="M81" s="26"/>
      <c r="N81" s="26"/>
      <c r="O81" s="26"/>
      <c r="P81" s="26"/>
      <c r="Q81" s="26"/>
      <c r="R81" s="26"/>
      <c r="S81" s="26"/>
      <c r="T81" s="26"/>
      <c r="U81" s="26"/>
      <c r="V81" s="26"/>
    </row>
    <row r="82" spans="1:22">
      <c r="A82" s="38" t="s">
        <v>66</v>
      </c>
      <c r="B82" s="39"/>
      <c r="C82" s="40"/>
      <c r="D82" s="40"/>
      <c r="E82" s="40"/>
      <c r="F82" s="40"/>
      <c r="G82" s="39"/>
      <c r="H82" s="40"/>
      <c r="I82" s="40"/>
      <c r="J82" s="40"/>
      <c r="K82" s="40"/>
      <c r="L82" s="39"/>
      <c r="M82" s="40"/>
      <c r="N82" s="40"/>
      <c r="O82" s="40"/>
      <c r="P82" s="40"/>
      <c r="Q82" s="39"/>
      <c r="R82" s="40"/>
      <c r="S82" s="40"/>
      <c r="T82" s="40"/>
      <c r="U82" s="40"/>
      <c r="V82" s="39"/>
    </row>
    <row r="83" spans="1:22">
      <c r="A83" s="65" t="s">
        <v>241</v>
      </c>
      <c r="B83" s="35">
        <f>B86+B89+B92+B95+B98+B101</f>
        <v>705</v>
      </c>
      <c r="C83" s="66">
        <f t="shared" ref="C83:E83" si="71">C86+C89+C92+C95+C98+C101</f>
        <v>165</v>
      </c>
      <c r="D83" s="66">
        <f t="shared" si="71"/>
        <v>166</v>
      </c>
      <c r="E83" s="66">
        <f t="shared" si="71"/>
        <v>183</v>
      </c>
      <c r="F83" s="66">
        <f>G83-C83-D83-E83</f>
        <v>163</v>
      </c>
      <c r="G83" s="35">
        <f>G86+G89+G92+G95+G98+G101</f>
        <v>677</v>
      </c>
      <c r="H83" s="66">
        <f t="shared" ref="H83:J83" si="72">H86+H89+H92+H95+H98+H101</f>
        <v>140</v>
      </c>
      <c r="I83" s="66">
        <f t="shared" si="72"/>
        <v>145</v>
      </c>
      <c r="J83" s="66">
        <f t="shared" si="72"/>
        <v>143</v>
      </c>
      <c r="K83" s="66">
        <f>L83-H83-I83-J83</f>
        <v>168</v>
      </c>
      <c r="L83" s="35">
        <f>L86+L89+L92+L95+L98+L101</f>
        <v>596</v>
      </c>
      <c r="M83" s="66">
        <f t="shared" ref="M83:O83" si="73">M86+M89+M92+M95+M98+M101</f>
        <v>141</v>
      </c>
      <c r="N83" s="66">
        <f t="shared" si="73"/>
        <v>133</v>
      </c>
      <c r="O83" s="66">
        <f t="shared" si="73"/>
        <v>144</v>
      </c>
      <c r="P83" s="66">
        <f>Q83-M83-N83-O83</f>
        <v>147</v>
      </c>
      <c r="Q83" s="35">
        <f>Q86+Q89+Q92+Q95+Q98+Q101</f>
        <v>565</v>
      </c>
      <c r="R83" s="66">
        <f>R86+R89+R92+R95+R98+R101</f>
        <v>142</v>
      </c>
      <c r="S83" s="66">
        <f t="shared" ref="S83:T83" si="74">S86+S89+S92+S95+S98+S101</f>
        <v>140</v>
      </c>
      <c r="T83" s="66">
        <f t="shared" si="74"/>
        <v>154</v>
      </c>
      <c r="U83" s="66">
        <f>V83-R83-S83-T83</f>
        <v>154</v>
      </c>
      <c r="V83" s="35">
        <f>V86+V89+V92+V95+V98+V101</f>
        <v>590</v>
      </c>
    </row>
    <row r="84" spans="1:22">
      <c r="A84" s="67" t="s">
        <v>7</v>
      </c>
      <c r="B84" s="23"/>
      <c r="C84" s="68"/>
      <c r="D84" s="68">
        <f>D83/C83-1</f>
        <v>6.0606060606060996E-3</v>
      </c>
      <c r="E84" s="68">
        <f>E83/D83-1</f>
        <v>0.10240963855421681</v>
      </c>
      <c r="F84" s="68">
        <f>F83/E83-1</f>
        <v>-0.10928961748633881</v>
      </c>
      <c r="G84" s="23"/>
      <c r="H84" s="68">
        <f>H83/F83-1</f>
        <v>-0.14110429447852757</v>
      </c>
      <c r="I84" s="68">
        <f>I83/H83-1</f>
        <v>3.5714285714285809E-2</v>
      </c>
      <c r="J84" s="68">
        <f>J83/I83-1</f>
        <v>-1.379310344827589E-2</v>
      </c>
      <c r="K84" s="68">
        <f>K83/J83-1</f>
        <v>0.17482517482517479</v>
      </c>
      <c r="L84" s="23"/>
      <c r="M84" s="68">
        <f>M83/K83-1</f>
        <v>-0.1607142857142857</v>
      </c>
      <c r="N84" s="68">
        <f>N83/M83-1</f>
        <v>-5.673758865248224E-2</v>
      </c>
      <c r="O84" s="68">
        <f>O83/N83-1</f>
        <v>8.2706766917293173E-2</v>
      </c>
      <c r="P84" s="68">
        <f>P83/O83-1</f>
        <v>2.0833333333333259E-2</v>
      </c>
      <c r="Q84" s="23"/>
      <c r="R84" s="68">
        <f>R83/P83-1</f>
        <v>-3.4013605442176909E-2</v>
      </c>
      <c r="S84" s="68">
        <f>S83/R83-1</f>
        <v>-1.4084507042253502E-2</v>
      </c>
      <c r="T84" s="68">
        <f>T83/S83-1</f>
        <v>0.10000000000000009</v>
      </c>
      <c r="U84" s="68">
        <f>U83/T83-1</f>
        <v>0</v>
      </c>
      <c r="V84" s="23"/>
    </row>
    <row r="85" spans="1:22">
      <c r="A85" s="67" t="s">
        <v>8</v>
      </c>
      <c r="B85" s="23"/>
      <c r="C85" s="69"/>
      <c r="D85" s="69"/>
      <c r="E85" s="69"/>
      <c r="F85" s="69"/>
      <c r="G85" s="23">
        <f>G83/B83-1</f>
        <v>-3.9716312056737535E-2</v>
      </c>
      <c r="H85" s="69">
        <f t="shared" ref="H85" si="75">H83/C83-1</f>
        <v>-0.15151515151515149</v>
      </c>
      <c r="I85" s="69">
        <f t="shared" ref="I85" si="76">I83/D83-1</f>
        <v>-0.12650602409638556</v>
      </c>
      <c r="J85" s="69">
        <f t="shared" ref="J85" si="77">J83/E83-1</f>
        <v>-0.21857923497267762</v>
      </c>
      <c r="K85" s="69">
        <f>K83/F83-1</f>
        <v>3.0674846625766916E-2</v>
      </c>
      <c r="L85" s="23">
        <f>L83/G83-1</f>
        <v>-0.11964549483013298</v>
      </c>
      <c r="M85" s="69">
        <f t="shared" ref="M85:O85" si="78">M83/H83-1</f>
        <v>7.1428571428571175E-3</v>
      </c>
      <c r="N85" s="69">
        <f t="shared" si="78"/>
        <v>-8.2758620689655227E-2</v>
      </c>
      <c r="O85" s="69">
        <f t="shared" si="78"/>
        <v>6.9930069930070893E-3</v>
      </c>
      <c r="P85" s="69">
        <f>P83/K83-1</f>
        <v>-0.125</v>
      </c>
      <c r="Q85" s="23">
        <f>Q83/L83-1</f>
        <v>-5.2013422818791955E-2</v>
      </c>
      <c r="R85" s="69">
        <f t="shared" ref="R85:T85" si="79">R83/M83-1</f>
        <v>7.0921985815601829E-3</v>
      </c>
      <c r="S85" s="69">
        <f t="shared" si="79"/>
        <v>5.2631578947368363E-2</v>
      </c>
      <c r="T85" s="69">
        <f t="shared" si="79"/>
        <v>6.944444444444442E-2</v>
      </c>
      <c r="U85" s="69">
        <f>U83/P83-1</f>
        <v>4.7619047619047672E-2</v>
      </c>
      <c r="V85" s="23">
        <f>V83/Q83-1</f>
        <v>4.4247787610619538E-2</v>
      </c>
    </row>
    <row r="86" spans="1:22">
      <c r="A86" s="65" t="s">
        <v>70</v>
      </c>
      <c r="B86" s="35">
        <v>189</v>
      </c>
      <c r="C86" s="66">
        <v>47</v>
      </c>
      <c r="D86" s="66">
        <v>45</v>
      </c>
      <c r="E86" s="66">
        <v>49</v>
      </c>
      <c r="F86" s="137">
        <f>G86-C86-D86-E86</f>
        <v>44</v>
      </c>
      <c r="G86" s="35">
        <v>185</v>
      </c>
      <c r="H86" s="66">
        <v>34</v>
      </c>
      <c r="I86" s="66">
        <v>31</v>
      </c>
      <c r="J86" s="66">
        <v>38</v>
      </c>
      <c r="K86" s="137">
        <f>L86-H86-I86-J86</f>
        <v>40</v>
      </c>
      <c r="L86" s="35">
        <v>143</v>
      </c>
      <c r="M86" s="66">
        <v>33</v>
      </c>
      <c r="N86" s="66">
        <v>30</v>
      </c>
      <c r="O86" s="66">
        <v>35</v>
      </c>
      <c r="P86" s="137">
        <f>Q86-M86-N86-O86</f>
        <v>34</v>
      </c>
      <c r="Q86" s="35">
        <v>132</v>
      </c>
      <c r="R86" s="66">
        <v>30</v>
      </c>
      <c r="S86" s="66">
        <v>21</v>
      </c>
      <c r="T86" s="66">
        <v>32</v>
      </c>
      <c r="U86" s="137">
        <f>V86-R86-S86-T86</f>
        <v>30</v>
      </c>
      <c r="V86" s="35">
        <v>113</v>
      </c>
    </row>
    <row r="87" spans="1:22">
      <c r="A87" s="67" t="s">
        <v>7</v>
      </c>
      <c r="B87" s="23"/>
      <c r="C87" s="68"/>
      <c r="D87" s="68">
        <f>D86/C86-1</f>
        <v>-4.2553191489361653E-2</v>
      </c>
      <c r="E87" s="68">
        <f>E86/D86-1</f>
        <v>8.8888888888888795E-2</v>
      </c>
      <c r="F87" s="68">
        <f>F86/E86-1</f>
        <v>-0.10204081632653061</v>
      </c>
      <c r="G87" s="23"/>
      <c r="H87" s="68">
        <f>H86/F86-1</f>
        <v>-0.22727272727272729</v>
      </c>
      <c r="I87" s="68">
        <f>I86/H86-1</f>
        <v>-8.8235294117647078E-2</v>
      </c>
      <c r="J87" s="68">
        <f>J86/I86-1</f>
        <v>0.22580645161290325</v>
      </c>
      <c r="K87" s="68">
        <f>K86/J86-1</f>
        <v>5.2631578947368363E-2</v>
      </c>
      <c r="L87" s="23"/>
      <c r="M87" s="68">
        <f>M86/K86-1</f>
        <v>-0.17500000000000004</v>
      </c>
      <c r="N87" s="68">
        <f>N86/M86-1</f>
        <v>-9.0909090909090939E-2</v>
      </c>
      <c r="O87" s="68">
        <f>O86/N86-1</f>
        <v>0.16666666666666674</v>
      </c>
      <c r="P87" s="68">
        <f>P86/O86-1</f>
        <v>-2.8571428571428581E-2</v>
      </c>
      <c r="Q87" s="23"/>
      <c r="R87" s="68">
        <f>R86/P86-1</f>
        <v>-0.11764705882352944</v>
      </c>
      <c r="S87" s="68">
        <f>S86/R86-1</f>
        <v>-0.30000000000000004</v>
      </c>
      <c r="T87" s="68">
        <f>T86/S86-1</f>
        <v>0.52380952380952372</v>
      </c>
      <c r="U87" s="68">
        <f>U86/T86-1</f>
        <v>-6.25E-2</v>
      </c>
      <c r="V87" s="23"/>
    </row>
    <row r="88" spans="1:22">
      <c r="A88" s="67" t="s">
        <v>8</v>
      </c>
      <c r="B88" s="23"/>
      <c r="C88" s="69"/>
      <c r="D88" s="69"/>
      <c r="E88" s="69"/>
      <c r="F88" s="69"/>
      <c r="G88" s="23">
        <f>G86/B86-1</f>
        <v>-2.1164021164021163E-2</v>
      </c>
      <c r="H88" s="69">
        <f t="shared" ref="H88:J88" si="80">H86/C86-1</f>
        <v>-0.27659574468085102</v>
      </c>
      <c r="I88" s="69">
        <f t="shared" si="80"/>
        <v>-0.31111111111111112</v>
      </c>
      <c r="J88" s="69">
        <f t="shared" si="80"/>
        <v>-0.22448979591836737</v>
      </c>
      <c r="K88" s="69">
        <f>K86/F86-1</f>
        <v>-9.0909090909090939E-2</v>
      </c>
      <c r="L88" s="23">
        <f>L86/G86-1</f>
        <v>-0.22702702702702704</v>
      </c>
      <c r="M88" s="69">
        <f t="shared" ref="M88:O88" si="81">M86/H86-1</f>
        <v>-2.9411764705882359E-2</v>
      </c>
      <c r="N88" s="69">
        <f t="shared" si="81"/>
        <v>-3.2258064516129004E-2</v>
      </c>
      <c r="O88" s="69">
        <f t="shared" si="81"/>
        <v>-7.8947368421052655E-2</v>
      </c>
      <c r="P88" s="69">
        <f>P86/K86-1</f>
        <v>-0.15000000000000002</v>
      </c>
      <c r="Q88" s="23">
        <f>Q86/L86-1</f>
        <v>-7.6923076923076872E-2</v>
      </c>
      <c r="R88" s="69">
        <f t="shared" ref="R88:T88" si="82">R86/M86-1</f>
        <v>-9.0909090909090939E-2</v>
      </c>
      <c r="S88" s="69">
        <f t="shared" si="82"/>
        <v>-0.30000000000000004</v>
      </c>
      <c r="T88" s="69">
        <f t="shared" si="82"/>
        <v>-8.5714285714285743E-2</v>
      </c>
      <c r="U88" s="69">
        <f>U86/P86-1</f>
        <v>-0.11764705882352944</v>
      </c>
      <c r="V88" s="23">
        <f>V86/Q86-1</f>
        <v>-0.14393939393939392</v>
      </c>
    </row>
    <row r="89" spans="1:22">
      <c r="A89" s="65" t="s">
        <v>68</v>
      </c>
      <c r="B89" s="35">
        <v>130</v>
      </c>
      <c r="C89" s="66">
        <v>31</v>
      </c>
      <c r="D89" s="66">
        <v>29</v>
      </c>
      <c r="E89" s="66">
        <v>31</v>
      </c>
      <c r="F89" s="66">
        <f>G89-C89-D89-E89</f>
        <v>27</v>
      </c>
      <c r="G89" s="35">
        <v>118</v>
      </c>
      <c r="H89" s="66">
        <v>28</v>
      </c>
      <c r="I89" s="66">
        <v>27</v>
      </c>
      <c r="J89" s="66">
        <v>25</v>
      </c>
      <c r="K89" s="66">
        <f>L89-H89-I89-J89</f>
        <v>28</v>
      </c>
      <c r="L89" s="35">
        <v>108</v>
      </c>
      <c r="M89" s="66">
        <v>25</v>
      </c>
      <c r="N89" s="66">
        <v>24</v>
      </c>
      <c r="O89" s="66">
        <v>25</v>
      </c>
      <c r="P89" s="66">
        <f>Q89-M89-N89-O89</f>
        <v>23</v>
      </c>
      <c r="Q89" s="35">
        <v>97</v>
      </c>
      <c r="R89" s="66">
        <v>25</v>
      </c>
      <c r="S89" s="66">
        <v>30</v>
      </c>
      <c r="T89" s="66">
        <v>30</v>
      </c>
      <c r="U89" s="66">
        <f>V89-R89-S89-T89</f>
        <v>30</v>
      </c>
      <c r="V89" s="35">
        <v>115</v>
      </c>
    </row>
    <row r="90" spans="1:22">
      <c r="A90" s="67" t="s">
        <v>7</v>
      </c>
      <c r="B90" s="23"/>
      <c r="C90" s="68"/>
      <c r="D90" s="68">
        <f>D89/C89-1</f>
        <v>-6.4516129032258118E-2</v>
      </c>
      <c r="E90" s="68">
        <f>E89/D89-1</f>
        <v>6.8965517241379226E-2</v>
      </c>
      <c r="F90" s="68">
        <f>F89/E89-1</f>
        <v>-0.12903225806451613</v>
      </c>
      <c r="G90" s="23"/>
      <c r="H90" s="68">
        <f>H89/F89-1</f>
        <v>3.7037037037036979E-2</v>
      </c>
      <c r="I90" s="68">
        <f>I89/H89-1</f>
        <v>-3.5714285714285698E-2</v>
      </c>
      <c r="J90" s="68">
        <f>J89/I89-1</f>
        <v>-7.407407407407407E-2</v>
      </c>
      <c r="K90" s="68">
        <f>K89/J89-1</f>
        <v>0.12000000000000011</v>
      </c>
      <c r="L90" s="23"/>
      <c r="M90" s="68">
        <f>M89/K89-1</f>
        <v>-0.1071428571428571</v>
      </c>
      <c r="N90" s="68">
        <f>N89/M89-1</f>
        <v>-4.0000000000000036E-2</v>
      </c>
      <c r="O90" s="68">
        <f>O89/N89-1</f>
        <v>4.1666666666666741E-2</v>
      </c>
      <c r="P90" s="68">
        <f>P89/O89-1</f>
        <v>-7.999999999999996E-2</v>
      </c>
      <c r="Q90" s="23"/>
      <c r="R90" s="68">
        <f>R89/P89-1</f>
        <v>8.6956521739130377E-2</v>
      </c>
      <c r="S90" s="68">
        <f>S89/R89-1</f>
        <v>0.19999999999999996</v>
      </c>
      <c r="T90" s="68">
        <f>T89/S89-1</f>
        <v>0</v>
      </c>
      <c r="U90" s="68">
        <f>U89/T89-1</f>
        <v>0</v>
      </c>
      <c r="V90" s="23"/>
    </row>
    <row r="91" spans="1:22">
      <c r="A91" s="67" t="s">
        <v>8</v>
      </c>
      <c r="B91" s="23"/>
      <c r="C91" s="69"/>
      <c r="D91" s="69"/>
      <c r="E91" s="69"/>
      <c r="F91" s="69"/>
      <c r="G91" s="23">
        <f>G89/B89-1</f>
        <v>-9.2307692307692313E-2</v>
      </c>
      <c r="H91" s="69">
        <f t="shared" ref="H91:J91" si="83">H89/C89-1</f>
        <v>-9.6774193548387122E-2</v>
      </c>
      <c r="I91" s="69">
        <f t="shared" si="83"/>
        <v>-6.8965517241379337E-2</v>
      </c>
      <c r="J91" s="69">
        <f t="shared" si="83"/>
        <v>-0.19354838709677424</v>
      </c>
      <c r="K91" s="69">
        <f>K89/F89-1</f>
        <v>3.7037037037036979E-2</v>
      </c>
      <c r="L91" s="23">
        <f>L89/G89-1</f>
        <v>-8.4745762711864403E-2</v>
      </c>
      <c r="M91" s="69">
        <f t="shared" ref="M91:O91" si="84">M89/H89-1</f>
        <v>-0.1071428571428571</v>
      </c>
      <c r="N91" s="69">
        <f t="shared" si="84"/>
        <v>-0.11111111111111116</v>
      </c>
      <c r="O91" s="69">
        <f t="shared" si="84"/>
        <v>0</v>
      </c>
      <c r="P91" s="69">
        <f>P89/K89-1</f>
        <v>-0.1785714285714286</v>
      </c>
      <c r="Q91" s="23">
        <f>Q89/L89-1</f>
        <v>-0.10185185185185186</v>
      </c>
      <c r="R91" s="69">
        <f t="shared" ref="R91:T91" si="85">R89/M89-1</f>
        <v>0</v>
      </c>
      <c r="S91" s="69">
        <f t="shared" si="85"/>
        <v>0.25</v>
      </c>
      <c r="T91" s="69">
        <f t="shared" si="85"/>
        <v>0.19999999999999996</v>
      </c>
      <c r="U91" s="69">
        <f>U89/P89-1</f>
        <v>0.30434782608695654</v>
      </c>
      <c r="V91" s="23">
        <f>V89/Q89-1</f>
        <v>0.18556701030927836</v>
      </c>
    </row>
    <row r="92" spans="1:22">
      <c r="A92" s="65" t="s">
        <v>77</v>
      </c>
      <c r="B92" s="35">
        <v>195</v>
      </c>
      <c r="C92" s="66">
        <v>42</v>
      </c>
      <c r="D92" s="66">
        <v>44</v>
      </c>
      <c r="E92" s="66">
        <v>54</v>
      </c>
      <c r="F92" s="66">
        <f>G92-C92-D92-E92</f>
        <v>48</v>
      </c>
      <c r="G92" s="35">
        <v>188</v>
      </c>
      <c r="H92" s="66">
        <v>40</v>
      </c>
      <c r="I92" s="66">
        <v>49</v>
      </c>
      <c r="J92" s="66">
        <v>42</v>
      </c>
      <c r="K92" s="66">
        <f>L92-H92-I92-J92</f>
        <v>52</v>
      </c>
      <c r="L92" s="35">
        <v>183</v>
      </c>
      <c r="M92" s="66">
        <v>39</v>
      </c>
      <c r="N92" s="66">
        <v>34</v>
      </c>
      <c r="O92" s="66">
        <v>37</v>
      </c>
      <c r="P92" s="66">
        <f>Q92-M92-N92-O92</f>
        <v>36</v>
      </c>
      <c r="Q92" s="35">
        <v>146</v>
      </c>
      <c r="R92" s="66">
        <v>39</v>
      </c>
      <c r="S92" s="66">
        <v>41</v>
      </c>
      <c r="T92" s="66">
        <v>41</v>
      </c>
      <c r="U92" s="66">
        <f>V92-R92-S92-T92</f>
        <v>38</v>
      </c>
      <c r="V92" s="35">
        <v>159</v>
      </c>
    </row>
    <row r="93" spans="1:22">
      <c r="A93" s="67" t="s">
        <v>7</v>
      </c>
      <c r="B93" s="23"/>
      <c r="C93" s="68"/>
      <c r="D93" s="68">
        <f>D92/C92-1</f>
        <v>4.7619047619047672E-2</v>
      </c>
      <c r="E93" s="68">
        <f>E92/D92-1</f>
        <v>0.22727272727272729</v>
      </c>
      <c r="F93" s="68">
        <f>F92/E92-1</f>
        <v>-0.11111111111111116</v>
      </c>
      <c r="G93" s="23"/>
      <c r="H93" s="68">
        <f>H92/F92-1</f>
        <v>-0.16666666666666663</v>
      </c>
      <c r="I93" s="68">
        <f>I92/H92-1</f>
        <v>0.22500000000000009</v>
      </c>
      <c r="J93" s="68">
        <f>J92/I92-1</f>
        <v>-0.1428571428571429</v>
      </c>
      <c r="K93" s="68">
        <f>K92/J92-1</f>
        <v>0.23809523809523814</v>
      </c>
      <c r="L93" s="23"/>
      <c r="M93" s="68">
        <f>M92/K92-1</f>
        <v>-0.25</v>
      </c>
      <c r="N93" s="68">
        <f>N92/M92-1</f>
        <v>-0.12820512820512819</v>
      </c>
      <c r="O93" s="68">
        <f>O92/N92-1</f>
        <v>8.8235294117646967E-2</v>
      </c>
      <c r="P93" s="68">
        <f>P92/O92-1</f>
        <v>-2.7027027027026973E-2</v>
      </c>
      <c r="Q93" s="23"/>
      <c r="R93" s="68">
        <f>R92/P92-1</f>
        <v>8.3333333333333259E-2</v>
      </c>
      <c r="S93" s="68">
        <f>S92/R92-1</f>
        <v>5.1282051282051322E-2</v>
      </c>
      <c r="T93" s="68">
        <f>T92/S92-1</f>
        <v>0</v>
      </c>
      <c r="U93" s="68">
        <f>U92/T92-1</f>
        <v>-7.3170731707317027E-2</v>
      </c>
      <c r="V93" s="23"/>
    </row>
    <row r="94" spans="1:22">
      <c r="A94" s="67" t="s">
        <v>8</v>
      </c>
      <c r="B94" s="23"/>
      <c r="C94" s="69"/>
      <c r="D94" s="69"/>
      <c r="E94" s="69"/>
      <c r="F94" s="69"/>
      <c r="G94" s="23">
        <f>G92/B92-1</f>
        <v>-3.5897435897435881E-2</v>
      </c>
      <c r="H94" s="69">
        <f t="shared" ref="H94:J94" si="86">H92/C92-1</f>
        <v>-4.7619047619047672E-2</v>
      </c>
      <c r="I94" s="69">
        <f t="shared" si="86"/>
        <v>0.11363636363636354</v>
      </c>
      <c r="J94" s="69">
        <f t="shared" si="86"/>
        <v>-0.22222222222222221</v>
      </c>
      <c r="K94" s="69">
        <f>K92/F92-1</f>
        <v>8.3333333333333259E-2</v>
      </c>
      <c r="L94" s="23">
        <f>L92/G92-1</f>
        <v>-2.6595744680851019E-2</v>
      </c>
      <c r="M94" s="69">
        <f t="shared" ref="M94:O94" si="87">M92/H92-1</f>
        <v>-2.5000000000000022E-2</v>
      </c>
      <c r="N94" s="69">
        <f t="shared" si="87"/>
        <v>-0.30612244897959184</v>
      </c>
      <c r="O94" s="69">
        <f t="shared" si="87"/>
        <v>-0.11904761904761907</v>
      </c>
      <c r="P94" s="69">
        <f>P92/K92-1</f>
        <v>-0.30769230769230771</v>
      </c>
      <c r="Q94" s="23">
        <f>Q92/L92-1</f>
        <v>-0.20218579234972678</v>
      </c>
      <c r="R94" s="69">
        <f t="shared" ref="R94:T94" si="88">R92/M92-1</f>
        <v>0</v>
      </c>
      <c r="S94" s="69">
        <f t="shared" si="88"/>
        <v>0.20588235294117641</v>
      </c>
      <c r="T94" s="69">
        <f t="shared" si="88"/>
        <v>0.10810810810810811</v>
      </c>
      <c r="U94" s="69">
        <f>U92/P92-1</f>
        <v>5.555555555555558E-2</v>
      </c>
      <c r="V94" s="23">
        <f>V92/Q92-1</f>
        <v>8.9041095890410871E-2</v>
      </c>
    </row>
    <row r="95" spans="1:22">
      <c r="A95" s="65" t="s">
        <v>69</v>
      </c>
      <c r="B95" s="35">
        <v>47</v>
      </c>
      <c r="C95" s="66">
        <v>10</v>
      </c>
      <c r="D95" s="66">
        <v>12</v>
      </c>
      <c r="E95" s="66">
        <v>12</v>
      </c>
      <c r="F95" s="66">
        <f>G95-C95-D95-E95</f>
        <v>10</v>
      </c>
      <c r="G95" s="35">
        <v>44</v>
      </c>
      <c r="H95" s="66">
        <v>11</v>
      </c>
      <c r="I95" s="66">
        <v>10</v>
      </c>
      <c r="J95" s="66">
        <v>9</v>
      </c>
      <c r="K95" s="66">
        <f>L95-H95-I95-J95</f>
        <v>12</v>
      </c>
      <c r="L95" s="35">
        <v>42</v>
      </c>
      <c r="M95" s="66">
        <v>18</v>
      </c>
      <c r="N95" s="66">
        <v>17</v>
      </c>
      <c r="O95" s="66">
        <v>17</v>
      </c>
      <c r="P95" s="66">
        <f>Q95-M95-N95-O95</f>
        <v>21</v>
      </c>
      <c r="Q95" s="35">
        <v>73</v>
      </c>
      <c r="R95" s="66">
        <v>20</v>
      </c>
      <c r="S95" s="66">
        <v>20</v>
      </c>
      <c r="T95" s="66">
        <v>19</v>
      </c>
      <c r="U95" s="66">
        <f>V95-R95-S95-T95</f>
        <v>21</v>
      </c>
      <c r="V95" s="35">
        <v>80</v>
      </c>
    </row>
    <row r="96" spans="1:22">
      <c r="A96" s="67" t="s">
        <v>7</v>
      </c>
      <c r="B96" s="23"/>
      <c r="C96" s="68"/>
      <c r="D96" s="68">
        <f>D95/C95-1</f>
        <v>0.19999999999999996</v>
      </c>
      <c r="E96" s="68">
        <f>E95/D95-1</f>
        <v>0</v>
      </c>
      <c r="F96" s="68">
        <f>F95/E95-1</f>
        <v>-0.16666666666666663</v>
      </c>
      <c r="G96" s="23"/>
      <c r="H96" s="68">
        <f>H95/F95-1</f>
        <v>0.10000000000000009</v>
      </c>
      <c r="I96" s="68">
        <f>I95/H95-1</f>
        <v>-9.0909090909090939E-2</v>
      </c>
      <c r="J96" s="68">
        <f>J95/I95-1</f>
        <v>-9.9999999999999978E-2</v>
      </c>
      <c r="K96" s="68">
        <f>K95/J95-1</f>
        <v>0.33333333333333326</v>
      </c>
      <c r="L96" s="23"/>
      <c r="M96" s="68">
        <f>M95/K95-1</f>
        <v>0.5</v>
      </c>
      <c r="N96" s="68">
        <f>N95/M95-1</f>
        <v>-5.555555555555558E-2</v>
      </c>
      <c r="O96" s="68">
        <f>O95/N95-1</f>
        <v>0</v>
      </c>
      <c r="P96" s="68">
        <f>P95/O95-1</f>
        <v>0.23529411764705888</v>
      </c>
      <c r="Q96" s="23"/>
      <c r="R96" s="68">
        <f>R95/P95-1</f>
        <v>-4.7619047619047672E-2</v>
      </c>
      <c r="S96" s="68">
        <f>S95/R95-1</f>
        <v>0</v>
      </c>
      <c r="T96" s="68">
        <f>T95/S95-1</f>
        <v>-5.0000000000000044E-2</v>
      </c>
      <c r="U96" s="68">
        <f>U95/T95-1</f>
        <v>0.10526315789473695</v>
      </c>
      <c r="V96" s="23"/>
    </row>
    <row r="97" spans="1:22">
      <c r="A97" s="67" t="s">
        <v>8</v>
      </c>
      <c r="B97" s="23"/>
      <c r="C97" s="69"/>
      <c r="D97" s="69"/>
      <c r="E97" s="69"/>
      <c r="F97" s="69"/>
      <c r="G97" s="23">
        <f>G95/B95-1</f>
        <v>-6.3829787234042534E-2</v>
      </c>
      <c r="H97" s="69">
        <f t="shared" ref="H97:J97" si="89">H95/C95-1</f>
        <v>0.10000000000000009</v>
      </c>
      <c r="I97" s="69">
        <f t="shared" si="89"/>
        <v>-0.16666666666666663</v>
      </c>
      <c r="J97" s="69">
        <f t="shared" si="89"/>
        <v>-0.25</v>
      </c>
      <c r="K97" s="69">
        <f>K95/F95-1</f>
        <v>0.19999999999999996</v>
      </c>
      <c r="L97" s="23">
        <f>L95/G95-1</f>
        <v>-4.5454545454545414E-2</v>
      </c>
      <c r="M97" s="69">
        <f t="shared" ref="M97:O97" si="90">M95/H95-1</f>
        <v>0.63636363636363646</v>
      </c>
      <c r="N97" s="69">
        <f t="shared" si="90"/>
        <v>0.7</v>
      </c>
      <c r="O97" s="69">
        <f t="shared" si="90"/>
        <v>0.88888888888888884</v>
      </c>
      <c r="P97" s="69">
        <f>P95/K95-1</f>
        <v>0.75</v>
      </c>
      <c r="Q97" s="23">
        <f>Q95/L95-1</f>
        <v>0.73809523809523814</v>
      </c>
      <c r="R97" s="69">
        <f t="shared" ref="R97:T97" si="91">R95/M95-1</f>
        <v>0.11111111111111116</v>
      </c>
      <c r="S97" s="69">
        <f t="shared" si="91"/>
        <v>0.17647058823529416</v>
      </c>
      <c r="T97" s="69">
        <f t="shared" si="91"/>
        <v>0.11764705882352944</v>
      </c>
      <c r="U97" s="69">
        <f>U95/P95-1</f>
        <v>0</v>
      </c>
      <c r="V97" s="23">
        <f>V95/Q95-1</f>
        <v>9.5890410958904049E-2</v>
      </c>
    </row>
    <row r="98" spans="1:22">
      <c r="A98" s="65" t="s">
        <v>71</v>
      </c>
      <c r="B98" s="35">
        <v>72</v>
      </c>
      <c r="C98" s="66">
        <v>17</v>
      </c>
      <c r="D98" s="66">
        <v>19</v>
      </c>
      <c r="E98" s="66">
        <v>19</v>
      </c>
      <c r="F98" s="137">
        <f>G98-C98-D98-E98</f>
        <v>18</v>
      </c>
      <c r="G98" s="35">
        <v>73</v>
      </c>
      <c r="H98" s="66">
        <v>20</v>
      </c>
      <c r="I98" s="66">
        <v>20</v>
      </c>
      <c r="J98" s="66">
        <v>20</v>
      </c>
      <c r="K98" s="137">
        <f>L98-H98-I98-J98</f>
        <v>23</v>
      </c>
      <c r="L98" s="35">
        <v>83</v>
      </c>
      <c r="M98" s="66">
        <v>18</v>
      </c>
      <c r="N98" s="66">
        <v>19</v>
      </c>
      <c r="O98" s="66">
        <v>21</v>
      </c>
      <c r="P98" s="137">
        <f>Q98-M98-N98-O98</f>
        <v>24</v>
      </c>
      <c r="Q98" s="35">
        <v>82</v>
      </c>
      <c r="R98" s="66">
        <v>21</v>
      </c>
      <c r="S98" s="66">
        <v>22</v>
      </c>
      <c r="T98" s="66">
        <v>24</v>
      </c>
      <c r="U98" s="137">
        <f>V98-R98-S98-T98</f>
        <v>27</v>
      </c>
      <c r="V98" s="35">
        <v>94</v>
      </c>
    </row>
    <row r="99" spans="1:22">
      <c r="A99" s="67" t="s">
        <v>7</v>
      </c>
      <c r="B99" s="23"/>
      <c r="C99" s="68"/>
      <c r="D99" s="68">
        <f>D98/C98-1</f>
        <v>0.11764705882352944</v>
      </c>
      <c r="E99" s="68">
        <f>E98/D98-1</f>
        <v>0</v>
      </c>
      <c r="F99" s="68">
        <f>F98/E98-1</f>
        <v>-5.2631578947368474E-2</v>
      </c>
      <c r="G99" s="23"/>
      <c r="H99" s="68">
        <f>H98/F98-1</f>
        <v>0.11111111111111116</v>
      </c>
      <c r="I99" s="68">
        <f>I98/H98-1</f>
        <v>0</v>
      </c>
      <c r="J99" s="68">
        <f>J98/I98-1</f>
        <v>0</v>
      </c>
      <c r="K99" s="68">
        <f>K98/J98-1</f>
        <v>0.14999999999999991</v>
      </c>
      <c r="L99" s="23"/>
      <c r="M99" s="68">
        <f>M98/K98-1</f>
        <v>-0.21739130434782605</v>
      </c>
      <c r="N99" s="68">
        <f>N98/M98-1</f>
        <v>5.555555555555558E-2</v>
      </c>
      <c r="O99" s="68">
        <f>O98/N98-1</f>
        <v>0.10526315789473695</v>
      </c>
      <c r="P99" s="68">
        <f>P98/O98-1</f>
        <v>0.14285714285714279</v>
      </c>
      <c r="Q99" s="23"/>
      <c r="R99" s="68">
        <f>R98/P98-1</f>
        <v>-0.125</v>
      </c>
      <c r="S99" s="68">
        <f>S98/R98-1</f>
        <v>4.7619047619047672E-2</v>
      </c>
      <c r="T99" s="68">
        <f>T98/S98-1</f>
        <v>9.0909090909090828E-2</v>
      </c>
      <c r="U99" s="68">
        <f>U98/T98-1</f>
        <v>0.125</v>
      </c>
      <c r="V99" s="23"/>
    </row>
    <row r="100" spans="1:22">
      <c r="A100" s="67" t="s">
        <v>8</v>
      </c>
      <c r="B100" s="23"/>
      <c r="C100" s="69"/>
      <c r="D100" s="69"/>
      <c r="E100" s="69"/>
      <c r="F100" s="69"/>
      <c r="G100" s="23">
        <f>G98/B98-1</f>
        <v>1.388888888888884E-2</v>
      </c>
      <c r="H100" s="69">
        <f t="shared" ref="H100:J100" si="92">H98/C98-1</f>
        <v>0.17647058823529416</v>
      </c>
      <c r="I100" s="69">
        <f t="shared" si="92"/>
        <v>5.2631578947368363E-2</v>
      </c>
      <c r="J100" s="69">
        <f t="shared" si="92"/>
        <v>5.2631578947368363E-2</v>
      </c>
      <c r="K100" s="69">
        <f>K98/F98-1</f>
        <v>0.27777777777777768</v>
      </c>
      <c r="L100" s="23">
        <f>L98/G98-1</f>
        <v>0.13698630136986312</v>
      </c>
      <c r="M100" s="69">
        <f t="shared" ref="M100:O100" si="93">M98/H98-1</f>
        <v>-9.9999999999999978E-2</v>
      </c>
      <c r="N100" s="69">
        <f t="shared" si="93"/>
        <v>-5.0000000000000044E-2</v>
      </c>
      <c r="O100" s="69">
        <f t="shared" si="93"/>
        <v>5.0000000000000044E-2</v>
      </c>
      <c r="P100" s="69">
        <f>P98/K98-1</f>
        <v>4.3478260869565188E-2</v>
      </c>
      <c r="Q100" s="23">
        <f>Q98/L98-1</f>
        <v>-1.2048192771084376E-2</v>
      </c>
      <c r="R100" s="69">
        <f t="shared" ref="R100:T100" si="94">R98/M98-1</f>
        <v>0.16666666666666674</v>
      </c>
      <c r="S100" s="69">
        <f t="shared" si="94"/>
        <v>0.15789473684210531</v>
      </c>
      <c r="T100" s="69">
        <f t="shared" si="94"/>
        <v>0.14285714285714279</v>
      </c>
      <c r="U100" s="69">
        <f>U98/P98-1</f>
        <v>0.125</v>
      </c>
      <c r="V100" s="23">
        <f>V98/Q98-1</f>
        <v>0.14634146341463405</v>
      </c>
    </row>
    <row r="101" spans="1:22">
      <c r="A101" s="65" t="s">
        <v>72</v>
      </c>
      <c r="B101" s="35">
        <v>72</v>
      </c>
      <c r="C101" s="66">
        <v>18</v>
      </c>
      <c r="D101" s="66">
        <v>17</v>
      </c>
      <c r="E101" s="66">
        <v>18</v>
      </c>
      <c r="F101" s="66">
        <f>G101-C101-D101-E101</f>
        <v>16</v>
      </c>
      <c r="G101" s="35">
        <v>69</v>
      </c>
      <c r="H101" s="66">
        <v>7</v>
      </c>
      <c r="I101" s="66">
        <v>8</v>
      </c>
      <c r="J101" s="66">
        <v>9</v>
      </c>
      <c r="K101" s="66">
        <f>L101-H101-I101-J101</f>
        <v>13</v>
      </c>
      <c r="L101" s="35">
        <v>37</v>
      </c>
      <c r="M101" s="66">
        <v>8</v>
      </c>
      <c r="N101" s="66">
        <v>9</v>
      </c>
      <c r="O101" s="66">
        <v>9</v>
      </c>
      <c r="P101" s="66">
        <f>Q101-M101-N101-O101</f>
        <v>9</v>
      </c>
      <c r="Q101" s="35">
        <v>35</v>
      </c>
      <c r="R101" s="66">
        <v>7</v>
      </c>
      <c r="S101" s="66">
        <v>6</v>
      </c>
      <c r="T101" s="66">
        <v>8</v>
      </c>
      <c r="U101" s="66">
        <f>V101-R101-S101-T101</f>
        <v>8</v>
      </c>
      <c r="V101" s="35">
        <v>29</v>
      </c>
    </row>
    <row r="102" spans="1:22">
      <c r="A102" s="67" t="s">
        <v>7</v>
      </c>
      <c r="B102" s="23"/>
      <c r="C102" s="68"/>
      <c r="D102" s="68">
        <f>D101/C101-1</f>
        <v>-5.555555555555558E-2</v>
      </c>
      <c r="E102" s="68">
        <f>E101/D101-1</f>
        <v>5.8823529411764719E-2</v>
      </c>
      <c r="F102" s="68">
        <f>F101/E101-1</f>
        <v>-0.11111111111111116</v>
      </c>
      <c r="G102" s="23"/>
      <c r="H102" s="68">
        <f>H101/F101-1</f>
        <v>-0.5625</v>
      </c>
      <c r="I102" s="68">
        <f>I101/H101-1</f>
        <v>0.14285714285714279</v>
      </c>
      <c r="J102" s="68">
        <f>J101/I101-1</f>
        <v>0.125</v>
      </c>
      <c r="K102" s="68">
        <f>K101/J101-1</f>
        <v>0.44444444444444442</v>
      </c>
      <c r="L102" s="23"/>
      <c r="M102" s="68">
        <f>M101/K101-1</f>
        <v>-0.38461538461538458</v>
      </c>
      <c r="N102" s="68">
        <f>N101/M101-1</f>
        <v>0.125</v>
      </c>
      <c r="O102" s="68">
        <f>O101/N101-1</f>
        <v>0</v>
      </c>
      <c r="P102" s="68">
        <f>P101/O101-1</f>
        <v>0</v>
      </c>
      <c r="Q102" s="23"/>
      <c r="R102" s="68">
        <f>R101/P101-1</f>
        <v>-0.22222222222222221</v>
      </c>
      <c r="S102" s="68">
        <f>S101/R101-1</f>
        <v>-0.1428571428571429</v>
      </c>
      <c r="T102" s="68">
        <f>T101/S101-1</f>
        <v>0.33333333333333326</v>
      </c>
      <c r="U102" s="68">
        <f>U101/T101-1</f>
        <v>0</v>
      </c>
      <c r="V102" s="23"/>
    </row>
    <row r="103" spans="1:22">
      <c r="A103" s="67" t="s">
        <v>8</v>
      </c>
      <c r="B103" s="23"/>
      <c r="C103" s="69"/>
      <c r="D103" s="69"/>
      <c r="E103" s="69"/>
      <c r="F103" s="69"/>
      <c r="G103" s="23">
        <f t="shared" ref="G103:T103" si="95">G101/B101-1</f>
        <v>-4.166666666666663E-2</v>
      </c>
      <c r="H103" s="69">
        <f t="shared" si="95"/>
        <v>-0.61111111111111116</v>
      </c>
      <c r="I103" s="69">
        <f t="shared" si="95"/>
        <v>-0.52941176470588236</v>
      </c>
      <c r="J103" s="69">
        <f t="shared" si="95"/>
        <v>-0.5</v>
      </c>
      <c r="K103" s="69">
        <f t="shared" si="95"/>
        <v>-0.1875</v>
      </c>
      <c r="L103" s="23">
        <f t="shared" si="95"/>
        <v>-0.46376811594202894</v>
      </c>
      <c r="M103" s="69">
        <f t="shared" si="95"/>
        <v>0.14285714285714279</v>
      </c>
      <c r="N103" s="69">
        <f t="shared" si="95"/>
        <v>0.125</v>
      </c>
      <c r="O103" s="69">
        <f t="shared" si="95"/>
        <v>0</v>
      </c>
      <c r="P103" s="69">
        <f t="shared" si="95"/>
        <v>-0.30769230769230771</v>
      </c>
      <c r="Q103" s="23">
        <f t="shared" si="95"/>
        <v>-5.4054054054054057E-2</v>
      </c>
      <c r="R103" s="69">
        <f t="shared" si="95"/>
        <v>-0.125</v>
      </c>
      <c r="S103" s="69">
        <f t="shared" si="95"/>
        <v>-0.33333333333333337</v>
      </c>
      <c r="T103" s="69">
        <f t="shared" si="95"/>
        <v>-0.11111111111111116</v>
      </c>
      <c r="U103" s="69">
        <f t="shared" ref="U103" si="96">U101/P101-1</f>
        <v>-0.11111111111111116</v>
      </c>
      <c r="V103" s="23">
        <f t="shared" ref="V103" si="97">V101/Q101-1</f>
        <v>-0.17142857142857137</v>
      </c>
    </row>
    <row r="104" spans="1:22" ht="5.2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row>
  </sheetData>
  <pageMargins left="0.39370078740157483" right="0.39370078740157483" top="0.27559055118110237" bottom="0.11811023622047245" header="0.19685039370078741" footer="0.31496062992125984"/>
  <pageSetup paperSize="9" scale="60" orientation="landscape" r:id="rId1"/>
  <headerFooter>
    <oddHeader>&amp;CBezeq - The Israel Telecommunication Corp Ltd.</oddHeader>
    <oddFooter>&amp;R&amp;P of &amp;N
Fixed-Line financial metrics</oddFooter>
  </headerFooter>
  <rowBreaks count="1" manualBreakCount="1">
    <brk id="80" max="2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V66"/>
  <sheetViews>
    <sheetView showGridLines="0" workbookViewId="0">
      <pane xSplit="1" ySplit="7" topLeftCell="G32" activePane="bottomRight" state="frozen"/>
      <selection activeCell="M18" sqref="M18"/>
      <selection pane="topRight" activeCell="M18" sqref="M18"/>
      <selection pane="bottomLeft" activeCell="M18" sqref="M18"/>
      <selection pane="bottomRight" activeCell="U60" sqref="U60"/>
    </sheetView>
  </sheetViews>
  <sheetFormatPr defaultRowHeight="12.75"/>
  <cols>
    <col min="1" max="1" width="50.7109375" bestFit="1" customWidth="1"/>
    <col min="2" max="6" width="9.140625" hidden="1" customWidth="1"/>
    <col min="8" max="11" width="9.140625" hidden="1" customWidth="1"/>
  </cols>
  <sheetData>
    <row r="1" spans="1:22">
      <c r="A1" s="29"/>
      <c r="B1" s="3"/>
      <c r="C1" s="3"/>
      <c r="D1" s="3"/>
      <c r="E1" s="3"/>
      <c r="F1" s="3"/>
      <c r="G1" s="3"/>
      <c r="H1" s="3"/>
      <c r="I1" s="3"/>
      <c r="J1" s="3"/>
      <c r="K1" s="3"/>
      <c r="L1" s="3"/>
      <c r="M1" s="3"/>
      <c r="N1" s="3"/>
      <c r="O1" s="3"/>
      <c r="P1" s="3"/>
      <c r="Q1" s="3"/>
      <c r="R1" s="3"/>
    </row>
    <row r="2" spans="1:22">
      <c r="A2" s="29"/>
      <c r="B2" s="3"/>
      <c r="C2" s="3"/>
      <c r="D2" s="3"/>
      <c r="E2" s="3"/>
      <c r="F2" s="3"/>
      <c r="G2" s="3"/>
      <c r="H2" s="3"/>
      <c r="I2" s="3"/>
      <c r="J2" s="3"/>
      <c r="K2" s="3"/>
      <c r="L2" s="3"/>
      <c r="M2" s="3"/>
      <c r="N2" s="3"/>
      <c r="O2" s="3"/>
      <c r="P2" s="3"/>
      <c r="Q2" s="3"/>
      <c r="R2" s="3"/>
    </row>
    <row r="3" spans="1:22">
      <c r="A3" s="30"/>
      <c r="B3" s="45" t="s">
        <v>5</v>
      </c>
      <c r="C3" s="45" t="s">
        <v>74</v>
      </c>
      <c r="D3" s="45" t="s">
        <v>0</v>
      </c>
      <c r="E3" s="45" t="s">
        <v>1</v>
      </c>
      <c r="F3" s="45" t="s">
        <v>2</v>
      </c>
      <c r="G3" s="45" t="s">
        <v>5</v>
      </c>
      <c r="H3" s="45" t="s">
        <v>74</v>
      </c>
      <c r="I3" s="45" t="s">
        <v>0</v>
      </c>
      <c r="J3" s="45" t="s">
        <v>1</v>
      </c>
      <c r="K3" s="45" t="s">
        <v>2</v>
      </c>
      <c r="L3" s="45" t="s">
        <v>5</v>
      </c>
      <c r="M3" s="45" t="s">
        <v>74</v>
      </c>
      <c r="N3" s="45" t="s">
        <v>0</v>
      </c>
      <c r="O3" s="45" t="s">
        <v>1</v>
      </c>
      <c r="P3" s="45" t="s">
        <v>2</v>
      </c>
      <c r="Q3" s="45" t="s">
        <v>5</v>
      </c>
      <c r="R3" s="45" t="s">
        <v>74</v>
      </c>
      <c r="S3" s="45" t="s">
        <v>0</v>
      </c>
      <c r="T3" s="45" t="s">
        <v>1</v>
      </c>
      <c r="U3" s="45" t="s">
        <v>2</v>
      </c>
      <c r="V3" s="45" t="s">
        <v>5</v>
      </c>
    </row>
    <row r="4" spans="1:22">
      <c r="A4" s="55" t="s">
        <v>311</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2020</v>
      </c>
      <c r="S4" s="45">
        <v>2020</v>
      </c>
      <c r="T4" s="45">
        <v>2020</v>
      </c>
      <c r="U4" s="45">
        <v>2020</v>
      </c>
      <c r="V4" s="45">
        <v>2020</v>
      </c>
    </row>
    <row r="5" spans="1:22" ht="4.5" customHeight="1">
      <c r="A5" s="42"/>
      <c r="B5" s="43"/>
      <c r="C5" s="43"/>
      <c r="D5" s="43"/>
      <c r="E5" s="43"/>
      <c r="F5" s="43"/>
      <c r="G5" s="43"/>
      <c r="H5" s="43"/>
      <c r="I5" s="43"/>
      <c r="J5" s="43"/>
      <c r="K5" s="43"/>
      <c r="L5" s="43"/>
      <c r="M5" s="43"/>
      <c r="N5" s="43"/>
      <c r="O5" s="43"/>
      <c r="P5" s="43"/>
      <c r="Q5" s="43"/>
      <c r="R5" s="43"/>
      <c r="S5" s="43"/>
      <c r="T5" s="43"/>
      <c r="U5" s="43"/>
      <c r="V5" s="43"/>
    </row>
    <row r="6" spans="1:22" ht="20.25">
      <c r="A6" s="33" t="s">
        <v>3</v>
      </c>
      <c r="B6" s="27"/>
      <c r="C6" s="27"/>
      <c r="D6" s="27"/>
      <c r="E6" s="27"/>
      <c r="F6" s="27"/>
      <c r="G6" s="27"/>
      <c r="H6" s="27"/>
      <c r="I6" s="27"/>
      <c r="J6" s="27"/>
      <c r="K6" s="27"/>
      <c r="L6" s="27"/>
      <c r="M6" s="27"/>
      <c r="N6" s="27"/>
      <c r="O6" s="27"/>
      <c r="P6" s="27"/>
      <c r="Q6" s="27"/>
      <c r="R6" s="27"/>
      <c r="S6" s="27"/>
      <c r="T6" s="27"/>
      <c r="U6" s="27"/>
      <c r="V6" s="27"/>
    </row>
    <row r="7" spans="1:22">
      <c r="A7" s="38" t="s">
        <v>65</v>
      </c>
      <c r="B7" s="39"/>
      <c r="C7" s="40"/>
      <c r="D7" s="40"/>
      <c r="E7" s="40"/>
      <c r="F7" s="40"/>
      <c r="G7" s="39"/>
      <c r="H7" s="40"/>
      <c r="I7" s="40"/>
      <c r="J7" s="40"/>
      <c r="K7" s="40"/>
      <c r="L7" s="39"/>
      <c r="M7" s="40"/>
      <c r="N7" s="40"/>
      <c r="O7" s="40"/>
      <c r="P7" s="40"/>
      <c r="Q7" s="39"/>
      <c r="R7" s="40"/>
      <c r="S7" s="40"/>
      <c r="T7" s="40"/>
      <c r="U7" s="40"/>
      <c r="V7" s="39"/>
    </row>
    <row r="8" spans="1:22">
      <c r="A8" s="65" t="s">
        <v>49</v>
      </c>
      <c r="B8" s="35">
        <f>B11+B14</f>
        <v>2630</v>
      </c>
      <c r="C8" s="66">
        <f>C11+C14</f>
        <v>628</v>
      </c>
      <c r="D8" s="66">
        <f>D11+D14</f>
        <v>632</v>
      </c>
      <c r="E8" s="66">
        <f>E11+E14</f>
        <v>635</v>
      </c>
      <c r="F8" s="66">
        <f>G8-E8-D8-C8</f>
        <v>651</v>
      </c>
      <c r="G8" s="35">
        <f>G11+G14</f>
        <v>2546</v>
      </c>
      <c r="H8" s="66">
        <f>H11+H14</f>
        <v>619</v>
      </c>
      <c r="I8" s="66">
        <f>I11+I14</f>
        <v>602</v>
      </c>
      <c r="J8" s="66">
        <f>J11+J14</f>
        <v>604</v>
      </c>
      <c r="K8" s="66">
        <f>L8-J8-I8-H8</f>
        <v>618</v>
      </c>
      <c r="L8" s="35">
        <f>L11+L14</f>
        <v>2443</v>
      </c>
      <c r="M8" s="66">
        <f>M11+M14</f>
        <v>578</v>
      </c>
      <c r="N8" s="66">
        <f>N11+N14</f>
        <v>570</v>
      </c>
      <c r="O8" s="66">
        <f>O11+O14</f>
        <v>612</v>
      </c>
      <c r="P8" s="66">
        <f>Q8-O8-N8-M8</f>
        <v>602</v>
      </c>
      <c r="Q8" s="35">
        <f>Q11+Q14</f>
        <v>2362</v>
      </c>
      <c r="R8" s="66">
        <f>R11+R14</f>
        <v>573</v>
      </c>
      <c r="S8" s="66">
        <f>S11+S14</f>
        <v>535</v>
      </c>
      <c r="T8" s="66">
        <f>T11+T14</f>
        <v>545</v>
      </c>
      <c r="U8" s="66">
        <f>V8-T8-S8-R8</f>
        <v>533</v>
      </c>
      <c r="V8" s="35">
        <f>V11+V14</f>
        <v>2186</v>
      </c>
    </row>
    <row r="9" spans="1:22">
      <c r="A9" s="67" t="s">
        <v>7</v>
      </c>
      <c r="B9" s="23"/>
      <c r="C9" s="68"/>
      <c r="D9" s="68">
        <f>D8/C8-1</f>
        <v>6.3694267515923553E-3</v>
      </c>
      <c r="E9" s="68">
        <f>E8/D8-1</f>
        <v>4.746835443038E-3</v>
      </c>
      <c r="F9" s="68">
        <f>F8/E8-1</f>
        <v>2.5196850393700787E-2</v>
      </c>
      <c r="G9" s="23"/>
      <c r="H9" s="68">
        <f>H8/F8-1</f>
        <v>-4.915514592933945E-2</v>
      </c>
      <c r="I9" s="68">
        <f>I8/H8-1</f>
        <v>-2.7463651050080751E-2</v>
      </c>
      <c r="J9" s="68">
        <f>J8/I8-1</f>
        <v>3.3222591362125353E-3</v>
      </c>
      <c r="K9" s="68">
        <f>K8/J8-1</f>
        <v>2.3178807947019875E-2</v>
      </c>
      <c r="L9" s="23"/>
      <c r="M9" s="68">
        <f>M8/K8-1</f>
        <v>-6.4724919093851141E-2</v>
      </c>
      <c r="N9" s="68">
        <f>N8/M8-1</f>
        <v>-1.384083044982698E-2</v>
      </c>
      <c r="O9" s="68">
        <f>O8/N8-1</f>
        <v>7.3684210526315796E-2</v>
      </c>
      <c r="P9" s="68">
        <f>P8/O8-1</f>
        <v>-1.6339869281045805E-2</v>
      </c>
      <c r="Q9" s="23"/>
      <c r="R9" s="68">
        <f>R8/P8-1</f>
        <v>-4.8172757475083094E-2</v>
      </c>
      <c r="S9" s="68">
        <f>S8/R8-1</f>
        <v>-6.6317626527050644E-2</v>
      </c>
      <c r="T9" s="68">
        <f>T8/S8-1</f>
        <v>1.8691588785046731E-2</v>
      </c>
      <c r="U9" s="68">
        <f>U8/T8-1</f>
        <v>-2.2018348623853212E-2</v>
      </c>
      <c r="V9" s="23"/>
    </row>
    <row r="10" spans="1:22">
      <c r="A10" s="67" t="s">
        <v>8</v>
      </c>
      <c r="B10" s="23"/>
      <c r="C10" s="69"/>
      <c r="D10" s="69"/>
      <c r="E10" s="69"/>
      <c r="F10" s="69"/>
      <c r="G10" s="23">
        <f t="shared" ref="G10:T10" si="0">G8/B8-1</f>
        <v>-3.1939163498098888E-2</v>
      </c>
      <c r="H10" s="69">
        <f t="shared" si="0"/>
        <v>-1.4331210191082855E-2</v>
      </c>
      <c r="I10" s="69">
        <f t="shared" si="0"/>
        <v>-4.7468354430379778E-2</v>
      </c>
      <c r="J10" s="69">
        <f t="shared" si="0"/>
        <v>-4.8818897637795233E-2</v>
      </c>
      <c r="K10" s="69">
        <f t="shared" si="0"/>
        <v>-5.0691244239631339E-2</v>
      </c>
      <c r="L10" s="23">
        <f t="shared" si="0"/>
        <v>-4.0455616653574222E-2</v>
      </c>
      <c r="M10" s="69">
        <f t="shared" si="0"/>
        <v>-6.6235864297253588E-2</v>
      </c>
      <c r="N10" s="69">
        <f t="shared" si="0"/>
        <v>-5.3156146179402008E-2</v>
      </c>
      <c r="O10" s="69">
        <f t="shared" si="0"/>
        <v>1.3245033112582849E-2</v>
      </c>
      <c r="P10" s="69">
        <f t="shared" si="0"/>
        <v>-2.5889967637540479E-2</v>
      </c>
      <c r="Q10" s="23">
        <f t="shared" si="0"/>
        <v>-3.3155955792058989E-2</v>
      </c>
      <c r="R10" s="69">
        <f t="shared" si="0"/>
        <v>-8.65051903114189E-3</v>
      </c>
      <c r="S10" s="69">
        <f t="shared" si="0"/>
        <v>-6.1403508771929793E-2</v>
      </c>
      <c r="T10" s="69">
        <f t="shared" si="0"/>
        <v>-0.10947712418300659</v>
      </c>
      <c r="U10" s="69">
        <f t="shared" ref="U10" si="1">U8/P8-1</f>
        <v>-0.11461794019933558</v>
      </c>
      <c r="V10" s="23">
        <f t="shared" ref="V10" si="2">V8/Q8-1</f>
        <v>-7.4513124470787506E-2</v>
      </c>
    </row>
    <row r="11" spans="1:22">
      <c r="A11" s="65" t="s">
        <v>50</v>
      </c>
      <c r="B11" s="35">
        <v>1818</v>
      </c>
      <c r="C11" s="66">
        <v>435</v>
      </c>
      <c r="D11" s="66">
        <v>449</v>
      </c>
      <c r="E11" s="66">
        <v>461</v>
      </c>
      <c r="F11" s="66">
        <f>G11-E11-D11-C11</f>
        <v>437</v>
      </c>
      <c r="G11" s="35">
        <v>1782</v>
      </c>
      <c r="H11" s="66">
        <v>431</v>
      </c>
      <c r="I11" s="66">
        <v>438</v>
      </c>
      <c r="J11" s="66">
        <v>449</v>
      </c>
      <c r="K11" s="66">
        <f>L11-J11-I11-H11</f>
        <v>437</v>
      </c>
      <c r="L11" s="35">
        <v>1755</v>
      </c>
      <c r="M11" s="66">
        <v>417</v>
      </c>
      <c r="N11" s="66">
        <v>430</v>
      </c>
      <c r="O11" s="66">
        <v>446</v>
      </c>
      <c r="P11" s="66">
        <f>Q11-O11-N11-M11</f>
        <v>416</v>
      </c>
      <c r="Q11" s="35">
        <v>1709</v>
      </c>
      <c r="R11" s="66">
        <v>405</v>
      </c>
      <c r="S11" s="66">
        <v>394</v>
      </c>
      <c r="T11" s="66">
        <v>396</v>
      </c>
      <c r="U11" s="66">
        <f>V11-T11-S11-R11</f>
        <v>396</v>
      </c>
      <c r="V11" s="35">
        <v>1591</v>
      </c>
    </row>
    <row r="12" spans="1:22">
      <c r="A12" s="67" t="s">
        <v>7</v>
      </c>
      <c r="B12" s="23"/>
      <c r="C12" s="68"/>
      <c r="D12" s="68">
        <f>D11/C11-1</f>
        <v>3.2183908045976928E-2</v>
      </c>
      <c r="E12" s="68">
        <f>E11/D11-1</f>
        <v>2.6726057906458767E-2</v>
      </c>
      <c r="F12" s="68">
        <f>F11/E11-1</f>
        <v>-5.2060737527114931E-2</v>
      </c>
      <c r="G12" s="23"/>
      <c r="H12" s="68">
        <f>H11/F11-1</f>
        <v>-1.3729977116704761E-2</v>
      </c>
      <c r="I12" s="68">
        <f>I11/H11-1</f>
        <v>1.6241299303944245E-2</v>
      </c>
      <c r="J12" s="68">
        <f>J11/I11-1</f>
        <v>2.5114155251141579E-2</v>
      </c>
      <c r="K12" s="68">
        <f>K11/J11-1</f>
        <v>-2.6726057906458767E-2</v>
      </c>
      <c r="L12" s="23"/>
      <c r="M12" s="68">
        <f>M11/K11-1</f>
        <v>-4.5766590389015982E-2</v>
      </c>
      <c r="N12" s="68">
        <f>N11/M11-1</f>
        <v>3.1175059952038398E-2</v>
      </c>
      <c r="O12" s="68">
        <f>O11/N11-1</f>
        <v>3.7209302325581506E-2</v>
      </c>
      <c r="P12" s="68">
        <f>P11/O11-1</f>
        <v>-6.7264573991031362E-2</v>
      </c>
      <c r="Q12" s="23"/>
      <c r="R12" s="68">
        <f>R11/P11-1</f>
        <v>-2.6442307692307709E-2</v>
      </c>
      <c r="S12" s="68">
        <f>S11/R11-1</f>
        <v>-2.7160493827160459E-2</v>
      </c>
      <c r="T12" s="68">
        <f>T11/S11-1</f>
        <v>5.0761421319795996E-3</v>
      </c>
      <c r="U12" s="68">
        <f>U11/T11-1</f>
        <v>0</v>
      </c>
      <c r="V12" s="23"/>
    </row>
    <row r="13" spans="1:22">
      <c r="A13" s="67" t="s">
        <v>8</v>
      </c>
      <c r="B13" s="23"/>
      <c r="C13" s="69"/>
      <c r="D13" s="69"/>
      <c r="E13" s="69"/>
      <c r="F13" s="69"/>
      <c r="G13" s="23">
        <f t="shared" ref="G13:T13" si="3">G11/B11-1</f>
        <v>-1.980198019801982E-2</v>
      </c>
      <c r="H13" s="69">
        <f t="shared" si="3"/>
        <v>-9.1954022988506301E-3</v>
      </c>
      <c r="I13" s="69">
        <f t="shared" si="3"/>
        <v>-2.4498886414253906E-2</v>
      </c>
      <c r="J13" s="69">
        <f t="shared" si="3"/>
        <v>-2.6030368763557465E-2</v>
      </c>
      <c r="K13" s="69">
        <f t="shared" si="3"/>
        <v>0</v>
      </c>
      <c r="L13" s="23">
        <f t="shared" si="3"/>
        <v>-1.5151515151515138E-2</v>
      </c>
      <c r="M13" s="69">
        <f t="shared" si="3"/>
        <v>-3.2482598607888602E-2</v>
      </c>
      <c r="N13" s="69">
        <f t="shared" si="3"/>
        <v>-1.8264840182648401E-2</v>
      </c>
      <c r="O13" s="69">
        <f t="shared" si="3"/>
        <v>-6.6815144766146917E-3</v>
      </c>
      <c r="P13" s="69">
        <f t="shared" si="3"/>
        <v>-4.8054919908466776E-2</v>
      </c>
      <c r="Q13" s="23">
        <f t="shared" si="3"/>
        <v>-2.6210826210826266E-2</v>
      </c>
      <c r="R13" s="69">
        <f t="shared" si="3"/>
        <v>-2.877697841726623E-2</v>
      </c>
      <c r="S13" s="69">
        <f t="shared" si="3"/>
        <v>-8.3720930232558111E-2</v>
      </c>
      <c r="T13" s="69">
        <f t="shared" si="3"/>
        <v>-0.11210762331838564</v>
      </c>
      <c r="U13" s="69">
        <f t="shared" ref="U13" si="4">U11/P11-1</f>
        <v>-4.8076923076923128E-2</v>
      </c>
      <c r="V13" s="23">
        <f t="shared" ref="V13" si="5">V11/Q11-1</f>
        <v>-6.9046225863077848E-2</v>
      </c>
    </row>
    <row r="14" spans="1:22">
      <c r="A14" s="65" t="s">
        <v>51</v>
      </c>
      <c r="B14" s="35">
        <v>812</v>
      </c>
      <c r="C14" s="66">
        <v>193</v>
      </c>
      <c r="D14" s="66">
        <v>183</v>
      </c>
      <c r="E14" s="66">
        <v>174</v>
      </c>
      <c r="F14" s="66">
        <f>G14-E14-D14-C14</f>
        <v>214</v>
      </c>
      <c r="G14" s="35">
        <v>764</v>
      </c>
      <c r="H14" s="66">
        <v>188</v>
      </c>
      <c r="I14" s="66">
        <v>164</v>
      </c>
      <c r="J14" s="66">
        <v>155</v>
      </c>
      <c r="K14" s="66">
        <f>L14-J14-I14-H14</f>
        <v>181</v>
      </c>
      <c r="L14" s="35">
        <v>688</v>
      </c>
      <c r="M14" s="66">
        <v>161</v>
      </c>
      <c r="N14" s="66">
        <v>140</v>
      </c>
      <c r="O14" s="66">
        <v>166</v>
      </c>
      <c r="P14" s="66">
        <f>Q14-O14-N14-M14</f>
        <v>186</v>
      </c>
      <c r="Q14" s="35">
        <v>653</v>
      </c>
      <c r="R14" s="66">
        <v>168</v>
      </c>
      <c r="S14" s="66">
        <v>141</v>
      </c>
      <c r="T14" s="66">
        <v>149</v>
      </c>
      <c r="U14" s="66">
        <f>V14-T14-S14-R14</f>
        <v>137</v>
      </c>
      <c r="V14" s="35">
        <v>595</v>
      </c>
    </row>
    <row r="15" spans="1:22">
      <c r="A15" s="67" t="s">
        <v>7</v>
      </c>
      <c r="B15" s="23"/>
      <c r="C15" s="68"/>
      <c r="D15" s="68">
        <f>D14/C14-1</f>
        <v>-5.1813471502590636E-2</v>
      </c>
      <c r="E15" s="68">
        <f>E14/D14-1</f>
        <v>-4.9180327868852514E-2</v>
      </c>
      <c r="F15" s="68">
        <f>F14/E14-1</f>
        <v>0.22988505747126431</v>
      </c>
      <c r="G15" s="23"/>
      <c r="H15" s="68">
        <f>H14/F14-1</f>
        <v>-0.12149532710280375</v>
      </c>
      <c r="I15" s="68">
        <f>I14/H14-1</f>
        <v>-0.12765957446808507</v>
      </c>
      <c r="J15" s="68">
        <f>J14/I14-1</f>
        <v>-5.4878048780487854E-2</v>
      </c>
      <c r="K15" s="68">
        <f>K14/J14-1</f>
        <v>0.16774193548387095</v>
      </c>
      <c r="L15" s="23"/>
      <c r="M15" s="68">
        <f>M14/K14-1</f>
        <v>-0.11049723756906082</v>
      </c>
      <c r="N15" s="68">
        <f>N14/M14-1</f>
        <v>-0.13043478260869568</v>
      </c>
      <c r="O15" s="68">
        <f>O14/N14-1</f>
        <v>0.18571428571428572</v>
      </c>
      <c r="P15" s="68">
        <f>P14/O14-1</f>
        <v>0.12048192771084332</v>
      </c>
      <c r="Q15" s="23"/>
      <c r="R15" s="68">
        <f>R14/P14-1</f>
        <v>-9.6774193548387122E-2</v>
      </c>
      <c r="S15" s="68">
        <f>S14/R14-1</f>
        <v>-0.1607142857142857</v>
      </c>
      <c r="T15" s="68">
        <f>T14/S14-1</f>
        <v>5.6737588652482351E-2</v>
      </c>
      <c r="U15" s="68">
        <f>U14/T14-1</f>
        <v>-8.0536912751677847E-2</v>
      </c>
      <c r="V15" s="23"/>
    </row>
    <row r="16" spans="1:22">
      <c r="A16" s="67" t="s">
        <v>8</v>
      </c>
      <c r="B16" s="23"/>
      <c r="C16" s="69"/>
      <c r="D16" s="69"/>
      <c r="E16" s="69"/>
      <c r="F16" s="69"/>
      <c r="G16" s="23">
        <f t="shared" ref="G16:T16" si="6">G14/B14-1</f>
        <v>-5.9113300492610876E-2</v>
      </c>
      <c r="H16" s="69">
        <f t="shared" si="6"/>
        <v>-2.5906735751295318E-2</v>
      </c>
      <c r="I16" s="69">
        <f t="shared" si="6"/>
        <v>-0.10382513661202186</v>
      </c>
      <c r="J16" s="69">
        <f t="shared" si="6"/>
        <v>-0.10919540229885061</v>
      </c>
      <c r="K16" s="69">
        <f t="shared" si="6"/>
        <v>-0.15420560747663548</v>
      </c>
      <c r="L16" s="23">
        <f t="shared" si="6"/>
        <v>-9.9476439790575966E-2</v>
      </c>
      <c r="M16" s="69">
        <f t="shared" si="6"/>
        <v>-0.1436170212765957</v>
      </c>
      <c r="N16" s="69">
        <f t="shared" si="6"/>
        <v>-0.14634146341463417</v>
      </c>
      <c r="O16" s="69">
        <f t="shared" si="6"/>
        <v>7.0967741935483941E-2</v>
      </c>
      <c r="P16" s="69">
        <f t="shared" si="6"/>
        <v>2.7624309392265234E-2</v>
      </c>
      <c r="Q16" s="23">
        <f t="shared" si="6"/>
        <v>-5.0872093023255793E-2</v>
      </c>
      <c r="R16" s="69">
        <f t="shared" si="6"/>
        <v>4.3478260869565188E-2</v>
      </c>
      <c r="S16" s="69">
        <f t="shared" si="6"/>
        <v>7.1428571428571175E-3</v>
      </c>
      <c r="T16" s="69">
        <f t="shared" si="6"/>
        <v>-0.10240963855421692</v>
      </c>
      <c r="U16" s="69">
        <f t="shared" ref="U16" si="7">U14/P14-1</f>
        <v>-0.26344086021505375</v>
      </c>
      <c r="V16" s="23">
        <f t="shared" ref="V16" si="8">V14/Q14-1</f>
        <v>-8.8820826952526799E-2</v>
      </c>
    </row>
    <row r="17" spans="1:22" ht="8.25" customHeight="1">
      <c r="A17" s="38"/>
      <c r="B17" s="39"/>
      <c r="C17" s="40"/>
      <c r="D17" s="40"/>
      <c r="E17" s="40"/>
      <c r="F17" s="40"/>
      <c r="G17" s="39"/>
      <c r="H17" s="40"/>
      <c r="I17" s="40"/>
      <c r="J17" s="40"/>
      <c r="K17" s="40"/>
      <c r="L17" s="39"/>
      <c r="M17" s="40"/>
      <c r="N17" s="40"/>
      <c r="O17" s="40"/>
      <c r="P17" s="40"/>
      <c r="Q17" s="39"/>
      <c r="R17" s="40"/>
      <c r="S17" s="40"/>
      <c r="T17" s="40"/>
      <c r="U17" s="40"/>
      <c r="V17" s="39"/>
    </row>
    <row r="18" spans="1:22">
      <c r="A18" s="65" t="s">
        <v>115</v>
      </c>
      <c r="B18" s="35">
        <v>1616</v>
      </c>
      <c r="C18" s="75" t="s">
        <v>40</v>
      </c>
      <c r="D18" s="75" t="s">
        <v>40</v>
      </c>
      <c r="E18" s="75" t="s">
        <v>40</v>
      </c>
      <c r="F18" s="75" t="s">
        <v>40</v>
      </c>
      <c r="G18" s="35">
        <v>1541</v>
      </c>
      <c r="H18" s="75" t="s">
        <v>40</v>
      </c>
      <c r="I18" s="75" t="s">
        <v>40</v>
      </c>
      <c r="J18" s="75" t="s">
        <v>40</v>
      </c>
      <c r="K18" s="75" t="s">
        <v>40</v>
      </c>
      <c r="L18" s="35">
        <v>1415</v>
      </c>
      <c r="M18" s="75" t="s">
        <v>40</v>
      </c>
      <c r="N18" s="75" t="s">
        <v>40</v>
      </c>
      <c r="O18" s="75" t="s">
        <v>40</v>
      </c>
      <c r="P18" s="75" t="s">
        <v>40</v>
      </c>
      <c r="Q18" s="35">
        <v>1334</v>
      </c>
      <c r="R18" s="75" t="s">
        <v>40</v>
      </c>
      <c r="S18" s="75" t="s">
        <v>40</v>
      </c>
      <c r="T18" s="75" t="s">
        <v>40</v>
      </c>
      <c r="U18" s="75" t="s">
        <v>40</v>
      </c>
      <c r="V18" s="35">
        <v>1194</v>
      </c>
    </row>
    <row r="19" spans="1:22">
      <c r="A19" s="67" t="s">
        <v>114</v>
      </c>
      <c r="B19" s="23">
        <f>B18/B8</f>
        <v>0.61444866920152086</v>
      </c>
      <c r="C19" s="69"/>
      <c r="D19" s="69"/>
      <c r="E19" s="69"/>
      <c r="F19" s="69"/>
      <c r="G19" s="23">
        <f>G18/G8</f>
        <v>0.60526315789473684</v>
      </c>
      <c r="H19" s="69"/>
      <c r="I19" s="69"/>
      <c r="J19" s="69"/>
      <c r="K19" s="69"/>
      <c r="L19" s="23">
        <f>L18/L8</f>
        <v>0.57920589439214076</v>
      </c>
      <c r="M19" s="69"/>
      <c r="N19" s="69"/>
      <c r="O19" s="69"/>
      <c r="P19" s="69"/>
      <c r="Q19" s="23">
        <f>Q18/Q8</f>
        <v>0.56477561388653685</v>
      </c>
      <c r="R19" s="69"/>
      <c r="S19" s="69"/>
      <c r="T19" s="69"/>
      <c r="U19" s="69"/>
      <c r="V19" s="23">
        <f>V18/V8</f>
        <v>0.54620311070448302</v>
      </c>
    </row>
    <row r="20" spans="1:22">
      <c r="A20" s="65" t="s">
        <v>113</v>
      </c>
      <c r="B20" s="35">
        <v>1015</v>
      </c>
      <c r="C20" s="75" t="s">
        <v>40</v>
      </c>
      <c r="D20" s="75" t="s">
        <v>40</v>
      </c>
      <c r="E20" s="75" t="s">
        <v>40</v>
      </c>
      <c r="F20" s="75" t="s">
        <v>40</v>
      </c>
      <c r="G20" s="35">
        <v>1005</v>
      </c>
      <c r="H20" s="75" t="s">
        <v>40</v>
      </c>
      <c r="I20" s="75" t="s">
        <v>40</v>
      </c>
      <c r="J20" s="75" t="s">
        <v>40</v>
      </c>
      <c r="K20" s="75" t="s">
        <v>40</v>
      </c>
      <c r="L20" s="35">
        <v>1028</v>
      </c>
      <c r="M20" s="75" t="s">
        <v>40</v>
      </c>
      <c r="N20" s="75" t="s">
        <v>40</v>
      </c>
      <c r="O20" s="75" t="s">
        <v>40</v>
      </c>
      <c r="P20" s="75" t="s">
        <v>40</v>
      </c>
      <c r="Q20" s="35">
        <v>1028</v>
      </c>
      <c r="R20" s="75" t="s">
        <v>40</v>
      </c>
      <c r="S20" s="75" t="s">
        <v>40</v>
      </c>
      <c r="T20" s="75" t="s">
        <v>40</v>
      </c>
      <c r="U20" s="75" t="s">
        <v>40</v>
      </c>
      <c r="V20" s="35">
        <v>992</v>
      </c>
    </row>
    <row r="21" spans="1:22">
      <c r="A21" s="67" t="s">
        <v>114</v>
      </c>
      <c r="B21" s="23">
        <f>B20/B8</f>
        <v>0.38593155893536124</v>
      </c>
      <c r="C21" s="69"/>
      <c r="D21" s="69"/>
      <c r="E21" s="69"/>
      <c r="F21" s="69"/>
      <c r="G21" s="23">
        <f>G20/G8</f>
        <v>0.39473684210526316</v>
      </c>
      <c r="H21" s="69"/>
      <c r="I21" s="69"/>
      <c r="J21" s="69"/>
      <c r="K21" s="69"/>
      <c r="L21" s="23">
        <f>L20/L8</f>
        <v>0.42079410560785918</v>
      </c>
      <c r="M21" s="69"/>
      <c r="N21" s="69"/>
      <c r="O21" s="69"/>
      <c r="P21" s="69"/>
      <c r="Q21" s="23">
        <f>Q20/Q8</f>
        <v>0.43522438611346315</v>
      </c>
      <c r="R21" s="69"/>
      <c r="S21" s="69"/>
      <c r="T21" s="69"/>
      <c r="U21" s="69"/>
      <c r="V21" s="23">
        <f>V20/V8</f>
        <v>0.45379688929551693</v>
      </c>
    </row>
    <row r="22" spans="1:22">
      <c r="A22" s="38" t="s">
        <v>27</v>
      </c>
      <c r="B22" s="39"/>
      <c r="C22" s="40"/>
      <c r="D22" s="40"/>
      <c r="E22" s="40"/>
      <c r="F22" s="40"/>
      <c r="G22" s="39"/>
      <c r="H22" s="40"/>
      <c r="I22" s="40"/>
      <c r="J22" s="40"/>
      <c r="K22" s="40"/>
      <c r="L22" s="39"/>
      <c r="M22" s="40"/>
      <c r="N22" s="40"/>
      <c r="O22" s="40"/>
      <c r="P22" s="40"/>
      <c r="Q22" s="39"/>
      <c r="R22" s="40"/>
      <c r="S22" s="40"/>
      <c r="T22" s="40"/>
      <c r="U22" s="40"/>
      <c r="V22" s="39"/>
    </row>
    <row r="23" spans="1:22">
      <c r="A23" s="65" t="s">
        <v>217</v>
      </c>
      <c r="B23" s="35">
        <f>294+86</f>
        <v>380</v>
      </c>
      <c r="C23" s="66">
        <v>94</v>
      </c>
      <c r="D23" s="66">
        <v>99</v>
      </c>
      <c r="E23" s="66">
        <v>100</v>
      </c>
      <c r="F23" s="66">
        <f>G23-E23-D23-C23</f>
        <v>90</v>
      </c>
      <c r="G23" s="35">
        <v>383</v>
      </c>
      <c r="H23" s="66">
        <v>158</v>
      </c>
      <c r="I23" s="66">
        <v>159</v>
      </c>
      <c r="J23" s="66">
        <v>161</v>
      </c>
      <c r="K23" s="66">
        <f>L23-J23-I23-H23</f>
        <v>177</v>
      </c>
      <c r="L23" s="35">
        <v>655</v>
      </c>
      <c r="M23" s="66">
        <v>157</v>
      </c>
      <c r="N23" s="66">
        <v>156</v>
      </c>
      <c r="O23" s="66">
        <v>157</v>
      </c>
      <c r="P23" s="66">
        <f>Q23-O23-N23-M23</f>
        <v>163</v>
      </c>
      <c r="Q23" s="35">
        <v>633</v>
      </c>
      <c r="R23" s="66">
        <v>150</v>
      </c>
      <c r="S23" s="66">
        <v>151</v>
      </c>
      <c r="T23" s="66">
        <v>147</v>
      </c>
      <c r="U23" s="66">
        <f>V23-T23-S23-R23</f>
        <v>151</v>
      </c>
      <c r="V23" s="35">
        <v>599</v>
      </c>
    </row>
    <row r="24" spans="1:22">
      <c r="A24" s="77" t="s">
        <v>7</v>
      </c>
      <c r="B24" s="23"/>
      <c r="C24" s="68"/>
      <c r="D24" s="68">
        <f>D23/C23-1</f>
        <v>5.3191489361702038E-2</v>
      </c>
      <c r="E24" s="68">
        <f>E23/D23-1</f>
        <v>1.0101010101010166E-2</v>
      </c>
      <c r="F24" s="68">
        <f>F23/E23-1</f>
        <v>-9.9999999999999978E-2</v>
      </c>
      <c r="G24" s="23"/>
      <c r="H24" s="68">
        <f>H23/F23-1</f>
        <v>0.75555555555555554</v>
      </c>
      <c r="I24" s="68">
        <f>I23/H23-1</f>
        <v>6.3291139240506666E-3</v>
      </c>
      <c r="J24" s="68">
        <f>J23/I23-1</f>
        <v>1.2578616352201255E-2</v>
      </c>
      <c r="K24" s="68">
        <f>K23/J23-1</f>
        <v>9.9378881987577605E-2</v>
      </c>
      <c r="L24" s="23"/>
      <c r="M24" s="68">
        <f>M23/K23-1</f>
        <v>-0.11299435028248583</v>
      </c>
      <c r="N24" s="68">
        <f>N23/M23-1</f>
        <v>-6.3694267515923553E-3</v>
      </c>
      <c r="O24" s="68">
        <f>O23/N23-1</f>
        <v>6.4102564102563875E-3</v>
      </c>
      <c r="P24" s="68">
        <f>P23/O23-1</f>
        <v>3.8216560509554132E-2</v>
      </c>
      <c r="Q24" s="23"/>
      <c r="R24" s="68">
        <f>R23/P23-1</f>
        <v>-7.9754601226993849E-2</v>
      </c>
      <c r="S24" s="68">
        <f>S23/R23-1</f>
        <v>6.6666666666665986E-3</v>
      </c>
      <c r="T24" s="68">
        <f>T23/S23-1</f>
        <v>-2.6490066225165587E-2</v>
      </c>
      <c r="U24" s="68">
        <f>U23/T23-1</f>
        <v>2.7210884353741527E-2</v>
      </c>
      <c r="V24" s="23"/>
    </row>
    <row r="25" spans="1:22">
      <c r="A25" s="77" t="s">
        <v>8</v>
      </c>
      <c r="B25" s="23"/>
      <c r="C25" s="69"/>
      <c r="D25" s="69"/>
      <c r="E25" s="69"/>
      <c r="F25" s="69"/>
      <c r="G25" s="23">
        <f t="shared" ref="G25:T25" si="9">G23/B23-1</f>
        <v>7.8947368421051767E-3</v>
      </c>
      <c r="H25" s="69">
        <f t="shared" si="9"/>
        <v>0.68085106382978733</v>
      </c>
      <c r="I25" s="69">
        <f t="shared" si="9"/>
        <v>0.60606060606060597</v>
      </c>
      <c r="J25" s="69">
        <f t="shared" si="9"/>
        <v>0.6100000000000001</v>
      </c>
      <c r="K25" s="69">
        <f t="shared" si="9"/>
        <v>0.96666666666666656</v>
      </c>
      <c r="L25" s="23">
        <f t="shared" si="9"/>
        <v>0.71018276762402088</v>
      </c>
      <c r="M25" s="69">
        <f t="shared" si="9"/>
        <v>-6.3291139240506666E-3</v>
      </c>
      <c r="N25" s="69">
        <f t="shared" si="9"/>
        <v>-1.8867924528301883E-2</v>
      </c>
      <c r="O25" s="69">
        <f t="shared" si="9"/>
        <v>-2.4844720496894457E-2</v>
      </c>
      <c r="P25" s="69">
        <f t="shared" si="9"/>
        <v>-7.9096045197740161E-2</v>
      </c>
      <c r="Q25" s="23">
        <f t="shared" si="9"/>
        <v>-3.3587786259541952E-2</v>
      </c>
      <c r="R25" s="69">
        <f t="shared" si="9"/>
        <v>-4.4585987261146487E-2</v>
      </c>
      <c r="S25" s="69">
        <f t="shared" si="9"/>
        <v>-3.2051282051282048E-2</v>
      </c>
      <c r="T25" s="69">
        <f t="shared" si="9"/>
        <v>-6.3694267515923553E-2</v>
      </c>
      <c r="U25" s="69">
        <f t="shared" ref="U25" si="10">U23/P23-1</f>
        <v>-7.361963190184051E-2</v>
      </c>
      <c r="V25" s="23">
        <f t="shared" ref="V25" si="11">V23/Q23-1</f>
        <v>-5.3712480252764649E-2</v>
      </c>
    </row>
    <row r="26" spans="1:22">
      <c r="A26" s="65" t="s">
        <v>75</v>
      </c>
      <c r="B26" s="35">
        <v>378</v>
      </c>
      <c r="C26" s="66">
        <v>98</v>
      </c>
      <c r="D26" s="66">
        <v>94</v>
      </c>
      <c r="E26" s="66">
        <v>94</v>
      </c>
      <c r="F26" s="66">
        <f>G26-E26-D26-C26</f>
        <v>98</v>
      </c>
      <c r="G26" s="35">
        <v>384</v>
      </c>
      <c r="H26" s="66">
        <v>100</v>
      </c>
      <c r="I26" s="66">
        <v>95</v>
      </c>
      <c r="J26" s="66">
        <v>94</v>
      </c>
      <c r="K26" s="66">
        <f>L26-J26-I26-H26</f>
        <v>90</v>
      </c>
      <c r="L26" s="35">
        <v>379</v>
      </c>
      <c r="M26" s="66">
        <v>94</v>
      </c>
      <c r="N26" s="66">
        <v>95</v>
      </c>
      <c r="O26" s="66">
        <v>89</v>
      </c>
      <c r="P26" s="66">
        <f>Q26-O26-N26-M26</f>
        <v>95</v>
      </c>
      <c r="Q26" s="35">
        <v>373</v>
      </c>
      <c r="R26" s="66">
        <v>90</v>
      </c>
      <c r="S26" s="66">
        <v>70</v>
      </c>
      <c r="T26" s="66">
        <v>79</v>
      </c>
      <c r="U26" s="66">
        <f>V26-T26-S26-R26</f>
        <v>85</v>
      </c>
      <c r="V26" s="35">
        <v>324</v>
      </c>
    </row>
    <row r="27" spans="1:22">
      <c r="A27" s="67" t="s">
        <v>7</v>
      </c>
      <c r="B27" s="23"/>
      <c r="C27" s="68"/>
      <c r="D27" s="68">
        <f>D26/C26-1</f>
        <v>-4.081632653061229E-2</v>
      </c>
      <c r="E27" s="68">
        <f>E26/D26-1</f>
        <v>0</v>
      </c>
      <c r="F27" s="68">
        <f>F26/E26-1</f>
        <v>4.2553191489361764E-2</v>
      </c>
      <c r="G27" s="23"/>
      <c r="H27" s="68">
        <f>H26/F26-1</f>
        <v>2.0408163265306145E-2</v>
      </c>
      <c r="I27" s="68">
        <f>I26/H26-1</f>
        <v>-5.0000000000000044E-2</v>
      </c>
      <c r="J27" s="68">
        <f>J26/I26-1</f>
        <v>-1.0526315789473717E-2</v>
      </c>
      <c r="K27" s="68">
        <f>K26/J26-1</f>
        <v>-4.2553191489361653E-2</v>
      </c>
      <c r="L27" s="23"/>
      <c r="M27" s="68">
        <f>M26/K26-1</f>
        <v>4.4444444444444509E-2</v>
      </c>
      <c r="N27" s="68">
        <f>N26/M26-1</f>
        <v>1.0638297872340496E-2</v>
      </c>
      <c r="O27" s="68">
        <f>O26/N26-1</f>
        <v>-6.315789473684208E-2</v>
      </c>
      <c r="P27" s="68">
        <f>P26/O26-1</f>
        <v>6.7415730337078594E-2</v>
      </c>
      <c r="Q27" s="23"/>
      <c r="R27" s="68">
        <f>R26/P26-1</f>
        <v>-5.2631578947368474E-2</v>
      </c>
      <c r="S27" s="68">
        <f>S26/R26-1</f>
        <v>-0.22222222222222221</v>
      </c>
      <c r="T27" s="68">
        <f>T26/S26-1</f>
        <v>0.12857142857142856</v>
      </c>
      <c r="U27" s="68">
        <f>U26/T26-1</f>
        <v>7.5949367088607556E-2</v>
      </c>
      <c r="V27" s="23"/>
    </row>
    <row r="28" spans="1:22">
      <c r="A28" s="67" t="s">
        <v>8</v>
      </c>
      <c r="B28" s="23"/>
      <c r="C28" s="69"/>
      <c r="D28" s="69"/>
      <c r="E28" s="69"/>
      <c r="F28" s="69"/>
      <c r="G28" s="23">
        <f t="shared" ref="G28:T28" si="12">G26/B26-1</f>
        <v>1.5873015873015817E-2</v>
      </c>
      <c r="H28" s="69">
        <f t="shared" si="12"/>
        <v>2.0408163265306145E-2</v>
      </c>
      <c r="I28" s="69">
        <f t="shared" si="12"/>
        <v>1.0638297872340496E-2</v>
      </c>
      <c r="J28" s="69">
        <f t="shared" si="12"/>
        <v>0</v>
      </c>
      <c r="K28" s="69">
        <f t="shared" si="12"/>
        <v>-8.1632653061224469E-2</v>
      </c>
      <c r="L28" s="23">
        <f t="shared" si="12"/>
        <v>-1.302083333333337E-2</v>
      </c>
      <c r="M28" s="69">
        <f t="shared" si="12"/>
        <v>-6.0000000000000053E-2</v>
      </c>
      <c r="N28" s="69">
        <f t="shared" si="12"/>
        <v>0</v>
      </c>
      <c r="O28" s="69">
        <f t="shared" si="12"/>
        <v>-5.3191489361702149E-2</v>
      </c>
      <c r="P28" s="69">
        <f t="shared" si="12"/>
        <v>5.555555555555558E-2</v>
      </c>
      <c r="Q28" s="23">
        <f t="shared" si="12"/>
        <v>-1.5831134564643801E-2</v>
      </c>
      <c r="R28" s="69">
        <f t="shared" si="12"/>
        <v>-4.2553191489361653E-2</v>
      </c>
      <c r="S28" s="69">
        <f t="shared" si="12"/>
        <v>-0.26315789473684215</v>
      </c>
      <c r="T28" s="69">
        <f t="shared" si="12"/>
        <v>-0.11235955056179781</v>
      </c>
      <c r="U28" s="69">
        <f t="shared" ref="U28" si="13">U26/P26-1</f>
        <v>-0.10526315789473684</v>
      </c>
      <c r="V28" s="23">
        <f t="shared" ref="V28" si="14">V26/Q26-1</f>
        <v>-0.13136729222520105</v>
      </c>
    </row>
    <row r="29" spans="1:22">
      <c r="A29" s="65" t="s">
        <v>242</v>
      </c>
      <c r="B29" s="35">
        <v>1838</v>
      </c>
      <c r="C29" s="66">
        <v>431</v>
      </c>
      <c r="D29" s="66">
        <v>409</v>
      </c>
      <c r="E29" s="66">
        <v>419</v>
      </c>
      <c r="F29" s="66">
        <f>G29-E29-D29-C29</f>
        <v>439</v>
      </c>
      <c r="G29" s="35">
        <v>1698</v>
      </c>
      <c r="H29" s="66">
        <v>359</v>
      </c>
      <c r="I29" s="66">
        <v>345</v>
      </c>
      <c r="J29" s="66">
        <v>344</v>
      </c>
      <c r="K29" s="66">
        <f>L29-J29-I29-H29</f>
        <v>354</v>
      </c>
      <c r="L29" s="35">
        <v>1402</v>
      </c>
      <c r="M29" s="66">
        <v>337</v>
      </c>
      <c r="N29" s="66">
        <v>324</v>
      </c>
      <c r="O29" s="66">
        <v>348</v>
      </c>
      <c r="P29" s="66">
        <f>Q29-O29-N29-M29</f>
        <v>364</v>
      </c>
      <c r="Q29" s="35">
        <v>1373</v>
      </c>
      <c r="R29" s="66">
        <v>345</v>
      </c>
      <c r="S29" s="66">
        <v>326</v>
      </c>
      <c r="T29" s="66">
        <v>346</v>
      </c>
      <c r="U29" s="66">
        <f>V29-T29-S29-R29</f>
        <v>312</v>
      </c>
      <c r="V29" s="35">
        <v>1329</v>
      </c>
    </row>
    <row r="30" spans="1:22">
      <c r="A30" s="67" t="s">
        <v>7</v>
      </c>
      <c r="B30" s="23"/>
      <c r="C30" s="68"/>
      <c r="D30" s="68">
        <f>D29/C29-1</f>
        <v>-5.1044083526682105E-2</v>
      </c>
      <c r="E30" s="68">
        <f>E29/D29-1</f>
        <v>2.4449877750611249E-2</v>
      </c>
      <c r="F30" s="68">
        <f>F29/E29-1</f>
        <v>4.7732696897374804E-2</v>
      </c>
      <c r="G30" s="23"/>
      <c r="H30" s="68">
        <f>H29/F29-1</f>
        <v>-0.1822323462414579</v>
      </c>
      <c r="I30" s="68">
        <f>I29/H29-1</f>
        <v>-3.8997214484679632E-2</v>
      </c>
      <c r="J30" s="68">
        <f>J29/I29-1</f>
        <v>-2.8985507246376274E-3</v>
      </c>
      <c r="K30" s="68">
        <f>K29/J29-1</f>
        <v>2.9069767441860517E-2</v>
      </c>
      <c r="L30" s="23"/>
      <c r="M30" s="68">
        <f>M29/K29-1</f>
        <v>-4.8022598870056443E-2</v>
      </c>
      <c r="N30" s="68">
        <f>N29/M29-1</f>
        <v>-3.857566765578635E-2</v>
      </c>
      <c r="O30" s="68">
        <f>O29/N29-1</f>
        <v>7.4074074074074181E-2</v>
      </c>
      <c r="P30" s="68">
        <f>P29/O29-1</f>
        <v>4.5977011494252817E-2</v>
      </c>
      <c r="Q30" s="23"/>
      <c r="R30" s="68">
        <f>R29/P29-1</f>
        <v>-5.2197802197802234E-2</v>
      </c>
      <c r="S30" s="68">
        <f>S29/R29-1</f>
        <v>-5.507246376811592E-2</v>
      </c>
      <c r="T30" s="68">
        <f>T29/S29-1</f>
        <v>6.1349693251533832E-2</v>
      </c>
      <c r="U30" s="68">
        <f>U29/T29-1</f>
        <v>-9.8265895953757232E-2</v>
      </c>
      <c r="V30" s="23"/>
    </row>
    <row r="31" spans="1:22">
      <c r="A31" s="67" t="s">
        <v>8</v>
      </c>
      <c r="B31" s="23"/>
      <c r="C31" s="69"/>
      <c r="D31" s="69"/>
      <c r="E31" s="69"/>
      <c r="F31" s="69"/>
      <c r="G31" s="23">
        <f t="shared" ref="G31:T31" si="15">G29/B29-1</f>
        <v>-7.6169749727965197E-2</v>
      </c>
      <c r="H31" s="69">
        <f t="shared" si="15"/>
        <v>-0.16705336426914152</v>
      </c>
      <c r="I31" s="69">
        <f t="shared" si="15"/>
        <v>-0.15647921760391204</v>
      </c>
      <c r="J31" s="69">
        <f t="shared" si="15"/>
        <v>-0.17899761336515518</v>
      </c>
      <c r="K31" s="69">
        <f t="shared" si="15"/>
        <v>-0.193621867881549</v>
      </c>
      <c r="L31" s="23">
        <f t="shared" si="15"/>
        <v>-0.17432273262661957</v>
      </c>
      <c r="M31" s="69">
        <f t="shared" si="15"/>
        <v>-6.1281337047353723E-2</v>
      </c>
      <c r="N31" s="69">
        <f t="shared" si="15"/>
        <v>-6.0869565217391286E-2</v>
      </c>
      <c r="O31" s="69">
        <f t="shared" si="15"/>
        <v>1.1627906976744207E-2</v>
      </c>
      <c r="P31" s="69">
        <f t="shared" si="15"/>
        <v>2.8248587570621542E-2</v>
      </c>
      <c r="Q31" s="23">
        <f t="shared" si="15"/>
        <v>-2.0684736091298173E-2</v>
      </c>
      <c r="R31" s="69">
        <f t="shared" si="15"/>
        <v>2.3738872403560762E-2</v>
      </c>
      <c r="S31" s="69">
        <f t="shared" si="15"/>
        <v>6.1728395061728669E-3</v>
      </c>
      <c r="T31" s="69">
        <f t="shared" si="15"/>
        <v>-5.7471264367816577E-3</v>
      </c>
      <c r="U31" s="69">
        <f t="shared" ref="U31" si="16">U29/P29-1</f>
        <v>-0.1428571428571429</v>
      </c>
      <c r="V31" s="23">
        <f t="shared" ref="V31" si="17">V29/Q29-1</f>
        <v>-3.2046613255644618E-2</v>
      </c>
    </row>
    <row r="32" spans="1:22">
      <c r="A32" s="65" t="s">
        <v>135</v>
      </c>
      <c r="B32" s="35">
        <v>2</v>
      </c>
      <c r="C32" s="66">
        <v>0</v>
      </c>
      <c r="D32" s="66">
        <v>0</v>
      </c>
      <c r="E32" s="66">
        <v>0</v>
      </c>
      <c r="F32" s="141">
        <v>9</v>
      </c>
      <c r="G32" s="60">
        <v>9</v>
      </c>
      <c r="H32" s="66">
        <v>0</v>
      </c>
      <c r="I32" s="141">
        <v>1</v>
      </c>
      <c r="J32" s="141">
        <v>7</v>
      </c>
      <c r="K32" s="141">
        <f>L32-J32-I32</f>
        <v>1</v>
      </c>
      <c r="L32" s="60">
        <v>9</v>
      </c>
      <c r="M32" s="66">
        <v>0</v>
      </c>
      <c r="N32" s="141">
        <v>3</v>
      </c>
      <c r="O32" s="141">
        <v>2</v>
      </c>
      <c r="P32" s="141">
        <f>Q32-O32-N32</f>
        <v>77</v>
      </c>
      <c r="Q32" s="60">
        <v>82</v>
      </c>
      <c r="R32" s="141">
        <v>1</v>
      </c>
      <c r="S32" s="141">
        <v>-4</v>
      </c>
      <c r="T32" s="66">
        <v>0</v>
      </c>
      <c r="U32" s="141">
        <f>V32-R32-S32-T32</f>
        <v>21</v>
      </c>
      <c r="V32" s="60">
        <v>18</v>
      </c>
    </row>
    <row r="33" spans="1:22">
      <c r="A33" s="65"/>
      <c r="B33" s="35"/>
      <c r="C33" s="141"/>
      <c r="D33" s="141"/>
      <c r="E33" s="141"/>
      <c r="F33" s="141"/>
      <c r="G33" s="60"/>
      <c r="H33" s="66"/>
      <c r="I33" s="141"/>
      <c r="J33" s="141"/>
      <c r="K33" s="141"/>
      <c r="L33" s="60"/>
      <c r="M33" s="66"/>
      <c r="N33" s="141"/>
      <c r="O33" s="141"/>
      <c r="P33" s="141"/>
      <c r="Q33" s="60"/>
      <c r="R33" s="141"/>
      <c r="S33" s="141"/>
      <c r="T33" s="141"/>
      <c r="U33" s="141"/>
      <c r="V33" s="60"/>
    </row>
    <row r="34" spans="1:22">
      <c r="A34" s="65" t="s">
        <v>218</v>
      </c>
      <c r="B34" s="35">
        <v>32</v>
      </c>
      <c r="C34" s="66">
        <v>5</v>
      </c>
      <c r="D34" s="66">
        <v>30</v>
      </c>
      <c r="E34" s="66">
        <v>22</v>
      </c>
      <c r="F34" s="66">
        <f>G34-E34-D34-C34</f>
        <v>15</v>
      </c>
      <c r="G34" s="165">
        <f>G8-G23-G26-G29-G32</f>
        <v>72</v>
      </c>
      <c r="H34" s="66">
        <v>2</v>
      </c>
      <c r="I34" s="66">
        <v>2</v>
      </c>
      <c r="J34" s="171">
        <v>-2</v>
      </c>
      <c r="K34" s="171">
        <f>L34-J34-I34-H34</f>
        <v>-4</v>
      </c>
      <c r="L34" s="165">
        <f>L8-L23-L26-L29-L32</f>
        <v>-2</v>
      </c>
      <c r="M34" s="171">
        <f>M8-M23-M26-M29-M32</f>
        <v>-10</v>
      </c>
      <c r="N34" s="171">
        <f>N8-N23-N26-N29-N32</f>
        <v>-8</v>
      </c>
      <c r="O34" s="171">
        <f>O8-O23-O26-O29-O32</f>
        <v>16</v>
      </c>
      <c r="P34" s="171">
        <f>Q34-O34-N34-M34</f>
        <v>-97</v>
      </c>
      <c r="Q34" s="165">
        <f>Q8-Q23-Q26-Q29-Q32</f>
        <v>-99</v>
      </c>
      <c r="R34" s="171">
        <f>R8-R23-R26-R29-R32</f>
        <v>-13</v>
      </c>
      <c r="S34" s="171">
        <f>S8-S23-S26-S29-S32</f>
        <v>-8</v>
      </c>
      <c r="T34" s="171">
        <f>T8-T23-T26-T29-T32</f>
        <v>-27</v>
      </c>
      <c r="U34" s="171">
        <f>V34-T34-S34-R34</f>
        <v>-36</v>
      </c>
      <c r="V34" s="165">
        <f>V8-V23-V26-V29-V32</f>
        <v>-84</v>
      </c>
    </row>
    <row r="35" spans="1:22">
      <c r="A35" s="67" t="s">
        <v>7</v>
      </c>
      <c r="B35" s="23"/>
      <c r="C35" s="68"/>
      <c r="D35" s="68">
        <f>D34/C34-1</f>
        <v>5</v>
      </c>
      <c r="E35" s="68">
        <f>E34/D34-1</f>
        <v>-0.26666666666666672</v>
      </c>
      <c r="F35" s="68">
        <f>F34/E34-1</f>
        <v>-0.31818181818181823</v>
      </c>
      <c r="G35" s="23"/>
      <c r="H35" s="68">
        <f>H34/F34-1</f>
        <v>-0.8666666666666667</v>
      </c>
      <c r="I35" s="68">
        <f>I34/H34-1</f>
        <v>0</v>
      </c>
      <c r="J35" s="80" t="s">
        <v>34</v>
      </c>
      <c r="K35" s="68">
        <f>K34/J34-1</f>
        <v>1</v>
      </c>
      <c r="L35" s="23"/>
      <c r="M35" s="68">
        <f>M34/K34-1</f>
        <v>1.5</v>
      </c>
      <c r="N35" s="68">
        <f>N34/M34-1</f>
        <v>-0.19999999999999996</v>
      </c>
      <c r="O35" s="80" t="s">
        <v>34</v>
      </c>
      <c r="P35" s="80" t="s">
        <v>34</v>
      </c>
      <c r="Q35" s="23"/>
      <c r="R35" s="68">
        <f>R34/P34-1</f>
        <v>-0.865979381443299</v>
      </c>
      <c r="S35" s="68">
        <f>S34/R34-1</f>
        <v>-0.38461538461538458</v>
      </c>
      <c r="T35" s="68">
        <f>T34/S34-1</f>
        <v>2.375</v>
      </c>
      <c r="U35" s="68">
        <f>U34/T34-1</f>
        <v>0.33333333333333326</v>
      </c>
      <c r="V35" s="23"/>
    </row>
    <row r="36" spans="1:22">
      <c r="A36" s="67" t="s">
        <v>8</v>
      </c>
      <c r="B36" s="23"/>
      <c r="C36" s="69"/>
      <c r="D36" s="69"/>
      <c r="E36" s="69"/>
      <c r="F36" s="69"/>
      <c r="G36" s="23">
        <f t="shared" ref="G36:J36" si="18">G34/B34-1</f>
        <v>1.25</v>
      </c>
      <c r="H36" s="69">
        <f t="shared" si="18"/>
        <v>-0.6</v>
      </c>
      <c r="I36" s="69">
        <f t="shared" si="18"/>
        <v>-0.93333333333333335</v>
      </c>
      <c r="J36" s="69">
        <f t="shared" si="18"/>
        <v>-1.0909090909090908</v>
      </c>
      <c r="K36" s="80" t="s">
        <v>34</v>
      </c>
      <c r="L36" s="87" t="s">
        <v>34</v>
      </c>
      <c r="M36" s="80" t="s">
        <v>34</v>
      </c>
      <c r="N36" s="80" t="s">
        <v>34</v>
      </c>
      <c r="O36" s="80" t="s">
        <v>34</v>
      </c>
      <c r="P36" s="69">
        <f t="shared" ref="P36" si="19">P34/K34-1</f>
        <v>23.25</v>
      </c>
      <c r="Q36" s="87">
        <f>Q34/L34-1</f>
        <v>48.5</v>
      </c>
      <c r="R36" s="69">
        <f t="shared" ref="R36:S36" si="20">R34/M34-1</f>
        <v>0.30000000000000004</v>
      </c>
      <c r="S36" s="69">
        <f t="shared" si="20"/>
        <v>0</v>
      </c>
      <c r="T36" s="80" t="s">
        <v>34</v>
      </c>
      <c r="U36" s="69">
        <f t="shared" ref="U36" si="21">U34/P34-1</f>
        <v>-0.62886597938144329</v>
      </c>
      <c r="V36" s="87">
        <f>V34/Q34-1</f>
        <v>-0.15151515151515149</v>
      </c>
    </row>
    <row r="37" spans="1:22">
      <c r="A37" s="65" t="s">
        <v>315</v>
      </c>
      <c r="B37" s="35">
        <v>61</v>
      </c>
      <c r="C37" s="66">
        <v>16</v>
      </c>
      <c r="D37" s="66">
        <v>34</v>
      </c>
      <c r="E37" s="66">
        <v>24</v>
      </c>
      <c r="F37" s="66">
        <f>G37-E37-D37-C37</f>
        <v>21</v>
      </c>
      <c r="G37" s="35">
        <v>95</v>
      </c>
      <c r="H37" s="66">
        <v>9</v>
      </c>
      <c r="I37" s="66">
        <v>7</v>
      </c>
      <c r="J37" s="66">
        <v>6</v>
      </c>
      <c r="K37" s="66">
        <f>L37-J37-I37-H37</f>
        <v>2</v>
      </c>
      <c r="L37" s="35">
        <v>24</v>
      </c>
      <c r="M37" s="66">
        <v>2</v>
      </c>
      <c r="N37" s="66">
        <v>2</v>
      </c>
      <c r="O37" s="66">
        <v>18</v>
      </c>
      <c r="P37" s="171">
        <f>Q37-O37-N37-M37</f>
        <v>-69</v>
      </c>
      <c r="Q37" s="165">
        <v>-47</v>
      </c>
      <c r="R37" s="171">
        <v>-2</v>
      </c>
      <c r="S37" s="66">
        <v>1</v>
      </c>
      <c r="T37" s="171">
        <v>-12</v>
      </c>
      <c r="U37" s="171">
        <f>V37-T37-S37-R37</f>
        <v>-12</v>
      </c>
      <c r="V37" s="165">
        <v>-25</v>
      </c>
    </row>
    <row r="38" spans="1:22">
      <c r="A38" s="67" t="s">
        <v>7</v>
      </c>
      <c r="B38" s="23"/>
      <c r="C38" s="68"/>
      <c r="D38" s="68">
        <f>D37/C37-1</f>
        <v>1.125</v>
      </c>
      <c r="E38" s="68">
        <f>E37/D37-1</f>
        <v>-0.29411764705882348</v>
      </c>
      <c r="F38" s="68">
        <f>F37/E37-1</f>
        <v>-0.125</v>
      </c>
      <c r="G38" s="23"/>
      <c r="H38" s="68">
        <f>H37/F37-1</f>
        <v>-0.5714285714285714</v>
      </c>
      <c r="I38" s="68">
        <f>I37/H37-1</f>
        <v>-0.22222222222222221</v>
      </c>
      <c r="J38" s="68">
        <f>J37/I37-1</f>
        <v>-0.1428571428571429</v>
      </c>
      <c r="K38" s="68">
        <f>K37/J37-1</f>
        <v>-0.66666666666666674</v>
      </c>
      <c r="L38" s="23"/>
      <c r="M38" s="68">
        <f>M37/K37-1</f>
        <v>0</v>
      </c>
      <c r="N38" s="68">
        <f>N37/M37-1</f>
        <v>0</v>
      </c>
      <c r="O38" s="68">
        <f>O37/N37-1</f>
        <v>8</v>
      </c>
      <c r="P38" s="80" t="s">
        <v>34</v>
      </c>
      <c r="Q38" s="23"/>
      <c r="R38" s="68">
        <f>R37/P37-1</f>
        <v>-0.97101449275362317</v>
      </c>
      <c r="S38" s="80" t="s">
        <v>34</v>
      </c>
      <c r="T38" s="80" t="s">
        <v>34</v>
      </c>
      <c r="U38" s="68">
        <f>U37/T37-1</f>
        <v>0</v>
      </c>
      <c r="V38" s="23"/>
    </row>
    <row r="39" spans="1:22">
      <c r="A39" s="67" t="s">
        <v>8</v>
      </c>
      <c r="B39" s="23"/>
      <c r="C39" s="69"/>
      <c r="D39" s="69"/>
      <c r="E39" s="69"/>
      <c r="F39" s="69"/>
      <c r="G39" s="23">
        <f t="shared" ref="G39:O39" si="22">G37/B37-1</f>
        <v>0.55737704918032782</v>
      </c>
      <c r="H39" s="69">
        <f t="shared" si="22"/>
        <v>-0.4375</v>
      </c>
      <c r="I39" s="69">
        <f t="shared" si="22"/>
        <v>-0.79411764705882359</v>
      </c>
      <c r="J39" s="69">
        <f t="shared" si="22"/>
        <v>-0.75</v>
      </c>
      <c r="K39" s="69">
        <f t="shared" si="22"/>
        <v>-0.90476190476190477</v>
      </c>
      <c r="L39" s="23">
        <f t="shared" si="22"/>
        <v>-0.74736842105263157</v>
      </c>
      <c r="M39" s="69">
        <f t="shared" si="22"/>
        <v>-0.77777777777777779</v>
      </c>
      <c r="N39" s="69">
        <f t="shared" si="22"/>
        <v>-0.7142857142857143</v>
      </c>
      <c r="O39" s="69">
        <f t="shared" si="22"/>
        <v>2</v>
      </c>
      <c r="P39" s="80" t="s">
        <v>34</v>
      </c>
      <c r="Q39" s="23">
        <f t="shared" ref="Q39" si="23">Q37/L37-1</f>
        <v>-2.958333333333333</v>
      </c>
      <c r="R39" s="80" t="s">
        <v>34</v>
      </c>
      <c r="S39" s="69">
        <f t="shared" ref="S39:U39" si="24">S37/N37-1</f>
        <v>-0.5</v>
      </c>
      <c r="T39" s="69">
        <f t="shared" si="24"/>
        <v>-1.6666666666666665</v>
      </c>
      <c r="U39" s="69">
        <f t="shared" si="24"/>
        <v>-0.82608695652173914</v>
      </c>
      <c r="V39" s="23">
        <f t="shared" ref="V39" si="25">V37/Q37-1</f>
        <v>-0.46808510638297873</v>
      </c>
    </row>
    <row r="40" spans="1:22" ht="24">
      <c r="A40" s="84" t="s">
        <v>313</v>
      </c>
      <c r="B40" s="165">
        <f>B37+(B32*0.77)</f>
        <v>62.54</v>
      </c>
      <c r="C40" s="171">
        <f t="shared" ref="C40:E40" si="26">C37+(C32*0.77)</f>
        <v>16</v>
      </c>
      <c r="D40" s="171">
        <f t="shared" si="26"/>
        <v>34</v>
      </c>
      <c r="E40" s="171">
        <f t="shared" si="26"/>
        <v>24</v>
      </c>
      <c r="F40" s="66">
        <f>G40-E40-D40-C40</f>
        <v>27.930000000000007</v>
      </c>
      <c r="G40" s="165">
        <f>G37+(G32*0.77)</f>
        <v>101.93</v>
      </c>
      <c r="H40" s="171">
        <f t="shared" ref="H40:J40" si="27">H37+(H32*0.77)</f>
        <v>9</v>
      </c>
      <c r="I40" s="171">
        <f t="shared" si="27"/>
        <v>7.77</v>
      </c>
      <c r="J40" s="171">
        <f t="shared" si="27"/>
        <v>11.39</v>
      </c>
      <c r="K40" s="171">
        <f>L40-J40-I40-H40</f>
        <v>2.7699999999999996</v>
      </c>
      <c r="L40" s="165">
        <f>L37+(L32*0.77)</f>
        <v>30.93</v>
      </c>
      <c r="M40" s="171">
        <f t="shared" ref="M40:O40" si="28">M37+(M32*0.77)</f>
        <v>2</v>
      </c>
      <c r="N40" s="171">
        <f t="shared" si="28"/>
        <v>4.3100000000000005</v>
      </c>
      <c r="O40" s="171">
        <f t="shared" si="28"/>
        <v>19.54</v>
      </c>
      <c r="P40" s="171">
        <f>Q40-O40-N40-M40</f>
        <v>-9.7099999999999991</v>
      </c>
      <c r="Q40" s="165">
        <f>Q37+(Q32*0.77)</f>
        <v>16.14</v>
      </c>
      <c r="R40" s="171">
        <f>R37+(R32*0.77)</f>
        <v>-1.23</v>
      </c>
      <c r="S40" s="171">
        <f t="shared" ref="S40:T40" si="29">S37+(S32*0.77)</f>
        <v>-2.08</v>
      </c>
      <c r="T40" s="171">
        <f t="shared" si="29"/>
        <v>-12</v>
      </c>
      <c r="U40" s="171">
        <f>V40-T40-S40-R40</f>
        <v>4.17</v>
      </c>
      <c r="V40" s="165">
        <f>V37+(V32*0.77)</f>
        <v>-11.14</v>
      </c>
    </row>
    <row r="41" spans="1:22">
      <c r="A41" s="67" t="s">
        <v>7</v>
      </c>
      <c r="B41" s="23"/>
      <c r="C41" s="69"/>
      <c r="D41" s="69"/>
      <c r="E41" s="69"/>
      <c r="F41" s="69"/>
      <c r="G41" s="23"/>
      <c r="H41" s="68"/>
      <c r="I41" s="68">
        <f>I40/H40-1</f>
        <v>-0.13666666666666671</v>
      </c>
      <c r="J41" s="68">
        <f>J40/I40-1</f>
        <v>0.46589446589446615</v>
      </c>
      <c r="K41" s="68">
        <f>K40/J40-1</f>
        <v>-0.7568042142230027</v>
      </c>
      <c r="L41" s="23"/>
      <c r="M41" s="68">
        <f>M40/K40-1</f>
        <v>-0.27797833935018035</v>
      </c>
      <c r="N41" s="68">
        <f>N40/M40-1</f>
        <v>1.1550000000000002</v>
      </c>
      <c r="O41" s="68">
        <f>O40/N40-1</f>
        <v>3.5336426914153121</v>
      </c>
      <c r="P41" s="80" t="s">
        <v>34</v>
      </c>
      <c r="Q41" s="23"/>
      <c r="R41" s="68">
        <f>R40/P40-1</f>
        <v>-0.87332646755921728</v>
      </c>
      <c r="S41" s="68">
        <f>S40/R40-1</f>
        <v>0.69105691056910579</v>
      </c>
      <c r="T41" s="68">
        <f>T40/S40-1</f>
        <v>4.7692307692307692</v>
      </c>
      <c r="U41" s="80" t="s">
        <v>34</v>
      </c>
      <c r="V41" s="23"/>
    </row>
    <row r="42" spans="1:22">
      <c r="A42" s="67" t="s">
        <v>8</v>
      </c>
      <c r="B42" s="23"/>
      <c r="C42" s="69"/>
      <c r="D42" s="69"/>
      <c r="E42" s="69"/>
      <c r="F42" s="69"/>
      <c r="G42" s="23"/>
      <c r="H42" s="69"/>
      <c r="I42" s="69"/>
      <c r="J42" s="69"/>
      <c r="K42" s="69"/>
      <c r="L42" s="23">
        <f t="shared" ref="L42" si="30">L40/G40-1</f>
        <v>-0.69655646031590313</v>
      </c>
      <c r="M42" s="69">
        <f t="shared" ref="M42" si="31">M40/H40-1</f>
        <v>-0.77777777777777779</v>
      </c>
      <c r="N42" s="69">
        <f t="shared" ref="N42" si="32">N40/I40-1</f>
        <v>-0.44530244530244523</v>
      </c>
      <c r="O42" s="69">
        <f t="shared" ref="O42" si="33">O40/J40-1</f>
        <v>0.71553994732221238</v>
      </c>
      <c r="P42" s="80" t="s">
        <v>34</v>
      </c>
      <c r="Q42" s="23">
        <f t="shared" ref="Q42:R42" si="34">Q40/L40-1</f>
        <v>-0.47817652764306495</v>
      </c>
      <c r="R42" s="69">
        <f t="shared" si="34"/>
        <v>-1.615</v>
      </c>
      <c r="S42" s="80" t="s">
        <v>34</v>
      </c>
      <c r="T42" s="69">
        <f t="shared" ref="T42" si="35">T40/O40-1</f>
        <v>-1.6141248720573182</v>
      </c>
      <c r="U42" s="80" t="s">
        <v>34</v>
      </c>
      <c r="V42" s="23">
        <f t="shared" ref="V42" si="36">V40/Q40-1</f>
        <v>-1.6902106567534076</v>
      </c>
    </row>
    <row r="43" spans="1:22">
      <c r="A43" s="65" t="s">
        <v>211</v>
      </c>
      <c r="B43" s="35">
        <f>B23+B34</f>
        <v>412</v>
      </c>
      <c r="C43" s="72">
        <f>C34+C23</f>
        <v>99</v>
      </c>
      <c r="D43" s="72">
        <f>D34+D23</f>
        <v>129</v>
      </c>
      <c r="E43" s="72">
        <f>E34+E23</f>
        <v>122</v>
      </c>
      <c r="F43" s="66">
        <f>G43-E43-D43-C43</f>
        <v>105</v>
      </c>
      <c r="G43" s="35">
        <f>G23+G34</f>
        <v>455</v>
      </c>
      <c r="H43" s="72">
        <f>H34+H23</f>
        <v>160</v>
      </c>
      <c r="I43" s="72">
        <f>I34+I23</f>
        <v>161</v>
      </c>
      <c r="J43" s="72">
        <f>J34+J23</f>
        <v>159</v>
      </c>
      <c r="K43" s="66">
        <f>L43-J43-I43-H43</f>
        <v>173</v>
      </c>
      <c r="L43" s="35">
        <f>L23+L34</f>
        <v>653</v>
      </c>
      <c r="M43" s="72">
        <f>M34+M23</f>
        <v>147</v>
      </c>
      <c r="N43" s="72">
        <f>N34+N23</f>
        <v>148</v>
      </c>
      <c r="O43" s="72">
        <f>O34+O23</f>
        <v>173</v>
      </c>
      <c r="P43" s="137">
        <f>Q43-O43-N43-M43</f>
        <v>66</v>
      </c>
      <c r="Q43" s="35">
        <f>Q23+Q34</f>
        <v>534</v>
      </c>
      <c r="R43" s="72">
        <f>R34+R23</f>
        <v>137</v>
      </c>
      <c r="S43" s="72">
        <f>S34+S23</f>
        <v>143</v>
      </c>
      <c r="T43" s="72">
        <f>T34+T23</f>
        <v>120</v>
      </c>
      <c r="U43" s="137">
        <f>V43-T43-S43-R43</f>
        <v>115</v>
      </c>
      <c r="V43" s="35">
        <f>V23+V34</f>
        <v>515</v>
      </c>
    </row>
    <row r="44" spans="1:22">
      <c r="A44" s="67" t="s">
        <v>7</v>
      </c>
      <c r="B44" s="23"/>
      <c r="C44" s="68"/>
      <c r="D44" s="68">
        <f>D43/C43-1</f>
        <v>0.30303030303030298</v>
      </c>
      <c r="E44" s="68">
        <f>E43/D43-1</f>
        <v>-5.4263565891472854E-2</v>
      </c>
      <c r="F44" s="68">
        <f>F43/E43-1</f>
        <v>-0.13934426229508201</v>
      </c>
      <c r="G44" s="23"/>
      <c r="H44" s="68">
        <f>H43/F43-1</f>
        <v>0.52380952380952372</v>
      </c>
      <c r="I44" s="68">
        <f>I43/H43-1</f>
        <v>6.2500000000000888E-3</v>
      </c>
      <c r="J44" s="68">
        <f>J43/I43-1</f>
        <v>-1.2422360248447228E-2</v>
      </c>
      <c r="K44" s="68">
        <f>K43/J43-1</f>
        <v>8.8050314465408785E-2</v>
      </c>
      <c r="L44" s="23"/>
      <c r="M44" s="68">
        <f>M43/K43-1</f>
        <v>-0.1502890173410405</v>
      </c>
      <c r="N44" s="68">
        <f>N43/M43-1</f>
        <v>6.8027210884353817E-3</v>
      </c>
      <c r="O44" s="68">
        <f>O43/N43-1</f>
        <v>0.16891891891891886</v>
      </c>
      <c r="P44" s="68">
        <f>P43/O43-1</f>
        <v>-0.61849710982658967</v>
      </c>
      <c r="Q44" s="23"/>
      <c r="R44" s="68">
        <f>R43/P43-1</f>
        <v>1.0757575757575757</v>
      </c>
      <c r="S44" s="68">
        <f>S43/R43-1</f>
        <v>4.3795620437956151E-2</v>
      </c>
      <c r="T44" s="68">
        <f>T43/S43-1</f>
        <v>-0.16083916083916083</v>
      </c>
      <c r="U44" s="68">
        <f>U43/T43-1</f>
        <v>-4.166666666666663E-2</v>
      </c>
      <c r="V44" s="23"/>
    </row>
    <row r="45" spans="1:22">
      <c r="A45" s="67" t="s">
        <v>8</v>
      </c>
      <c r="B45" s="23"/>
      <c r="C45" s="69"/>
      <c r="D45" s="69"/>
      <c r="E45" s="69"/>
      <c r="F45" s="69"/>
      <c r="G45" s="23">
        <f t="shared" ref="G45:T45" si="37">G43/B43-1</f>
        <v>0.10436893203883502</v>
      </c>
      <c r="H45" s="69">
        <f t="shared" si="37"/>
        <v>0.61616161616161613</v>
      </c>
      <c r="I45" s="69">
        <f t="shared" si="37"/>
        <v>0.24806201550387597</v>
      </c>
      <c r="J45" s="69">
        <f t="shared" si="37"/>
        <v>0.30327868852459017</v>
      </c>
      <c r="K45" s="69">
        <f t="shared" si="37"/>
        <v>0.64761904761904754</v>
      </c>
      <c r="L45" s="23">
        <f t="shared" si="37"/>
        <v>0.43516483516483517</v>
      </c>
      <c r="M45" s="69">
        <f t="shared" si="37"/>
        <v>-8.1250000000000044E-2</v>
      </c>
      <c r="N45" s="69">
        <f t="shared" si="37"/>
        <v>-8.0745341614906874E-2</v>
      </c>
      <c r="O45" s="69">
        <f t="shared" si="37"/>
        <v>8.8050314465408785E-2</v>
      </c>
      <c r="P45" s="69">
        <f t="shared" si="37"/>
        <v>-0.61849710982658967</v>
      </c>
      <c r="Q45" s="23">
        <f t="shared" si="37"/>
        <v>-0.18223583460949466</v>
      </c>
      <c r="R45" s="69">
        <f t="shared" si="37"/>
        <v>-6.8027210884353706E-2</v>
      </c>
      <c r="S45" s="69">
        <f t="shared" si="37"/>
        <v>-3.3783783783783772E-2</v>
      </c>
      <c r="T45" s="69">
        <f t="shared" si="37"/>
        <v>-0.30635838150289019</v>
      </c>
      <c r="U45" s="69">
        <f t="shared" ref="U45" si="38">U43/P43-1</f>
        <v>0.74242424242424243</v>
      </c>
      <c r="V45" s="23">
        <f t="shared" ref="V45" si="39">V43/Q43-1</f>
        <v>-3.5580524344569264E-2</v>
      </c>
    </row>
    <row r="46" spans="1:22" ht="24">
      <c r="A46" s="84" t="s">
        <v>223</v>
      </c>
      <c r="B46" s="60">
        <f>B43+B32</f>
        <v>414</v>
      </c>
      <c r="C46" s="141">
        <f>C43</f>
        <v>99</v>
      </c>
      <c r="D46" s="141">
        <f>D43</f>
        <v>129</v>
      </c>
      <c r="E46" s="141">
        <f>E43</f>
        <v>122</v>
      </c>
      <c r="F46" s="141">
        <f>G46-E46-D46-C46</f>
        <v>114</v>
      </c>
      <c r="G46" s="60">
        <f>G43+G32</f>
        <v>464</v>
      </c>
      <c r="H46" s="141">
        <f>H43</f>
        <v>160</v>
      </c>
      <c r="I46" s="141">
        <f>I43+I32</f>
        <v>162</v>
      </c>
      <c r="J46" s="141">
        <f>J43+J32</f>
        <v>166</v>
      </c>
      <c r="K46" s="141">
        <f>L46-J46-I46-H46</f>
        <v>174</v>
      </c>
      <c r="L46" s="60">
        <f>L43+L32</f>
        <v>662</v>
      </c>
      <c r="M46" s="141">
        <f>M43</f>
        <v>147</v>
      </c>
      <c r="N46" s="141">
        <f>N43+N32</f>
        <v>151</v>
      </c>
      <c r="O46" s="141">
        <f>O43+O32</f>
        <v>175</v>
      </c>
      <c r="P46" s="141">
        <f>Q46-O46-N46-M46</f>
        <v>143</v>
      </c>
      <c r="Q46" s="60">
        <f>Q43+Q32</f>
        <v>616</v>
      </c>
      <c r="R46" s="141">
        <f>R43+R32</f>
        <v>138</v>
      </c>
      <c r="S46" s="141">
        <f>S43+S32</f>
        <v>139</v>
      </c>
      <c r="T46" s="141">
        <f>T43+T32</f>
        <v>120</v>
      </c>
      <c r="U46" s="141">
        <f>V46-T46-S46-R46</f>
        <v>136</v>
      </c>
      <c r="V46" s="60">
        <f>V43+V32</f>
        <v>533</v>
      </c>
    </row>
    <row r="47" spans="1:22">
      <c r="A47" s="38" t="s">
        <v>24</v>
      </c>
      <c r="B47" s="39"/>
      <c r="C47" s="51"/>
      <c r="D47" s="51"/>
      <c r="E47" s="51"/>
      <c r="F47" s="51"/>
      <c r="G47" s="39"/>
      <c r="H47" s="51"/>
      <c r="I47" s="51"/>
      <c r="J47" s="51"/>
      <c r="K47" s="51"/>
      <c r="L47" s="39"/>
      <c r="M47" s="51"/>
      <c r="N47" s="51"/>
      <c r="O47" s="51"/>
      <c r="P47" s="51"/>
      <c r="Q47" s="39"/>
      <c r="R47" s="51"/>
      <c r="S47" s="51"/>
      <c r="T47" s="51"/>
      <c r="U47" s="51"/>
      <c r="V47" s="39"/>
    </row>
    <row r="48" spans="1:22">
      <c r="A48" s="65" t="s">
        <v>12</v>
      </c>
      <c r="B48" s="62">
        <v>582</v>
      </c>
      <c r="C48" s="66">
        <v>117</v>
      </c>
      <c r="D48" s="66">
        <v>193</v>
      </c>
      <c r="E48" s="66">
        <v>209</v>
      </c>
      <c r="F48" s="66">
        <f>G48-E48-D48-C48</f>
        <v>86</v>
      </c>
      <c r="G48" s="62">
        <v>605</v>
      </c>
      <c r="H48" s="66">
        <v>239</v>
      </c>
      <c r="I48" s="66">
        <v>181</v>
      </c>
      <c r="J48" s="66">
        <v>194</v>
      </c>
      <c r="K48" s="66">
        <f>L48-J48-I48-H48</f>
        <v>156</v>
      </c>
      <c r="L48" s="62">
        <v>770</v>
      </c>
      <c r="M48" s="66">
        <v>195</v>
      </c>
      <c r="N48" s="66">
        <v>136</v>
      </c>
      <c r="O48" s="66">
        <v>200</v>
      </c>
      <c r="P48" s="66">
        <f>Q48-O48-N48-M48</f>
        <v>146</v>
      </c>
      <c r="Q48" s="62">
        <v>677</v>
      </c>
      <c r="R48" s="66">
        <v>164</v>
      </c>
      <c r="S48" s="66">
        <v>149</v>
      </c>
      <c r="T48" s="66">
        <v>143</v>
      </c>
      <c r="U48" s="66">
        <f>V48-T48-S48-R48</f>
        <v>241</v>
      </c>
      <c r="V48" s="62">
        <v>697</v>
      </c>
    </row>
    <row r="49" spans="1:22">
      <c r="A49" s="77" t="s">
        <v>7</v>
      </c>
      <c r="B49" s="23"/>
      <c r="C49" s="68"/>
      <c r="D49" s="68">
        <f>D48/C48-1</f>
        <v>0.64957264957264949</v>
      </c>
      <c r="E49" s="68">
        <f>E48/D48-1</f>
        <v>8.290155440414515E-2</v>
      </c>
      <c r="F49" s="68">
        <f>F48/E48-1</f>
        <v>-0.58851674641148333</v>
      </c>
      <c r="G49" s="23"/>
      <c r="H49" s="68">
        <f>H48/F48-1</f>
        <v>1.7790697674418605</v>
      </c>
      <c r="I49" s="68">
        <f>I48/H48-1</f>
        <v>-0.24267782426778239</v>
      </c>
      <c r="J49" s="68">
        <f>J48/I48-1</f>
        <v>7.182320441988943E-2</v>
      </c>
      <c r="K49" s="68">
        <f>K48/J48-1</f>
        <v>-0.19587628865979378</v>
      </c>
      <c r="L49" s="23"/>
      <c r="M49" s="68">
        <f>M48/K48-1</f>
        <v>0.25</v>
      </c>
      <c r="N49" s="68">
        <f>N48/M48-1</f>
        <v>-0.3025641025641026</v>
      </c>
      <c r="O49" s="68">
        <f>O48/N48-1</f>
        <v>0.47058823529411775</v>
      </c>
      <c r="P49" s="68">
        <f>P48/O48-1</f>
        <v>-0.27</v>
      </c>
      <c r="Q49" s="23"/>
      <c r="R49" s="68">
        <f>R48/P48-1</f>
        <v>0.12328767123287676</v>
      </c>
      <c r="S49" s="68">
        <f>S48/R48-1</f>
        <v>-9.1463414634146312E-2</v>
      </c>
      <c r="T49" s="68">
        <f>T48/S48-1</f>
        <v>-4.0268456375838979E-2</v>
      </c>
      <c r="U49" s="68">
        <f>U48/T48-1</f>
        <v>0.68531468531468542</v>
      </c>
      <c r="V49" s="23"/>
    </row>
    <row r="50" spans="1:22">
      <c r="A50" s="77" t="s">
        <v>8</v>
      </c>
      <c r="B50" s="23"/>
      <c r="C50" s="69"/>
      <c r="D50" s="69"/>
      <c r="E50" s="69"/>
      <c r="F50" s="69"/>
      <c r="G50" s="23">
        <f t="shared" ref="G50:T50" si="40">G48/B48-1</f>
        <v>3.9518900343642693E-2</v>
      </c>
      <c r="H50" s="69">
        <f t="shared" si="40"/>
        <v>1.0427350427350426</v>
      </c>
      <c r="I50" s="69">
        <f t="shared" si="40"/>
        <v>-6.2176165803108807E-2</v>
      </c>
      <c r="J50" s="69">
        <f t="shared" si="40"/>
        <v>-7.1770334928229707E-2</v>
      </c>
      <c r="K50" s="69">
        <f t="shared" si="40"/>
        <v>0.81395348837209291</v>
      </c>
      <c r="L50" s="23">
        <f t="shared" si="40"/>
        <v>0.27272727272727271</v>
      </c>
      <c r="M50" s="69">
        <f t="shared" si="40"/>
        <v>-0.18410041841004188</v>
      </c>
      <c r="N50" s="69">
        <f t="shared" si="40"/>
        <v>-0.24861878453038677</v>
      </c>
      <c r="O50" s="69">
        <f t="shared" si="40"/>
        <v>3.0927835051546282E-2</v>
      </c>
      <c r="P50" s="69">
        <f t="shared" si="40"/>
        <v>-6.4102564102564097E-2</v>
      </c>
      <c r="Q50" s="23">
        <f t="shared" si="40"/>
        <v>-0.12077922077922076</v>
      </c>
      <c r="R50" s="69">
        <f t="shared" si="40"/>
        <v>-0.15897435897435896</v>
      </c>
      <c r="S50" s="69">
        <f t="shared" si="40"/>
        <v>9.5588235294117752E-2</v>
      </c>
      <c r="T50" s="69">
        <f t="shared" si="40"/>
        <v>-0.28500000000000003</v>
      </c>
      <c r="U50" s="69">
        <f t="shared" ref="U50" si="41">U48/P48-1</f>
        <v>0.65068493150684925</v>
      </c>
      <c r="V50" s="23">
        <f t="shared" ref="V50" si="42">V48/Q48-1</f>
        <v>2.9542097488921781E-2</v>
      </c>
    </row>
    <row r="51" spans="1:22">
      <c r="A51" s="65" t="s">
        <v>375</v>
      </c>
      <c r="B51" s="91">
        <f>208+35</f>
        <v>243</v>
      </c>
      <c r="C51" s="66">
        <v>73</v>
      </c>
      <c r="D51" s="66">
        <f>48+11+23</f>
        <v>82</v>
      </c>
      <c r="E51" s="66">
        <v>78</v>
      </c>
      <c r="F51" s="66">
        <f>G51-E51-D51-C51</f>
        <v>77</v>
      </c>
      <c r="G51" s="91">
        <v>310</v>
      </c>
      <c r="H51" s="66">
        <v>69</v>
      </c>
      <c r="I51" s="66">
        <f>56+11+23</f>
        <v>90</v>
      </c>
      <c r="J51" s="66">
        <f>39+11+23</f>
        <v>73</v>
      </c>
      <c r="K51" s="66">
        <f>L51-J51-I51-H51</f>
        <v>78</v>
      </c>
      <c r="L51" s="91">
        <f>184+38+88</f>
        <v>310</v>
      </c>
      <c r="M51" s="66">
        <v>63</v>
      </c>
      <c r="N51" s="66">
        <v>83</v>
      </c>
      <c r="O51" s="66">
        <f>41+12+19</f>
        <v>72</v>
      </c>
      <c r="P51" s="66">
        <f>Q51-O51-N51-M51</f>
        <v>75</v>
      </c>
      <c r="Q51" s="91">
        <f>174+43+76</f>
        <v>293</v>
      </c>
      <c r="R51" s="66">
        <f>36+10+19</f>
        <v>65</v>
      </c>
      <c r="S51" s="66">
        <f>34+23+16</f>
        <v>73</v>
      </c>
      <c r="T51" s="66">
        <f>61+20+19</f>
        <v>100</v>
      </c>
      <c r="U51" s="66">
        <f>V51-T51-S51-R51</f>
        <v>81</v>
      </c>
      <c r="V51" s="91">
        <v>319</v>
      </c>
    </row>
    <row r="52" spans="1:22">
      <c r="A52" s="67" t="s">
        <v>7</v>
      </c>
      <c r="B52" s="23"/>
      <c r="C52" s="68"/>
      <c r="D52" s="68">
        <f>D51/C51-1</f>
        <v>0.12328767123287676</v>
      </c>
      <c r="E52" s="68">
        <f>E51/D51-1</f>
        <v>-4.8780487804878092E-2</v>
      </c>
      <c r="F52" s="68">
        <f>F51/E51-1</f>
        <v>-1.2820512820512775E-2</v>
      </c>
      <c r="G52" s="23"/>
      <c r="H52" s="68">
        <f>H51/F51-1</f>
        <v>-0.10389610389610393</v>
      </c>
      <c r="I52" s="68">
        <f>I51/H51-1</f>
        <v>0.30434782608695654</v>
      </c>
      <c r="J52" s="68">
        <f>J51/I51-1</f>
        <v>-0.18888888888888888</v>
      </c>
      <c r="K52" s="68">
        <f>K51/J51-1</f>
        <v>6.8493150684931559E-2</v>
      </c>
      <c r="L52" s="23"/>
      <c r="M52" s="68">
        <f>M51/K51-1</f>
        <v>-0.19230769230769229</v>
      </c>
      <c r="N52" s="68">
        <f>N51/M51-1</f>
        <v>0.31746031746031744</v>
      </c>
      <c r="O52" s="68">
        <f>O51/N51-1</f>
        <v>-0.13253012048192769</v>
      </c>
      <c r="P52" s="68">
        <f>P51/O51-1</f>
        <v>4.1666666666666741E-2</v>
      </c>
      <c r="Q52" s="23"/>
      <c r="R52" s="68">
        <f>R51/P51-1</f>
        <v>-0.1333333333333333</v>
      </c>
      <c r="S52" s="68">
        <f>S51/R51-1</f>
        <v>0.12307692307692308</v>
      </c>
      <c r="T52" s="68">
        <f>T51/S51-1</f>
        <v>0.36986301369863006</v>
      </c>
      <c r="U52" s="68">
        <f>U51/T51-1</f>
        <v>-0.18999999999999995</v>
      </c>
      <c r="V52" s="23"/>
    </row>
    <row r="53" spans="1:22">
      <c r="A53" s="67" t="s">
        <v>8</v>
      </c>
      <c r="B53" s="23"/>
      <c r="C53" s="69"/>
      <c r="D53" s="69"/>
      <c r="E53" s="69"/>
      <c r="F53" s="69"/>
      <c r="G53" s="23">
        <f t="shared" ref="G53:T53" si="43">G51/B51-1</f>
        <v>0.27572016460905346</v>
      </c>
      <c r="H53" s="69">
        <f t="shared" si="43"/>
        <v>-5.4794520547945202E-2</v>
      </c>
      <c r="I53" s="69">
        <f t="shared" si="43"/>
        <v>9.7560975609756184E-2</v>
      </c>
      <c r="J53" s="69">
        <f t="shared" si="43"/>
        <v>-6.4102564102564097E-2</v>
      </c>
      <c r="K53" s="69">
        <f t="shared" si="43"/>
        <v>1.298701298701288E-2</v>
      </c>
      <c r="L53" s="23">
        <f t="shared" si="43"/>
        <v>0</v>
      </c>
      <c r="M53" s="69">
        <f t="shared" si="43"/>
        <v>-8.6956521739130488E-2</v>
      </c>
      <c r="N53" s="69">
        <f t="shared" si="43"/>
        <v>-7.7777777777777724E-2</v>
      </c>
      <c r="O53" s="69">
        <f t="shared" si="43"/>
        <v>-1.3698630136986356E-2</v>
      </c>
      <c r="P53" s="69">
        <f t="shared" si="43"/>
        <v>-3.8461538461538436E-2</v>
      </c>
      <c r="Q53" s="23">
        <f t="shared" si="43"/>
        <v>-5.4838709677419328E-2</v>
      </c>
      <c r="R53" s="69">
        <f t="shared" si="43"/>
        <v>3.1746031746031855E-2</v>
      </c>
      <c r="S53" s="69">
        <f t="shared" si="43"/>
        <v>-0.12048192771084343</v>
      </c>
      <c r="T53" s="69">
        <f t="shared" si="43"/>
        <v>0.38888888888888884</v>
      </c>
      <c r="U53" s="69">
        <f t="shared" ref="U53" si="44">U51/P51-1</f>
        <v>8.0000000000000071E-2</v>
      </c>
      <c r="V53" s="23">
        <f t="shared" ref="V53" si="45">V51/Q51-1</f>
        <v>8.8737201365187701E-2</v>
      </c>
    </row>
    <row r="54" spans="1:22">
      <c r="A54" s="65" t="s">
        <v>376</v>
      </c>
      <c r="B54" s="91">
        <f>B51-2</f>
        <v>241</v>
      </c>
      <c r="C54" s="66">
        <f>C51</f>
        <v>73</v>
      </c>
      <c r="D54" s="66">
        <f>D51</f>
        <v>82</v>
      </c>
      <c r="E54" s="66">
        <f>E51</f>
        <v>78</v>
      </c>
      <c r="F54" s="66">
        <f>G54-E54-D54-C54</f>
        <v>76</v>
      </c>
      <c r="G54" s="91">
        <f>G51-1</f>
        <v>309</v>
      </c>
      <c r="H54" s="66">
        <f>H51</f>
        <v>69</v>
      </c>
      <c r="I54" s="66">
        <f>I51</f>
        <v>90</v>
      </c>
      <c r="J54" s="66">
        <f>J51-4</f>
        <v>69</v>
      </c>
      <c r="K54" s="66">
        <f>L54-J54-I54-H54</f>
        <v>78</v>
      </c>
      <c r="L54" s="91">
        <f>L51-4</f>
        <v>306</v>
      </c>
      <c r="M54" s="66">
        <f>M51</f>
        <v>63</v>
      </c>
      <c r="N54" s="66">
        <f>N51-1</f>
        <v>82</v>
      </c>
      <c r="O54" s="66">
        <f>O51</f>
        <v>72</v>
      </c>
      <c r="P54" s="66">
        <f>Q54-O54-N54-M54</f>
        <v>75</v>
      </c>
      <c r="Q54" s="91">
        <f>Q51-1</f>
        <v>292</v>
      </c>
      <c r="R54" s="66">
        <f>R51</f>
        <v>65</v>
      </c>
      <c r="S54" s="66">
        <f>S51</f>
        <v>73</v>
      </c>
      <c r="T54" s="66">
        <f>T51</f>
        <v>100</v>
      </c>
      <c r="U54" s="66">
        <f>V54-T54-S54-R54</f>
        <v>80</v>
      </c>
      <c r="V54" s="91">
        <f>V51-1</f>
        <v>318</v>
      </c>
    </row>
    <row r="55" spans="1:22">
      <c r="A55" s="67" t="s">
        <v>7</v>
      </c>
      <c r="B55" s="23"/>
      <c r="C55" s="68"/>
      <c r="D55" s="68">
        <f>D54/C54-1</f>
        <v>0.12328767123287676</v>
      </c>
      <c r="E55" s="68">
        <f>E54/D54-1</f>
        <v>-4.8780487804878092E-2</v>
      </c>
      <c r="F55" s="68">
        <f>F54/E54-1</f>
        <v>-2.5641025641025661E-2</v>
      </c>
      <c r="G55" s="23"/>
      <c r="H55" s="68">
        <f>H54/F54-1</f>
        <v>-9.210526315789469E-2</v>
      </c>
      <c r="I55" s="68">
        <f>I54/H54-1</f>
        <v>0.30434782608695654</v>
      </c>
      <c r="J55" s="68">
        <f>J54/I54-1</f>
        <v>-0.23333333333333328</v>
      </c>
      <c r="K55" s="68">
        <f>K54/J54-1</f>
        <v>0.13043478260869557</v>
      </c>
      <c r="L55" s="23"/>
      <c r="M55" s="68">
        <f>M54/K54-1</f>
        <v>-0.19230769230769229</v>
      </c>
      <c r="N55" s="68">
        <f>N54/M54-1</f>
        <v>0.30158730158730163</v>
      </c>
      <c r="O55" s="68">
        <f>O54/N54-1</f>
        <v>-0.12195121951219512</v>
      </c>
      <c r="P55" s="68">
        <f>P54/O54-1</f>
        <v>4.1666666666666741E-2</v>
      </c>
      <c r="Q55" s="23"/>
      <c r="R55" s="68">
        <f>R54/P54-1</f>
        <v>-0.1333333333333333</v>
      </c>
      <c r="S55" s="68">
        <f>S54/R54-1</f>
        <v>0.12307692307692308</v>
      </c>
      <c r="T55" s="68">
        <f>T54/S54-1</f>
        <v>0.36986301369863006</v>
      </c>
      <c r="U55" s="68">
        <f>U54/T54-1</f>
        <v>-0.19999999999999996</v>
      </c>
      <c r="V55" s="23"/>
    </row>
    <row r="56" spans="1:22">
      <c r="A56" s="67" t="s">
        <v>8</v>
      </c>
      <c r="B56" s="23"/>
      <c r="C56" s="69"/>
      <c r="D56" s="69"/>
      <c r="E56" s="69"/>
      <c r="F56" s="69"/>
      <c r="G56" s="23">
        <f t="shared" ref="G56:T56" si="46">G54/B54-1</f>
        <v>0.28215767634854783</v>
      </c>
      <c r="H56" s="69">
        <f t="shared" si="46"/>
        <v>-5.4794520547945202E-2</v>
      </c>
      <c r="I56" s="69">
        <f t="shared" si="46"/>
        <v>9.7560975609756184E-2</v>
      </c>
      <c r="J56" s="69">
        <f t="shared" si="46"/>
        <v>-0.11538461538461542</v>
      </c>
      <c r="K56" s="69">
        <f t="shared" si="46"/>
        <v>2.6315789473684292E-2</v>
      </c>
      <c r="L56" s="23">
        <f t="shared" si="46"/>
        <v>-9.7087378640776656E-3</v>
      </c>
      <c r="M56" s="69">
        <f t="shared" si="46"/>
        <v>-8.6956521739130488E-2</v>
      </c>
      <c r="N56" s="69">
        <f t="shared" si="46"/>
        <v>-8.8888888888888906E-2</v>
      </c>
      <c r="O56" s="69">
        <f t="shared" si="46"/>
        <v>4.3478260869565188E-2</v>
      </c>
      <c r="P56" s="69">
        <f t="shared" si="46"/>
        <v>-3.8461538461538436E-2</v>
      </c>
      <c r="Q56" s="23">
        <f t="shared" si="46"/>
        <v>-4.5751633986928053E-2</v>
      </c>
      <c r="R56" s="69">
        <f t="shared" si="46"/>
        <v>3.1746031746031855E-2</v>
      </c>
      <c r="S56" s="69">
        <f t="shared" si="46"/>
        <v>-0.1097560975609756</v>
      </c>
      <c r="T56" s="69">
        <f t="shared" si="46"/>
        <v>0.38888888888888884</v>
      </c>
      <c r="U56" s="69">
        <f t="shared" ref="U56" si="47">U54/P54-1</f>
        <v>6.6666666666666652E-2</v>
      </c>
      <c r="V56" s="23">
        <f t="shared" ref="V56" si="48">V54/Q54-1</f>
        <v>8.9041095890410871E-2</v>
      </c>
    </row>
    <row r="57" spans="1:22">
      <c r="A57" s="65" t="s">
        <v>212</v>
      </c>
      <c r="B57" s="60" t="s">
        <v>120</v>
      </c>
      <c r="C57" s="66">
        <v>0</v>
      </c>
      <c r="D57" s="66">
        <v>0</v>
      </c>
      <c r="E57" s="66">
        <v>0</v>
      </c>
      <c r="F57" s="66">
        <v>0</v>
      </c>
      <c r="G57" s="60" t="s">
        <v>120</v>
      </c>
      <c r="H57" s="66">
        <v>75</v>
      </c>
      <c r="I57" s="66">
        <v>50</v>
      </c>
      <c r="J57" s="66">
        <v>64</v>
      </c>
      <c r="K57" s="66">
        <f>L57-J57-I57-H57</f>
        <v>70</v>
      </c>
      <c r="L57" s="91">
        <v>259</v>
      </c>
      <c r="M57" s="66">
        <v>69</v>
      </c>
      <c r="N57" s="66">
        <v>46</v>
      </c>
      <c r="O57" s="66">
        <v>76</v>
      </c>
      <c r="P57" s="66">
        <f>Q57-O57-N57-M57</f>
        <v>51</v>
      </c>
      <c r="Q57" s="91">
        <v>242</v>
      </c>
      <c r="R57" s="66">
        <v>67</v>
      </c>
      <c r="S57" s="66">
        <v>48</v>
      </c>
      <c r="T57" s="66">
        <v>67</v>
      </c>
      <c r="U57" s="66">
        <f>V57-T57-S57-R57</f>
        <v>48</v>
      </c>
      <c r="V57" s="91">
        <v>230</v>
      </c>
    </row>
    <row r="58" spans="1:22" ht="8.25" customHeight="1">
      <c r="A58" s="65"/>
      <c r="B58" s="23"/>
      <c r="C58" s="69"/>
      <c r="D58" s="69"/>
      <c r="E58" s="69"/>
      <c r="F58" s="69"/>
      <c r="G58" s="23"/>
      <c r="H58" s="66"/>
      <c r="I58" s="66"/>
      <c r="J58" s="66"/>
      <c r="K58" s="66"/>
      <c r="L58" s="91"/>
      <c r="M58" s="66"/>
      <c r="N58" s="66"/>
      <c r="O58" s="66"/>
      <c r="P58" s="66"/>
      <c r="Q58" s="91"/>
      <c r="R58" s="66"/>
      <c r="S58" s="66"/>
      <c r="T58" s="66"/>
      <c r="U58" s="66"/>
      <c r="V58" s="91"/>
    </row>
    <row r="59" spans="1:22">
      <c r="A59" s="65" t="s">
        <v>13</v>
      </c>
      <c r="B59" s="91">
        <f>B48-B54</f>
        <v>341</v>
      </c>
      <c r="C59" s="72">
        <f>C48-C54</f>
        <v>44</v>
      </c>
      <c r="D59" s="72">
        <f>D48-D54</f>
        <v>111</v>
      </c>
      <c r="E59" s="72">
        <f>E48-E54</f>
        <v>131</v>
      </c>
      <c r="F59" s="66">
        <f>G59-E59-D59-C59</f>
        <v>10</v>
      </c>
      <c r="G59" s="91">
        <f>G48-G54</f>
        <v>296</v>
      </c>
      <c r="H59" s="72">
        <f>H48-H54-H57</f>
        <v>95</v>
      </c>
      <c r="I59" s="72">
        <f>I48-I54-I57</f>
        <v>41</v>
      </c>
      <c r="J59" s="72">
        <f>J48-J54-J57</f>
        <v>61</v>
      </c>
      <c r="K59" s="66">
        <f>L59-J59-I59-H59</f>
        <v>8</v>
      </c>
      <c r="L59" s="91">
        <f>L48-L54-L57</f>
        <v>205</v>
      </c>
      <c r="M59" s="72">
        <f>M48-M54-M57</f>
        <v>63</v>
      </c>
      <c r="N59" s="72">
        <f>N48-N54-N57</f>
        <v>8</v>
      </c>
      <c r="O59" s="72">
        <f>O48-O54-O57</f>
        <v>52</v>
      </c>
      <c r="P59" s="66">
        <f>Q59-O59-N59-M59</f>
        <v>20</v>
      </c>
      <c r="Q59" s="91">
        <f>Q48-Q54-Q57</f>
        <v>143</v>
      </c>
      <c r="R59" s="72">
        <f>R48-R54-R57</f>
        <v>32</v>
      </c>
      <c r="S59" s="72">
        <f>S48-S54-S57</f>
        <v>28</v>
      </c>
      <c r="T59" s="171">
        <f>T48-T54-T57</f>
        <v>-24</v>
      </c>
      <c r="U59" s="66">
        <f>V59-T59-S59-R59</f>
        <v>113</v>
      </c>
      <c r="V59" s="91">
        <f>V48-V54-V57</f>
        <v>149</v>
      </c>
    </row>
    <row r="60" spans="1:22" ht="10.5" customHeight="1">
      <c r="A60" s="67" t="s">
        <v>7</v>
      </c>
      <c r="B60" s="23"/>
      <c r="C60" s="68"/>
      <c r="D60" s="68">
        <f>D59/C59-1</f>
        <v>1.5227272727272729</v>
      </c>
      <c r="E60" s="68">
        <f>E59/D59-1</f>
        <v>0.18018018018018012</v>
      </c>
      <c r="F60" s="68">
        <f>F59/E59-1</f>
        <v>-0.92366412213740456</v>
      </c>
      <c r="G60" s="23"/>
      <c r="H60" s="68">
        <f>H59/F59-1</f>
        <v>8.5</v>
      </c>
      <c r="I60" s="68">
        <f>I59/H59-1</f>
        <v>-0.56842105263157894</v>
      </c>
      <c r="J60" s="68">
        <f>J59/I59-1</f>
        <v>0.48780487804878048</v>
      </c>
      <c r="K60" s="68">
        <f>K59/J59-1</f>
        <v>-0.86885245901639341</v>
      </c>
      <c r="L60" s="23"/>
      <c r="M60" s="68">
        <f>M59/K59-1</f>
        <v>6.875</v>
      </c>
      <c r="N60" s="68">
        <f>N59/M59-1</f>
        <v>-0.87301587301587302</v>
      </c>
      <c r="O60" s="68">
        <f>O59/N59-1</f>
        <v>5.5</v>
      </c>
      <c r="P60" s="68">
        <f>P59/O59-1</f>
        <v>-0.61538461538461542</v>
      </c>
      <c r="Q60" s="23"/>
      <c r="R60" s="68">
        <f>R59/P59-1</f>
        <v>0.60000000000000009</v>
      </c>
      <c r="S60" s="68">
        <f>S59/R59-1</f>
        <v>-0.125</v>
      </c>
      <c r="T60" s="80" t="s">
        <v>34</v>
      </c>
      <c r="U60" s="80" t="s">
        <v>34</v>
      </c>
      <c r="V60" s="23"/>
    </row>
    <row r="61" spans="1:22" ht="10.5" customHeight="1">
      <c r="A61" s="67" t="s">
        <v>8</v>
      </c>
      <c r="B61" s="23"/>
      <c r="C61" s="69"/>
      <c r="D61" s="69"/>
      <c r="E61" s="69"/>
      <c r="F61" s="69"/>
      <c r="G61" s="23">
        <f t="shared" ref="G61:S61" si="49">G59/B59-1</f>
        <v>-0.13196480938416422</v>
      </c>
      <c r="H61" s="69">
        <f t="shared" si="49"/>
        <v>1.1590909090909092</v>
      </c>
      <c r="I61" s="69">
        <f t="shared" si="49"/>
        <v>-0.63063063063063063</v>
      </c>
      <c r="J61" s="69">
        <f t="shared" si="49"/>
        <v>-0.53435114503816794</v>
      </c>
      <c r="K61" s="69">
        <f t="shared" si="49"/>
        <v>-0.19999999999999996</v>
      </c>
      <c r="L61" s="23">
        <f t="shared" si="49"/>
        <v>-0.30743243243243246</v>
      </c>
      <c r="M61" s="69">
        <f t="shared" si="49"/>
        <v>-0.33684210526315794</v>
      </c>
      <c r="N61" s="69">
        <f t="shared" si="49"/>
        <v>-0.80487804878048785</v>
      </c>
      <c r="O61" s="69">
        <f t="shared" si="49"/>
        <v>-0.14754098360655743</v>
      </c>
      <c r="P61" s="69">
        <f t="shared" si="49"/>
        <v>1.5</v>
      </c>
      <c r="Q61" s="23">
        <f t="shared" si="49"/>
        <v>-0.30243902439024395</v>
      </c>
      <c r="R61" s="69">
        <f t="shared" si="49"/>
        <v>-0.49206349206349209</v>
      </c>
      <c r="S61" s="69">
        <f t="shared" si="49"/>
        <v>2.5</v>
      </c>
      <c r="T61" s="80" t="s">
        <v>34</v>
      </c>
      <c r="U61" s="69">
        <f t="shared" ref="U61" si="50">U59/P59-1</f>
        <v>4.6500000000000004</v>
      </c>
      <c r="V61" s="23">
        <f t="shared" ref="V61" si="51">V59/Q59-1</f>
        <v>4.195804195804187E-2</v>
      </c>
    </row>
    <row r="62" spans="1:22">
      <c r="A62" s="48" t="s">
        <v>19</v>
      </c>
      <c r="B62" s="38"/>
      <c r="C62" s="50"/>
      <c r="D62" s="50"/>
      <c r="E62" s="50"/>
      <c r="F62" s="50"/>
      <c r="G62" s="38"/>
      <c r="H62" s="50"/>
      <c r="I62" s="50"/>
      <c r="J62" s="50"/>
      <c r="K62" s="50"/>
      <c r="L62" s="38"/>
      <c r="M62" s="50"/>
      <c r="N62" s="50"/>
      <c r="O62" s="50"/>
      <c r="P62" s="50"/>
      <c r="Q62" s="38"/>
      <c r="R62" s="50"/>
      <c r="S62" s="50"/>
      <c r="T62" s="50"/>
      <c r="U62" s="50"/>
      <c r="V62" s="38"/>
    </row>
    <row r="63" spans="1:22">
      <c r="A63" s="65" t="s">
        <v>31</v>
      </c>
      <c r="B63" s="53">
        <f t="shared" ref="B63:R63" si="52">B37/B8</f>
        <v>2.3193916349809884E-2</v>
      </c>
      <c r="C63" s="73">
        <f t="shared" si="52"/>
        <v>2.5477707006369428E-2</v>
      </c>
      <c r="D63" s="73">
        <f t="shared" si="52"/>
        <v>5.3797468354430382E-2</v>
      </c>
      <c r="E63" s="73">
        <f t="shared" si="52"/>
        <v>3.7795275590551181E-2</v>
      </c>
      <c r="F63" s="73">
        <f t="shared" si="52"/>
        <v>3.2258064516129031E-2</v>
      </c>
      <c r="G63" s="53">
        <f t="shared" si="52"/>
        <v>3.7313432835820892E-2</v>
      </c>
      <c r="H63" s="73">
        <f t="shared" si="52"/>
        <v>1.4539579967689823E-2</v>
      </c>
      <c r="I63" s="73">
        <f t="shared" si="52"/>
        <v>1.1627906976744186E-2</v>
      </c>
      <c r="J63" s="73">
        <f t="shared" si="52"/>
        <v>9.9337748344370865E-3</v>
      </c>
      <c r="K63" s="73">
        <f t="shared" si="52"/>
        <v>3.2362459546925568E-3</v>
      </c>
      <c r="L63" s="53">
        <f t="shared" si="52"/>
        <v>9.8239869013507976E-3</v>
      </c>
      <c r="M63" s="73">
        <f t="shared" si="52"/>
        <v>3.4602076124567475E-3</v>
      </c>
      <c r="N63" s="73">
        <f t="shared" si="52"/>
        <v>3.5087719298245615E-3</v>
      </c>
      <c r="O63" s="73">
        <f t="shared" si="52"/>
        <v>2.9411764705882353E-2</v>
      </c>
      <c r="P63" s="73">
        <f t="shared" si="52"/>
        <v>-0.11461794019933555</v>
      </c>
      <c r="Q63" s="53">
        <f t="shared" si="52"/>
        <v>-1.9898391193903471E-2</v>
      </c>
      <c r="R63" s="73">
        <f t="shared" si="52"/>
        <v>-3.4904013961605585E-3</v>
      </c>
      <c r="S63" s="73">
        <f t="shared" ref="S63:V63" si="53">S37/S8</f>
        <v>1.869158878504673E-3</v>
      </c>
      <c r="T63" s="73">
        <f t="shared" si="53"/>
        <v>-2.2018348623853212E-2</v>
      </c>
      <c r="U63" s="73">
        <f t="shared" si="53"/>
        <v>-2.2514071294559099E-2</v>
      </c>
      <c r="V63" s="53">
        <f t="shared" si="53"/>
        <v>-1.1436413540713633E-2</v>
      </c>
    </row>
    <row r="64" spans="1:22">
      <c r="A64" s="65" t="s">
        <v>10</v>
      </c>
      <c r="B64" s="53">
        <f t="shared" ref="B64:H64" si="54">B43/B8</f>
        <v>0.15665399239543726</v>
      </c>
      <c r="C64" s="73">
        <f t="shared" si="54"/>
        <v>0.15764331210191082</v>
      </c>
      <c r="D64" s="73">
        <f t="shared" si="54"/>
        <v>0.20411392405063292</v>
      </c>
      <c r="E64" s="73">
        <f t="shared" si="54"/>
        <v>0.1921259842519685</v>
      </c>
      <c r="F64" s="73">
        <f t="shared" si="54"/>
        <v>0.16129032258064516</v>
      </c>
      <c r="G64" s="53">
        <f t="shared" si="54"/>
        <v>0.17871170463472114</v>
      </c>
      <c r="H64" s="73">
        <f t="shared" si="54"/>
        <v>0.25848142164781907</v>
      </c>
      <c r="I64" s="73">
        <v>0.26800000000000002</v>
      </c>
      <c r="J64" s="73">
        <v>0.26400000000000001</v>
      </c>
      <c r="K64" s="73">
        <f>K43/K8</f>
        <v>0.27993527508090615</v>
      </c>
      <c r="L64" s="53">
        <v>0.26800000000000002</v>
      </c>
      <c r="M64" s="73">
        <f>M43/M8</f>
        <v>0.25432525951557095</v>
      </c>
      <c r="N64" s="73">
        <v>0.25900000000000001</v>
      </c>
      <c r="O64" s="73">
        <f t="shared" ref="O64:T64" si="55">O43/O8</f>
        <v>0.2826797385620915</v>
      </c>
      <c r="P64" s="73">
        <f t="shared" si="55"/>
        <v>0.10963455149501661</v>
      </c>
      <c r="Q64" s="53">
        <f t="shared" si="55"/>
        <v>0.22607959356477561</v>
      </c>
      <c r="R64" s="73">
        <f t="shared" si="55"/>
        <v>0.23909249563699825</v>
      </c>
      <c r="S64" s="73">
        <f t="shared" si="55"/>
        <v>0.26728971962616821</v>
      </c>
      <c r="T64" s="73">
        <f t="shared" si="55"/>
        <v>0.22018348623853212</v>
      </c>
      <c r="U64" s="73">
        <f t="shared" ref="U64:V64" si="56">U43/U8</f>
        <v>0.21575984990619138</v>
      </c>
      <c r="V64" s="53">
        <f t="shared" si="56"/>
        <v>0.23559011893870083</v>
      </c>
    </row>
    <row r="65" spans="1:22">
      <c r="A65" s="65" t="s">
        <v>18</v>
      </c>
      <c r="B65" s="53">
        <f t="shared" ref="B65:R65" si="57">B51/B8</f>
        <v>9.2395437262357411E-2</v>
      </c>
      <c r="C65" s="73">
        <f t="shared" si="57"/>
        <v>0.11624203821656051</v>
      </c>
      <c r="D65" s="73">
        <f t="shared" si="57"/>
        <v>0.12974683544303797</v>
      </c>
      <c r="E65" s="73">
        <f t="shared" si="57"/>
        <v>0.12283464566929134</v>
      </c>
      <c r="F65" s="73">
        <f t="shared" si="57"/>
        <v>0.11827956989247312</v>
      </c>
      <c r="G65" s="53">
        <f t="shared" si="57"/>
        <v>0.12175962293794187</v>
      </c>
      <c r="H65" s="73">
        <f t="shared" si="57"/>
        <v>0.11147011308562198</v>
      </c>
      <c r="I65" s="73">
        <f t="shared" si="57"/>
        <v>0.14950166112956811</v>
      </c>
      <c r="J65" s="73">
        <f t="shared" si="57"/>
        <v>0.12086092715231789</v>
      </c>
      <c r="K65" s="73">
        <f t="shared" si="57"/>
        <v>0.12621359223300971</v>
      </c>
      <c r="L65" s="53">
        <f t="shared" si="57"/>
        <v>0.12689316414244781</v>
      </c>
      <c r="M65" s="73">
        <f t="shared" si="57"/>
        <v>0.10899653979238755</v>
      </c>
      <c r="N65" s="73">
        <f t="shared" si="57"/>
        <v>0.14561403508771931</v>
      </c>
      <c r="O65" s="73">
        <f t="shared" si="57"/>
        <v>0.11764705882352941</v>
      </c>
      <c r="P65" s="73">
        <f t="shared" si="57"/>
        <v>0.12458471760797342</v>
      </c>
      <c r="Q65" s="53">
        <f t="shared" si="57"/>
        <v>0.12404741744284505</v>
      </c>
      <c r="R65" s="73">
        <f t="shared" si="57"/>
        <v>0.11343804537521815</v>
      </c>
      <c r="S65" s="73">
        <f t="shared" ref="S65:V65" si="58">S51/S8</f>
        <v>0.13644859813084112</v>
      </c>
      <c r="T65" s="73">
        <f t="shared" si="58"/>
        <v>0.1834862385321101</v>
      </c>
      <c r="U65" s="73">
        <f t="shared" si="58"/>
        <v>0.15196998123827393</v>
      </c>
      <c r="V65" s="53">
        <f t="shared" si="58"/>
        <v>0.14592863677950596</v>
      </c>
    </row>
    <row r="66" spans="1:22" ht="5.25" customHeight="1">
      <c r="A66" s="52"/>
      <c r="B66" s="52"/>
      <c r="C66" s="52"/>
      <c r="D66" s="52"/>
      <c r="E66" s="52"/>
      <c r="F66" s="52"/>
      <c r="G66" s="52"/>
      <c r="H66" s="52"/>
      <c r="I66" s="52"/>
      <c r="J66" s="52"/>
      <c r="K66" s="52"/>
      <c r="L66" s="52"/>
      <c r="M66" s="52"/>
      <c r="N66" s="52"/>
      <c r="O66" s="52"/>
      <c r="P66" s="52"/>
      <c r="Q66" s="52"/>
      <c r="R66" s="52"/>
      <c r="S66" s="52"/>
      <c r="T66" s="52"/>
      <c r="U66" s="52"/>
      <c r="V66" s="52"/>
    </row>
  </sheetData>
  <pageMargins left="0.39370078740157483" right="0.39370078740157483" top="0.39370078740157483" bottom="0.19685039370078741" header="0.31496062992125984" footer="0.31496062992125984"/>
  <pageSetup paperSize="9" scale="67" orientation="landscape" r:id="rId1"/>
  <headerFooter>
    <oddHeader>&amp;CBezeq - The Israel Telecommunication Corp. Ltd.</oddHeader>
    <oddFooter>&amp;R&amp;P of &amp;N
Pelephone financial metrics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69"/>
  <sheetViews>
    <sheetView showGridLines="0" zoomScale="110" zoomScaleNormal="110" workbookViewId="0">
      <pane xSplit="1" ySplit="7" topLeftCell="L30" activePane="bottomRight" state="frozen"/>
      <selection activeCell="M18" sqref="M18"/>
      <selection pane="topRight" activeCell="M18" sqref="M18"/>
      <selection pane="bottomLeft" activeCell="M18" sqref="M18"/>
      <selection pane="bottomRight" activeCell="T36" sqref="T36"/>
    </sheetView>
  </sheetViews>
  <sheetFormatPr defaultRowHeight="12.75"/>
  <cols>
    <col min="1" max="1" width="52.7109375" customWidth="1"/>
    <col min="2" max="5" width="9.140625" hidden="1" customWidth="1"/>
    <col min="7" max="10" width="9.140625" hidden="1" customWidth="1"/>
  </cols>
  <sheetData>
    <row r="1" spans="1:22">
      <c r="A1" s="29"/>
      <c r="B1" s="3"/>
      <c r="C1" s="3"/>
      <c r="D1" s="3"/>
      <c r="E1" s="3"/>
      <c r="F1" s="3"/>
      <c r="G1" s="3"/>
      <c r="H1" s="3"/>
      <c r="I1" s="3"/>
      <c r="J1" s="3"/>
      <c r="K1" s="3"/>
      <c r="L1" s="3"/>
      <c r="M1" s="3"/>
      <c r="N1" s="3"/>
      <c r="O1" s="3"/>
      <c r="P1" s="3"/>
      <c r="Q1" s="3"/>
    </row>
    <row r="2" spans="1:22">
      <c r="A2" s="29"/>
      <c r="B2" s="3"/>
      <c r="C2" s="3"/>
      <c r="D2" s="3"/>
      <c r="E2" s="3"/>
      <c r="F2" s="3"/>
      <c r="G2" s="3"/>
      <c r="H2" s="3"/>
      <c r="I2" s="3"/>
      <c r="J2" s="3"/>
      <c r="K2" s="3"/>
      <c r="L2" s="3"/>
      <c r="M2" s="3"/>
      <c r="N2" s="3"/>
      <c r="O2" s="3"/>
      <c r="P2" s="3"/>
      <c r="Q2" s="3"/>
      <c r="R2" s="3"/>
      <c r="S2" s="32"/>
    </row>
    <row r="3" spans="1:22">
      <c r="A3" s="30"/>
      <c r="B3" s="45" t="s">
        <v>74</v>
      </c>
      <c r="C3" s="45" t="s">
        <v>0</v>
      </c>
      <c r="D3" s="45" t="s">
        <v>1</v>
      </c>
      <c r="E3" s="45" t="s">
        <v>2</v>
      </c>
      <c r="F3" s="45" t="s">
        <v>5</v>
      </c>
      <c r="G3" s="45" t="s">
        <v>74</v>
      </c>
      <c r="H3" s="45" t="s">
        <v>0</v>
      </c>
      <c r="I3" s="45" t="s">
        <v>1</v>
      </c>
      <c r="J3" s="45" t="s">
        <v>2</v>
      </c>
      <c r="K3" s="45" t="s">
        <v>5</v>
      </c>
      <c r="L3" s="45" t="s">
        <v>74</v>
      </c>
      <c r="M3" s="45" t="s">
        <v>0</v>
      </c>
      <c r="N3" s="45" t="s">
        <v>1</v>
      </c>
      <c r="O3" s="45" t="s">
        <v>2</v>
      </c>
      <c r="P3" s="45" t="s">
        <v>5</v>
      </c>
      <c r="Q3" s="45" t="s">
        <v>74</v>
      </c>
      <c r="R3" s="45" t="s">
        <v>0</v>
      </c>
      <c r="S3" s="45" t="s">
        <v>1</v>
      </c>
      <c r="T3" s="45" t="s">
        <v>2</v>
      </c>
      <c r="U3" s="45" t="s">
        <v>5</v>
      </c>
    </row>
    <row r="4" spans="1:22">
      <c r="A4" s="267" t="s">
        <v>311</v>
      </c>
      <c r="B4" s="45">
        <v>2017</v>
      </c>
      <c r="C4" s="45">
        <v>2017</v>
      </c>
      <c r="D4" s="45">
        <v>2017</v>
      </c>
      <c r="E4" s="45">
        <v>2017</v>
      </c>
      <c r="F4" s="45">
        <v>2017</v>
      </c>
      <c r="G4" s="45">
        <v>2018</v>
      </c>
      <c r="H4" s="45">
        <v>2018</v>
      </c>
      <c r="I4" s="45">
        <v>2018</v>
      </c>
      <c r="J4" s="45">
        <v>2018</v>
      </c>
      <c r="K4" s="45">
        <v>2018</v>
      </c>
      <c r="L4" s="45">
        <v>2019</v>
      </c>
      <c r="M4" s="45">
        <v>2019</v>
      </c>
      <c r="N4" s="45">
        <v>2019</v>
      </c>
      <c r="O4" s="45">
        <v>2019</v>
      </c>
      <c r="P4" s="45">
        <v>2019</v>
      </c>
      <c r="Q4" s="45">
        <v>2020</v>
      </c>
      <c r="R4" s="45">
        <v>2020</v>
      </c>
      <c r="S4" s="45">
        <v>2020</v>
      </c>
      <c r="T4" s="45">
        <v>2020</v>
      </c>
      <c r="U4" s="45">
        <v>2020</v>
      </c>
    </row>
    <row r="5" spans="1:22" ht="6" customHeight="1">
      <c r="A5" s="42"/>
      <c r="B5" s="43"/>
      <c r="C5" s="43"/>
      <c r="D5" s="43"/>
      <c r="E5" s="43"/>
      <c r="F5" s="43"/>
      <c r="G5" s="43"/>
      <c r="H5" s="43"/>
      <c r="I5" s="43"/>
      <c r="J5" s="43"/>
      <c r="K5" s="43"/>
      <c r="L5" s="43"/>
      <c r="M5" s="43"/>
      <c r="N5" s="43"/>
      <c r="O5" s="43"/>
      <c r="P5" s="43"/>
      <c r="Q5" s="43"/>
      <c r="R5" s="43"/>
      <c r="S5" s="43"/>
      <c r="T5" s="43"/>
      <c r="U5" s="43"/>
    </row>
    <row r="6" spans="1:22" ht="20.25">
      <c r="A6" s="33" t="s">
        <v>15</v>
      </c>
      <c r="B6" s="27"/>
      <c r="C6" s="27"/>
      <c r="D6" s="27"/>
      <c r="E6" s="27"/>
      <c r="F6" s="27"/>
      <c r="G6" s="27"/>
      <c r="H6" s="27"/>
      <c r="I6" s="27"/>
      <c r="J6" s="27"/>
      <c r="K6" s="27"/>
      <c r="L6" s="27"/>
      <c r="M6" s="27"/>
      <c r="N6" s="27"/>
      <c r="O6" s="27"/>
      <c r="P6" s="27"/>
      <c r="Q6" s="27"/>
      <c r="R6" s="27"/>
      <c r="S6" s="27"/>
      <c r="T6" s="27"/>
      <c r="U6" s="27"/>
    </row>
    <row r="7" spans="1:22">
      <c r="A7" s="38" t="s">
        <v>59</v>
      </c>
      <c r="B7" s="39"/>
      <c r="C7" s="39"/>
      <c r="D7" s="39"/>
      <c r="E7" s="39"/>
      <c r="F7" s="39"/>
      <c r="G7" s="39"/>
      <c r="H7" s="39"/>
      <c r="I7" s="39"/>
      <c r="J7" s="39"/>
      <c r="K7" s="39"/>
      <c r="L7" s="39"/>
      <c r="M7" s="39"/>
      <c r="N7" s="39"/>
      <c r="O7" s="39"/>
      <c r="P7" s="39"/>
      <c r="Q7" s="39"/>
      <c r="R7" s="39"/>
      <c r="S7" s="39"/>
      <c r="T7" s="39"/>
      <c r="U7" s="39"/>
    </row>
    <row r="8" spans="1:22">
      <c r="A8" s="65" t="s">
        <v>49</v>
      </c>
      <c r="B8" s="66">
        <v>384</v>
      </c>
      <c r="C8" s="66">
        <v>407</v>
      </c>
      <c r="D8" s="66">
        <v>367</v>
      </c>
      <c r="E8" s="66">
        <f>F8-D8-C8-B8</f>
        <v>379</v>
      </c>
      <c r="F8" s="35">
        <v>1537</v>
      </c>
      <c r="G8" s="66">
        <v>352</v>
      </c>
      <c r="H8" s="66">
        <v>336</v>
      </c>
      <c r="I8" s="66">
        <v>333</v>
      </c>
      <c r="J8" s="66">
        <f>K8-I8-H8-G8</f>
        <v>370</v>
      </c>
      <c r="K8" s="35">
        <v>1391</v>
      </c>
      <c r="L8" s="66">
        <v>341</v>
      </c>
      <c r="M8" s="66">
        <v>339</v>
      </c>
      <c r="N8" s="66">
        <v>329</v>
      </c>
      <c r="O8" s="66">
        <f>P8-L8-M8-N8</f>
        <v>330</v>
      </c>
      <c r="P8" s="35">
        <v>1339</v>
      </c>
      <c r="Q8" s="66">
        <v>317</v>
      </c>
      <c r="R8" s="66">
        <v>314</v>
      </c>
      <c r="S8" s="66">
        <v>315</v>
      </c>
      <c r="T8" s="66">
        <f>U8-Q8-R8-S8</f>
        <v>325</v>
      </c>
      <c r="U8" s="35">
        <v>1271</v>
      </c>
    </row>
    <row r="9" spans="1:22" ht="10.5" customHeight="1">
      <c r="A9" s="67" t="s">
        <v>7</v>
      </c>
      <c r="B9" s="68"/>
      <c r="C9" s="68">
        <f>C8/B8-1</f>
        <v>5.9895833333333259E-2</v>
      </c>
      <c r="D9" s="68">
        <f>D8/C8-1</f>
        <v>-9.8280098280098316E-2</v>
      </c>
      <c r="E9" s="68">
        <f>E8/D8-1</f>
        <v>3.2697547683923744E-2</v>
      </c>
      <c r="F9" s="23"/>
      <c r="G9" s="68">
        <f>G8/E8-1</f>
        <v>-7.1240105540897103E-2</v>
      </c>
      <c r="H9" s="68">
        <f>H8/G8-1</f>
        <v>-4.5454545454545414E-2</v>
      </c>
      <c r="I9" s="68">
        <f>I8/H8-1</f>
        <v>-8.9285714285713969E-3</v>
      </c>
      <c r="J9" s="68">
        <f>J8/I8-1</f>
        <v>0.11111111111111116</v>
      </c>
      <c r="K9" s="23"/>
      <c r="L9" s="68">
        <f>L8/J8-1</f>
        <v>-7.8378378378378355E-2</v>
      </c>
      <c r="M9" s="68">
        <f>M8/L8-1</f>
        <v>-5.8651026392961825E-3</v>
      </c>
      <c r="N9" s="68">
        <f>N8/M8-1</f>
        <v>-2.9498525073746285E-2</v>
      </c>
      <c r="O9" s="68">
        <f>O8/N8-1</f>
        <v>3.0395136778116338E-3</v>
      </c>
      <c r="P9" s="23"/>
      <c r="Q9" s="68">
        <f>Q8/O8-1</f>
        <v>-3.9393939393939426E-2</v>
      </c>
      <c r="R9" s="68">
        <f>R8/Q8-1</f>
        <v>-9.4637223974763929E-3</v>
      </c>
      <c r="S9" s="68">
        <f>S8/R8-1</f>
        <v>3.1847133757962887E-3</v>
      </c>
      <c r="T9" s="68">
        <f>T8/S8-1</f>
        <v>3.1746031746031855E-2</v>
      </c>
      <c r="U9" s="23"/>
    </row>
    <row r="10" spans="1:22" ht="11.25" customHeight="1">
      <c r="A10" s="67" t="s">
        <v>8</v>
      </c>
      <c r="B10" s="69"/>
      <c r="C10" s="69"/>
      <c r="D10" s="69"/>
      <c r="E10" s="69"/>
      <c r="F10" s="23"/>
      <c r="G10" s="69">
        <f t="shared" ref="G10:M10" si="0">G8/B8-1</f>
        <v>-8.333333333333337E-2</v>
      </c>
      <c r="H10" s="69">
        <f t="shared" si="0"/>
        <v>-0.1744471744471745</v>
      </c>
      <c r="I10" s="69">
        <f t="shared" si="0"/>
        <v>-9.2643051771117202E-2</v>
      </c>
      <c r="J10" s="69">
        <f t="shared" si="0"/>
        <v>-2.3746701846965701E-2</v>
      </c>
      <c r="K10" s="23">
        <f t="shared" si="0"/>
        <v>-9.4990240728692221E-2</v>
      </c>
      <c r="L10" s="69">
        <f t="shared" si="0"/>
        <v>-3.125E-2</v>
      </c>
      <c r="M10" s="69">
        <f t="shared" si="0"/>
        <v>8.9285714285713969E-3</v>
      </c>
      <c r="N10" s="69">
        <f t="shared" ref="N10:U10" si="1">N8/I8-1</f>
        <v>-1.2012012012011963E-2</v>
      </c>
      <c r="O10" s="69">
        <f t="shared" si="1"/>
        <v>-0.10810810810810811</v>
      </c>
      <c r="P10" s="23">
        <f t="shared" si="1"/>
        <v>-3.7383177570093462E-2</v>
      </c>
      <c r="Q10" s="69">
        <f t="shared" si="1"/>
        <v>-7.0381231671554301E-2</v>
      </c>
      <c r="R10" s="69">
        <f t="shared" si="1"/>
        <v>-7.3746312684365822E-2</v>
      </c>
      <c r="S10" s="69">
        <f t="shared" si="1"/>
        <v>-4.2553191489361653E-2</v>
      </c>
      <c r="T10" s="69">
        <f t="shared" si="1"/>
        <v>-1.5151515151515138E-2</v>
      </c>
      <c r="U10" s="23">
        <f t="shared" si="1"/>
        <v>-5.0784167289021687E-2</v>
      </c>
    </row>
    <row r="11" spans="1:22" ht="5.25" customHeight="1">
      <c r="A11" s="38"/>
      <c r="B11" s="39"/>
      <c r="C11" s="39"/>
      <c r="D11" s="39"/>
      <c r="E11" s="39"/>
      <c r="F11" s="39"/>
      <c r="G11" s="39"/>
      <c r="H11" s="39"/>
      <c r="I11" s="39"/>
      <c r="J11" s="39"/>
      <c r="K11" s="39"/>
      <c r="L11" s="39"/>
      <c r="M11" s="39"/>
      <c r="N11" s="39"/>
      <c r="O11" s="39"/>
      <c r="P11" s="39"/>
      <c r="Q11" s="39"/>
      <c r="R11" s="39"/>
      <c r="S11" s="39"/>
      <c r="T11" s="39"/>
      <c r="U11" s="39"/>
    </row>
    <row r="12" spans="1:22">
      <c r="A12" s="65" t="s">
        <v>266</v>
      </c>
      <c r="B12" s="75" t="s">
        <v>40</v>
      </c>
      <c r="C12" s="75" t="s">
        <v>40</v>
      </c>
      <c r="D12" s="75" t="s">
        <v>40</v>
      </c>
      <c r="E12" s="75" t="s">
        <v>40</v>
      </c>
      <c r="F12" s="35">
        <v>670</v>
      </c>
      <c r="G12" s="75" t="s">
        <v>40</v>
      </c>
      <c r="H12" s="75" t="s">
        <v>40</v>
      </c>
      <c r="I12" s="75" t="s">
        <v>40</v>
      </c>
      <c r="J12" s="75" t="s">
        <v>40</v>
      </c>
      <c r="K12" s="35">
        <v>659</v>
      </c>
      <c r="L12" s="75" t="s">
        <v>40</v>
      </c>
      <c r="M12" s="75" t="s">
        <v>40</v>
      </c>
      <c r="N12" s="75" t="s">
        <v>40</v>
      </c>
      <c r="O12" s="75" t="s">
        <v>40</v>
      </c>
      <c r="P12" s="35">
        <v>632</v>
      </c>
      <c r="Q12" s="75" t="s">
        <v>40</v>
      </c>
      <c r="R12" s="75" t="s">
        <v>40</v>
      </c>
      <c r="S12" s="75" t="s">
        <v>40</v>
      </c>
      <c r="T12" s="75" t="s">
        <v>40</v>
      </c>
      <c r="U12" s="35">
        <v>596</v>
      </c>
      <c r="V12" s="262"/>
    </row>
    <row r="13" spans="1:22">
      <c r="A13" s="67" t="s">
        <v>114</v>
      </c>
      <c r="B13" s="69"/>
      <c r="C13" s="69"/>
      <c r="D13" s="69"/>
      <c r="E13" s="69"/>
      <c r="F13" s="23">
        <f>F12/F8</f>
        <v>0.43591411841249189</v>
      </c>
      <c r="G13" s="69"/>
      <c r="H13" s="69"/>
      <c r="I13" s="69"/>
      <c r="J13" s="69"/>
      <c r="K13" s="23">
        <f>K12/K8</f>
        <v>0.47375988497483823</v>
      </c>
      <c r="L13" s="69"/>
      <c r="M13" s="69"/>
      <c r="N13" s="69"/>
      <c r="O13" s="69"/>
      <c r="P13" s="23">
        <f>P12/P8</f>
        <v>0.47199402539208363</v>
      </c>
      <c r="Q13" s="69"/>
      <c r="R13" s="69"/>
      <c r="S13" s="69"/>
      <c r="T13" s="69"/>
      <c r="U13" s="23">
        <f>U12/U8</f>
        <v>0.46892210857592448</v>
      </c>
    </row>
    <row r="14" spans="1:22">
      <c r="A14" s="65" t="s">
        <v>312</v>
      </c>
      <c r="B14" s="75" t="s">
        <v>40</v>
      </c>
      <c r="C14" s="75" t="s">
        <v>40</v>
      </c>
      <c r="D14" s="75" t="s">
        <v>40</v>
      </c>
      <c r="E14" s="75" t="s">
        <v>40</v>
      </c>
      <c r="F14" s="35">
        <v>867</v>
      </c>
      <c r="G14" s="75" t="s">
        <v>40</v>
      </c>
      <c r="H14" s="75" t="s">
        <v>40</v>
      </c>
      <c r="I14" s="75" t="s">
        <v>40</v>
      </c>
      <c r="J14" s="75" t="s">
        <v>40</v>
      </c>
      <c r="K14" s="35">
        <v>732</v>
      </c>
      <c r="L14" s="75" t="s">
        <v>40</v>
      </c>
      <c r="M14" s="75" t="s">
        <v>40</v>
      </c>
      <c r="N14" s="75" t="s">
        <v>40</v>
      </c>
      <c r="O14" s="75" t="s">
        <v>40</v>
      </c>
      <c r="P14" s="35">
        <v>707</v>
      </c>
      <c r="Q14" s="75" t="s">
        <v>40</v>
      </c>
      <c r="R14" s="75" t="s">
        <v>40</v>
      </c>
      <c r="S14" s="75" t="s">
        <v>40</v>
      </c>
      <c r="T14" s="75" t="s">
        <v>40</v>
      </c>
      <c r="U14" s="35">
        <v>675</v>
      </c>
    </row>
    <row r="15" spans="1:22">
      <c r="A15" s="67" t="s">
        <v>114</v>
      </c>
      <c r="B15" s="69"/>
      <c r="C15" s="69"/>
      <c r="D15" s="69"/>
      <c r="E15" s="69"/>
      <c r="F15" s="23">
        <f>F14/F8</f>
        <v>0.56408588158750816</v>
      </c>
      <c r="G15" s="69"/>
      <c r="H15" s="69"/>
      <c r="I15" s="69"/>
      <c r="J15" s="69"/>
      <c r="K15" s="23">
        <f>K14/K8</f>
        <v>0.52624011502516177</v>
      </c>
      <c r="L15" s="69"/>
      <c r="M15" s="69"/>
      <c r="N15" s="69"/>
      <c r="O15" s="69"/>
      <c r="P15" s="23">
        <f>P14/P8</f>
        <v>0.52800597460791632</v>
      </c>
      <c r="Q15" s="69"/>
      <c r="R15" s="69"/>
      <c r="S15" s="69"/>
      <c r="T15" s="69"/>
      <c r="U15" s="23">
        <f>U14/U8</f>
        <v>0.53107789142407558</v>
      </c>
    </row>
    <row r="16" spans="1:22" ht="7.5" customHeight="1">
      <c r="A16" s="38"/>
      <c r="B16" s="40"/>
      <c r="C16" s="40"/>
      <c r="D16" s="40"/>
      <c r="E16" s="40"/>
      <c r="F16" s="39"/>
      <c r="G16" s="40"/>
      <c r="H16" s="40"/>
      <c r="I16" s="40"/>
      <c r="J16" s="40"/>
      <c r="K16" s="39"/>
      <c r="L16" s="40"/>
      <c r="M16" s="40"/>
      <c r="N16" s="40"/>
      <c r="O16" s="40"/>
      <c r="P16" s="39"/>
      <c r="Q16" s="40"/>
      <c r="R16" s="40"/>
      <c r="S16" s="40"/>
      <c r="T16" s="40"/>
      <c r="U16" s="39"/>
    </row>
    <row r="17" spans="1:21">
      <c r="A17" s="65" t="s">
        <v>115</v>
      </c>
      <c r="B17" s="75" t="s">
        <v>40</v>
      </c>
      <c r="C17" s="75" t="s">
        <v>40</v>
      </c>
      <c r="D17" s="75" t="s">
        <v>40</v>
      </c>
      <c r="E17" s="75" t="s">
        <v>40</v>
      </c>
      <c r="F17" s="35">
        <v>488</v>
      </c>
      <c r="G17" s="75" t="s">
        <v>40</v>
      </c>
      <c r="H17" s="75" t="s">
        <v>40</v>
      </c>
      <c r="I17" s="75" t="s">
        <v>40</v>
      </c>
      <c r="J17" s="75" t="s">
        <v>40</v>
      </c>
      <c r="K17" s="35">
        <v>468</v>
      </c>
      <c r="L17" s="75" t="s">
        <v>40</v>
      </c>
      <c r="M17" s="75" t="s">
        <v>40</v>
      </c>
      <c r="N17" s="75" t="s">
        <v>40</v>
      </c>
      <c r="O17" s="75" t="s">
        <v>40</v>
      </c>
      <c r="P17" s="35">
        <v>441</v>
      </c>
      <c r="Q17" s="75" t="s">
        <v>40</v>
      </c>
      <c r="R17" s="75" t="s">
        <v>40</v>
      </c>
      <c r="S17" s="75" t="s">
        <v>40</v>
      </c>
      <c r="T17" s="75" t="s">
        <v>40</v>
      </c>
      <c r="U17" s="35">
        <v>401</v>
      </c>
    </row>
    <row r="18" spans="1:21">
      <c r="A18" s="67" t="s">
        <v>114</v>
      </c>
      <c r="B18" s="69"/>
      <c r="C18" s="69"/>
      <c r="D18" s="69"/>
      <c r="E18" s="69"/>
      <c r="F18" s="23">
        <f>F17/F8</f>
        <v>0.31750162654521796</v>
      </c>
      <c r="G18" s="69"/>
      <c r="H18" s="69"/>
      <c r="I18" s="69"/>
      <c r="J18" s="69"/>
      <c r="K18" s="23">
        <f>K17/K8</f>
        <v>0.3364485981308411</v>
      </c>
      <c r="L18" s="69"/>
      <c r="M18" s="69"/>
      <c r="N18" s="69"/>
      <c r="O18" s="69"/>
      <c r="P18" s="23">
        <f>P17/P8</f>
        <v>0.32935026138909634</v>
      </c>
      <c r="Q18" s="69"/>
      <c r="R18" s="69"/>
      <c r="S18" s="69"/>
      <c r="T18" s="69"/>
      <c r="U18" s="23">
        <f>U17/U8</f>
        <v>0.31549960660896931</v>
      </c>
    </row>
    <row r="19" spans="1:21">
      <c r="A19" s="65" t="s">
        <v>113</v>
      </c>
      <c r="B19" s="75" t="s">
        <v>40</v>
      </c>
      <c r="C19" s="75" t="s">
        <v>40</v>
      </c>
      <c r="D19" s="75" t="s">
        <v>40</v>
      </c>
      <c r="E19" s="75" t="s">
        <v>40</v>
      </c>
      <c r="F19" s="35">
        <v>1049</v>
      </c>
      <c r="G19" s="75" t="s">
        <v>40</v>
      </c>
      <c r="H19" s="75" t="s">
        <v>40</v>
      </c>
      <c r="I19" s="75" t="s">
        <v>40</v>
      </c>
      <c r="J19" s="75" t="s">
        <v>40</v>
      </c>
      <c r="K19" s="35">
        <v>923</v>
      </c>
      <c r="L19" s="75" t="s">
        <v>40</v>
      </c>
      <c r="M19" s="75" t="s">
        <v>40</v>
      </c>
      <c r="N19" s="75" t="s">
        <v>40</v>
      </c>
      <c r="O19" s="75" t="s">
        <v>40</v>
      </c>
      <c r="P19" s="35">
        <v>898</v>
      </c>
      <c r="Q19" s="75" t="s">
        <v>40</v>
      </c>
      <c r="R19" s="75" t="s">
        <v>40</v>
      </c>
      <c r="S19" s="75" t="s">
        <v>40</v>
      </c>
      <c r="T19" s="75" t="s">
        <v>40</v>
      </c>
      <c r="U19" s="35">
        <v>870</v>
      </c>
    </row>
    <row r="20" spans="1:21">
      <c r="A20" s="67" t="s">
        <v>114</v>
      </c>
      <c r="B20" s="69"/>
      <c r="C20" s="69"/>
      <c r="D20" s="69"/>
      <c r="E20" s="69"/>
      <c r="F20" s="23">
        <f>F19/F8</f>
        <v>0.68249837345478204</v>
      </c>
      <c r="G20" s="69"/>
      <c r="H20" s="69"/>
      <c r="I20" s="69"/>
      <c r="J20" s="69"/>
      <c r="K20" s="23">
        <f>K19/K8</f>
        <v>0.66355140186915884</v>
      </c>
      <c r="L20" s="69"/>
      <c r="M20" s="69"/>
      <c r="N20" s="69"/>
      <c r="O20" s="69"/>
      <c r="P20" s="23">
        <f>P19/P8</f>
        <v>0.67064973861090371</v>
      </c>
      <c r="Q20" s="69"/>
      <c r="R20" s="69"/>
      <c r="S20" s="69"/>
      <c r="T20" s="69"/>
      <c r="U20" s="23">
        <f>U19/U8</f>
        <v>0.68450039339103064</v>
      </c>
    </row>
    <row r="21" spans="1:21">
      <c r="A21" s="38" t="s">
        <v>27</v>
      </c>
      <c r="B21" s="40"/>
      <c r="C21" s="40"/>
      <c r="D21" s="40"/>
      <c r="E21" s="40"/>
      <c r="F21" s="39"/>
      <c r="G21" s="40"/>
      <c r="H21" s="40"/>
      <c r="I21" s="40"/>
      <c r="J21" s="40"/>
      <c r="K21" s="39"/>
      <c r="L21" s="40"/>
      <c r="M21" s="40"/>
      <c r="N21" s="40"/>
      <c r="O21" s="40"/>
      <c r="P21" s="39"/>
      <c r="Q21" s="40"/>
      <c r="R21" s="40"/>
      <c r="S21" s="40"/>
      <c r="T21" s="40"/>
      <c r="U21" s="39"/>
    </row>
    <row r="22" spans="1:21">
      <c r="A22" s="65" t="s">
        <v>217</v>
      </c>
      <c r="B22" s="66">
        <f>15+11+7</f>
        <v>33</v>
      </c>
      <c r="C22" s="66">
        <f>14+11+8</f>
        <v>33</v>
      </c>
      <c r="D22" s="66">
        <f>15+11+8</f>
        <v>34</v>
      </c>
      <c r="E22" s="66">
        <f>F22-D22-C22-B22</f>
        <v>35</v>
      </c>
      <c r="F22" s="35">
        <f>60+43+32</f>
        <v>135</v>
      </c>
      <c r="G22" s="66">
        <f>16+10+9+8</f>
        <v>43</v>
      </c>
      <c r="H22" s="66">
        <f>15+11+10+9</f>
        <v>45</v>
      </c>
      <c r="I22" s="66">
        <v>46</v>
      </c>
      <c r="J22" s="66">
        <f>K22-I22-H22-G22</f>
        <v>60</v>
      </c>
      <c r="K22" s="35">
        <v>194</v>
      </c>
      <c r="L22" s="66">
        <v>46</v>
      </c>
      <c r="M22" s="66">
        <v>46</v>
      </c>
      <c r="N22" s="66">
        <v>47</v>
      </c>
      <c r="O22" s="66">
        <f>P22-L22-M22-N22</f>
        <v>51</v>
      </c>
      <c r="P22" s="35">
        <v>190</v>
      </c>
      <c r="Q22" s="66">
        <v>43</v>
      </c>
      <c r="R22" s="66">
        <v>38</v>
      </c>
      <c r="S22" s="66">
        <v>42</v>
      </c>
      <c r="T22" s="66">
        <f>U22-Q22-R22-S22</f>
        <v>26</v>
      </c>
      <c r="U22" s="35">
        <v>149</v>
      </c>
    </row>
    <row r="23" spans="1:21" ht="9.75" customHeight="1">
      <c r="A23" s="77" t="s">
        <v>7</v>
      </c>
      <c r="B23" s="68"/>
      <c r="C23" s="68">
        <f>C22/B22-1</f>
        <v>0</v>
      </c>
      <c r="D23" s="68">
        <f>D22/C22-1</f>
        <v>3.0303030303030276E-2</v>
      </c>
      <c r="E23" s="68">
        <f>E22/D22-1</f>
        <v>2.9411764705882248E-2</v>
      </c>
      <c r="F23" s="23"/>
      <c r="G23" s="68">
        <f>G22/E22-1</f>
        <v>0.22857142857142865</v>
      </c>
      <c r="H23" s="68">
        <f>H22/G22-1</f>
        <v>4.6511627906976827E-2</v>
      </c>
      <c r="I23" s="68">
        <f>I22/H22-1</f>
        <v>2.2222222222222143E-2</v>
      </c>
      <c r="J23" s="68">
        <f>J22/I22-1</f>
        <v>0.30434782608695654</v>
      </c>
      <c r="K23" s="23"/>
      <c r="L23" s="68">
        <f>L22/J22-1</f>
        <v>-0.23333333333333328</v>
      </c>
      <c r="M23" s="68">
        <f>M22/L22-1</f>
        <v>0</v>
      </c>
      <c r="N23" s="68">
        <f>N22/M22-1</f>
        <v>2.1739130434782705E-2</v>
      </c>
      <c r="O23" s="68">
        <f>O22/N22-1</f>
        <v>8.5106382978723305E-2</v>
      </c>
      <c r="P23" s="23"/>
      <c r="Q23" s="68">
        <f>Q22/O22-1</f>
        <v>-0.15686274509803921</v>
      </c>
      <c r="R23" s="68">
        <f>R22/Q22-1</f>
        <v>-0.11627906976744184</v>
      </c>
      <c r="S23" s="68">
        <f>S22/R22-1</f>
        <v>0.10526315789473695</v>
      </c>
      <c r="T23" s="68">
        <f>T22/S22-1</f>
        <v>-0.38095238095238093</v>
      </c>
      <c r="U23" s="23"/>
    </row>
    <row r="24" spans="1:21" ht="11.25" customHeight="1">
      <c r="A24" s="77" t="s">
        <v>8</v>
      </c>
      <c r="B24" s="69"/>
      <c r="C24" s="69"/>
      <c r="D24" s="69"/>
      <c r="E24" s="69"/>
      <c r="F24" s="23"/>
      <c r="G24" s="69">
        <f t="shared" ref="G24:I24" si="2">G22/B22-1</f>
        <v>0.30303030303030298</v>
      </c>
      <c r="H24" s="69">
        <f t="shared" si="2"/>
        <v>0.36363636363636354</v>
      </c>
      <c r="I24" s="69">
        <f t="shared" si="2"/>
        <v>0.35294117647058831</v>
      </c>
      <c r="J24" s="69">
        <f>J22/E22-1</f>
        <v>0.71428571428571419</v>
      </c>
      <c r="K24" s="23">
        <f>K22/F22-1</f>
        <v>0.43703703703703711</v>
      </c>
      <c r="L24" s="69">
        <f t="shared" ref="L24:M24" si="3">L22/G22-1</f>
        <v>6.9767441860465018E-2</v>
      </c>
      <c r="M24" s="69">
        <f t="shared" si="3"/>
        <v>2.2222222222222143E-2</v>
      </c>
      <c r="N24" s="69">
        <f t="shared" ref="N24:U24" si="4">N22/I22-1</f>
        <v>2.1739130434782705E-2</v>
      </c>
      <c r="O24" s="69">
        <f t="shared" si="4"/>
        <v>-0.15000000000000002</v>
      </c>
      <c r="P24" s="23">
        <f t="shared" si="4"/>
        <v>-2.0618556701030966E-2</v>
      </c>
      <c r="Q24" s="69">
        <f t="shared" si="4"/>
        <v>-6.5217391304347783E-2</v>
      </c>
      <c r="R24" s="69">
        <f t="shared" si="4"/>
        <v>-0.17391304347826086</v>
      </c>
      <c r="S24" s="69">
        <f t="shared" si="4"/>
        <v>-0.1063829787234043</v>
      </c>
      <c r="T24" s="69">
        <f t="shared" si="4"/>
        <v>-0.49019607843137258</v>
      </c>
      <c r="U24" s="23">
        <f t="shared" si="4"/>
        <v>-0.21578947368421053</v>
      </c>
    </row>
    <row r="25" spans="1:21">
      <c r="A25" s="65" t="s">
        <v>75</v>
      </c>
      <c r="B25" s="66">
        <v>84</v>
      </c>
      <c r="C25" s="66">
        <v>81</v>
      </c>
      <c r="D25" s="66">
        <v>81</v>
      </c>
      <c r="E25" s="66">
        <f>F25-D25-C25-B25</f>
        <v>82</v>
      </c>
      <c r="F25" s="35">
        <v>328</v>
      </c>
      <c r="G25" s="66">
        <v>84</v>
      </c>
      <c r="H25" s="66">
        <v>75</v>
      </c>
      <c r="I25" s="66">
        <v>71</v>
      </c>
      <c r="J25" s="66">
        <f>K25-I25-H25-G25</f>
        <v>70</v>
      </c>
      <c r="K25" s="35">
        <v>300</v>
      </c>
      <c r="L25" s="66">
        <v>68</v>
      </c>
      <c r="M25" s="66">
        <v>67</v>
      </c>
      <c r="N25" s="66">
        <v>64</v>
      </c>
      <c r="O25" s="66">
        <f>P25-L25-M25-N25</f>
        <v>62</v>
      </c>
      <c r="P25" s="35">
        <v>261</v>
      </c>
      <c r="Q25" s="66">
        <v>64</v>
      </c>
      <c r="R25" s="66">
        <v>62</v>
      </c>
      <c r="S25" s="66">
        <v>63</v>
      </c>
      <c r="T25" s="66">
        <f>U25-Q25-R25-S25</f>
        <v>59</v>
      </c>
      <c r="U25" s="35">
        <v>248</v>
      </c>
    </row>
    <row r="26" spans="1:21" ht="11.25" customHeight="1">
      <c r="A26" s="67" t="s">
        <v>7</v>
      </c>
      <c r="B26" s="68"/>
      <c r="C26" s="68">
        <f>C25/B25-1</f>
        <v>-3.5714285714285698E-2</v>
      </c>
      <c r="D26" s="68">
        <f>D25/C25-1</f>
        <v>0</v>
      </c>
      <c r="E26" s="68">
        <f>E25/D25-1</f>
        <v>1.2345679012345734E-2</v>
      </c>
      <c r="F26" s="23"/>
      <c r="G26" s="68">
        <f>G25/E25-1</f>
        <v>2.4390243902439046E-2</v>
      </c>
      <c r="H26" s="68">
        <f>H25/G25-1</f>
        <v>-0.1071428571428571</v>
      </c>
      <c r="I26" s="68">
        <f>I25/H25-1</f>
        <v>-5.3333333333333344E-2</v>
      </c>
      <c r="J26" s="68">
        <f>J25/I25-1</f>
        <v>-1.4084507042253502E-2</v>
      </c>
      <c r="K26" s="23"/>
      <c r="L26" s="68">
        <f>L25/J25-1</f>
        <v>-2.8571428571428581E-2</v>
      </c>
      <c r="M26" s="68">
        <f>M25/L25-1</f>
        <v>-1.4705882352941124E-2</v>
      </c>
      <c r="N26" s="68">
        <f>N25/M25-1</f>
        <v>-4.4776119402985093E-2</v>
      </c>
      <c r="O26" s="68">
        <f>O25/N25-1</f>
        <v>-3.125E-2</v>
      </c>
      <c r="P26" s="23"/>
      <c r="Q26" s="68">
        <f>Q25/O25-1</f>
        <v>3.2258064516129004E-2</v>
      </c>
      <c r="R26" s="68">
        <f>R25/Q25-1</f>
        <v>-3.125E-2</v>
      </c>
      <c r="S26" s="68">
        <f>S25/R25-1</f>
        <v>1.6129032258064502E-2</v>
      </c>
      <c r="T26" s="68">
        <f>T25/S25-1</f>
        <v>-6.3492063492063489E-2</v>
      </c>
      <c r="U26" s="23"/>
    </row>
    <row r="27" spans="1:21" ht="9" customHeight="1">
      <c r="A27" s="67" t="s">
        <v>8</v>
      </c>
      <c r="B27" s="69"/>
      <c r="C27" s="69"/>
      <c r="D27" s="69"/>
      <c r="E27" s="69"/>
      <c r="F27" s="23"/>
      <c r="G27" s="69">
        <f t="shared" ref="G27:I27" si="5">G25/B25-1</f>
        <v>0</v>
      </c>
      <c r="H27" s="69">
        <f t="shared" si="5"/>
        <v>-7.407407407407407E-2</v>
      </c>
      <c r="I27" s="69">
        <f t="shared" si="5"/>
        <v>-0.12345679012345678</v>
      </c>
      <c r="J27" s="69">
        <f>J25/E25-1</f>
        <v>-0.14634146341463417</v>
      </c>
      <c r="K27" s="23">
        <f>K25/F25-1</f>
        <v>-8.536585365853655E-2</v>
      </c>
      <c r="L27" s="69">
        <f t="shared" ref="L27:M27" si="6">L25/G25-1</f>
        <v>-0.19047619047619047</v>
      </c>
      <c r="M27" s="69">
        <f t="shared" si="6"/>
        <v>-0.10666666666666669</v>
      </c>
      <c r="N27" s="69">
        <f t="shared" ref="N27:U27" si="7">N25/I25-1</f>
        <v>-9.8591549295774628E-2</v>
      </c>
      <c r="O27" s="69">
        <f t="shared" si="7"/>
        <v>-0.11428571428571432</v>
      </c>
      <c r="P27" s="23">
        <f t="shared" si="7"/>
        <v>-0.13</v>
      </c>
      <c r="Q27" s="69">
        <f t="shared" si="7"/>
        <v>-5.8823529411764719E-2</v>
      </c>
      <c r="R27" s="69">
        <f t="shared" si="7"/>
        <v>-7.4626865671641784E-2</v>
      </c>
      <c r="S27" s="69">
        <f t="shared" si="7"/>
        <v>-1.5625E-2</v>
      </c>
      <c r="T27" s="69">
        <f t="shared" si="7"/>
        <v>-4.8387096774193505E-2</v>
      </c>
      <c r="U27" s="23">
        <f t="shared" si="7"/>
        <v>-4.9808429118773923E-2</v>
      </c>
    </row>
    <row r="28" spans="1:21">
      <c r="A28" s="65" t="s">
        <v>242</v>
      </c>
      <c r="B28" s="141">
        <v>218</v>
      </c>
      <c r="C28" s="141">
        <v>247</v>
      </c>
      <c r="D28" s="141">
        <v>214</v>
      </c>
      <c r="E28" s="66">
        <f>F28-D28-C28-B28</f>
        <v>236</v>
      </c>
      <c r="F28" s="165">
        <v>915</v>
      </c>
      <c r="G28" s="141">
        <f>G8-G22-G25-G31-G33</f>
        <v>197</v>
      </c>
      <c r="H28" s="141">
        <f>H8-H22-H25-H31-H33</f>
        <v>195</v>
      </c>
      <c r="I28" s="141">
        <f>I8-I22-I25-I31-I33</f>
        <v>191</v>
      </c>
      <c r="J28" s="66">
        <f>K28-I28-H28-G28</f>
        <v>229</v>
      </c>
      <c r="K28" s="35">
        <v>812</v>
      </c>
      <c r="L28" s="141">
        <v>201</v>
      </c>
      <c r="M28" s="141">
        <v>203</v>
      </c>
      <c r="N28" s="141">
        <v>213</v>
      </c>
      <c r="O28" s="66">
        <f>P28-L28-M28-N28</f>
        <v>210</v>
      </c>
      <c r="P28" s="35">
        <v>827</v>
      </c>
      <c r="Q28" s="141">
        <v>181</v>
      </c>
      <c r="R28" s="141">
        <v>187</v>
      </c>
      <c r="S28" s="141">
        <v>203</v>
      </c>
      <c r="T28" s="66">
        <f>U28-Q28-R28-S28</f>
        <v>231</v>
      </c>
      <c r="U28" s="35">
        <v>802</v>
      </c>
    </row>
    <row r="29" spans="1:21">
      <c r="A29" s="67" t="s">
        <v>7</v>
      </c>
      <c r="B29" s="68"/>
      <c r="C29" s="68">
        <f>C28/B28-1</f>
        <v>0.1330275229357798</v>
      </c>
      <c r="D29" s="68">
        <f>D28/C28-1</f>
        <v>-0.1336032388663968</v>
      </c>
      <c r="E29" s="68">
        <f>E28/D28-1</f>
        <v>0.10280373831775691</v>
      </c>
      <c r="F29" s="23"/>
      <c r="G29" s="68">
        <f>G28/E28-1</f>
        <v>-0.1652542372881356</v>
      </c>
      <c r="H29" s="68">
        <f>H28/G28-1</f>
        <v>-1.0152284263959421E-2</v>
      </c>
      <c r="I29" s="68">
        <f>I28/H28-1</f>
        <v>-2.0512820512820551E-2</v>
      </c>
      <c r="J29" s="68">
        <f>J28/I28-1</f>
        <v>0.19895287958115193</v>
      </c>
      <c r="K29" s="23"/>
      <c r="L29" s="68">
        <f>L28/J28-1</f>
        <v>-0.12227074235807855</v>
      </c>
      <c r="M29" s="68">
        <f>M28/L28-1</f>
        <v>9.9502487562188602E-3</v>
      </c>
      <c r="N29" s="68">
        <f>N28/M28-1</f>
        <v>4.9261083743842304E-2</v>
      </c>
      <c r="O29" s="68">
        <f>O28/N28-1</f>
        <v>-1.4084507042253502E-2</v>
      </c>
      <c r="P29" s="23"/>
      <c r="Q29" s="68">
        <f>Q28/O28-1</f>
        <v>-0.13809523809523805</v>
      </c>
      <c r="R29" s="68">
        <f>R28/Q28-1</f>
        <v>3.3149171270718147E-2</v>
      </c>
      <c r="S29" s="68">
        <f>S28/R28-1</f>
        <v>8.5561497326203106E-2</v>
      </c>
      <c r="T29" s="68">
        <f>T28/S28-1</f>
        <v>0.13793103448275867</v>
      </c>
      <c r="U29" s="23"/>
    </row>
    <row r="30" spans="1:21">
      <c r="A30" s="67" t="s">
        <v>8</v>
      </c>
      <c r="B30" s="69"/>
      <c r="C30" s="69"/>
      <c r="D30" s="69"/>
      <c r="E30" s="69"/>
      <c r="F30" s="23"/>
      <c r="G30" s="69">
        <f t="shared" ref="G30:I30" si="8">G28/B28-1</f>
        <v>-9.6330275229357776E-2</v>
      </c>
      <c r="H30" s="69">
        <f t="shared" si="8"/>
        <v>-0.21052631578947367</v>
      </c>
      <c r="I30" s="69">
        <f t="shared" si="8"/>
        <v>-0.10747663551401865</v>
      </c>
      <c r="J30" s="69">
        <f>J28/E28-1</f>
        <v>-2.9661016949152574E-2</v>
      </c>
      <c r="K30" s="23">
        <f>K28/F28-1</f>
        <v>-0.11256830601092893</v>
      </c>
      <c r="L30" s="69">
        <f t="shared" ref="L30:M30" si="9">L28/G28-1</f>
        <v>2.0304568527918843E-2</v>
      </c>
      <c r="M30" s="69">
        <f t="shared" si="9"/>
        <v>4.1025641025641102E-2</v>
      </c>
      <c r="N30" s="69">
        <f t="shared" ref="N30:U30" si="10">N28/I28-1</f>
        <v>0.11518324607329844</v>
      </c>
      <c r="O30" s="69">
        <f t="shared" si="10"/>
        <v>-8.2969432314410452E-2</v>
      </c>
      <c r="P30" s="23">
        <f t="shared" si="10"/>
        <v>1.8472906403940836E-2</v>
      </c>
      <c r="Q30" s="69">
        <f t="shared" si="10"/>
        <v>-9.9502487562189046E-2</v>
      </c>
      <c r="R30" s="69">
        <f t="shared" si="10"/>
        <v>-7.8817733990147798E-2</v>
      </c>
      <c r="S30" s="69">
        <f t="shared" si="10"/>
        <v>-4.6948356807511749E-2</v>
      </c>
      <c r="T30" s="69">
        <f t="shared" si="10"/>
        <v>0.10000000000000009</v>
      </c>
      <c r="U30" s="23">
        <f t="shared" si="10"/>
        <v>-3.0229746070132957E-2</v>
      </c>
    </row>
    <row r="31" spans="1:21">
      <c r="A31" s="65" t="s">
        <v>78</v>
      </c>
      <c r="B31" s="66">
        <v>0</v>
      </c>
      <c r="C31" s="141">
        <v>1</v>
      </c>
      <c r="D31" s="141">
        <v>-1</v>
      </c>
      <c r="E31" s="66">
        <v>3</v>
      </c>
      <c r="F31" s="165">
        <v>3</v>
      </c>
      <c r="G31" s="141">
        <v>2</v>
      </c>
      <c r="H31" s="141">
        <v>-1</v>
      </c>
      <c r="I31" s="141">
        <v>2</v>
      </c>
      <c r="J31" s="141">
        <f>K31-I31-H31-G31</f>
        <v>5</v>
      </c>
      <c r="K31" s="165">
        <v>8</v>
      </c>
      <c r="L31" s="66">
        <v>0</v>
      </c>
      <c r="M31" s="141">
        <v>16</v>
      </c>
      <c r="N31" s="141">
        <v>45</v>
      </c>
      <c r="O31" s="66">
        <f>P31-L31-M31-N31</f>
        <v>196</v>
      </c>
      <c r="P31" s="165">
        <v>257</v>
      </c>
      <c r="Q31" s="71">
        <v>0</v>
      </c>
      <c r="R31" s="71">
        <v>0</v>
      </c>
      <c r="S31" s="71">
        <v>282</v>
      </c>
      <c r="T31" s="66">
        <f>U31-Q31-R31-S31</f>
        <v>31</v>
      </c>
      <c r="U31" s="165">
        <v>313</v>
      </c>
    </row>
    <row r="32" spans="1:21" ht="6.75" customHeight="1">
      <c r="B32" s="3"/>
      <c r="C32" s="3"/>
      <c r="D32" s="3"/>
      <c r="E32" s="3"/>
      <c r="F32" s="35"/>
      <c r="G32" s="3"/>
      <c r="H32" s="3"/>
      <c r="I32" s="3"/>
      <c r="J32" s="3"/>
      <c r="K32" s="35"/>
      <c r="L32" s="3"/>
      <c r="M32" s="3"/>
      <c r="N32" s="3"/>
      <c r="O32" s="3"/>
      <c r="P32" s="35"/>
      <c r="Q32" s="3"/>
      <c r="R32" s="3"/>
      <c r="S32" s="3"/>
      <c r="T32" s="3"/>
      <c r="U32" s="35"/>
    </row>
    <row r="33" spans="1:21">
      <c r="A33" s="65" t="s">
        <v>218</v>
      </c>
      <c r="B33" s="66">
        <v>49</v>
      </c>
      <c r="C33" s="66">
        <v>45</v>
      </c>
      <c r="D33" s="66">
        <v>39</v>
      </c>
      <c r="E33" s="66">
        <f>F33-D33-C33-B33</f>
        <v>23</v>
      </c>
      <c r="F33" s="35">
        <v>156</v>
      </c>
      <c r="G33" s="66">
        <v>26</v>
      </c>
      <c r="H33" s="66">
        <v>22</v>
      </c>
      <c r="I33" s="66">
        <v>23</v>
      </c>
      <c r="J33" s="141">
        <f>K33-I33-H33-G33</f>
        <v>6</v>
      </c>
      <c r="K33" s="35">
        <f>K8-K22-K25-K28-K31</f>
        <v>77</v>
      </c>
      <c r="L33" s="66">
        <f>L8-L22-L25-L28-L31</f>
        <v>26</v>
      </c>
      <c r="M33" s="66">
        <f>M8-M22-M25-M28-M31</f>
        <v>7</v>
      </c>
      <c r="N33" s="171">
        <f>N8-N22-N25-N28-N31</f>
        <v>-40</v>
      </c>
      <c r="O33" s="171">
        <f>P33-L33-M33-N33</f>
        <v>-189</v>
      </c>
      <c r="P33" s="165">
        <f>P8-P22-P25-P28-P31</f>
        <v>-196</v>
      </c>
      <c r="Q33" s="66">
        <f>Q8-Q22-Q25-Q28-Q31</f>
        <v>29</v>
      </c>
      <c r="R33" s="66">
        <f>R8-R22-R25-R28-R31</f>
        <v>27</v>
      </c>
      <c r="S33" s="171">
        <f>S8-S22-S25-S28-S31</f>
        <v>-275</v>
      </c>
      <c r="T33" s="171">
        <f>U33-Q33-R33-S33</f>
        <v>-22</v>
      </c>
      <c r="U33" s="165">
        <f>U8-U22-U25-U28-U31</f>
        <v>-241</v>
      </c>
    </row>
    <row r="34" spans="1:21">
      <c r="A34" s="67" t="s">
        <v>7</v>
      </c>
      <c r="B34" s="68"/>
      <c r="C34" s="68">
        <f>C33/B33-1</f>
        <v>-8.1632653061224469E-2</v>
      </c>
      <c r="D34" s="68">
        <f>D33/C33-1</f>
        <v>-0.1333333333333333</v>
      </c>
      <c r="E34" s="68">
        <f>E33/D33-1</f>
        <v>-0.41025641025641024</v>
      </c>
      <c r="F34" s="23"/>
      <c r="G34" s="68">
        <f>G33/E33-1</f>
        <v>0.13043478260869557</v>
      </c>
      <c r="H34" s="68">
        <f>H33/G33-1</f>
        <v>-0.15384615384615385</v>
      </c>
      <c r="I34" s="68">
        <f>I33/H33-1</f>
        <v>4.5454545454545414E-2</v>
      </c>
      <c r="J34" s="68">
        <f>J33/I33-1</f>
        <v>-0.73913043478260865</v>
      </c>
      <c r="K34" s="23"/>
      <c r="L34" s="68">
        <f>L33/J33-1</f>
        <v>3.333333333333333</v>
      </c>
      <c r="M34" s="68">
        <f>M33/L33-1</f>
        <v>-0.73076923076923084</v>
      </c>
      <c r="N34" s="80" t="s">
        <v>34</v>
      </c>
      <c r="O34" s="68">
        <f>O33/N33-1</f>
        <v>3.7249999999999996</v>
      </c>
      <c r="P34" s="23"/>
      <c r="Q34" s="68">
        <f>Q33/O33-1</f>
        <v>-1.1534391534391535</v>
      </c>
      <c r="R34" s="68">
        <f>R33/Q33-1</f>
        <v>-6.8965517241379337E-2</v>
      </c>
      <c r="S34" s="80" t="s">
        <v>34</v>
      </c>
      <c r="T34" s="68">
        <f>T33/S33-1</f>
        <v>-0.92</v>
      </c>
      <c r="U34" s="23"/>
    </row>
    <row r="35" spans="1:21">
      <c r="A35" s="67" t="s">
        <v>8</v>
      </c>
      <c r="B35" s="69"/>
      <c r="C35" s="69"/>
      <c r="D35" s="69"/>
      <c r="E35" s="69"/>
      <c r="F35" s="23"/>
      <c r="G35" s="69">
        <f t="shared" ref="G35:I35" si="11">G33/B33-1</f>
        <v>-0.46938775510204078</v>
      </c>
      <c r="H35" s="69">
        <f t="shared" si="11"/>
        <v>-0.51111111111111107</v>
      </c>
      <c r="I35" s="69">
        <f t="shared" si="11"/>
        <v>-0.41025641025641024</v>
      </c>
      <c r="J35" s="69">
        <f>J33/E33-1</f>
        <v>-0.73913043478260865</v>
      </c>
      <c r="K35" s="23">
        <f>K33/F33-1</f>
        <v>-0.50641025641025639</v>
      </c>
      <c r="L35" s="69">
        <f t="shared" ref="L35:M35" si="12">L33/G33-1</f>
        <v>0</v>
      </c>
      <c r="M35" s="69">
        <f t="shared" si="12"/>
        <v>-0.68181818181818188</v>
      </c>
      <c r="N35" s="80" t="s">
        <v>34</v>
      </c>
      <c r="O35" s="80" t="s">
        <v>34</v>
      </c>
      <c r="P35" s="87" t="s">
        <v>34</v>
      </c>
      <c r="Q35" s="69">
        <f>Q33/L33-1</f>
        <v>0.11538461538461542</v>
      </c>
      <c r="R35" s="69">
        <f>R33/M33-1</f>
        <v>2.8571428571428572</v>
      </c>
      <c r="S35" s="69">
        <f>S33/N33-1</f>
        <v>5.875</v>
      </c>
      <c r="T35" s="69">
        <f t="shared" ref="T35:U35" si="13">T33/O33-1</f>
        <v>-0.8835978835978836</v>
      </c>
      <c r="U35" s="23">
        <f t="shared" si="13"/>
        <v>0.22959183673469385</v>
      </c>
    </row>
    <row r="36" spans="1:21">
      <c r="A36" s="65" t="s">
        <v>315</v>
      </c>
      <c r="B36" s="66">
        <v>36</v>
      </c>
      <c r="C36" s="66">
        <v>33</v>
      </c>
      <c r="D36" s="66">
        <v>27</v>
      </c>
      <c r="E36" s="66">
        <f>F36-D36-C36-B36</f>
        <v>19</v>
      </c>
      <c r="F36" s="35">
        <v>115</v>
      </c>
      <c r="G36" s="66">
        <v>18</v>
      </c>
      <c r="H36" s="66">
        <v>14</v>
      </c>
      <c r="I36" s="66">
        <v>14</v>
      </c>
      <c r="J36" s="141">
        <f>K36-I36-H36-G36</f>
        <v>5</v>
      </c>
      <c r="K36" s="35">
        <v>51</v>
      </c>
      <c r="L36" s="66">
        <v>20</v>
      </c>
      <c r="M36" s="66">
        <v>4</v>
      </c>
      <c r="N36" s="171">
        <v>-32</v>
      </c>
      <c r="O36" s="171">
        <f>P36-L36-M36-N36</f>
        <v>-149</v>
      </c>
      <c r="P36" s="165">
        <v>-157</v>
      </c>
      <c r="Q36" s="66">
        <v>22</v>
      </c>
      <c r="R36" s="66">
        <v>21</v>
      </c>
      <c r="S36" s="171">
        <v>-305</v>
      </c>
      <c r="T36" s="171">
        <f>U36-Q36-R36-S36</f>
        <v>-13</v>
      </c>
      <c r="U36" s="165">
        <v>-275</v>
      </c>
    </row>
    <row r="37" spans="1:21">
      <c r="A37" s="67" t="s">
        <v>7</v>
      </c>
      <c r="B37" s="68"/>
      <c r="C37" s="68">
        <f>C36/B36-1</f>
        <v>-8.333333333333337E-2</v>
      </c>
      <c r="D37" s="68">
        <f>D36/C36-1</f>
        <v>-0.18181818181818177</v>
      </c>
      <c r="E37" s="68">
        <f>E36/D36-1</f>
        <v>-0.29629629629629628</v>
      </c>
      <c r="F37" s="23"/>
      <c r="G37" s="68">
        <f>G36/E36-1</f>
        <v>-5.2631578947368474E-2</v>
      </c>
      <c r="H37" s="68">
        <f>H36/G36-1</f>
        <v>-0.22222222222222221</v>
      </c>
      <c r="I37" s="68">
        <f>I36/H36-1</f>
        <v>0</v>
      </c>
      <c r="J37" s="68">
        <f>J36/I36-1</f>
        <v>-0.64285714285714279</v>
      </c>
      <c r="K37" s="23"/>
      <c r="L37" s="68">
        <f>L36/J36-1</f>
        <v>3</v>
      </c>
      <c r="M37" s="68">
        <f>M36/L36-1</f>
        <v>-0.8</v>
      </c>
      <c r="N37" s="80" t="s">
        <v>34</v>
      </c>
      <c r="O37" s="68">
        <f>O36/N36-1</f>
        <v>3.65625</v>
      </c>
      <c r="P37" s="23"/>
      <c r="Q37" s="68">
        <f>Q36/O36-1</f>
        <v>-1.1476510067114094</v>
      </c>
      <c r="R37" s="68">
        <f>R36/Q36-1</f>
        <v>-4.5454545454545414E-2</v>
      </c>
      <c r="S37" s="80" t="s">
        <v>34</v>
      </c>
      <c r="T37" s="68">
        <f>T36/S36-1</f>
        <v>-0.95737704918032784</v>
      </c>
      <c r="U37" s="23"/>
    </row>
    <row r="38" spans="1:21">
      <c r="A38" s="67" t="s">
        <v>8</v>
      </c>
      <c r="B38" s="69"/>
      <c r="C38" s="69"/>
      <c r="D38" s="69"/>
      <c r="E38" s="69"/>
      <c r="F38" s="23"/>
      <c r="G38" s="69">
        <f t="shared" ref="G38:M38" si="14">G36/B36-1</f>
        <v>-0.5</v>
      </c>
      <c r="H38" s="69">
        <f t="shared" si="14"/>
        <v>-0.57575757575757569</v>
      </c>
      <c r="I38" s="69">
        <f t="shared" si="14"/>
        <v>-0.48148148148148151</v>
      </c>
      <c r="J38" s="69">
        <f t="shared" si="14"/>
        <v>-0.73684210526315796</v>
      </c>
      <c r="K38" s="23">
        <f t="shared" si="14"/>
        <v>-0.55652173913043479</v>
      </c>
      <c r="L38" s="69">
        <f t="shared" si="14"/>
        <v>0.11111111111111116</v>
      </c>
      <c r="M38" s="69">
        <f t="shared" si="14"/>
        <v>-0.7142857142857143</v>
      </c>
      <c r="N38" s="80" t="s">
        <v>34</v>
      </c>
      <c r="O38" s="80" t="s">
        <v>34</v>
      </c>
      <c r="P38" s="87" t="s">
        <v>34</v>
      </c>
      <c r="Q38" s="69">
        <f>Q36/L36-1</f>
        <v>0.10000000000000009</v>
      </c>
      <c r="R38" s="69">
        <f>R36/M36-1</f>
        <v>4.25</v>
      </c>
      <c r="S38" s="69">
        <f>S36/N36-1</f>
        <v>8.53125</v>
      </c>
      <c r="T38" s="69">
        <f t="shared" ref="T38" si="15">T36/O36-1</f>
        <v>-0.91275167785234901</v>
      </c>
      <c r="U38" s="23">
        <f t="shared" ref="U38" si="16">U36/P36-1</f>
        <v>0.75159235668789814</v>
      </c>
    </row>
    <row r="39" spans="1:21" ht="25.5" customHeight="1">
      <c r="A39" s="84" t="s">
        <v>316</v>
      </c>
      <c r="B39" s="66">
        <f t="shared" ref="B39:D39" si="17">B36+(B31*0.77)</f>
        <v>36</v>
      </c>
      <c r="C39" s="66">
        <f t="shared" si="17"/>
        <v>33.770000000000003</v>
      </c>
      <c r="D39" s="66">
        <f t="shared" si="17"/>
        <v>26.23</v>
      </c>
      <c r="E39" s="66">
        <f>F39-D39-C39-B39</f>
        <v>21.309999999999995</v>
      </c>
      <c r="F39" s="35">
        <f>F36+(F31*0.77)</f>
        <v>117.31</v>
      </c>
      <c r="G39" s="66">
        <f t="shared" ref="G39:I39" si="18">G36+(G31*0.77)</f>
        <v>19.54</v>
      </c>
      <c r="H39" s="66">
        <f t="shared" si="18"/>
        <v>13.23</v>
      </c>
      <c r="I39" s="66">
        <f t="shared" si="18"/>
        <v>15.54</v>
      </c>
      <c r="J39" s="141">
        <f>K39-I39-H39-G39</f>
        <v>8.8499999999999979</v>
      </c>
      <c r="K39" s="35">
        <f>K36+(K31*0.77)</f>
        <v>57.16</v>
      </c>
      <c r="L39" s="66">
        <f t="shared" ref="L39:N39" si="19">L36+(L31*0.77)</f>
        <v>20</v>
      </c>
      <c r="M39" s="66">
        <f t="shared" si="19"/>
        <v>16.32</v>
      </c>
      <c r="N39" s="171">
        <f t="shared" si="19"/>
        <v>2.6499999999999986</v>
      </c>
      <c r="O39" s="66">
        <f>P39-L39-M39-N39</f>
        <v>1.9200000000000159</v>
      </c>
      <c r="P39" s="35">
        <f>P36+(P31*0.77)</f>
        <v>40.890000000000015</v>
      </c>
      <c r="Q39" s="66">
        <f>Q36+(Q31*0.77)</f>
        <v>22</v>
      </c>
      <c r="R39" s="66">
        <f t="shared" ref="R39" si="20">R36+(R31*0.77)</f>
        <v>21</v>
      </c>
      <c r="S39" s="171">
        <f>S36+S31</f>
        <v>-23</v>
      </c>
      <c r="T39" s="66">
        <f>U39-Q39-R39-S39</f>
        <v>18</v>
      </c>
      <c r="U39" s="165">
        <f>U36+U31</f>
        <v>38</v>
      </c>
    </row>
    <row r="40" spans="1:21" ht="11.25" customHeight="1">
      <c r="A40" s="67" t="s">
        <v>7</v>
      </c>
      <c r="B40" s="68"/>
      <c r="C40" s="68">
        <f>C39/B39-1</f>
        <v>-6.1944444444444358E-2</v>
      </c>
      <c r="D40" s="68">
        <f>D39/C39-1</f>
        <v>-0.22327509623926567</v>
      </c>
      <c r="E40" s="68">
        <f>E39/D39-1</f>
        <v>-0.18757148303469329</v>
      </c>
      <c r="F40" s="23"/>
      <c r="G40" s="68"/>
      <c r="H40" s="68">
        <f>H39/G39-1</f>
        <v>-0.3229273285568065</v>
      </c>
      <c r="I40" s="68">
        <f>I39/H39-1</f>
        <v>0.17460317460317443</v>
      </c>
      <c r="J40" s="68">
        <f>J39/I39-1</f>
        <v>-0.43050193050193064</v>
      </c>
      <c r="K40" s="23"/>
      <c r="L40" s="68">
        <f>L39/J39-1</f>
        <v>1.259887005649718</v>
      </c>
      <c r="M40" s="68">
        <f>M39/L39-1</f>
        <v>-0.18399999999999994</v>
      </c>
      <c r="N40" s="68">
        <f>N39/M39-1</f>
        <v>-0.83762254901960786</v>
      </c>
      <c r="O40" s="80" t="s">
        <v>34</v>
      </c>
      <c r="P40" s="23"/>
      <c r="Q40" s="68">
        <f>Q39/O39-1</f>
        <v>10.458333333333238</v>
      </c>
      <c r="R40" s="68">
        <f>R39/Q39-1</f>
        <v>-4.5454545454545414E-2</v>
      </c>
      <c r="S40" s="80" t="s">
        <v>34</v>
      </c>
      <c r="T40" s="80" t="s">
        <v>34</v>
      </c>
      <c r="U40" s="23"/>
    </row>
    <row r="41" spans="1:21" ht="12.75" customHeight="1">
      <c r="A41" s="67" t="s">
        <v>8</v>
      </c>
      <c r="B41" s="69"/>
      <c r="C41" s="69"/>
      <c r="D41" s="69"/>
      <c r="E41" s="69"/>
      <c r="F41" s="23"/>
      <c r="G41" s="69"/>
      <c r="H41" s="69"/>
      <c r="I41" s="69"/>
      <c r="J41" s="69"/>
      <c r="K41" s="23">
        <f>K39/F39-1</f>
        <v>-0.51274401159321459</v>
      </c>
      <c r="L41" s="69">
        <f t="shared" ref="L41" si="21">L39/G39-1</f>
        <v>2.3541453428863823E-2</v>
      </c>
      <c r="M41" s="69">
        <f t="shared" ref="M41" si="22">M39/H39-1</f>
        <v>0.23356009070294781</v>
      </c>
      <c r="N41" s="69">
        <f>N39/I39-1</f>
        <v>-0.82947232947232952</v>
      </c>
      <c r="O41" s="69">
        <f>O39/J39-1</f>
        <v>-0.78305084745762521</v>
      </c>
      <c r="P41" s="23">
        <f>P39/K39-1</f>
        <v>-0.28463960811756439</v>
      </c>
      <c r="Q41" s="69">
        <f>Q39/L39-1</f>
        <v>0.10000000000000009</v>
      </c>
      <c r="R41" s="69">
        <f>R39/M39-1</f>
        <v>0.28676470588235281</v>
      </c>
      <c r="S41" s="80" t="s">
        <v>34</v>
      </c>
      <c r="T41" s="69">
        <f>T39/O39-1</f>
        <v>8.3749999999999218</v>
      </c>
      <c r="U41" s="23">
        <f>U39/P39-1</f>
        <v>-7.0677427243825197E-2</v>
      </c>
    </row>
    <row r="42" spans="1:21">
      <c r="A42" s="65" t="s">
        <v>211</v>
      </c>
      <c r="B42" s="72">
        <f>B22+B33</f>
        <v>82</v>
      </c>
      <c r="C42" s="72">
        <f>C22+C33</f>
        <v>78</v>
      </c>
      <c r="D42" s="72">
        <f>D22+D33</f>
        <v>73</v>
      </c>
      <c r="E42" s="66">
        <f>F42-D42-C42-B42</f>
        <v>58</v>
      </c>
      <c r="F42" s="35">
        <f>F22+F33</f>
        <v>291</v>
      </c>
      <c r="G42" s="72">
        <f>G22+G33</f>
        <v>69</v>
      </c>
      <c r="H42" s="72">
        <f>H22+H33</f>
        <v>67</v>
      </c>
      <c r="I42" s="72">
        <f>I22+I33</f>
        <v>69</v>
      </c>
      <c r="J42" s="141">
        <f>K42-I42-H42-G42</f>
        <v>66</v>
      </c>
      <c r="K42" s="35">
        <f>K22+K33</f>
        <v>271</v>
      </c>
      <c r="L42" s="72">
        <f>L22+L33</f>
        <v>72</v>
      </c>
      <c r="M42" s="72">
        <f>M22+M33</f>
        <v>53</v>
      </c>
      <c r="N42" s="72">
        <f>N22+N33</f>
        <v>7</v>
      </c>
      <c r="O42" s="171">
        <f>P42-L42-M42-N42</f>
        <v>-138</v>
      </c>
      <c r="P42" s="165">
        <f>P22+P33</f>
        <v>-6</v>
      </c>
      <c r="Q42" s="72">
        <f>Q22+Q33</f>
        <v>72</v>
      </c>
      <c r="R42" s="72">
        <f>R22+R33</f>
        <v>65</v>
      </c>
      <c r="S42" s="171">
        <f>S22+S33</f>
        <v>-233</v>
      </c>
      <c r="T42" s="171">
        <f>U42-Q42-R42-S42</f>
        <v>4</v>
      </c>
      <c r="U42" s="165">
        <f>U22+U33</f>
        <v>-92</v>
      </c>
    </row>
    <row r="43" spans="1:21" ht="11.25" customHeight="1">
      <c r="A43" s="67" t="s">
        <v>7</v>
      </c>
      <c r="B43" s="68"/>
      <c r="C43" s="68">
        <f>C42/B42-1</f>
        <v>-4.8780487804878092E-2</v>
      </c>
      <c r="D43" s="68">
        <f>D42/C42-1</f>
        <v>-6.4102564102564097E-2</v>
      </c>
      <c r="E43" s="68">
        <f>E42/D42-1</f>
        <v>-0.20547945205479456</v>
      </c>
      <c r="F43" s="23"/>
      <c r="G43" s="68">
        <f>G42/E42-1</f>
        <v>0.18965517241379315</v>
      </c>
      <c r="H43" s="68">
        <f>H42/G42-1</f>
        <v>-2.8985507246376829E-2</v>
      </c>
      <c r="I43" s="68">
        <f>I42/H42-1</f>
        <v>2.9850746268656803E-2</v>
      </c>
      <c r="J43" s="68">
        <f>J42/I42-1</f>
        <v>-4.3478260869565188E-2</v>
      </c>
      <c r="K43" s="23"/>
      <c r="L43" s="68">
        <f>L42/J42-1</f>
        <v>9.0909090909090828E-2</v>
      </c>
      <c r="M43" s="68">
        <f>M42/L42-1</f>
        <v>-0.26388888888888884</v>
      </c>
      <c r="N43" s="68">
        <f>N42/M42-1</f>
        <v>-0.86792452830188682</v>
      </c>
      <c r="O43" s="80" t="s">
        <v>34</v>
      </c>
      <c r="P43" s="23"/>
      <c r="Q43" s="68">
        <f>Q42/O42-1</f>
        <v>-1.5217391304347827</v>
      </c>
      <c r="R43" s="68">
        <f>R42/Q42-1</f>
        <v>-9.722222222222221E-2</v>
      </c>
      <c r="S43" s="80" t="s">
        <v>34</v>
      </c>
      <c r="T43" s="80" t="s">
        <v>34</v>
      </c>
      <c r="U43" s="23"/>
    </row>
    <row r="44" spans="1:21" ht="11.25" customHeight="1">
      <c r="A44" s="67" t="s">
        <v>8</v>
      </c>
      <c r="B44" s="69"/>
      <c r="C44" s="69"/>
      <c r="D44" s="69"/>
      <c r="E44" s="69"/>
      <c r="F44" s="23"/>
      <c r="G44" s="69">
        <f t="shared" ref="G44:M44" si="23">G42/B42-1</f>
        <v>-0.15853658536585369</v>
      </c>
      <c r="H44" s="69">
        <f t="shared" si="23"/>
        <v>-0.14102564102564108</v>
      </c>
      <c r="I44" s="69">
        <f t="shared" si="23"/>
        <v>-5.4794520547945202E-2</v>
      </c>
      <c r="J44" s="69">
        <f t="shared" si="23"/>
        <v>0.13793103448275867</v>
      </c>
      <c r="K44" s="23">
        <f t="shared" si="23"/>
        <v>-6.8728522336769737E-2</v>
      </c>
      <c r="L44" s="69">
        <f t="shared" si="23"/>
        <v>4.3478260869565188E-2</v>
      </c>
      <c r="M44" s="69">
        <f t="shared" si="23"/>
        <v>-0.20895522388059706</v>
      </c>
      <c r="N44" s="69">
        <f>N42/I42-1</f>
        <v>-0.89855072463768115</v>
      </c>
      <c r="O44" s="80" t="s">
        <v>34</v>
      </c>
      <c r="P44" s="23">
        <f>P42/K42-1</f>
        <v>-1.0221402214022139</v>
      </c>
      <c r="Q44" s="69">
        <f>Q42/L42-1</f>
        <v>0</v>
      </c>
      <c r="R44" s="69">
        <f>R42/M42-1</f>
        <v>0.22641509433962259</v>
      </c>
      <c r="S44" s="80" t="s">
        <v>34</v>
      </c>
      <c r="T44" s="80" t="s">
        <v>34</v>
      </c>
      <c r="U44" s="23">
        <f>U42/P42-1</f>
        <v>14.333333333333334</v>
      </c>
    </row>
    <row r="45" spans="1:21" ht="22.5" customHeight="1">
      <c r="A45" s="84" t="s">
        <v>225</v>
      </c>
      <c r="B45" s="72">
        <f>B42</f>
        <v>82</v>
      </c>
      <c r="C45" s="72">
        <f t="shared" ref="C45:D45" si="24">C42+C31</f>
        <v>79</v>
      </c>
      <c r="D45" s="72">
        <f t="shared" si="24"/>
        <v>72</v>
      </c>
      <c r="E45" s="141">
        <f>F45-D45-C45-B45</f>
        <v>61</v>
      </c>
      <c r="F45" s="35">
        <f>F42+F31</f>
        <v>294</v>
      </c>
      <c r="G45" s="72">
        <f t="shared" ref="G45:I45" si="25">G42+G31</f>
        <v>71</v>
      </c>
      <c r="H45" s="72">
        <f t="shared" si="25"/>
        <v>66</v>
      </c>
      <c r="I45" s="72">
        <f t="shared" si="25"/>
        <v>71</v>
      </c>
      <c r="J45" s="141">
        <f>K45-I45-H45-G45</f>
        <v>71</v>
      </c>
      <c r="K45" s="35">
        <f>K42+K31</f>
        <v>279</v>
      </c>
      <c r="L45" s="72">
        <f>L42</f>
        <v>72</v>
      </c>
      <c r="M45" s="72">
        <f>M42+M31</f>
        <v>69</v>
      </c>
      <c r="N45" s="72">
        <f>N42+N31</f>
        <v>52</v>
      </c>
      <c r="O45" s="66">
        <f>P45-L45-M45-N45</f>
        <v>58</v>
      </c>
      <c r="P45" s="35">
        <f>P42+P31</f>
        <v>251</v>
      </c>
      <c r="Q45" s="72">
        <f>Q42+Q31</f>
        <v>72</v>
      </c>
      <c r="R45" s="72">
        <f>R42+R31</f>
        <v>65</v>
      </c>
      <c r="S45" s="72">
        <f>S42+S31</f>
        <v>49</v>
      </c>
      <c r="T45" s="66">
        <f>U45-Q45-R45-S45</f>
        <v>35</v>
      </c>
      <c r="U45" s="35">
        <f>U42+U31</f>
        <v>221</v>
      </c>
    </row>
    <row r="46" spans="1:21" ht="10.5" customHeight="1">
      <c r="A46" s="77" t="s">
        <v>7</v>
      </c>
      <c r="B46" s="68"/>
      <c r="C46" s="68">
        <f>C45/B45-1</f>
        <v>-3.6585365853658569E-2</v>
      </c>
      <c r="D46" s="68">
        <f>D45/C45-1</f>
        <v>-8.8607594936708889E-2</v>
      </c>
      <c r="E46" s="68">
        <f>E45/D45-1</f>
        <v>-0.15277777777777779</v>
      </c>
      <c r="F46" s="23"/>
      <c r="G46" s="68">
        <f>G45/E45-1</f>
        <v>0.16393442622950816</v>
      </c>
      <c r="H46" s="68">
        <f>H45/G45-1</f>
        <v>-7.0422535211267623E-2</v>
      </c>
      <c r="I46" s="68">
        <f>I45/H45-1</f>
        <v>7.575757575757569E-2</v>
      </c>
      <c r="J46" s="68">
        <f>J45/I45-1</f>
        <v>0</v>
      </c>
      <c r="K46" s="23"/>
      <c r="L46" s="68">
        <f>L45/J45-1</f>
        <v>1.4084507042253502E-2</v>
      </c>
      <c r="M46" s="68">
        <f>M45/L45-1</f>
        <v>-4.166666666666663E-2</v>
      </c>
      <c r="N46" s="68">
        <f>N45/M45-1</f>
        <v>-0.24637681159420288</v>
      </c>
      <c r="O46" s="68">
        <f>O45/N45-1</f>
        <v>0.11538461538461542</v>
      </c>
      <c r="P46" s="23"/>
      <c r="Q46" s="68">
        <f>Q45/O45-1</f>
        <v>0.24137931034482762</v>
      </c>
      <c r="R46" s="68">
        <f>R45/Q45-1</f>
        <v>-9.722222222222221E-2</v>
      </c>
      <c r="S46" s="68">
        <f>S45/R45-1</f>
        <v>-0.24615384615384617</v>
      </c>
      <c r="T46" s="68">
        <f>T45/S45-1</f>
        <v>-0.2857142857142857</v>
      </c>
      <c r="U46" s="23"/>
    </row>
    <row r="47" spans="1:21" ht="11.25" customHeight="1">
      <c r="A47" s="77" t="s">
        <v>8</v>
      </c>
      <c r="B47" s="69"/>
      <c r="C47" s="69"/>
      <c r="D47" s="69"/>
      <c r="E47" s="69"/>
      <c r="F47" s="23"/>
      <c r="G47" s="69">
        <f t="shared" ref="G47" si="26">G45/B45-1</f>
        <v>-0.13414634146341464</v>
      </c>
      <c r="H47" s="69">
        <f t="shared" ref="H47" si="27">H45/C45-1</f>
        <v>-0.16455696202531644</v>
      </c>
      <c r="I47" s="69">
        <f t="shared" ref="I47" si="28">I45/D45-1</f>
        <v>-1.388888888888884E-2</v>
      </c>
      <c r="J47" s="69">
        <f>J45/E45-1</f>
        <v>0.16393442622950816</v>
      </c>
      <c r="K47" s="23">
        <f>K45/F45-1</f>
        <v>-5.1020408163265252E-2</v>
      </c>
      <c r="L47" s="69">
        <f t="shared" ref="L47" si="29">L45/G45-1</f>
        <v>1.4084507042253502E-2</v>
      </c>
      <c r="M47" s="69">
        <f t="shared" ref="M47" si="30">M45/H45-1</f>
        <v>4.5454545454545414E-2</v>
      </c>
      <c r="N47" s="69">
        <f t="shared" ref="N47:U47" si="31">N45/I45-1</f>
        <v>-0.26760563380281688</v>
      </c>
      <c r="O47" s="69">
        <f t="shared" si="31"/>
        <v>-0.18309859154929575</v>
      </c>
      <c r="P47" s="23">
        <f t="shared" si="31"/>
        <v>-0.10035842293906805</v>
      </c>
      <c r="Q47" s="69">
        <f t="shared" si="31"/>
        <v>0</v>
      </c>
      <c r="R47" s="69">
        <f t="shared" si="31"/>
        <v>-5.7971014492753659E-2</v>
      </c>
      <c r="S47" s="69">
        <f t="shared" si="31"/>
        <v>-5.7692307692307709E-2</v>
      </c>
      <c r="T47" s="69">
        <f t="shared" si="31"/>
        <v>-0.39655172413793105</v>
      </c>
      <c r="U47" s="23">
        <f t="shared" si="31"/>
        <v>-0.11952191235059761</v>
      </c>
    </row>
    <row r="48" spans="1:21">
      <c r="A48" s="38" t="s">
        <v>60</v>
      </c>
      <c r="B48" s="47"/>
      <c r="C48" s="47"/>
      <c r="D48" s="47"/>
      <c r="E48" s="47"/>
      <c r="F48" s="39"/>
      <c r="G48" s="47"/>
      <c r="H48" s="47"/>
      <c r="I48" s="47"/>
      <c r="J48" s="47"/>
      <c r="K48" s="39"/>
      <c r="L48" s="47"/>
      <c r="M48" s="47"/>
      <c r="N48" s="47"/>
      <c r="O48" s="47"/>
      <c r="P48" s="39"/>
      <c r="Q48" s="47"/>
      <c r="R48" s="47"/>
      <c r="S48" s="47"/>
      <c r="T48" s="47"/>
      <c r="U48" s="39"/>
    </row>
    <row r="49" spans="1:21">
      <c r="A49" s="65" t="s">
        <v>12</v>
      </c>
      <c r="B49" s="66">
        <v>52</v>
      </c>
      <c r="C49" s="66">
        <v>69</v>
      </c>
      <c r="D49" s="66">
        <v>74</v>
      </c>
      <c r="E49" s="66">
        <f>F49-D49-C49-B49</f>
        <v>82</v>
      </c>
      <c r="F49" s="35">
        <v>277</v>
      </c>
      <c r="G49" s="66">
        <v>67</v>
      </c>
      <c r="H49" s="66">
        <v>54</v>
      </c>
      <c r="I49" s="66">
        <v>73</v>
      </c>
      <c r="J49" s="141">
        <f>K49-I49-H49-G49</f>
        <v>106</v>
      </c>
      <c r="K49" s="35">
        <v>300</v>
      </c>
      <c r="L49" s="66">
        <v>56</v>
      </c>
      <c r="M49" s="66">
        <v>48</v>
      </c>
      <c r="N49" s="66">
        <v>64</v>
      </c>
      <c r="O49" s="66">
        <f>P49-N49-M49-L49</f>
        <v>87</v>
      </c>
      <c r="P49" s="35">
        <v>255</v>
      </c>
      <c r="Q49" s="66">
        <v>60</v>
      </c>
      <c r="R49" s="66">
        <v>48</v>
      </c>
      <c r="S49" s="66">
        <v>47</v>
      </c>
      <c r="T49" s="66">
        <f>U49-S49-R49-Q49</f>
        <v>75</v>
      </c>
      <c r="U49" s="35">
        <v>230</v>
      </c>
    </row>
    <row r="50" spans="1:21" ht="10.5" customHeight="1">
      <c r="A50" s="77" t="s">
        <v>7</v>
      </c>
      <c r="B50" s="68"/>
      <c r="C50" s="68">
        <f>C49/B49-1</f>
        <v>0.32692307692307687</v>
      </c>
      <c r="D50" s="68">
        <f>D49/C49-1</f>
        <v>7.2463768115942129E-2</v>
      </c>
      <c r="E50" s="68">
        <f>E49/D49-1</f>
        <v>0.10810810810810811</v>
      </c>
      <c r="F50" s="23"/>
      <c r="G50" s="68">
        <f>G49/E49-1</f>
        <v>-0.18292682926829273</v>
      </c>
      <c r="H50" s="68">
        <f>H49/G49-1</f>
        <v>-0.19402985074626866</v>
      </c>
      <c r="I50" s="68">
        <f>I49/H49-1</f>
        <v>0.35185185185185186</v>
      </c>
      <c r="J50" s="68">
        <f>J49/I49-1</f>
        <v>0.45205479452054798</v>
      </c>
      <c r="K50" s="23"/>
      <c r="L50" s="68">
        <f>L49/J49-1</f>
        <v>-0.47169811320754718</v>
      </c>
      <c r="M50" s="68">
        <f>M49/L49-1</f>
        <v>-0.1428571428571429</v>
      </c>
      <c r="N50" s="68">
        <f>N49/M49-1</f>
        <v>0.33333333333333326</v>
      </c>
      <c r="O50" s="68">
        <f>O49/N49-1</f>
        <v>0.359375</v>
      </c>
      <c r="P50" s="23"/>
      <c r="Q50" s="68">
        <f>Q49/O49-1</f>
        <v>-0.31034482758620685</v>
      </c>
      <c r="R50" s="68">
        <f>R49/Q49-1</f>
        <v>-0.19999999999999996</v>
      </c>
      <c r="S50" s="68">
        <f>S49/R49-1</f>
        <v>-2.083333333333337E-2</v>
      </c>
      <c r="T50" s="68">
        <f>T49/S49-1</f>
        <v>0.5957446808510638</v>
      </c>
      <c r="U50" s="23"/>
    </row>
    <row r="51" spans="1:21" ht="10.5" customHeight="1">
      <c r="A51" s="79" t="s">
        <v>8</v>
      </c>
      <c r="B51" s="69"/>
      <c r="C51" s="69"/>
      <c r="D51" s="69"/>
      <c r="E51" s="69"/>
      <c r="F51" s="23"/>
      <c r="G51" s="69">
        <f t="shared" ref="G51:M51" si="32">G49/B49-1</f>
        <v>0.28846153846153855</v>
      </c>
      <c r="H51" s="69">
        <f t="shared" si="32"/>
        <v>-0.21739130434782605</v>
      </c>
      <c r="I51" s="69">
        <f t="shared" si="32"/>
        <v>-1.3513513513513487E-2</v>
      </c>
      <c r="J51" s="69">
        <f t="shared" si="32"/>
        <v>0.29268292682926833</v>
      </c>
      <c r="K51" s="23">
        <f t="shared" si="32"/>
        <v>8.3032490974729312E-2</v>
      </c>
      <c r="L51" s="69">
        <f t="shared" si="32"/>
        <v>-0.16417910447761197</v>
      </c>
      <c r="M51" s="69">
        <f t="shared" si="32"/>
        <v>-0.11111111111111116</v>
      </c>
      <c r="N51" s="69">
        <f t="shared" ref="N51:U51" si="33">N49/I49-1</f>
        <v>-0.12328767123287676</v>
      </c>
      <c r="O51" s="69">
        <f t="shared" si="33"/>
        <v>-0.17924528301886788</v>
      </c>
      <c r="P51" s="23">
        <f t="shared" si="33"/>
        <v>-0.15000000000000002</v>
      </c>
      <c r="Q51" s="69">
        <f t="shared" si="33"/>
        <v>7.1428571428571397E-2</v>
      </c>
      <c r="R51" s="69">
        <f t="shared" si="33"/>
        <v>0</v>
      </c>
      <c r="S51" s="69">
        <f t="shared" si="33"/>
        <v>-0.265625</v>
      </c>
      <c r="T51" s="69">
        <f t="shared" si="33"/>
        <v>-0.13793103448275867</v>
      </c>
      <c r="U51" s="23">
        <f t="shared" si="33"/>
        <v>-9.8039215686274495E-2</v>
      </c>
    </row>
    <row r="52" spans="1:21">
      <c r="A52" s="65" t="s">
        <v>375</v>
      </c>
      <c r="B52" s="66">
        <f>7+13+9</f>
        <v>29</v>
      </c>
      <c r="C52" s="66">
        <f>14+13+19</f>
        <v>46</v>
      </c>
      <c r="D52" s="66">
        <f>19+7+5</f>
        <v>31</v>
      </c>
      <c r="E52" s="66">
        <f>F52-D52-C52-B52</f>
        <v>36</v>
      </c>
      <c r="F52" s="35">
        <f>57+42+43</f>
        <v>142</v>
      </c>
      <c r="G52" s="66">
        <f>8+10+13</f>
        <v>31</v>
      </c>
      <c r="H52" s="66">
        <f>14+14+16</f>
        <v>44</v>
      </c>
      <c r="I52" s="66">
        <v>26</v>
      </c>
      <c r="J52" s="141">
        <f>K52-I52-H52-G52</f>
        <v>26</v>
      </c>
      <c r="K52" s="206">
        <v>127</v>
      </c>
      <c r="L52" s="66">
        <f>7+13+13</f>
        <v>33</v>
      </c>
      <c r="M52" s="66">
        <f>15+8+11</f>
        <v>34</v>
      </c>
      <c r="N52" s="66">
        <f>10+14+16</f>
        <v>40</v>
      </c>
      <c r="O52" s="66">
        <f>P52-N52-M52-L52</f>
        <v>21</v>
      </c>
      <c r="P52" s="35">
        <f>46+43+39</f>
        <v>128</v>
      </c>
      <c r="Q52" s="66">
        <f>11+13+10</f>
        <v>34</v>
      </c>
      <c r="R52" s="66">
        <f>10+13+10</f>
        <v>33</v>
      </c>
      <c r="S52" s="66">
        <f>10+10+8</f>
        <v>28</v>
      </c>
      <c r="T52" s="66">
        <f>U52-S52-R52-Q52</f>
        <v>21</v>
      </c>
      <c r="U52" s="35">
        <f>44+39+33</f>
        <v>116</v>
      </c>
    </row>
    <row r="53" spans="1:21" ht="10.5" customHeight="1">
      <c r="A53" s="67" t="s">
        <v>7</v>
      </c>
      <c r="B53" s="68"/>
      <c r="C53" s="68">
        <f>C52/B52-1</f>
        <v>0.5862068965517242</v>
      </c>
      <c r="D53" s="68">
        <f>D52/C52-1</f>
        <v>-0.32608695652173914</v>
      </c>
      <c r="E53" s="68">
        <f>E52/D52-1</f>
        <v>0.16129032258064524</v>
      </c>
      <c r="F53" s="23"/>
      <c r="G53" s="68">
        <f>G52/E52-1</f>
        <v>-0.13888888888888884</v>
      </c>
      <c r="H53" s="68">
        <f>H52/G52-1</f>
        <v>0.41935483870967749</v>
      </c>
      <c r="I53" s="68">
        <f>I52/H52-1</f>
        <v>-0.40909090909090906</v>
      </c>
      <c r="J53" s="68">
        <f>J52/I52-1</f>
        <v>0</v>
      </c>
      <c r="K53" s="307"/>
      <c r="L53" s="68">
        <f>L52/J52-1</f>
        <v>0.26923076923076916</v>
      </c>
      <c r="M53" s="68">
        <f>M52/L52-1</f>
        <v>3.0303030303030276E-2</v>
      </c>
      <c r="N53" s="68">
        <f>N52/M52-1</f>
        <v>0.17647058823529416</v>
      </c>
      <c r="O53" s="68">
        <f>O52/N52-1</f>
        <v>-0.47499999999999998</v>
      </c>
      <c r="P53" s="23"/>
      <c r="Q53" s="68">
        <f>Q52/O52-1</f>
        <v>0.61904761904761907</v>
      </c>
      <c r="R53" s="68">
        <f>R52/Q52-1</f>
        <v>-2.9411764705882359E-2</v>
      </c>
      <c r="S53" s="68">
        <f>S52/R52-1</f>
        <v>-0.15151515151515149</v>
      </c>
      <c r="T53" s="68">
        <f>T52/S52-1</f>
        <v>-0.25</v>
      </c>
      <c r="U53" s="23"/>
    </row>
    <row r="54" spans="1:21" ht="9.75" customHeight="1">
      <c r="A54" s="67" t="s">
        <v>8</v>
      </c>
      <c r="B54" s="69"/>
      <c r="C54" s="69"/>
      <c r="D54" s="69"/>
      <c r="E54" s="69"/>
      <c r="F54" s="23"/>
      <c r="G54" s="69">
        <f t="shared" ref="G54:L54" si="34">G52/B52-1</f>
        <v>6.8965517241379226E-2</v>
      </c>
      <c r="H54" s="69">
        <f t="shared" si="34"/>
        <v>-4.3478260869565188E-2</v>
      </c>
      <c r="I54" s="69">
        <f t="shared" si="34"/>
        <v>-0.16129032258064513</v>
      </c>
      <c r="J54" s="69">
        <f t="shared" si="34"/>
        <v>-0.27777777777777779</v>
      </c>
      <c r="K54" s="307">
        <f t="shared" si="34"/>
        <v>-0.10563380281690138</v>
      </c>
      <c r="L54" s="69">
        <f t="shared" si="34"/>
        <v>6.4516129032258007E-2</v>
      </c>
      <c r="M54" s="69">
        <f t="shared" ref="M54:U54" si="35">M52/H52-1</f>
        <v>-0.22727272727272729</v>
      </c>
      <c r="N54" s="69">
        <f t="shared" si="35"/>
        <v>0.53846153846153855</v>
      </c>
      <c r="O54" s="69">
        <f t="shared" si="35"/>
        <v>-0.19230769230769229</v>
      </c>
      <c r="P54" s="23">
        <f t="shared" si="35"/>
        <v>7.8740157480314821E-3</v>
      </c>
      <c r="Q54" s="69">
        <f t="shared" si="35"/>
        <v>3.0303030303030276E-2</v>
      </c>
      <c r="R54" s="69">
        <f t="shared" si="35"/>
        <v>-2.9411764705882359E-2</v>
      </c>
      <c r="S54" s="69">
        <f t="shared" si="35"/>
        <v>-0.30000000000000004</v>
      </c>
      <c r="T54" s="69">
        <f t="shared" si="35"/>
        <v>0</v>
      </c>
      <c r="U54" s="23">
        <f t="shared" si="35"/>
        <v>-9.375E-2</v>
      </c>
    </row>
    <row r="55" spans="1:21">
      <c r="A55" s="65" t="s">
        <v>376</v>
      </c>
      <c r="B55" s="66">
        <f>B52</f>
        <v>29</v>
      </c>
      <c r="C55" s="66">
        <f>C52</f>
        <v>46</v>
      </c>
      <c r="D55" s="66">
        <f>D52-2</f>
        <v>29</v>
      </c>
      <c r="E55" s="66">
        <f>F55-D55-C55-B55</f>
        <v>35</v>
      </c>
      <c r="F55" s="35">
        <f>F52-3</f>
        <v>139</v>
      </c>
      <c r="G55" s="66">
        <f>G52</f>
        <v>31</v>
      </c>
      <c r="H55" s="66">
        <f>H52</f>
        <v>44</v>
      </c>
      <c r="I55" s="66">
        <f>I52-1</f>
        <v>25</v>
      </c>
      <c r="J55" s="141">
        <f>K55-I55-H55-G55</f>
        <v>26</v>
      </c>
      <c r="K55" s="206">
        <f>K52-1</f>
        <v>126</v>
      </c>
      <c r="L55" s="66">
        <f>L52</f>
        <v>33</v>
      </c>
      <c r="M55" s="66">
        <f>M52</f>
        <v>34</v>
      </c>
      <c r="N55" s="66">
        <f>N52</f>
        <v>40</v>
      </c>
      <c r="O55" s="66">
        <f>P55-N55-M55-L55</f>
        <v>21</v>
      </c>
      <c r="P55" s="35">
        <f>P52</f>
        <v>128</v>
      </c>
      <c r="Q55" s="66">
        <f>Q52</f>
        <v>34</v>
      </c>
      <c r="R55" s="66">
        <f>R52</f>
        <v>33</v>
      </c>
      <c r="S55" s="66">
        <f>S52</f>
        <v>28</v>
      </c>
      <c r="T55" s="66">
        <f>U55-S55-R55-Q55</f>
        <v>21</v>
      </c>
      <c r="U55" s="35">
        <f>U52</f>
        <v>116</v>
      </c>
    </row>
    <row r="56" spans="1:21">
      <c r="A56" s="67" t="s">
        <v>7</v>
      </c>
      <c r="B56" s="68"/>
      <c r="C56" s="68">
        <f>C55/B55-1</f>
        <v>0.5862068965517242</v>
      </c>
      <c r="D56" s="68">
        <f>D55/C55-1</f>
        <v>-0.36956521739130432</v>
      </c>
      <c r="E56" s="68">
        <f>E55/D55-1</f>
        <v>0.2068965517241379</v>
      </c>
      <c r="F56" s="23"/>
      <c r="G56" s="68">
        <f>G55/E55-1</f>
        <v>-0.11428571428571432</v>
      </c>
      <c r="H56" s="68">
        <f>H55/G55-1</f>
        <v>0.41935483870967749</v>
      </c>
      <c r="I56" s="68">
        <f>I55/H55-1</f>
        <v>-0.43181818181818177</v>
      </c>
      <c r="J56" s="68">
        <f>J55/I55-1</f>
        <v>4.0000000000000036E-2</v>
      </c>
      <c r="K56" s="23"/>
      <c r="L56" s="68">
        <f>L55/J55-1</f>
        <v>0.26923076923076916</v>
      </c>
      <c r="M56" s="68">
        <f>M55/L55-1</f>
        <v>3.0303030303030276E-2</v>
      </c>
      <c r="N56" s="68">
        <f>N55/M55-1</f>
        <v>0.17647058823529416</v>
      </c>
      <c r="O56" s="68">
        <f>O55/N55-1</f>
        <v>-0.47499999999999998</v>
      </c>
      <c r="P56" s="23"/>
      <c r="Q56" s="68">
        <f>Q55/O55-1</f>
        <v>0.61904761904761907</v>
      </c>
      <c r="R56" s="68">
        <f>R55/Q55-1</f>
        <v>-2.9411764705882359E-2</v>
      </c>
      <c r="S56" s="68">
        <f>S55/R55-1</f>
        <v>-0.15151515151515149</v>
      </c>
      <c r="T56" s="68">
        <f>T55/S55-1</f>
        <v>-0.25</v>
      </c>
      <c r="U56" s="23"/>
    </row>
    <row r="57" spans="1:21">
      <c r="A57" s="67" t="s">
        <v>8</v>
      </c>
      <c r="B57" s="69"/>
      <c r="C57" s="69"/>
      <c r="D57" s="69"/>
      <c r="E57" s="69"/>
      <c r="F57" s="23"/>
      <c r="G57" s="69">
        <f t="shared" ref="G57:M57" si="36">G55/B55-1</f>
        <v>6.8965517241379226E-2</v>
      </c>
      <c r="H57" s="69">
        <f t="shared" si="36"/>
        <v>-4.3478260869565188E-2</v>
      </c>
      <c r="I57" s="69">
        <f t="shared" si="36"/>
        <v>-0.13793103448275867</v>
      </c>
      <c r="J57" s="69">
        <f t="shared" si="36"/>
        <v>-0.25714285714285712</v>
      </c>
      <c r="K57" s="23">
        <f t="shared" si="36"/>
        <v>-9.3525179856115082E-2</v>
      </c>
      <c r="L57" s="69">
        <f t="shared" si="36"/>
        <v>6.4516129032258007E-2</v>
      </c>
      <c r="M57" s="69">
        <f t="shared" si="36"/>
        <v>-0.22727272727272729</v>
      </c>
      <c r="N57" s="69">
        <f t="shared" ref="N57:U57" si="37">N55/I55-1</f>
        <v>0.60000000000000009</v>
      </c>
      <c r="O57" s="69">
        <f t="shared" si="37"/>
        <v>-0.19230769230769229</v>
      </c>
      <c r="P57" s="23">
        <f t="shared" si="37"/>
        <v>1.5873015873015817E-2</v>
      </c>
      <c r="Q57" s="69">
        <f t="shared" si="37"/>
        <v>3.0303030303030276E-2</v>
      </c>
      <c r="R57" s="69">
        <f t="shared" si="37"/>
        <v>-2.9411764705882359E-2</v>
      </c>
      <c r="S57" s="69">
        <f t="shared" si="37"/>
        <v>-0.30000000000000004</v>
      </c>
      <c r="T57" s="69">
        <f t="shared" si="37"/>
        <v>0</v>
      </c>
      <c r="U57" s="23">
        <f t="shared" si="37"/>
        <v>-9.375E-2</v>
      </c>
    </row>
    <row r="58" spans="1:21">
      <c r="A58" s="65" t="s">
        <v>212</v>
      </c>
      <c r="B58" s="66">
        <v>0</v>
      </c>
      <c r="C58" s="66">
        <v>0</v>
      </c>
      <c r="D58" s="66">
        <v>0</v>
      </c>
      <c r="E58" s="66">
        <v>0</v>
      </c>
      <c r="F58" s="60" t="s">
        <v>120</v>
      </c>
      <c r="G58" s="66">
        <v>9</v>
      </c>
      <c r="H58" s="66">
        <v>9</v>
      </c>
      <c r="I58" s="66">
        <v>9</v>
      </c>
      <c r="J58" s="141">
        <f>K58-I58-H58-G58</f>
        <v>9</v>
      </c>
      <c r="K58" s="35">
        <v>36</v>
      </c>
      <c r="L58" s="66">
        <v>8</v>
      </c>
      <c r="M58" s="66">
        <v>8</v>
      </c>
      <c r="N58" s="66">
        <v>8</v>
      </c>
      <c r="O58" s="66">
        <f>P58-N58-M58-L58</f>
        <v>8</v>
      </c>
      <c r="P58" s="35">
        <v>32</v>
      </c>
      <c r="Q58" s="66">
        <v>8</v>
      </c>
      <c r="R58" s="66">
        <v>8</v>
      </c>
      <c r="S58" s="66">
        <v>7</v>
      </c>
      <c r="T58" s="66">
        <f>U58-S58-R58-Q58</f>
        <v>7</v>
      </c>
      <c r="U58" s="35">
        <v>30</v>
      </c>
    </row>
    <row r="59" spans="1:21" ht="7.5" customHeight="1">
      <c r="A59" s="65"/>
      <c r="B59" s="69"/>
      <c r="C59" s="69"/>
      <c r="D59" s="69"/>
      <c r="E59" s="69"/>
      <c r="F59" s="23"/>
      <c r="G59" s="66"/>
      <c r="H59" s="66"/>
      <c r="I59" s="66"/>
      <c r="J59" s="141"/>
      <c r="K59" s="35"/>
      <c r="L59" s="66"/>
      <c r="M59" s="66"/>
      <c r="N59" s="66"/>
      <c r="O59" s="66"/>
      <c r="P59" s="35"/>
      <c r="Q59" s="66"/>
      <c r="R59" s="66"/>
      <c r="S59" s="66"/>
      <c r="T59" s="66"/>
      <c r="U59" s="35"/>
    </row>
    <row r="60" spans="1:21">
      <c r="A60" s="65" t="s">
        <v>53</v>
      </c>
      <c r="B60" s="66">
        <f>B49-B55</f>
        <v>23</v>
      </c>
      <c r="C60" s="66">
        <f>C49-C55</f>
        <v>23</v>
      </c>
      <c r="D60" s="66">
        <f>D49-D55</f>
        <v>45</v>
      </c>
      <c r="E60" s="66">
        <f>F60-D60-C60-B60</f>
        <v>47</v>
      </c>
      <c r="F60" s="35">
        <f>F49-F55</f>
        <v>138</v>
      </c>
      <c r="G60" s="66">
        <f>G49-G55-G58</f>
        <v>27</v>
      </c>
      <c r="H60" s="66">
        <f>H49-H55-H58</f>
        <v>1</v>
      </c>
      <c r="I60" s="66">
        <v>38</v>
      </c>
      <c r="J60" s="141">
        <f>K60-I60-H60-G60</f>
        <v>72</v>
      </c>
      <c r="K60" s="35">
        <v>138</v>
      </c>
      <c r="L60" s="66">
        <f>L49-L55-L58</f>
        <v>15</v>
      </c>
      <c r="M60" s="66">
        <f>M49-M55-M58</f>
        <v>6</v>
      </c>
      <c r="N60" s="66">
        <f>N49-N55-N58</f>
        <v>16</v>
      </c>
      <c r="O60" s="66">
        <f>P60-N60-M60-L60</f>
        <v>58</v>
      </c>
      <c r="P60" s="35">
        <f>P49-P55-P58</f>
        <v>95</v>
      </c>
      <c r="Q60" s="66">
        <f>Q49-Q55-Q58</f>
        <v>18</v>
      </c>
      <c r="R60" s="66">
        <f>R49-R55-R58</f>
        <v>7</v>
      </c>
      <c r="S60" s="66">
        <f>S49-S55-S58</f>
        <v>12</v>
      </c>
      <c r="T60" s="66">
        <f>U60-S60-R60-Q60</f>
        <v>47</v>
      </c>
      <c r="U60" s="35">
        <f>U49-U55-U58</f>
        <v>84</v>
      </c>
    </row>
    <row r="61" spans="1:21" ht="10.5" customHeight="1">
      <c r="A61" s="67" t="s">
        <v>7</v>
      </c>
      <c r="B61" s="68"/>
      <c r="C61" s="68">
        <f>C60/B60-1</f>
        <v>0</v>
      </c>
      <c r="D61" s="68">
        <f>D60/C60-1</f>
        <v>0.95652173913043481</v>
      </c>
      <c r="E61" s="68">
        <f>E60/D60-1</f>
        <v>4.4444444444444509E-2</v>
      </c>
      <c r="F61" s="23"/>
      <c r="G61" s="68">
        <f>G60/E60-1</f>
        <v>-0.42553191489361697</v>
      </c>
      <c r="H61" s="68">
        <f>H60/G60-1</f>
        <v>-0.96296296296296302</v>
      </c>
      <c r="I61" s="68">
        <f>I60/H60-1</f>
        <v>37</v>
      </c>
      <c r="J61" s="68">
        <f>J60/I60-1</f>
        <v>0.89473684210526305</v>
      </c>
      <c r="K61" s="23"/>
      <c r="L61" s="68">
        <f>L60/J60-1</f>
        <v>-0.79166666666666663</v>
      </c>
      <c r="M61" s="68">
        <f>M60/L60-1</f>
        <v>-0.6</v>
      </c>
      <c r="N61" s="68">
        <f>N60/M60-1</f>
        <v>1.6666666666666665</v>
      </c>
      <c r="O61" s="68">
        <f>O60/N60-1</f>
        <v>2.625</v>
      </c>
      <c r="P61" s="23"/>
      <c r="Q61" s="68">
        <f>Q60/O60-1</f>
        <v>-0.68965517241379315</v>
      </c>
      <c r="R61" s="68">
        <f>R60/Q60-1</f>
        <v>-0.61111111111111116</v>
      </c>
      <c r="S61" s="68">
        <f>S60/R60-1</f>
        <v>0.71428571428571419</v>
      </c>
      <c r="T61" s="68">
        <f>T60/S60-1</f>
        <v>2.9166666666666665</v>
      </c>
      <c r="U61" s="23"/>
    </row>
    <row r="62" spans="1:21">
      <c r="A62" s="67" t="s">
        <v>8</v>
      </c>
      <c r="B62" s="69"/>
      <c r="C62" s="69"/>
      <c r="D62" s="69"/>
      <c r="E62" s="69"/>
      <c r="F62" s="23"/>
      <c r="G62" s="69">
        <f t="shared" ref="G62:M62" si="38">G60/B60-1</f>
        <v>0.17391304347826098</v>
      </c>
      <c r="H62" s="69">
        <f t="shared" si="38"/>
        <v>-0.95652173913043481</v>
      </c>
      <c r="I62" s="69">
        <f t="shared" si="38"/>
        <v>-0.15555555555555556</v>
      </c>
      <c r="J62" s="69">
        <f t="shared" si="38"/>
        <v>0.53191489361702127</v>
      </c>
      <c r="K62" s="23">
        <f t="shared" si="38"/>
        <v>0</v>
      </c>
      <c r="L62" s="69">
        <f t="shared" si="38"/>
        <v>-0.44444444444444442</v>
      </c>
      <c r="M62" s="69">
        <f t="shared" si="38"/>
        <v>5</v>
      </c>
      <c r="N62" s="69">
        <f t="shared" ref="N62:U62" si="39">N60/I60-1</f>
        <v>-0.57894736842105265</v>
      </c>
      <c r="O62" s="69">
        <f t="shared" si="39"/>
        <v>-0.19444444444444442</v>
      </c>
      <c r="P62" s="23">
        <f t="shared" si="39"/>
        <v>-0.31159420289855078</v>
      </c>
      <c r="Q62" s="69">
        <f t="shared" si="39"/>
        <v>0.19999999999999996</v>
      </c>
      <c r="R62" s="69">
        <f t="shared" si="39"/>
        <v>0.16666666666666674</v>
      </c>
      <c r="S62" s="69">
        <f t="shared" si="39"/>
        <v>-0.25</v>
      </c>
      <c r="T62" s="69">
        <f t="shared" si="39"/>
        <v>-0.18965517241379315</v>
      </c>
      <c r="U62" s="23">
        <f t="shared" si="39"/>
        <v>-0.11578947368421055</v>
      </c>
    </row>
    <row r="63" spans="1:21">
      <c r="A63" s="48" t="s">
        <v>19</v>
      </c>
      <c r="B63" s="39"/>
      <c r="C63" s="39"/>
      <c r="D63" s="39"/>
      <c r="E63" s="39"/>
      <c r="F63" s="39"/>
      <c r="G63" s="39"/>
      <c r="H63" s="39"/>
      <c r="I63" s="39"/>
      <c r="J63" s="39"/>
      <c r="K63" s="39"/>
      <c r="L63" s="39"/>
      <c r="M63" s="39"/>
      <c r="N63" s="39"/>
      <c r="O63" s="39"/>
      <c r="P63" s="39"/>
      <c r="Q63" s="39"/>
      <c r="R63" s="39"/>
      <c r="S63" s="39"/>
      <c r="T63" s="39"/>
      <c r="U63" s="39"/>
    </row>
    <row r="64" spans="1:21">
      <c r="A64" s="65" t="s">
        <v>31</v>
      </c>
      <c r="B64" s="73">
        <f t="shared" ref="B64:Q64" si="40">B36/B8</f>
        <v>9.375E-2</v>
      </c>
      <c r="C64" s="73">
        <f t="shared" si="40"/>
        <v>8.1081081081081086E-2</v>
      </c>
      <c r="D64" s="73">
        <f t="shared" si="40"/>
        <v>7.3569482288828342E-2</v>
      </c>
      <c r="E64" s="73">
        <f t="shared" si="40"/>
        <v>5.0131926121372031E-2</v>
      </c>
      <c r="F64" s="53">
        <f t="shared" si="40"/>
        <v>7.4821080026024722E-2</v>
      </c>
      <c r="G64" s="73">
        <f t="shared" si="40"/>
        <v>5.113636363636364E-2</v>
      </c>
      <c r="H64" s="73">
        <f t="shared" si="40"/>
        <v>4.1666666666666664E-2</v>
      </c>
      <c r="I64" s="73">
        <f t="shared" si="40"/>
        <v>4.2042042042042045E-2</v>
      </c>
      <c r="J64" s="73">
        <f t="shared" si="40"/>
        <v>1.3513513513513514E-2</v>
      </c>
      <c r="K64" s="53">
        <f t="shared" si="40"/>
        <v>3.6664270309130123E-2</v>
      </c>
      <c r="L64" s="73">
        <f t="shared" si="40"/>
        <v>5.865102639296188E-2</v>
      </c>
      <c r="M64" s="73">
        <f t="shared" si="40"/>
        <v>1.1799410029498525E-2</v>
      </c>
      <c r="N64" s="73">
        <f t="shared" si="40"/>
        <v>-9.7264437689969604E-2</v>
      </c>
      <c r="O64" s="73">
        <f t="shared" ref="O64" si="41">O36/O8</f>
        <v>-0.45151515151515154</v>
      </c>
      <c r="P64" s="53">
        <f t="shared" si="40"/>
        <v>-0.11725168035847648</v>
      </c>
      <c r="Q64" s="73">
        <f t="shared" si="40"/>
        <v>6.9400630914826497E-2</v>
      </c>
      <c r="R64" s="73">
        <f t="shared" ref="R64:U64" si="42">R36/R8</f>
        <v>6.6878980891719744E-2</v>
      </c>
      <c r="S64" s="73">
        <f t="shared" si="42"/>
        <v>-0.96825396825396826</v>
      </c>
      <c r="T64" s="73">
        <f t="shared" si="42"/>
        <v>-0.04</v>
      </c>
      <c r="U64" s="53">
        <f t="shared" si="42"/>
        <v>-0.21636506687647522</v>
      </c>
    </row>
    <row r="65" spans="1:21">
      <c r="A65" s="65" t="s">
        <v>10</v>
      </c>
      <c r="B65" s="73">
        <f t="shared" ref="B65:Q65" si="43">B42/B8</f>
        <v>0.21354166666666666</v>
      </c>
      <c r="C65" s="73">
        <f t="shared" si="43"/>
        <v>0.19164619164619165</v>
      </c>
      <c r="D65" s="73">
        <f t="shared" si="43"/>
        <v>0.1989100817438692</v>
      </c>
      <c r="E65" s="73">
        <f t="shared" si="43"/>
        <v>0.15303430079155672</v>
      </c>
      <c r="F65" s="53">
        <f t="shared" si="43"/>
        <v>0.18932986337020169</v>
      </c>
      <c r="G65" s="73">
        <f t="shared" si="43"/>
        <v>0.19602272727272727</v>
      </c>
      <c r="H65" s="73">
        <f t="shared" si="43"/>
        <v>0.19940476190476192</v>
      </c>
      <c r="I65" s="73">
        <f t="shared" si="43"/>
        <v>0.2072072072072072</v>
      </c>
      <c r="J65" s="73">
        <f t="shared" si="43"/>
        <v>0.17837837837837839</v>
      </c>
      <c r="K65" s="53">
        <f t="shared" si="43"/>
        <v>0.19482386772106397</v>
      </c>
      <c r="L65" s="73">
        <f t="shared" si="43"/>
        <v>0.21114369501466276</v>
      </c>
      <c r="M65" s="73">
        <f t="shared" si="43"/>
        <v>0.15634218289085547</v>
      </c>
      <c r="N65" s="73">
        <f t="shared" si="43"/>
        <v>2.1276595744680851E-2</v>
      </c>
      <c r="O65" s="73">
        <f t="shared" ref="O65" si="44">O42/O8</f>
        <v>-0.41818181818181815</v>
      </c>
      <c r="P65" s="53">
        <f t="shared" si="43"/>
        <v>-4.4809559372666168E-3</v>
      </c>
      <c r="Q65" s="73">
        <f t="shared" si="43"/>
        <v>0.22712933753943218</v>
      </c>
      <c r="R65" s="73">
        <f t="shared" ref="R65:U65" si="45">R42/R8</f>
        <v>0.2070063694267516</v>
      </c>
      <c r="S65" s="73">
        <f t="shared" si="45"/>
        <v>-0.73968253968253972</v>
      </c>
      <c r="T65" s="73">
        <f t="shared" si="45"/>
        <v>1.2307692307692308E-2</v>
      </c>
      <c r="U65" s="53">
        <f t="shared" si="45"/>
        <v>-7.2383949645948076E-2</v>
      </c>
    </row>
    <row r="66" spans="1:21">
      <c r="A66" s="65" t="s">
        <v>18</v>
      </c>
      <c r="B66" s="73">
        <f t="shared" ref="B66:Q66" si="46">B52/B8</f>
        <v>7.5520833333333329E-2</v>
      </c>
      <c r="C66" s="73">
        <f t="shared" si="46"/>
        <v>0.11302211302211303</v>
      </c>
      <c r="D66" s="73">
        <f t="shared" si="46"/>
        <v>8.4468664850136238E-2</v>
      </c>
      <c r="E66" s="73">
        <f t="shared" si="46"/>
        <v>9.498680738786279E-2</v>
      </c>
      <c r="F66" s="53">
        <f t="shared" si="46"/>
        <v>9.2387768379960961E-2</v>
      </c>
      <c r="G66" s="73">
        <f t="shared" si="46"/>
        <v>8.8068181818181823E-2</v>
      </c>
      <c r="H66" s="73">
        <f t="shared" si="46"/>
        <v>0.13095238095238096</v>
      </c>
      <c r="I66" s="73">
        <f t="shared" si="46"/>
        <v>7.8078078078078081E-2</v>
      </c>
      <c r="J66" s="73">
        <f t="shared" si="46"/>
        <v>7.0270270270270274E-2</v>
      </c>
      <c r="K66" s="53">
        <f t="shared" si="46"/>
        <v>9.1301222142343638E-2</v>
      </c>
      <c r="L66" s="73">
        <f t="shared" si="46"/>
        <v>9.6774193548387094E-2</v>
      </c>
      <c r="M66" s="73">
        <f t="shared" si="46"/>
        <v>0.10029498525073746</v>
      </c>
      <c r="N66" s="73">
        <f t="shared" si="46"/>
        <v>0.12158054711246201</v>
      </c>
      <c r="O66" s="73">
        <f t="shared" ref="O66" si="47">O52/O8</f>
        <v>6.363636363636363E-2</v>
      </c>
      <c r="P66" s="53">
        <f t="shared" si="46"/>
        <v>9.5593726661687833E-2</v>
      </c>
      <c r="Q66" s="73">
        <f t="shared" si="46"/>
        <v>0.10725552050473186</v>
      </c>
      <c r="R66" s="73">
        <f t="shared" ref="R66:U66" si="48">R52/R8</f>
        <v>0.10509554140127389</v>
      </c>
      <c r="S66" s="73">
        <f t="shared" si="48"/>
        <v>8.8888888888888892E-2</v>
      </c>
      <c r="T66" s="73">
        <f t="shared" si="48"/>
        <v>6.4615384615384616E-2</v>
      </c>
      <c r="U66" s="53">
        <f t="shared" si="48"/>
        <v>9.1266719118804088E-2</v>
      </c>
    </row>
    <row r="67" spans="1:21" ht="6.75" customHeight="1">
      <c r="A67" s="52"/>
      <c r="B67" s="52"/>
      <c r="C67" s="52"/>
      <c r="D67" s="52"/>
      <c r="E67" s="52"/>
      <c r="F67" s="52"/>
      <c r="G67" s="52"/>
      <c r="H67" s="52"/>
      <c r="I67" s="52"/>
      <c r="J67" s="52"/>
      <c r="K67" s="52"/>
      <c r="L67" s="52"/>
      <c r="M67" s="52"/>
      <c r="N67" s="52"/>
      <c r="O67" s="52"/>
      <c r="P67" s="52"/>
      <c r="Q67" s="52"/>
      <c r="R67" s="52"/>
      <c r="S67" s="52"/>
      <c r="T67" s="52"/>
      <c r="U67" s="52"/>
    </row>
    <row r="68" spans="1:21" ht="6.75" customHeight="1"/>
    <row r="69" spans="1:21" ht="6.75" customHeight="1"/>
  </sheetData>
  <pageMargins left="0.39370078740157483" right="0.39370078740157483" top="0.31496062992125984" bottom="0.19685039370078741" header="0.31496062992125984" footer="0.31496062992125984"/>
  <pageSetup paperSize="9" scale="70" orientation="landscape" r:id="rId1"/>
  <headerFooter>
    <oddHeader>&amp;CBezeq - The Israel Telecommunication Corp. Ltd.</oddHeader>
    <oddFooter>&amp;R&amp;P of &amp;N
BI financial 
metrics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17</vt:i4>
      </vt:variant>
      <vt:variant>
        <vt:lpstr>טווחים בעלי שם</vt:lpstr>
      </vt:variant>
      <vt:variant>
        <vt:i4>27</vt:i4>
      </vt:variant>
    </vt:vector>
  </HeadingPairs>
  <TitlesOfParts>
    <vt:vector size="44" baseType="lpstr">
      <vt:lpstr>Index</vt:lpstr>
      <vt:lpstr>Group P&amp;L</vt:lpstr>
      <vt:lpstr>Group CF</vt:lpstr>
      <vt:lpstr>Group BS</vt:lpstr>
      <vt:lpstr>Group-Adj #s</vt:lpstr>
      <vt:lpstr>Group-Other</vt:lpstr>
      <vt:lpstr>Fixed-Line</vt:lpstr>
      <vt:lpstr>Pelephone</vt:lpstr>
      <vt:lpstr>B. Intl</vt:lpstr>
      <vt:lpstr>yes</vt:lpstr>
      <vt:lpstr>Total Subs</vt:lpstr>
      <vt:lpstr>KPIs</vt:lpstr>
      <vt:lpstr>Fixed CF Forecast</vt:lpstr>
      <vt:lpstr>Debt Repayments</vt:lpstr>
      <vt:lpstr>Debt Terms</vt:lpstr>
      <vt:lpstr>Glossary </vt:lpstr>
      <vt:lpstr>Dividends</vt:lpstr>
      <vt:lpstr>KPIs!_ftn1</vt:lpstr>
      <vt:lpstr>KPIs!_ftn2</vt:lpstr>
      <vt:lpstr>KPIs!_ftnref1</vt:lpstr>
      <vt:lpstr>KPIs!_ftnref2</vt:lpstr>
      <vt:lpstr>'B. Intl'!WPrint_Area_W</vt:lpstr>
      <vt:lpstr>'Debt Repayments'!WPrint_Area_W</vt:lpstr>
      <vt:lpstr>Dividends!WPrint_Area_W</vt:lpstr>
      <vt:lpstr>'Fixed CF Forecast'!WPrint_Area_W</vt:lpstr>
      <vt:lpstr>'Fixed-Line'!WPrint_Area_W</vt:lpstr>
      <vt:lpstr>'Glossary '!WPrint_Area_W</vt:lpstr>
      <vt:lpstr>'Group BS'!WPrint_Area_W</vt:lpstr>
      <vt:lpstr>'Group P&amp;L'!WPrint_Area_W</vt:lpstr>
      <vt:lpstr>'Group-Adj #s'!WPrint_Area_W</vt:lpstr>
      <vt:lpstr>'Group-Other'!WPrint_Area_W</vt:lpstr>
      <vt:lpstr>Index!WPrint_Area_W</vt:lpstr>
      <vt:lpstr>KPIs!WPrint_Area_W</vt:lpstr>
      <vt:lpstr>Pelephone!WPrint_Area_W</vt:lpstr>
      <vt:lpstr>'Total Subs'!WPrint_Area_W</vt:lpstr>
      <vt:lpstr>yes!WPrint_Area_W</vt:lpstr>
      <vt:lpstr>'Debt Repayments'!WPrint_TitlesW</vt:lpstr>
      <vt:lpstr>Dividends!WPrint_TitlesW</vt:lpstr>
      <vt:lpstr>'Fixed-Line'!WPrint_TitlesW</vt:lpstr>
      <vt:lpstr>'Group P&amp;L'!WPrint_TitlesW</vt:lpstr>
      <vt:lpstr>'Group-Other'!WPrint_TitlesW</vt:lpstr>
      <vt:lpstr>KPIs!WPrint_TitlesW</vt:lpstr>
      <vt:lpstr>'Total Subs'!WPrint_TitlesW</vt:lpstr>
      <vt:lpstr>yes!WPrint_TitlesW</vt:lpstr>
    </vt:vector>
  </TitlesOfParts>
  <Company>בזק</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bezeq</dc:creator>
  <cp:lastModifiedBy>נפתלי שטרנליכט - חטיבת כספים - Naftali Shternlicht</cp:lastModifiedBy>
  <cp:lastPrinted>2021-03-15T11:17:18Z</cp:lastPrinted>
  <dcterms:created xsi:type="dcterms:W3CDTF">1999-09-09T08:56:33Z</dcterms:created>
  <dcterms:modified xsi:type="dcterms:W3CDTF">2021-03-24T09:04:34Z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