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updateLinks="always" defaultThemeVersion="124226"/>
  <xr:revisionPtr revIDLastSave="0" documentId="13_ncr:1_{5192ED24-03C6-4822-ABEF-5ABC12F4B8D4}" xr6:coauthVersionLast="47" xr6:coauthVersionMax="47" xr10:uidLastSave="{00000000-0000-0000-0000-000000000000}"/>
  <bookViews>
    <workbookView xWindow="-110" yWindow="-110" windowWidth="19420" windowHeight="10300" tabRatio="946" xr2:uid="{00000000-000D-0000-FFFF-FFFF00000000}"/>
  </bookViews>
  <sheets>
    <sheet name="Introduction" sheetId="26" r:id="rId1"/>
    <sheet name="Bezeq Group targets" sheetId="5" r:id="rId2"/>
    <sheet name="Home" sheetId="27" r:id="rId3"/>
    <sheet name="Environment &gt;&gt;&gt;" sheetId="33" r:id="rId4"/>
    <sheet name="GHG emissions" sheetId="14" r:id="rId5"/>
    <sheet name="Intensity" sheetId="25" r:id="rId6"/>
    <sheet name="Energy consumption" sheetId="4" r:id="rId7"/>
    <sheet name="Water" sheetId="16" r:id="rId8"/>
    <sheet name="Waste" sheetId="29" r:id="rId9"/>
    <sheet name="Society &gt;&gt;&gt; " sheetId="38" r:id="rId10"/>
    <sheet name="Human resources" sheetId="1" r:id="rId11"/>
    <sheet name="Nature of employment" sheetId="11" r:id="rId12"/>
    <sheet name="No. of employment years" sheetId="10" r:id="rId13"/>
    <sheet name="Employee churn" sheetId="9" r:id="rId14"/>
    <sheet name="Diversity and inclusion" sheetId="7" r:id="rId15"/>
    <sheet name="Training, feedback, and evaluat" sheetId="8" r:id="rId16"/>
    <sheet name="Health and safety" sheetId="3" r:id="rId17"/>
    <sheet name="Corporate governance &gt;&gt;&gt;" sheetId="39" r:id="rId18"/>
    <sheet name="Holdings structure" sheetId="28" r:id="rId19"/>
    <sheet name="Board members" sheetId="31" r:id="rId20"/>
    <sheet name="Annual bonus for officers" sheetId="32" r:id="rId21"/>
    <sheet name="Inquiries to the auditor" sheetId="24" r:id="rId22"/>
    <sheet name="Financial performance" sheetId="30" r:id="rId23"/>
    <sheet name="Grievances" sheetId="41" r:id="rId24"/>
  </sheets>
  <externalReferences>
    <externalReference r:id="rId25"/>
    <externalReference r:id="rId26"/>
  </externalReferences>
  <definedNames>
    <definedName name="_ftn1" localSheetId="19">'Board members'!#REF!</definedName>
    <definedName name="_ftn2" localSheetId="19">'Board members'!#REF!</definedName>
    <definedName name="_ftnref1" localSheetId="19">'Board members'!$C$17</definedName>
    <definedName name="_ftnref2" localSheetId="19">'Board members'!#REF!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1" l="1"/>
  <c r="D25" i="31"/>
  <c r="U53" i="3"/>
  <c r="E53" i="3"/>
  <c r="D53" i="3"/>
  <c r="C53" i="3"/>
  <c r="G37" i="3"/>
  <c r="G36" i="3"/>
  <c r="G35" i="3"/>
  <c r="G34" i="3"/>
  <c r="H31" i="3"/>
  <c r="C55" i="8"/>
  <c r="D53" i="8"/>
  <c r="E29" i="8"/>
  <c r="K10" i="8"/>
  <c r="C23" i="7"/>
  <c r="C22" i="7"/>
  <c r="C21" i="7"/>
  <c r="AG15" i="7"/>
  <c r="AF15" i="7"/>
  <c r="AE15" i="7"/>
  <c r="AD15" i="7"/>
  <c r="AC15" i="7"/>
  <c r="AB15" i="7"/>
  <c r="AA15" i="7"/>
  <c r="Z15" i="7"/>
  <c r="Y15" i="7"/>
  <c r="X15" i="7"/>
  <c r="W15" i="7"/>
  <c r="R15" i="7"/>
  <c r="Q15" i="7"/>
  <c r="P15" i="7"/>
  <c r="O15" i="7"/>
  <c r="N15" i="7"/>
  <c r="M15" i="7"/>
  <c r="L15" i="7"/>
  <c r="K15" i="7"/>
  <c r="J15" i="7"/>
  <c r="I15" i="7"/>
  <c r="H15" i="7"/>
  <c r="G15" i="7"/>
  <c r="F15" i="7"/>
  <c r="E15" i="7"/>
  <c r="D15" i="7"/>
  <c r="C15" i="7"/>
  <c r="AD12" i="7"/>
  <c r="H12" i="7"/>
  <c r="AE11" i="7"/>
  <c r="AB11" i="7"/>
  <c r="W11" i="7"/>
  <c r="O11" i="7"/>
  <c r="N11" i="7"/>
  <c r="L11" i="7"/>
  <c r="G11" i="7"/>
  <c r="F11" i="7"/>
  <c r="D11" i="7"/>
  <c r="Q61" i="9"/>
  <c r="P61" i="9"/>
  <c r="Q60" i="9"/>
  <c r="P60" i="9"/>
  <c r="K60" i="9"/>
  <c r="J60" i="9"/>
  <c r="H60" i="9"/>
  <c r="G60" i="9"/>
  <c r="E60" i="9"/>
  <c r="D60" i="9"/>
  <c r="Q59" i="9"/>
  <c r="P59" i="9"/>
  <c r="K59" i="9"/>
  <c r="J59" i="9"/>
  <c r="H59" i="9"/>
  <c r="G59" i="9"/>
  <c r="E59" i="9"/>
  <c r="D59" i="9"/>
  <c r="Q58" i="9"/>
  <c r="P58" i="9"/>
  <c r="K58" i="9"/>
  <c r="J58" i="9"/>
  <c r="H58" i="9"/>
  <c r="G58" i="9"/>
  <c r="E58" i="9"/>
  <c r="D58" i="9"/>
  <c r="Q57" i="9"/>
  <c r="P57" i="9"/>
  <c r="K57" i="9"/>
  <c r="J57" i="9"/>
  <c r="H57" i="9"/>
  <c r="G57" i="9"/>
  <c r="E57" i="9"/>
  <c r="D57" i="9"/>
  <c r="Q53" i="9"/>
  <c r="P53" i="9"/>
  <c r="K53" i="9"/>
  <c r="J53" i="9"/>
  <c r="H53" i="9"/>
  <c r="G53" i="9"/>
  <c r="E53" i="9"/>
  <c r="D53" i="9"/>
  <c r="R50" i="9"/>
  <c r="O50" i="9"/>
  <c r="L50" i="9"/>
  <c r="I50" i="9"/>
  <c r="Q45" i="9"/>
  <c r="P45" i="9"/>
  <c r="K45" i="9"/>
  <c r="J45" i="9"/>
  <c r="H45" i="9"/>
  <c r="G45" i="9"/>
  <c r="E45" i="9"/>
  <c r="D45" i="9"/>
  <c r="Q44" i="9"/>
  <c r="P44" i="9"/>
  <c r="K44" i="9"/>
  <c r="J44" i="9"/>
  <c r="H44" i="9"/>
  <c r="G44" i="9"/>
  <c r="E44" i="9"/>
  <c r="D44" i="9"/>
  <c r="Q43" i="9"/>
  <c r="P43" i="9"/>
  <c r="K43" i="9"/>
  <c r="J43" i="9"/>
  <c r="H43" i="9"/>
  <c r="G43" i="9"/>
  <c r="E43" i="9"/>
  <c r="D43" i="9"/>
  <c r="Q42" i="9"/>
  <c r="P42" i="9"/>
  <c r="K42" i="9"/>
  <c r="J42" i="9"/>
  <c r="H42" i="9"/>
  <c r="G42" i="9"/>
  <c r="E42" i="9"/>
  <c r="D42" i="9"/>
  <c r="Q41" i="9"/>
  <c r="P41" i="9"/>
  <c r="K41" i="9"/>
  <c r="J41" i="9"/>
  <c r="H41" i="9"/>
  <c r="G41" i="9"/>
  <c r="E41" i="9"/>
  <c r="D41" i="9"/>
  <c r="Q37" i="9"/>
  <c r="P37" i="9"/>
  <c r="K37" i="9"/>
  <c r="J37" i="9"/>
  <c r="H37" i="9"/>
  <c r="G37" i="9"/>
  <c r="E37" i="9"/>
  <c r="D37" i="9"/>
  <c r="R34" i="9"/>
  <c r="O34" i="9"/>
  <c r="L34" i="9"/>
  <c r="I34" i="9"/>
  <c r="R18" i="9"/>
  <c r="O18" i="9"/>
  <c r="L18" i="9"/>
  <c r="I18" i="9"/>
  <c r="X13" i="9"/>
  <c r="E13" i="9"/>
  <c r="X12" i="9"/>
  <c r="S12" i="9"/>
  <c r="N12" i="9"/>
  <c r="J12" i="9"/>
  <c r="F12" i="9"/>
  <c r="X11" i="9"/>
  <c r="E11" i="9"/>
  <c r="S10" i="9"/>
  <c r="N10" i="9"/>
  <c r="J10" i="9"/>
  <c r="F10" i="9"/>
  <c r="E10" i="9"/>
  <c r="Y9" i="9"/>
  <c r="V41" i="10"/>
  <c r="U41" i="10"/>
  <c r="T41" i="10"/>
  <c r="S41" i="10"/>
  <c r="V40" i="10"/>
  <c r="U40" i="10"/>
  <c r="V39" i="10"/>
  <c r="U39" i="10"/>
  <c r="V38" i="10"/>
  <c r="U38" i="10"/>
  <c r="V37" i="10"/>
  <c r="U37" i="10"/>
  <c r="U32" i="10"/>
  <c r="T32" i="10"/>
  <c r="S32" i="10"/>
  <c r="Q32" i="10"/>
  <c r="P32" i="10"/>
  <c r="O32" i="10"/>
  <c r="M32" i="10"/>
  <c r="L32" i="10"/>
  <c r="K32" i="10"/>
  <c r="I32" i="10"/>
  <c r="H32" i="10"/>
  <c r="G32" i="10"/>
  <c r="E32" i="10"/>
  <c r="D32" i="10"/>
  <c r="C32" i="10"/>
  <c r="U31" i="10"/>
  <c r="Q31" i="10"/>
  <c r="M31" i="10"/>
  <c r="I31" i="10"/>
  <c r="E31" i="10"/>
  <c r="U30" i="10"/>
  <c r="Q30" i="10"/>
  <c r="M30" i="10"/>
  <c r="I30" i="10"/>
  <c r="E30" i="10"/>
  <c r="U29" i="10"/>
  <c r="Q29" i="10"/>
  <c r="M29" i="10"/>
  <c r="I29" i="10"/>
  <c r="E29" i="10"/>
  <c r="U28" i="10"/>
  <c r="Q28" i="10"/>
  <c r="M28" i="10"/>
  <c r="I28" i="10"/>
  <c r="E28" i="10"/>
  <c r="Q23" i="10"/>
  <c r="P23" i="10"/>
  <c r="O23" i="10"/>
  <c r="M23" i="10"/>
  <c r="L23" i="10"/>
  <c r="K23" i="10"/>
  <c r="I23" i="10"/>
  <c r="H23" i="10"/>
  <c r="G23" i="10"/>
  <c r="Q22" i="10"/>
  <c r="Q21" i="10"/>
  <c r="Q20" i="10"/>
  <c r="Q19" i="10"/>
  <c r="M14" i="10"/>
  <c r="K14" i="10"/>
  <c r="I14" i="10"/>
  <c r="G14" i="10"/>
  <c r="E14" i="10"/>
  <c r="C14" i="10"/>
  <c r="P58" i="11"/>
  <c r="O58" i="11"/>
  <c r="Q57" i="11"/>
  <c r="K57" i="11"/>
  <c r="J57" i="11"/>
  <c r="I57" i="11"/>
  <c r="H57" i="11"/>
  <c r="G57" i="11"/>
  <c r="F57" i="11"/>
  <c r="E57" i="11"/>
  <c r="D57" i="11"/>
  <c r="C57" i="11"/>
  <c r="P56" i="11"/>
  <c r="O56" i="11"/>
  <c r="K56" i="11"/>
  <c r="J56" i="11"/>
  <c r="I56" i="11"/>
  <c r="H56" i="11"/>
  <c r="G56" i="11"/>
  <c r="F56" i="11"/>
  <c r="E56" i="11"/>
  <c r="D56" i="11"/>
  <c r="C56" i="11"/>
  <c r="K55" i="11"/>
  <c r="H55" i="11"/>
  <c r="E55" i="11"/>
  <c r="P54" i="11"/>
  <c r="O54" i="11"/>
  <c r="K54" i="11"/>
  <c r="J54" i="11"/>
  <c r="I54" i="11"/>
  <c r="H54" i="11"/>
  <c r="G54" i="11"/>
  <c r="F54" i="11"/>
  <c r="E54" i="11"/>
  <c r="D54" i="11"/>
  <c r="C54" i="11"/>
  <c r="K53" i="11"/>
  <c r="H53" i="11"/>
  <c r="E53" i="11"/>
  <c r="Q51" i="11"/>
  <c r="N44" i="11"/>
  <c r="M44" i="11"/>
  <c r="L44" i="11"/>
  <c r="K44" i="11"/>
  <c r="J44" i="11"/>
  <c r="I44" i="11"/>
  <c r="N43" i="11"/>
  <c r="M43" i="11"/>
  <c r="L43" i="11"/>
  <c r="K43" i="11"/>
  <c r="J43" i="11"/>
  <c r="I43" i="11"/>
  <c r="H43" i="11"/>
  <c r="G43" i="11"/>
  <c r="F43" i="11"/>
  <c r="N42" i="11"/>
  <c r="M42" i="11"/>
  <c r="L42" i="11"/>
  <c r="K42" i="11"/>
  <c r="J42" i="11"/>
  <c r="I42" i="11"/>
  <c r="N41" i="11"/>
  <c r="K41" i="11"/>
  <c r="H41" i="11"/>
  <c r="N40" i="11"/>
  <c r="M40" i="11"/>
  <c r="L40" i="11"/>
  <c r="K40" i="11"/>
  <c r="J40" i="11"/>
  <c r="I40" i="11"/>
  <c r="N39" i="11"/>
  <c r="K39" i="11"/>
  <c r="H39" i="11"/>
  <c r="L16" i="11"/>
  <c r="N14" i="11"/>
  <c r="M14" i="11"/>
  <c r="L14" i="11"/>
  <c r="N13" i="11"/>
  <c r="N12" i="11"/>
  <c r="N11" i="11"/>
  <c r="O10" i="11"/>
  <c r="N10" i="11"/>
  <c r="U95" i="1"/>
  <c r="T95" i="1"/>
  <c r="S95" i="1"/>
  <c r="M95" i="1"/>
  <c r="L95" i="1"/>
  <c r="K95" i="1"/>
  <c r="I95" i="1"/>
  <c r="H95" i="1"/>
  <c r="G95" i="1"/>
  <c r="E95" i="1"/>
  <c r="D95" i="1"/>
  <c r="C95" i="1"/>
  <c r="U94" i="1"/>
  <c r="M94" i="1"/>
  <c r="I94" i="1"/>
  <c r="E94" i="1"/>
  <c r="U93" i="1"/>
  <c r="M93" i="1"/>
  <c r="I93" i="1"/>
  <c r="E93" i="1"/>
  <c r="U92" i="1"/>
  <c r="M92" i="1"/>
  <c r="I92" i="1"/>
  <c r="E92" i="1"/>
  <c r="K87" i="1"/>
  <c r="J87" i="1"/>
  <c r="I87" i="1"/>
  <c r="H87" i="1"/>
  <c r="G87" i="1"/>
  <c r="F87" i="1"/>
  <c r="E87" i="1"/>
  <c r="D87" i="1"/>
  <c r="C87" i="1"/>
  <c r="K86" i="1"/>
  <c r="H86" i="1"/>
  <c r="E86" i="1"/>
  <c r="K85" i="1"/>
  <c r="H85" i="1"/>
  <c r="E85" i="1"/>
  <c r="U79" i="1"/>
  <c r="T79" i="1"/>
  <c r="S79" i="1"/>
  <c r="Q79" i="1"/>
  <c r="P79" i="1"/>
  <c r="O79" i="1"/>
  <c r="M79" i="1"/>
  <c r="L79" i="1"/>
  <c r="K79" i="1"/>
  <c r="I79" i="1"/>
  <c r="H79" i="1"/>
  <c r="G79" i="1"/>
  <c r="E79" i="1"/>
  <c r="D79" i="1"/>
  <c r="C79" i="1"/>
  <c r="U78" i="1"/>
  <c r="Q78" i="1"/>
  <c r="M78" i="1"/>
  <c r="I78" i="1"/>
  <c r="E78" i="1"/>
  <c r="U77" i="1"/>
  <c r="Q77" i="1"/>
  <c r="M77" i="1"/>
  <c r="I77" i="1"/>
  <c r="E77" i="1"/>
  <c r="U76" i="1"/>
  <c r="Q76" i="1"/>
  <c r="M76" i="1"/>
  <c r="I76" i="1"/>
  <c r="E76" i="1"/>
  <c r="Q71" i="1"/>
  <c r="P71" i="1"/>
  <c r="O71" i="1"/>
  <c r="K71" i="1"/>
  <c r="J71" i="1"/>
  <c r="I71" i="1"/>
  <c r="H71" i="1"/>
  <c r="G71" i="1"/>
  <c r="F71" i="1"/>
  <c r="E71" i="1"/>
  <c r="D71" i="1"/>
  <c r="C71" i="1"/>
  <c r="Q70" i="1"/>
  <c r="K70" i="1"/>
  <c r="H70" i="1"/>
  <c r="E70" i="1"/>
  <c r="Q69" i="1"/>
  <c r="K69" i="1"/>
  <c r="H69" i="1"/>
  <c r="E69" i="1"/>
  <c r="P63" i="1"/>
  <c r="O63" i="1"/>
  <c r="M63" i="1"/>
  <c r="L63" i="1"/>
  <c r="K63" i="1"/>
  <c r="I63" i="1"/>
  <c r="H63" i="1"/>
  <c r="G63" i="1"/>
  <c r="E63" i="1"/>
  <c r="D63" i="1"/>
  <c r="C63" i="1"/>
  <c r="Q62" i="1"/>
  <c r="M62" i="1"/>
  <c r="I62" i="1"/>
  <c r="E62" i="1"/>
  <c r="Q61" i="1"/>
  <c r="M61" i="1"/>
  <c r="I61" i="1"/>
  <c r="E61" i="1"/>
  <c r="Q60" i="1"/>
  <c r="M60" i="1"/>
  <c r="I60" i="1"/>
  <c r="E60" i="1"/>
  <c r="K55" i="1"/>
  <c r="J55" i="1"/>
  <c r="I55" i="1"/>
  <c r="H55" i="1"/>
  <c r="G55" i="1"/>
  <c r="F55" i="1"/>
  <c r="E55" i="1"/>
  <c r="D55" i="1"/>
  <c r="C55" i="1"/>
  <c r="K54" i="1"/>
  <c r="H54" i="1"/>
  <c r="E54" i="1"/>
  <c r="K53" i="1"/>
  <c r="H53" i="1"/>
  <c r="E53" i="1"/>
  <c r="Q47" i="1"/>
  <c r="P47" i="1"/>
  <c r="O47" i="1"/>
  <c r="N47" i="1"/>
  <c r="M47" i="1"/>
  <c r="L47" i="1"/>
  <c r="Q46" i="1"/>
  <c r="N46" i="1"/>
  <c r="J46" i="1"/>
  <c r="I46" i="1"/>
  <c r="K46" i="1" s="1"/>
  <c r="G46" i="1"/>
  <c r="F46" i="1"/>
  <c r="H46" i="1" s="1"/>
  <c r="D46" i="1"/>
  <c r="C46" i="1"/>
  <c r="E46" i="1" s="1"/>
  <c r="Q45" i="1"/>
  <c r="N45" i="1"/>
  <c r="J45" i="1"/>
  <c r="I45" i="1"/>
  <c r="K45" i="1" s="1"/>
  <c r="H45" i="1"/>
  <c r="G45" i="1"/>
  <c r="F45" i="1"/>
  <c r="D45" i="1"/>
  <c r="C45" i="1"/>
  <c r="E45" i="1" s="1"/>
  <c r="Q44" i="1"/>
  <c r="N44" i="1"/>
  <c r="J44" i="1"/>
  <c r="J47" i="1" s="1"/>
  <c r="I44" i="1"/>
  <c r="I47" i="1" s="1"/>
  <c r="G44" i="1"/>
  <c r="G47" i="1" s="1"/>
  <c r="F44" i="1"/>
  <c r="F47" i="1" s="1"/>
  <c r="D44" i="1"/>
  <c r="D47" i="1" s="1"/>
  <c r="C44" i="1"/>
  <c r="C47" i="1" s="1"/>
  <c r="Q39" i="1"/>
  <c r="N39" i="1"/>
  <c r="Q38" i="1"/>
  <c r="N38" i="1"/>
  <c r="Q37" i="1"/>
  <c r="N37" i="1"/>
  <c r="Q36" i="1"/>
  <c r="N36" i="1"/>
  <c r="I23" i="1"/>
  <c r="G23" i="1"/>
  <c r="E23" i="1"/>
  <c r="C23" i="1"/>
  <c r="G19" i="1"/>
  <c r="E19" i="1"/>
  <c r="C19" i="1"/>
  <c r="F14" i="1"/>
  <c r="E14" i="1"/>
  <c r="D14" i="1"/>
  <c r="C14" i="1"/>
  <c r="D36" i="29"/>
  <c r="I11" i="29"/>
  <c r="H11" i="29"/>
  <c r="G11" i="29"/>
  <c r="F11" i="29"/>
  <c r="E11" i="29"/>
  <c r="C11" i="29"/>
  <c r="G10" i="29"/>
  <c r="G9" i="29"/>
  <c r="K10" i="16"/>
  <c r="J10" i="16"/>
  <c r="H10" i="16"/>
  <c r="F10" i="16"/>
  <c r="D10" i="16"/>
  <c r="K9" i="16"/>
  <c r="J9" i="16"/>
  <c r="H9" i="16"/>
  <c r="F9" i="16"/>
  <c r="D9" i="16"/>
  <c r="K8" i="16"/>
  <c r="J8" i="16"/>
  <c r="H8" i="16"/>
  <c r="F8" i="16"/>
  <c r="D8" i="16"/>
  <c r="K7" i="16"/>
  <c r="G75" i="4"/>
  <c r="F75" i="4"/>
  <c r="E75" i="4"/>
  <c r="D75" i="4"/>
  <c r="C75" i="4"/>
  <c r="G74" i="4"/>
  <c r="F74" i="4"/>
  <c r="E74" i="4"/>
  <c r="G73" i="4"/>
  <c r="F73" i="4"/>
  <c r="E73" i="4"/>
  <c r="G72" i="4"/>
  <c r="E72" i="4"/>
  <c r="G71" i="4"/>
  <c r="E71" i="4"/>
  <c r="H67" i="4"/>
  <c r="G67" i="4"/>
  <c r="H66" i="4"/>
  <c r="G66" i="4"/>
  <c r="G65" i="4"/>
  <c r="G64" i="4"/>
  <c r="G63" i="4"/>
  <c r="G51" i="4"/>
  <c r="G50" i="4"/>
  <c r="H43" i="4"/>
  <c r="G43" i="4"/>
  <c r="H42" i="4"/>
  <c r="G42" i="4"/>
  <c r="H41" i="4"/>
  <c r="G41" i="4"/>
  <c r="H40" i="4"/>
  <c r="G40" i="4"/>
  <c r="H39" i="4"/>
  <c r="G39" i="4"/>
  <c r="C35" i="4"/>
  <c r="H28" i="4"/>
  <c r="G28" i="4"/>
  <c r="F28" i="4"/>
  <c r="E28" i="4"/>
  <c r="D28" i="4"/>
  <c r="H27" i="4"/>
  <c r="H26" i="4"/>
  <c r="H25" i="4"/>
  <c r="G25" i="4"/>
  <c r="F25" i="4"/>
  <c r="E25" i="4"/>
  <c r="D25" i="4"/>
  <c r="H24" i="4"/>
  <c r="H23" i="4"/>
  <c r="H22" i="4"/>
  <c r="G22" i="4"/>
  <c r="F22" i="4"/>
  <c r="E22" i="4"/>
  <c r="D22" i="4"/>
  <c r="H21" i="4"/>
  <c r="H20" i="4"/>
  <c r="H19" i="4"/>
  <c r="G19" i="4"/>
  <c r="F19" i="4"/>
  <c r="E19" i="4"/>
  <c r="D19" i="4"/>
  <c r="H18" i="4"/>
  <c r="H17" i="4"/>
  <c r="I13" i="4"/>
  <c r="H13" i="4"/>
  <c r="G13" i="4"/>
  <c r="F13" i="4"/>
  <c r="E13" i="4"/>
  <c r="I12" i="4"/>
  <c r="H12" i="4"/>
  <c r="I11" i="4"/>
  <c r="H11" i="4"/>
  <c r="I10" i="4"/>
  <c r="H10" i="4"/>
  <c r="I9" i="4"/>
  <c r="H9" i="4"/>
  <c r="Y23" i="25"/>
  <c r="X23" i="25"/>
  <c r="W23" i="25"/>
  <c r="Y22" i="25"/>
  <c r="Y21" i="25"/>
  <c r="G21" i="25"/>
  <c r="F21" i="25"/>
  <c r="E21" i="25"/>
  <c r="D21" i="25"/>
  <c r="C21" i="25"/>
  <c r="Y20" i="25"/>
  <c r="G20" i="25"/>
  <c r="F20" i="25"/>
  <c r="E20" i="25"/>
  <c r="D20" i="25"/>
  <c r="C20" i="25"/>
  <c r="Y19" i="25"/>
  <c r="G19" i="25"/>
  <c r="F19" i="25"/>
  <c r="E19" i="25"/>
  <c r="D19" i="25"/>
  <c r="C19" i="25"/>
  <c r="G18" i="25"/>
  <c r="F18" i="25"/>
  <c r="E18" i="25"/>
  <c r="D18" i="25"/>
  <c r="C18" i="25"/>
  <c r="G17" i="25"/>
  <c r="F17" i="25"/>
  <c r="E17" i="25"/>
  <c r="D17" i="25"/>
  <c r="C17" i="25"/>
  <c r="AB14" i="25"/>
  <c r="Z14" i="25"/>
  <c r="Y14" i="25"/>
  <c r="X14" i="25"/>
  <c r="W14" i="25"/>
  <c r="V14" i="25"/>
  <c r="U14" i="25"/>
  <c r="Q14" i="25"/>
  <c r="P14" i="25"/>
  <c r="O14" i="25"/>
  <c r="N14" i="25"/>
  <c r="M14" i="25"/>
  <c r="AG13" i="25"/>
  <c r="AF13" i="25"/>
  <c r="AE13" i="25"/>
  <c r="AD13" i="25"/>
  <c r="AB13" i="25"/>
  <c r="X13" i="25"/>
  <c r="Q13" i="25"/>
  <c r="P13" i="25"/>
  <c r="O13" i="25"/>
  <c r="N13" i="25"/>
  <c r="M13" i="25"/>
  <c r="L13" i="25"/>
  <c r="K13" i="25"/>
  <c r="J13" i="25"/>
  <c r="I13" i="25"/>
  <c r="H13" i="25"/>
  <c r="G13" i="25"/>
  <c r="F13" i="25"/>
  <c r="E13" i="25"/>
  <c r="D13" i="25"/>
  <c r="C13" i="25"/>
  <c r="AB12" i="25"/>
  <c r="X12" i="25"/>
  <c r="Q12" i="25"/>
  <c r="P12" i="25"/>
  <c r="O12" i="25"/>
  <c r="N12" i="25"/>
  <c r="M12" i="25"/>
  <c r="L12" i="25"/>
  <c r="K12" i="25"/>
  <c r="J12" i="25"/>
  <c r="I12" i="25"/>
  <c r="H12" i="25"/>
  <c r="G12" i="25"/>
  <c r="F12" i="25"/>
  <c r="E12" i="25"/>
  <c r="D12" i="25"/>
  <c r="C12" i="25"/>
  <c r="AB11" i="25"/>
  <c r="X11" i="25"/>
  <c r="Q11" i="25"/>
  <c r="P11" i="25"/>
  <c r="O11" i="25"/>
  <c r="N11" i="25"/>
  <c r="M11" i="25"/>
  <c r="L11" i="25"/>
  <c r="K11" i="25"/>
  <c r="J11" i="25"/>
  <c r="I11" i="25"/>
  <c r="H11" i="25"/>
  <c r="G11" i="25"/>
  <c r="F11" i="25"/>
  <c r="E11" i="25"/>
  <c r="D11" i="25"/>
  <c r="C11" i="25"/>
  <c r="AB10" i="25"/>
  <c r="X10" i="25"/>
  <c r="Q10" i="25"/>
  <c r="P10" i="25"/>
  <c r="O10" i="25"/>
  <c r="N10" i="25"/>
  <c r="M10" i="25"/>
  <c r="L10" i="25"/>
  <c r="K10" i="25"/>
  <c r="J10" i="25"/>
  <c r="I10" i="25"/>
  <c r="H10" i="25"/>
  <c r="G10" i="25"/>
  <c r="F10" i="25"/>
  <c r="E10" i="25"/>
  <c r="D10" i="25"/>
  <c r="C10" i="25"/>
  <c r="D49" i="14"/>
  <c r="D48" i="14"/>
  <c r="G47" i="14"/>
  <c r="E47" i="14"/>
  <c r="D47" i="14"/>
  <c r="P46" i="14"/>
  <c r="D46" i="14"/>
  <c r="D45" i="14"/>
  <c r="G44" i="14"/>
  <c r="F44" i="14"/>
  <c r="E44" i="14"/>
  <c r="D44" i="14"/>
  <c r="D43" i="14"/>
  <c r="D42" i="14"/>
  <c r="G41" i="14"/>
  <c r="E41" i="14"/>
  <c r="D41" i="14"/>
  <c r="E39" i="14"/>
  <c r="D39" i="14"/>
  <c r="G35" i="14"/>
  <c r="F35" i="14"/>
  <c r="E35" i="14"/>
  <c r="D35" i="14"/>
  <c r="C35" i="14"/>
  <c r="G34" i="14"/>
  <c r="G33" i="14"/>
  <c r="G29" i="14"/>
  <c r="F29" i="14"/>
  <c r="E29" i="14"/>
  <c r="D29" i="14"/>
  <c r="C29" i="14"/>
  <c r="G28" i="14"/>
  <c r="G27" i="14"/>
  <c r="G23" i="14"/>
  <c r="F23" i="14"/>
  <c r="E23" i="14"/>
  <c r="D23" i="14"/>
  <c r="C23" i="14"/>
  <c r="G22" i="14"/>
  <c r="G21" i="14"/>
  <c r="J16" i="14"/>
  <c r="I16" i="14"/>
  <c r="I15" i="14"/>
  <c r="J14" i="14"/>
  <c r="I14" i="14"/>
  <c r="J13" i="14"/>
  <c r="I13" i="14"/>
  <c r="H13" i="14"/>
  <c r="G13" i="14"/>
  <c r="F13" i="14"/>
  <c r="E13" i="14"/>
  <c r="D13" i="14"/>
  <c r="J12" i="14"/>
  <c r="I12" i="14"/>
  <c r="H12" i="14"/>
  <c r="G12" i="14"/>
  <c r="F12" i="14"/>
  <c r="E12" i="14"/>
  <c r="D12" i="14"/>
  <c r="C12" i="14"/>
  <c r="E51" i="5"/>
  <c r="C51" i="5"/>
  <c r="E50" i="5"/>
  <c r="E49" i="5"/>
  <c r="L40" i="5"/>
  <c r="L39" i="5"/>
  <c r="F39" i="5"/>
  <c r="C39" i="5"/>
  <c r="H32" i="5"/>
  <c r="I31" i="5"/>
  <c r="H31" i="5"/>
  <c r="H29" i="5"/>
  <c r="I28" i="5"/>
  <c r="H28" i="5"/>
  <c r="H26" i="5"/>
  <c r="I25" i="5"/>
  <c r="H25" i="5"/>
  <c r="H24" i="5"/>
  <c r="I23" i="5"/>
  <c r="H23" i="5"/>
  <c r="L15" i="5"/>
  <c r="K15" i="5"/>
  <c r="J15" i="5"/>
  <c r="I15" i="5"/>
  <c r="H15" i="5"/>
  <c r="G15" i="5"/>
  <c r="F15" i="5"/>
  <c r="E15" i="5"/>
  <c r="D15" i="5"/>
  <c r="C15" i="5"/>
  <c r="J14" i="5"/>
  <c r="I14" i="5"/>
  <c r="J13" i="5"/>
  <c r="I13" i="5"/>
  <c r="J12" i="5"/>
  <c r="I12" i="5"/>
  <c r="I11" i="5"/>
  <c r="D11" i="5"/>
  <c r="K47" i="1" l="1"/>
  <c r="H44" i="1"/>
  <c r="H47" i="1" s="1"/>
  <c r="E44" i="1"/>
  <c r="E47" i="1" s="1"/>
  <c r="K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G13" authorId="0" shapeId="0" xr:uid="{00000000-0006-0000-0400-000001000000}">
      <text>
        <r>
          <rPr>
            <b/>
            <sz val="11"/>
            <color theme="1"/>
            <rFont val="Calibri"/>
            <family val="2"/>
          </rPr>
          <t>מחבר:</t>
        </r>
        <r>
          <rPr>
            <sz val="11"/>
            <color theme="1"/>
            <rFont val="Calibri"/>
            <family val="2"/>
          </rPr>
          <t xml:space="preserve">
חלק מההפחתה במכלול 2 ניתן לייחס לפירוק מדויק יותר של מקורות רכש החשמל בשנת 2021, ומכאן ירידה במקדם הפליטה.
</t>
        </r>
      </text>
    </comment>
    <comment ref="F34" authorId="0" shapeId="0" xr:uid="{00000000-0006-0000-0400-000002000000}">
      <text>
        <r>
          <rPr>
            <b/>
            <sz val="9"/>
            <rFont val="Tahoma"/>
            <family val="2"/>
          </rPr>
          <t>מחבר:</t>
        </r>
        <r>
          <rPr>
            <sz val="9"/>
            <rFont val="Tahoma"/>
            <family val="2"/>
          </rPr>
          <t xml:space="preserve">
הייתי ממליצה לבדוק למה צריכת החשמל ירדה כל כך- בההרות שלהם ציינו כי הנתונים של 24 מציינים את צריכת החשמל בשחם וסיבים- האם יש עוד אתרים שדווחו בשנים קודמות ועכשיו לא?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AC7" authorId="0" shapeId="0" xr:uid="{00000000-0006-0000-0500-000001000000}">
      <text>
        <r>
          <rPr>
            <b/>
            <sz val="11"/>
            <color theme="1"/>
            <rFont val="Calibri"/>
            <family val="2"/>
          </rPr>
          <t>מחבר:</t>
        </r>
        <r>
          <rPr>
            <sz val="11"/>
            <color theme="1"/>
            <rFont val="Calibri"/>
            <family val="2"/>
          </rPr>
          <t xml:space="preserve">
מחבר:
למעצב/ת - נא לא להראות בגיליון זה את הטבלה שמוסתרת (פונט צבוע בלבן))
</t>
        </r>
      </text>
    </comment>
    <comment ref="U8" authorId="0" shapeId="0" xr:uid="{00000000-0006-0000-0500-000002000000}">
      <text>
        <r>
          <rPr>
            <b/>
            <sz val="11"/>
            <color theme="1"/>
            <rFont val="Calibri"/>
            <family val="2"/>
          </rPr>
          <t>מחבר:</t>
        </r>
        <r>
          <rPr>
            <sz val="11"/>
            <color theme="1"/>
            <rFont val="Calibri"/>
            <family val="2"/>
          </rPr>
          <t xml:space="preserve">
למעצב/ת - נא לא להראות בגיליון זה את הטבלה שמוסתרת (פונט צבוע בלבן))
</t>
        </r>
      </text>
    </comment>
    <comment ref="W10" authorId="0" shapeId="0" xr:uid="{00000000-0006-0000-0500-000003000000}">
      <text>
        <r>
          <rPr>
            <b/>
            <sz val="9"/>
            <rFont val="Tahoma"/>
            <family val="2"/>
          </rPr>
          <t>מחבר:</t>
        </r>
        <r>
          <rPr>
            <sz val="9"/>
            <rFont val="Tahoma"/>
            <family val="2"/>
          </rPr>
          <t xml:space="preserve">
סופי</t>
        </r>
      </text>
    </comment>
    <comment ref="AA10" authorId="0" shapeId="0" xr:uid="{00000000-0006-0000-0500-000004000000}">
      <text>
        <r>
          <rPr>
            <b/>
            <sz val="9"/>
            <rFont val="Tahoma"/>
            <family val="2"/>
          </rPr>
          <t>מחבר:</t>
        </r>
        <r>
          <rPr>
            <sz val="9"/>
            <rFont val="Tahoma"/>
            <family val="2"/>
          </rPr>
          <t xml:space="preserve">
סופי
</t>
        </r>
      </text>
    </comment>
    <comment ref="T18" authorId="0" shapeId="0" xr:uid="{00000000-0006-0000-0500-000005000000}">
      <text>
        <r>
          <rPr>
            <b/>
            <sz val="11"/>
            <color theme="1"/>
            <rFont val="Calibri"/>
            <family val="2"/>
          </rPr>
          <t>מחבר:</t>
        </r>
        <r>
          <rPr>
            <sz val="11"/>
            <color theme="1"/>
            <rFont val="Calibri"/>
            <family val="2"/>
          </rPr>
          <t xml:space="preserve">
מחבר:
למעצב/ת - נא לא להראות בגיליון זה את הטבלה שמוסתרת (פונט צבוע בלבן))
</t>
        </r>
      </text>
    </comment>
    <comment ref="W19" authorId="0" shapeId="0" xr:uid="{00000000-0006-0000-0500-000006000000}">
      <text>
        <r>
          <rPr>
            <b/>
            <sz val="11"/>
            <color theme="1"/>
            <rFont val="Calibri"/>
            <family val="2"/>
          </rPr>
          <t>מחבר:</t>
        </r>
        <r>
          <rPr>
            <sz val="11"/>
            <color theme="1"/>
            <rFont val="Calibri"/>
            <family val="2"/>
          </rPr>
          <t xml:space="preserve">
מעודכן 23.5.23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G16" authorId="0" shapeId="0" xr:uid="{00000000-0006-0000-0600-000001000000}">
      <text>
        <r>
          <rPr>
            <b/>
            <sz val="11"/>
            <color theme="1"/>
            <rFont val="Calibri"/>
            <family val="2"/>
          </rPr>
          <t>מחבר:</t>
        </r>
        <r>
          <rPr>
            <sz val="11"/>
            <color theme="1"/>
            <rFont val="Calibri"/>
            <family val="2"/>
          </rPr>
          <t xml:space="preserve">
2022- צריכת הדלק היא לפי נתונים של חברות הדלק השונות, למעט רכב חליפי של חברות הליסינג
לא כולל תוספות דלק לרכבי הליסינג</t>
        </r>
      </text>
    </comment>
    <comment ref="H38" authorId="0" shapeId="0" xr:uid="{00000000-0006-0000-0600-000002000000}">
      <text>
        <r>
          <rPr>
            <b/>
            <sz val="11"/>
            <color theme="1"/>
            <rFont val="Calibri"/>
            <family val="2"/>
          </rPr>
          <t>מחבר:</t>
        </r>
        <r>
          <rPr>
            <sz val="11"/>
            <color theme="1"/>
            <rFont val="Calibri"/>
            <family val="2"/>
          </rPr>
          <t xml:space="preserve">
רכבים פרטיים - רכבי נוסעים בלבד (לא כוללת מסחרי קל, מסחרי בינוני, מסחרי כבד ואופנועים)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I10" authorId="0" shapeId="0" xr:uid="{00000000-0006-0000-0700-000001000000}">
      <text>
        <r>
          <rPr>
            <b/>
            <sz val="9"/>
            <rFont val="Tahoma"/>
            <family val="2"/>
          </rPr>
          <t>מחבר:</t>
        </r>
        <r>
          <rPr>
            <sz val="9"/>
            <rFont val="Tahoma"/>
            <family val="2"/>
          </rPr>
          <t xml:space="preserve">
להבין את פשר הירידה הדרמטית הזו</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K49" authorId="0" shapeId="0" xr:uid="{00000000-0006-0000-0D00-000001000000}">
      <text>
        <r>
          <rPr>
            <b/>
            <sz val="8"/>
            <rFont val="Calibri"/>
            <family val="2"/>
          </rPr>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לנו 2 עובדים שבשנה זו נפטרו לא הוספתי אותם לחישוב</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D10" authorId="0" shapeId="0" xr:uid="{00000000-0006-0000-0F00-000001000000}">
      <text>
        <r>
          <rPr>
            <b/>
            <sz val="11"/>
            <color theme="1"/>
            <rFont val="Calibri"/>
            <family val="2"/>
          </rPr>
          <t>מחבר:</t>
        </r>
        <r>
          <rPr>
            <sz val="11"/>
            <color theme="1"/>
            <rFont val="Calibri"/>
            <family val="2"/>
          </rPr>
          <t xml:space="preserve">
לא קיים מידע מ 2020 לגבי הדרכות, מלבד קורסי הכשרה לעובדים</t>
        </r>
      </text>
    </comment>
    <comment ref="H10" authorId="0" shapeId="0" xr:uid="{00000000-0006-0000-0F00-000002000000}">
      <text>
        <r>
          <rPr>
            <b/>
            <sz val="11"/>
            <color theme="1"/>
            <rFont val="Calibri"/>
            <family val="2"/>
          </rPr>
          <t>מחבר:</t>
        </r>
        <r>
          <rPr>
            <sz val="11"/>
            <color theme="1"/>
            <rFont val="Calibri"/>
            <family val="2"/>
          </rPr>
          <t xml:space="preserve">
מוכב מ: 5184 שעות הדרכה קורסי שירות ותמיכה, 2700 קבלן</t>
        </r>
      </text>
    </comment>
    <comment ref="L10" authorId="0" shapeId="0" xr:uid="{00000000-0006-0000-0F00-000003000000}">
      <text>
        <r>
          <rPr>
            <b/>
            <sz val="11"/>
            <color theme="1"/>
            <rFont val="Calibri"/>
            <family val="2"/>
          </rPr>
          <t>מחבר:</t>
        </r>
        <r>
          <rPr>
            <sz val="11"/>
            <color theme="1"/>
            <rFont val="Calibri"/>
            <family val="2"/>
          </rPr>
          <t xml:space="preserve">
מורכב מ 3888 שעות קורסי תמיכה ושירות, 1620 שעות קורסי טכנאים בחת, 540 שעות קורסי קבלן מקוצרים . כולל ריענוני גובה ל 12 מנהלים 8 שעות כל אחד</t>
        </r>
      </text>
    </comment>
    <comment ref="P10" authorId="0" shapeId="0" xr:uid="{00000000-0006-0000-0F00-000004000000}">
      <text>
        <r>
          <rPr>
            <b/>
            <sz val="9"/>
            <rFont val="Tahoma"/>
            <family val="2"/>
          </rPr>
          <t>מחבר:</t>
        </r>
        <r>
          <rPr>
            <sz val="9"/>
            <rFont val="Tahoma"/>
            <family val="2"/>
          </rPr>
          <t xml:space="preserve">
מורכב מ 570 עובדים חדשים שנקלטו בקורסי הכשרה והכשרות עובדי מטה (טריפלרן ועוד) ותהליכי למידה מתקדמים  לנציגים קיימים (סדנאות, ימי עיון ועוד). </t>
        </r>
      </text>
    </comment>
    <comment ref="T10" authorId="0" shapeId="0" xr:uid="{00000000-0006-0000-0F00-000005000000}">
      <text>
        <r>
          <rPr>
            <b/>
            <sz val="8"/>
            <rFont val="Calibri"/>
            <family val="2"/>
          </rPr>
          <t xml:space="preserve">
מורכב :
577 - עובדי קורסים
315 - עובדי מטה בוסט
2040 - הדרכות המשך</t>
        </r>
      </text>
    </comment>
    <comment ref="P11" authorId="0" shapeId="0" xr:uid="{00000000-0006-0000-0F00-000006000000}">
      <text>
        <r>
          <rPr>
            <b/>
            <sz val="9"/>
            <rFont val="Tahoma"/>
            <family val="2"/>
          </rPr>
          <t>מחבר:</t>
        </r>
        <r>
          <rPr>
            <sz val="9"/>
            <rFont val="Tahoma"/>
            <family val="2"/>
          </rPr>
          <t xml:space="preserve">
חישוב לפי 10,423 שעות סה"כ : 10,053 בקורסי הכשרה, 330 לתהליכי למידה מתקדמים בסיום הכשרה, 40 טריפלרן</t>
        </r>
      </text>
    </comment>
    <comment ref="T11" authorId="0" shapeId="0" xr:uid="{00000000-0006-0000-0F00-000007000000}">
      <text>
        <r>
          <rPr>
            <b/>
            <sz val="9"/>
            <rFont val="Tahoma"/>
            <family val="2"/>
          </rPr>
          <t>מחבר:</t>
        </r>
        <r>
          <rPr>
            <sz val="9"/>
            <rFont val="Tahoma"/>
            <family val="2"/>
          </rPr>
          <t xml:space="preserve">
10.1 - עובדי קורסים
0.6 - בוסט
0.7 - הדרכות המשך</t>
        </r>
      </text>
    </comment>
  </commentList>
</comments>
</file>

<file path=xl/sharedStrings.xml><?xml version="1.0" encoding="utf-8"?>
<sst xmlns="http://schemas.openxmlformats.org/spreadsheetml/2006/main" count="1592" uniqueCount="491">
  <si>
    <t>Contents</t>
  </si>
  <si>
    <t>Bezeq Group targets</t>
  </si>
  <si>
    <t>Go to &gt;</t>
  </si>
  <si>
    <t>ESG achievements in 2025:</t>
  </si>
  <si>
    <t>Environment</t>
  </si>
  <si>
    <t>GHG emissions</t>
  </si>
  <si>
    <t>Intensity</t>
  </si>
  <si>
    <t>Energy consumption</t>
  </si>
  <si>
    <t>Water</t>
  </si>
  <si>
    <t>Waste</t>
  </si>
  <si>
    <t>Human resources</t>
  </si>
  <si>
    <t>Nature of employment</t>
  </si>
  <si>
    <t>Employee churn</t>
  </si>
  <si>
    <t>No. of employment years</t>
  </si>
  <si>
    <t>Diversity and inclusion</t>
  </si>
  <si>
    <t>Health and safety</t>
  </si>
  <si>
    <t>Training, feedback, and evaluation</t>
  </si>
  <si>
    <t>Corporate governance</t>
  </si>
  <si>
    <t>Financial performance</t>
  </si>
  <si>
    <t>Holdings structure</t>
  </si>
  <si>
    <t>Board members</t>
  </si>
  <si>
    <t>Annual bonus for officers</t>
  </si>
  <si>
    <t>Target: at least 50% women on the Group’s management by 2030</t>
  </si>
  <si>
    <t>GRI 2021 indicator</t>
  </si>
  <si>
    <t>No. of female managers</t>
  </si>
  <si>
    <t>Bezeq</t>
  </si>
  <si>
    <t>405-1</t>
  </si>
  <si>
    <t>Pelephone</t>
  </si>
  <si>
    <t>Bezeq International TECH</t>
  </si>
  <si>
    <t>Total no. of women managers in the Group</t>
  </si>
  <si>
    <t>GHG emissions in Scopes 1-3</t>
  </si>
  <si>
    <t>Total scopes</t>
  </si>
  <si>
    <t>Total calculated emissions</t>
  </si>
  <si>
    <t>Scope 1</t>
  </si>
  <si>
    <t>305-1
305-2
305-3
305-5</t>
  </si>
  <si>
    <t>Scope 2</t>
  </si>
  <si>
    <t>Scope 3</t>
  </si>
  <si>
    <t>Target: 20% of employees from diverse populations by 2030</t>
  </si>
  <si>
    <t>People with disabilities (based on employee statements only)</t>
  </si>
  <si>
    <t>Israelis of Ethiopian origin</t>
  </si>
  <si>
    <t>Ultra-Orthodox sector</t>
  </si>
  <si>
    <t>Arab sector</t>
  </si>
  <si>
    <t>N/A</t>
  </si>
  <si>
    <t>Total in the Group</t>
  </si>
  <si>
    <t>Total % of people with disabilities in the Group in 2024</t>
  </si>
  <si>
    <t>Target: At least 40% of women on the Group’s board of directors by 2030</t>
  </si>
  <si>
    <t>Percentage of women on the board of directors</t>
  </si>
  <si>
    <t>Board of directors of Bezeq</t>
  </si>
  <si>
    <t>Boards of directors of the subsidiaries</t>
  </si>
  <si>
    <t>Total</t>
  </si>
  <si>
    <t>Change %</t>
  </si>
  <si>
    <t>305-1
305-2
305-5</t>
  </si>
  <si>
    <t>Estimate</t>
  </si>
  <si>
    <t>Year</t>
  </si>
  <si>
    <t>Scope</t>
  </si>
  <si>
    <t>Emissions in each scope</t>
  </si>
  <si>
    <t>% of change (Scopes 1-3)</t>
  </si>
  <si>
    <t>Scope 3 at Bezeq Group*</t>
  </si>
  <si>
    <t>Category</t>
  </si>
  <si>
    <t>Purchased Goods and Services</t>
  </si>
  <si>
    <t>302-3
305-1
305-2
305-3
305-5</t>
  </si>
  <si>
    <t>Capital Goods</t>
  </si>
  <si>
    <t>Business Travel</t>
  </si>
  <si>
    <t>Employee Commuting</t>
  </si>
  <si>
    <t>Use of Sold Products</t>
  </si>
  <si>
    <t>Scope 3 *</t>
  </si>
  <si>
    <t>Emissions</t>
  </si>
  <si>
    <t>Revenues (NIS million)</t>
  </si>
  <si>
    <t>Corrections made to the financial data in accordance with the 2024 investor presentations are highlighted in yellow</t>
  </si>
  <si>
    <t>% of change</t>
  </si>
  <si>
    <t>305-4</t>
  </si>
  <si>
    <t xml:space="preserve">Bezeq International </t>
  </si>
  <si>
    <t xml:space="preserve">Total </t>
  </si>
  <si>
    <t>302-3</t>
  </si>
  <si>
    <t>Bezeq International</t>
  </si>
  <si>
    <t>Total energy consumption</t>
  </si>
  <si>
    <t xml:space="preserve">2020
</t>
  </si>
  <si>
    <t xml:space="preserve">2021
</t>
  </si>
  <si>
    <t xml:space="preserve">2022
</t>
  </si>
  <si>
    <t xml:space="preserve">2023
</t>
  </si>
  <si>
    <t xml:space="preserve">2024
</t>
  </si>
  <si>
    <t>Total % of change
2022-2023</t>
  </si>
  <si>
    <t>Total % of change
2023-2024</t>
  </si>
  <si>
    <t>302-1
302-4</t>
  </si>
  <si>
    <t xml:space="preserve">Pelephone 
</t>
  </si>
  <si>
    <t xml:space="preserve">Bezeq International TECH
</t>
  </si>
  <si>
    <t xml:space="preserve">Bezeq  
</t>
  </si>
  <si>
    <t xml:space="preserve">Total in the Group
</t>
  </si>
  <si>
    <t>Gasoline </t>
  </si>
  <si>
    <t>Diesel fuel </t>
  </si>
  <si>
    <t>Hybrid </t>
  </si>
  <si>
    <t>Electric </t>
  </si>
  <si>
    <t>% of hybrid and electric cars in the fleet</t>
  </si>
  <si>
    <t>No. of company cars in the fleet</t>
  </si>
  <si>
    <t>2020 </t>
  </si>
  <si>
    <t xml:space="preserve">
302-4</t>
  </si>
  <si>
    <t>2021 </t>
  </si>
  <si>
    <t>2022 </t>
  </si>
  <si>
    <t>Trends in the fleet of company cars at yes</t>
  </si>
  <si>
    <t>Gasoline</t>
  </si>
  <si>
    <t>Diesel fuel</t>
  </si>
  <si>
    <t>Hybrid</t>
  </si>
  <si>
    <t>Electric</t>
  </si>
  <si>
    <t>Trends in the fleet of company cars at Pelephone</t>
  </si>
  <si>
    <t>Trends in the fleet of company cars at Bezeq International TECH</t>
  </si>
  <si>
    <t>Pelephone </t>
  </si>
  <si>
    <t>Bezeq </t>
  </si>
  <si>
    <t>Change from last year</t>
  </si>
  <si>
    <t>303-3</t>
  </si>
  <si>
    <t>Mixed waste for landfill</t>
  </si>
  <si>
    <t>Treatment – hazardous waste (batteries)</t>
  </si>
  <si>
    <t>Electronic waste for recycling</t>
  </si>
  <si>
    <t>Nylon and plastic for recycling</t>
  </si>
  <si>
    <t>Paper and cardboard for recycling</t>
  </si>
  <si>
    <t>301-3
306-3
306-4
306-5</t>
  </si>
  <si>
    <t>Remarks</t>
  </si>
  <si>
    <t>Packaging Law implementation 
(waste for recycling) </t>
  </si>
  <si>
    <t>Upcycling of products – equipment
(no. of units) </t>
  </si>
  <si>
    <t>Sale of surplus equipment 
(no. of units) </t>
  </si>
  <si>
    <t>Disposal of electronic waste (kg) </t>
  </si>
  <si>
    <t>Removal of wooden pallets
(kg) </t>
  </si>
  <si>
    <t>Plastic recycling (kg) </t>
  </si>
  <si>
    <t>Battery disposal 
(kg) </t>
  </si>
  <si>
    <t>Cardboard recycling 
(kg) </t>
  </si>
  <si>
    <t>306-3
306-4
306-5</t>
  </si>
  <si>
    <t>Packaging Law implementation
(kg – waste for recycling) </t>
  </si>
  <si>
    <t>Household</t>
  </si>
  <si>
    <t> 27,700</t>
  </si>
  <si>
    <t>Commercial</t>
  </si>
  <si>
    <t>30,430 </t>
  </si>
  <si>
    <t>29,574 </t>
  </si>
  <si>
    <t>34,210 </t>
  </si>
  <si>
    <t>Reduction in waste due to switching to reusable boxes – box-it</t>
  </si>
  <si>
    <t>Paper recycling
(kg)</t>
  </si>
  <si>
    <t xml:space="preserve">Cardboard recycling
(kg) </t>
  </si>
  <si>
    <t>Waste sent to landfill</t>
  </si>
  <si>
    <t xml:space="preserve">306-3
306-4
</t>
  </si>
  <si>
    <t>2023*</t>
  </si>
  <si>
    <t>Headcount</t>
  </si>
  <si>
    <t>Whole Group</t>
  </si>
  <si>
    <t>2-7</t>
  </si>
  <si>
    <t>1106</t>
  </si>
  <si>
    <t>1,672</t>
  </si>
  <si>
    <t>597</t>
  </si>
  <si>
    <t>8,800</t>
  </si>
  <si>
    <t>Employees unionized under collective agreements</t>
  </si>
  <si>
    <t>No.</t>
  </si>
  <si>
    <t>% of total Company employees</t>
  </si>
  <si>
    <t>2-30</t>
  </si>
  <si>
    <t>Total employees</t>
  </si>
  <si>
    <t>Parental leave after childbirth (2024)</t>
  </si>
  <si>
    <t>Women</t>
  </si>
  <si>
    <t>Men</t>
  </si>
  <si>
    <t>Took parental leave after childbirth</t>
  </si>
  <si>
    <t>401-3</t>
  </si>
  <si>
    <t>Returned from parental leave</t>
  </si>
  <si>
    <t>Stayed at work 12 months after returning from parental leave</t>
  </si>
  <si>
    <t>No. of employees at Bezeq</t>
  </si>
  <si>
    <t>2-7
405-1</t>
  </si>
  <si>
    <t>Managers</t>
  </si>
  <si>
    <t>Employees</t>
  </si>
  <si>
    <t>Permanent employment</t>
  </si>
  <si>
    <t>Breakdown of age of employees and managers at Bezeq</t>
  </si>
  <si>
    <t>Up to 30 (inclusive)</t>
  </si>
  <si>
    <t>31-50 (inclusive)</t>
  </si>
  <si>
    <t>51 and more</t>
  </si>
  <si>
    <t>yes</t>
  </si>
  <si>
    <t>No. of employees at yes</t>
  </si>
  <si>
    <t>Including contract workers</t>
  </si>
  <si>
    <t>Age of employees and managers at yes</t>
  </si>
  <si>
    <t>No. of employees at Pelephone</t>
  </si>
  <si>
    <t>Age of employees and managers at Pelephone</t>
  </si>
  <si>
    <t>Employees at Bezeq International TECH</t>
  </si>
  <si>
    <t>Age of employees and managers at Bezeq International TECH</t>
  </si>
  <si>
    <t>Nature of employment in the Company</t>
  </si>
  <si>
    <t xml:space="preserve">Nature of employment at Bezeq </t>
  </si>
  <si>
    <t xml:space="preserve">Women </t>
  </si>
  <si>
    <t xml:space="preserve"> 2-30</t>
  </si>
  <si>
    <t>Nature of employment at yes</t>
  </si>
  <si>
    <t>No. of outside employees (professional positions)</t>
  </si>
  <si>
    <t>2-7, 2-8</t>
  </si>
  <si>
    <t>% of outside employees (professional positions)</t>
  </si>
  <si>
    <t>No. of outside employees hired</t>
  </si>
  <si>
    <t>% of outside employees hired</t>
  </si>
  <si>
    <t>No. of full-time employees</t>
  </si>
  <si>
    <t>% of full-time employees</t>
  </si>
  <si>
    <t>No. of part-time employees</t>
  </si>
  <si>
    <t>% of part-time employees</t>
  </si>
  <si>
    <t>Total employed (full- and part-time)</t>
  </si>
  <si>
    <t>Total % (full- and part-time)</t>
  </si>
  <si>
    <t>Nature of employment at Pelephone</t>
  </si>
  <si>
    <t>Total employed (%) (full- and part-time)</t>
  </si>
  <si>
    <t>Nature of employment at Bezeq International TECH</t>
  </si>
  <si>
    <t xml:space="preserve">No. of employment years at Bezeq </t>
  </si>
  <si>
    <t>Average no. of employment years</t>
  </si>
  <si>
    <t>Up to 5 years (inclusive)</t>
  </si>
  <si>
    <t>405-1 
2-7</t>
  </si>
  <si>
    <t>6-10 years (inclusive)</t>
  </si>
  <si>
    <t>11-20 years (inclusive)</t>
  </si>
  <si>
    <t>21 years and more</t>
  </si>
  <si>
    <t>No. of employment years at yes</t>
  </si>
  <si>
    <t>No. of employment years at Pelephone</t>
  </si>
  <si>
    <t>No. of employment years at Bezeq International TECH</t>
  </si>
  <si>
    <t>Employee churn at Bezeq</t>
  </si>
  <si>
    <t>Churn % (employees and managers)</t>
  </si>
  <si>
    <t>GRI SRS 2021 indicator</t>
  </si>
  <si>
    <t>Example of churn calculation</t>
  </si>
  <si>
    <t>2023-2024 average</t>
  </si>
  <si>
    <t>No. of employees</t>
  </si>
  <si>
    <t>New employees hired</t>
  </si>
  <si>
    <t>401-1</t>
  </si>
  <si>
    <t>Termination of employment – employees</t>
  </si>
  <si>
    <t>Termination of employment</t>
  </si>
  <si>
    <t>Churn %</t>
  </si>
  <si>
    <t>New managers hired</t>
  </si>
  <si>
    <t>Calculation using correct formula</t>
  </si>
  <si>
    <t>Termination of employment – managers</t>
  </si>
  <si>
    <t>Calculation using incorrect formula</t>
  </si>
  <si>
    <t>Employee churn at yes</t>
  </si>
  <si>
    <t>Age group</t>
  </si>
  <si>
    <t xml:space="preserve">Employees and managers hired </t>
  </si>
  <si>
    <t>Termination of employment – employees and managers (dismissed/resigned/retired)</t>
  </si>
  <si>
    <t>Over 51</t>
  </si>
  <si>
    <t>Total men</t>
  </si>
  <si>
    <t>Total women</t>
  </si>
  <si>
    <t>Total 31-50 (inclusive)</t>
  </si>
  <si>
    <t>Total 51 and above</t>
  </si>
  <si>
    <t>Employee churn at Pelephone</t>
  </si>
  <si>
    <t>Gender</t>
  </si>
  <si>
    <t>Diversity and inclusion at Bezeq Group</t>
  </si>
  <si>
    <t>Total Bezeq Group</t>
  </si>
  <si>
    <t>Total % of employees from diverse populations at Bezeq Group</t>
  </si>
  <si>
    <t>Employee development and training – general training hours at Bezeq Group</t>
  </si>
  <si>
    <t>No. of trained employees</t>
  </si>
  <si>
    <t>404-1</t>
  </si>
  <si>
    <t>Average general hours</t>
  </si>
  <si>
    <t>51 for employees, 21 for managers</t>
  </si>
  <si>
    <t>49.4 for employees, 19.5 for managers</t>
  </si>
  <si>
    <t>47.4 for employees, 25.2 for managers</t>
  </si>
  <si>
    <t>36.36 for employees, 21 for managers</t>
  </si>
  <si>
    <t>Feedback and evaluation at Bezeq</t>
  </si>
  <si>
    <t>% of employees who received feedback in the year</t>
  </si>
  <si>
    <t>404-3</t>
  </si>
  <si>
    <t>General %</t>
  </si>
  <si>
    <t>Branches</t>
  </si>
  <si>
    <t>HQ</t>
  </si>
  <si>
    <t>Type of activity  </t>
  </si>
  <si>
    <t>Transfer method  </t>
  </si>
  <si>
    <t>Participants  </t>
  </si>
  <si>
    <t>Total hours  </t>
  </si>
  <si>
    <t>Orientation days for new employees  </t>
  </si>
  <si>
    <t>Tutorial – basic courses  </t>
  </si>
  <si>
    <t>Digital  </t>
  </si>
  <si>
    <t>Manager development plan  </t>
  </si>
  <si>
    <t>Tutorial – refresher for the whole Company  </t>
  </si>
  <si>
    <t>Total  </t>
  </si>
  <si>
    <t>Feedback and evaluation at yes</t>
  </si>
  <si>
    <t>Feedback and evaluation at Pelephone</t>
  </si>
  <si>
    <t>Feedback and evaluation at Bezeq International TECH</t>
  </si>
  <si>
    <t>% of employees who received feedback out of all Group employees</t>
  </si>
  <si>
    <t>Healthcare insurance</t>
  </si>
  <si>
    <t>  </t>
  </si>
  <si>
    <t>No. of onsite inspections for technicians, teams, and contract workers</t>
  </si>
  <si>
    <t>403-1</t>
  </si>
  <si>
    <t>There were also 960 audits of direct managers at Bezeq</t>
  </si>
  <si>
    <t>Absence of employees due to work accidents at Bezeq</t>
  </si>
  <si>
    <t>No. of accidents  </t>
  </si>
  <si>
    <t>Safety incidents from a direct work factor  </t>
  </si>
  <si>
    <t>Road safety incidents  </t>
  </si>
  <si>
    <t>Total absentee days  </t>
  </si>
  <si>
    <t>Average absentee days  </t>
  </si>
  <si>
    <t>No. of accidents per 100 thousand working hours  </t>
  </si>
  <si>
    <t>2020  </t>
  </si>
  <si>
    <t>191  </t>
  </si>
  <si>
    <t>25  </t>
  </si>
  <si>
    <t>50  </t>
  </si>
  <si>
    <t>5,043  </t>
  </si>
  <si>
    <t>26.4  </t>
  </si>
  <si>
    <t>0.85  </t>
  </si>
  <si>
    <t>1.61  </t>
  </si>
  <si>
    <t>403-9
403-10</t>
  </si>
  <si>
    <t>2021  </t>
  </si>
  <si>
    <t>229  </t>
  </si>
  <si>
    <t>32  </t>
  </si>
  <si>
    <t>74  </t>
  </si>
  <si>
    <t>5,049  </t>
  </si>
  <si>
    <t>22  </t>
  </si>
  <si>
    <t>0.84  </t>
  </si>
  <si>
    <t>1.96  </t>
  </si>
  <si>
    <t>2022  </t>
  </si>
  <si>
    <t>186  </t>
  </si>
  <si>
    <t>21  </t>
  </si>
  <si>
    <t>51  </t>
  </si>
  <si>
    <t>4,913  </t>
  </si>
  <si>
    <t>0.86  </t>
  </si>
  <si>
    <t>1.52  </t>
  </si>
  <si>
    <t>Frequency and severity of work accidents at Pelephone</t>
  </si>
  <si>
    <t>Absence of employees due to work accidents at yes</t>
  </si>
  <si>
    <t>15.2</t>
  </si>
  <si>
    <t>Absence of employees due to work accidents at Bezeq International TECH</t>
  </si>
  <si>
    <t>1.20</t>
  </si>
  <si>
    <t>Pelephone  </t>
  </si>
  <si>
    <t>Bezeq International TECH  </t>
  </si>
  <si>
    <t>Safety incidents (including near miss), including road accidents</t>
  </si>
  <si>
    <t>24  </t>
  </si>
  <si>
    <t>36  </t>
  </si>
  <si>
    <t>Road accidents to or from work / during a work trip</t>
  </si>
  <si>
    <t>14  </t>
  </si>
  <si>
    <t>13  </t>
  </si>
  <si>
    <t>Loss of working days due to accidents</t>
  </si>
  <si>
    <t>247  </t>
  </si>
  <si>
    <t>248  </t>
  </si>
  <si>
    <t>246  </t>
  </si>
  <si>
    <t>Total sick leave taken  </t>
  </si>
  <si>
    <t>40  </t>
  </si>
  <si>
    <t>49  </t>
  </si>
  <si>
    <t xml:space="preserve">% of sick days out of total working days </t>
  </si>
  <si>
    <t>0.08%  </t>
  </si>
  <si>
    <t>0.09%  </t>
  </si>
  <si>
    <t>0.01%  </t>
  </si>
  <si>
    <t>0.02%  </t>
  </si>
  <si>
    <t>5.19%  </t>
  </si>
  <si>
    <t>Safety training</t>
  </si>
  <si>
    <t>% of employees who completed the online safety tutorial</t>
  </si>
  <si>
    <t>403-5</t>
  </si>
  <si>
    <t xml:space="preserve">Online training for employees </t>
  </si>
  <si>
    <t>No. of technicians who completed training (through PELE)</t>
  </si>
  <si>
    <t>No. of contractors who completed training</t>
  </si>
  <si>
    <t>* B Communications holdings as of Sept 2025</t>
  </si>
  <si>
    <t>Board members (as at December 31, 2024)</t>
  </si>
  <si>
    <t>Name</t>
  </si>
  <si>
    <t>Citizenship</t>
  </si>
  <si>
    <t>Position</t>
  </si>
  <si>
    <t>Security committee</t>
  </si>
  <si>
    <t>Committee for reviewing
the financial statements</t>
  </si>
  <si>
    <t>Audit committee</t>
  </si>
  <si>
    <t>Compensation committee</t>
  </si>
  <si>
    <t xml:space="preserve">Having accounting and finance expertise </t>
  </si>
  <si>
    <t>Tomer Raved</t>
  </si>
  <si>
    <t>May 14, 2020</t>
  </si>
  <si>
    <t>April 18, 1985</t>
  </si>
  <si>
    <t>Israeli</t>
  </si>
  <si>
    <t>Male</t>
  </si>
  <si>
    <t xml:space="preserve">Chairman of the board of directors </t>
  </si>
  <si>
    <t>Member</t>
  </si>
  <si>
    <t>Yes</t>
  </si>
  <si>
    <t>2-9</t>
  </si>
  <si>
    <t>Darren Glatt</t>
  </si>
  <si>
    <t>December 1, 2019</t>
  </si>
  <si>
    <t>November 18, 1975</t>
  </si>
  <si>
    <t>American</t>
  </si>
  <si>
    <t>Director</t>
  </si>
  <si>
    <t>Ran Fuhrer</t>
  </si>
  <si>
    <t>September 2, 1984</t>
  </si>
  <si>
    <t>Tal Fuhrer</t>
  </si>
  <si>
    <t>December 15, 1977</t>
  </si>
  <si>
    <t>Orit Alster</t>
  </si>
  <si>
    <t>April 17, 2024</t>
  </si>
  <si>
    <t>Female</t>
  </si>
  <si>
    <t>David Granot</t>
  </si>
  <si>
    <t>May 9, 2017</t>
  </si>
  <si>
    <t>January 30, 1947</t>
  </si>
  <si>
    <t xml:space="preserve">Independent director </t>
  </si>
  <si>
    <t>Zeev Vurembrand</t>
  </si>
  <si>
    <t>September 3, 2017</t>
  </si>
  <si>
    <t>June 19, 1951</t>
  </si>
  <si>
    <t>Outside director</t>
  </si>
  <si>
    <t>Chairman</t>
  </si>
  <si>
    <t>Edith Lusky</t>
  </si>
  <si>
    <t>April 26, 2018</t>
  </si>
  <si>
    <t>August 16, 1950</t>
  </si>
  <si>
    <t xml:space="preserve">Outside director </t>
  </si>
  <si>
    <t>Tzipi Livni</t>
  </si>
  <si>
    <t>April 26, 2021</t>
  </si>
  <si>
    <t>July 8, 1958</t>
  </si>
  <si>
    <t>No</t>
  </si>
  <si>
    <t>Patrice Taieb</t>
  </si>
  <si>
    <t>January 1, 2022</t>
  </si>
  <si>
    <t>August 26, 1960</t>
  </si>
  <si>
    <t>Employee director</t>
  </si>
  <si>
    <t>Tal Fuhrer has been appointed as an alternate director for Ran Fuhrer in the board meetings in which Ran Forer is unable to participate, from the date of the appointment and until further notice.</t>
  </si>
  <si>
    <t>Tomer Raved serves as chairman of the Company's board of directors since January 1, 2024</t>
  </si>
  <si>
    <t>Diversity in the board of directors</t>
  </si>
  <si>
    <t>No. of directors</t>
  </si>
  <si>
    <t>% women</t>
  </si>
  <si>
    <t>Full board of directors</t>
  </si>
  <si>
    <t>Committee for reviewing the financial statements</t>
  </si>
  <si>
    <t>Source: Compensation policy</t>
  </si>
  <si>
    <t>Component</t>
  </si>
  <si>
    <t>Description</t>
  </si>
  <si>
    <t>A.</t>
  </si>
  <si>
    <t>Component based on Company/Group targets</t>
  </si>
  <si>
    <t>2-20</t>
  </si>
  <si>
    <t>B.</t>
  </si>
  <si>
    <t>Component based on personal targets</t>
  </si>
  <si>
    <t>C.</t>
  </si>
  <si>
    <t>Discretionary bonus component</t>
  </si>
  <si>
    <t>The EBITDA or adjusted EBITDA target (as applicable) will be a long-term target and the bonus for this target will be paid over two years, such that the officer will be required to meet the EBITDA or adjusted EBITDA target (as the case may be) for two years to be eligible for the full annual bonus.</t>
  </si>
  <si>
    <t xml:space="preserve"> 2-26</t>
  </si>
  <si>
    <t>Operations</t>
  </si>
  <si>
    <t>Other</t>
  </si>
  <si>
    <t xml:space="preserve">Submission channel </t>
  </si>
  <si>
    <t>Human Rights Policy</t>
  </si>
  <si>
    <t xml:space="preserve">Lior Segal, Internal Auditor lior.segal@bezeq.co.il </t>
  </si>
  <si>
    <t>Sexual Harassment</t>
  </si>
  <si>
    <t>Limor Hasin Klein – Legal Office limor.Kleinhasin@bezeq.co.il</t>
  </si>
  <si>
    <t>Ethics</t>
  </si>
  <si>
    <t>Moran Kita – VP Human Resources moran.kita@bezeq.co.il</t>
  </si>
  <si>
    <t>Discipline</t>
  </si>
  <si>
    <t>Supplier Ethics</t>
  </si>
  <si>
    <t>Relations with the Palestinian Authority</t>
  </si>
  <si>
    <t>Privacy</t>
  </si>
  <si>
    <r>
      <rPr>
        <b/>
        <sz val="11"/>
        <color theme="1"/>
        <rFont val="Arial"/>
        <family val="2"/>
      </rPr>
      <t>yes</t>
    </r>
  </si>
  <si>
    <t xml:space="preserve">600 hours of training </t>
  </si>
  <si>
    <r>
      <rPr>
        <b/>
        <sz val="11"/>
        <color rgb="FF16254F"/>
        <rFont val="Arial"/>
        <family val="2"/>
      </rPr>
      <t xml:space="preserve">Bezeq International TECH – waste </t>
    </r>
    <r>
      <rPr>
        <sz val="11"/>
        <color rgb="FF16254F"/>
        <rFont val="Arial"/>
        <family val="2"/>
      </rPr>
      <t>(kg)</t>
    </r>
  </si>
  <si>
    <t>yes </t>
  </si>
  <si>
    <t xml:space="preserve">yes 
</t>
  </si>
  <si>
    <t xml:space="preserve">yes
</t>
  </si>
  <si>
    <r>
      <rPr>
        <b/>
        <sz val="10"/>
        <rFont val="Arial"/>
        <family val="2"/>
      </rPr>
      <t>yes</t>
    </r>
  </si>
  <si>
    <r>
      <rPr>
        <b/>
        <sz val="10"/>
        <color theme="1"/>
        <rFont val="Arial"/>
        <family val="2"/>
      </rPr>
      <t xml:space="preserve">% change compared with base year (2022) 
</t>
    </r>
    <r>
      <rPr>
        <b/>
        <sz val="8"/>
        <color rgb="FF000000"/>
        <rFont val="Arial"/>
        <family val="2"/>
      </rPr>
      <t>Scope 1+2</t>
    </r>
  </si>
  <si>
    <r>
      <rPr>
        <b/>
        <sz val="10"/>
        <color theme="1"/>
        <rFont val="Arial"/>
        <family val="2"/>
      </rPr>
      <t xml:space="preserve">% change compared with last year </t>
    </r>
    <r>
      <rPr>
        <b/>
        <sz val="8"/>
        <color rgb="FF000000"/>
        <rFont val="Arial"/>
        <family val="2"/>
      </rPr>
      <t>(Scope 1-3)</t>
    </r>
  </si>
  <si>
    <r>
      <rPr>
        <b/>
        <sz val="10"/>
        <color theme="1"/>
        <rFont val="Arial"/>
        <family val="2"/>
      </rPr>
      <t>% change from base year (2022) 
Scope 1-3</t>
    </r>
    <r>
      <rPr>
        <b/>
        <sz val="8"/>
        <color rgb="FF000000"/>
        <rFont val="Arial"/>
        <family val="2"/>
      </rPr>
      <t>**</t>
    </r>
  </si>
  <si>
    <t>Society</t>
  </si>
  <si>
    <r>
      <rPr>
        <b/>
        <sz val="10"/>
        <color rgb="FF000000"/>
        <rFont val="Arial"/>
        <family val="2"/>
      </rPr>
      <t>NIS</t>
    </r>
    <r>
      <rPr>
        <sz val="10"/>
        <color rgb="FF000000"/>
        <rFont val="Arial"/>
        <family val="2"/>
      </rPr>
      <t xml:space="preserve"> </t>
    </r>
    <r>
      <rPr>
        <b/>
        <sz val="10"/>
        <color rgb="FF000000"/>
        <rFont val="Arial"/>
        <family val="2"/>
      </rPr>
      <t>15 million+ donated to the community</t>
    </r>
    <r>
      <rPr>
        <sz val="10"/>
        <color rgb="FF000000"/>
        <rFont val="Arial"/>
        <family val="2"/>
      </rPr>
      <t xml:space="preserve"> in 2024</t>
    </r>
  </si>
  <si>
    <r>
      <rPr>
        <b/>
        <sz val="10"/>
        <color rgb="FF000000"/>
        <rFont val="Arial"/>
        <family val="2"/>
      </rPr>
      <t>1,000+ shelters connected to the internet</t>
    </r>
    <r>
      <rPr>
        <sz val="10"/>
        <color rgb="FF000000"/>
        <rFont val="Arial"/>
        <family val="2"/>
      </rPr>
      <t xml:space="preserve"> during the Swords of Iron War</t>
    </r>
  </si>
  <si>
    <r>
      <rPr>
        <b/>
        <sz val="10"/>
        <color rgb="FF000000"/>
        <rFont val="Arial"/>
        <family val="2"/>
      </rPr>
      <t>Thousands of devices</t>
    </r>
    <r>
      <rPr>
        <sz val="10"/>
        <color rgb="FF000000"/>
        <rFont val="Arial"/>
        <family val="2"/>
      </rPr>
      <t xml:space="preserve"> and communication infrastructure donated for evacuees and victims</t>
    </r>
  </si>
  <si>
    <r>
      <t xml:space="preserve">37% </t>
    </r>
    <r>
      <rPr>
        <sz val="10"/>
        <color rgb="FF000000"/>
        <rFont val="Arial"/>
        <family val="2"/>
      </rPr>
      <t xml:space="preserve">of managers in the Group are women </t>
    </r>
  </si>
  <si>
    <r>
      <rPr>
        <b/>
        <sz val="10"/>
        <color rgb="FF000000"/>
        <rFont val="Arial"/>
        <family val="2"/>
      </rPr>
      <t>91%</t>
    </r>
    <r>
      <rPr>
        <sz val="10"/>
        <color rgb="FF000000"/>
        <rFont val="Arial"/>
        <family val="2"/>
      </rPr>
      <t xml:space="preserve"> of Bezeq Group employees are unionized under collective agreements</t>
    </r>
  </si>
  <si>
    <r>
      <rPr>
        <b/>
        <sz val="10"/>
        <color rgb="FF000000"/>
        <rFont val="Arial"/>
        <family val="2"/>
      </rPr>
      <t xml:space="preserve">One third </t>
    </r>
    <r>
      <rPr>
        <sz val="10"/>
        <color rgb="FF000000"/>
        <rFont val="Arial"/>
        <family val="2"/>
      </rPr>
      <t xml:space="preserve">of the board of directors of Bezeq and its subsidiaries are women </t>
    </r>
  </si>
  <si>
    <r>
      <rPr>
        <b/>
        <sz val="10"/>
        <color rgb="FF000000"/>
        <rFont val="Arial"/>
        <family val="2"/>
      </rPr>
      <t>98%</t>
    </r>
    <r>
      <rPr>
        <sz val="10"/>
        <color rgb="FF000000"/>
        <rFont val="Arial"/>
        <family val="2"/>
      </rPr>
      <t xml:space="preserve"> of all employees of the companies yes, Pelephone, and Bezeq International TECH have completed the Code of Ethics tutorial</t>
    </r>
  </si>
  <si>
    <r>
      <rPr>
        <b/>
        <sz val="10"/>
        <color rgb="FF000000"/>
        <rFont val="Arial"/>
        <family val="2"/>
      </rPr>
      <t>600</t>
    </r>
    <r>
      <rPr>
        <sz val="10"/>
        <color rgb="FF000000"/>
        <rFont val="Arial"/>
        <family val="2"/>
      </rPr>
      <t xml:space="preserve"> hours of ethics training at Bezeq </t>
    </r>
  </si>
  <si>
    <r>
      <rPr>
        <b/>
        <sz val="10"/>
        <color rgb="FF000000"/>
        <rFont val="Arial"/>
        <family val="2"/>
      </rPr>
      <t>30%</t>
    </r>
    <r>
      <rPr>
        <sz val="10"/>
        <color rgb="FF000000"/>
        <rFont val="Arial"/>
        <family val="2"/>
      </rPr>
      <t xml:space="preserve"> of the Group’s suppliers have signed the Supplier Code of Ethics</t>
    </r>
  </si>
  <si>
    <r>
      <rPr>
        <b/>
        <sz val="10"/>
        <color rgb="FF000000"/>
        <rFont val="Arial"/>
        <family val="2"/>
      </rPr>
      <t>16%</t>
    </r>
    <r>
      <rPr>
        <sz val="10"/>
        <color rgb="FF000000"/>
        <rFont val="Arial"/>
        <family val="2"/>
      </rPr>
      <t xml:space="preserve"> decrease in water consumption compared with 2023</t>
    </r>
  </si>
  <si>
    <r>
      <rPr>
        <b/>
        <sz val="10"/>
        <color rgb="FF000000"/>
        <rFont val="Arial"/>
        <family val="2"/>
      </rPr>
      <t>103 tons</t>
    </r>
    <r>
      <rPr>
        <sz val="10"/>
        <color rgb="FF000000"/>
        <rFont val="Arial"/>
        <family val="2"/>
      </rPr>
      <t xml:space="preserve"> of communication products recycled at Bezeq TECH; </t>
    </r>
    <r>
      <rPr>
        <b/>
        <sz val="10"/>
        <color rgb="FF000000"/>
        <rFont val="Arial"/>
        <family val="2"/>
      </rPr>
      <t>4,255</t>
    </r>
    <r>
      <rPr>
        <sz val="10"/>
        <color rgb="FF000000"/>
        <rFont val="Arial"/>
        <family val="2"/>
      </rPr>
      <t xml:space="preserve"> cellular devices recycled at Pelephone</t>
    </r>
  </si>
  <si>
    <r>
      <rPr>
        <b/>
        <sz val="10"/>
        <color rgb="FF000000"/>
        <rFont val="Arial"/>
        <family val="2"/>
      </rPr>
      <t>65%</t>
    </r>
    <r>
      <rPr>
        <sz val="10"/>
        <color rgb="FF000000"/>
        <rFont val="Arial"/>
        <family val="2"/>
      </rPr>
      <t xml:space="preserve"> of the Group’s vehicles are electric and hybrid </t>
    </r>
  </si>
  <si>
    <t>Status of compliance with target – Bezeq board of directors</t>
  </si>
  <si>
    <t>% of female managers of all Group managers</t>
  </si>
  <si>
    <r>
      <t xml:space="preserve">GHG emissions in the Group </t>
    </r>
    <r>
      <rPr>
        <sz val="12"/>
        <color rgb="FF16254F"/>
        <rFont val="Arial"/>
        <family val="2"/>
      </rPr>
      <t>(ton working hour CO</t>
    </r>
    <r>
      <rPr>
        <vertAlign val="subscript"/>
        <sz val="12"/>
        <color rgb="FF16254F"/>
        <rFont val="Arial"/>
        <family val="2"/>
      </rPr>
      <t>2</t>
    </r>
    <r>
      <rPr>
        <sz val="12"/>
        <color rgb="FF16254F"/>
        <rFont val="Arial"/>
        <family val="2"/>
      </rPr>
      <t>)</t>
    </r>
  </si>
  <si>
    <r>
      <rPr>
        <b/>
        <sz val="10"/>
        <color theme="1"/>
        <rFont val="Arial"/>
        <family val="2"/>
      </rPr>
      <t xml:space="preserve">% change compared with last year                     </t>
    </r>
    <r>
      <rPr>
        <b/>
        <sz val="8"/>
        <color rgb="FF000000"/>
        <rFont val="Arial"/>
        <family val="2"/>
      </rPr>
      <t>(Scope 1+2 only)</t>
    </r>
  </si>
  <si>
    <t>% of change (Scopes 1+2 only)</t>
  </si>
  <si>
    <r>
      <t xml:space="preserve">Energy intensity (kWh-revenue) – </t>
    </r>
    <r>
      <rPr>
        <sz val="12"/>
        <color rgb="FF16254F"/>
        <rFont val="Arial"/>
        <family val="2"/>
      </rPr>
      <t>kWh per NIS</t>
    </r>
  </si>
  <si>
    <r>
      <t>Intensity of GHG emissions (tCO</t>
    </r>
    <r>
      <rPr>
        <b/>
        <vertAlign val="subscript"/>
        <sz val="12"/>
        <color rgb="FF16254F"/>
        <rFont val="Arial"/>
        <family val="2"/>
      </rPr>
      <t>2</t>
    </r>
    <r>
      <rPr>
        <b/>
        <sz val="12"/>
        <color rgb="FF16254F"/>
        <rFont val="Arial"/>
        <family val="2"/>
      </rPr>
      <t xml:space="preserve">e-revenue) – </t>
    </r>
    <r>
      <rPr>
        <sz val="12"/>
        <color rgb="FF16254F"/>
        <rFont val="Arial"/>
        <family val="2"/>
      </rPr>
      <t>tCO</t>
    </r>
    <r>
      <rPr>
        <vertAlign val="subscript"/>
        <sz val="12"/>
        <color rgb="FF16254F"/>
        <rFont val="Arial"/>
        <family val="2"/>
      </rPr>
      <t>2</t>
    </r>
    <r>
      <rPr>
        <sz val="12"/>
        <color rgb="FF16254F"/>
        <rFont val="Arial"/>
        <family val="2"/>
      </rPr>
      <t>e per NIS million</t>
    </r>
  </si>
  <si>
    <r>
      <rPr>
        <b/>
        <sz val="14"/>
        <color rgb="FF16254F"/>
        <rFont val="Arial"/>
        <family val="2"/>
      </rPr>
      <t>GHG emissions</t>
    </r>
    <r>
      <rPr>
        <sz val="14"/>
        <color rgb="FF16254F"/>
        <rFont val="Arial"/>
        <family val="2"/>
      </rPr>
      <t xml:space="preserve"> (CO</t>
    </r>
    <r>
      <rPr>
        <vertAlign val="subscript"/>
        <sz val="14"/>
        <color rgb="FF16254F"/>
        <rFont val="Arial"/>
        <family val="2"/>
      </rPr>
      <t xml:space="preserve">2 </t>
    </r>
    <r>
      <rPr>
        <sz val="14"/>
        <color rgb="FF16254F"/>
        <rFont val="Arial"/>
        <family val="2"/>
      </rPr>
      <t xml:space="preserve"> ton working hour)</t>
    </r>
  </si>
  <si>
    <r>
      <t xml:space="preserve">Energy consumption </t>
    </r>
    <r>
      <rPr>
        <sz val="12"/>
        <color rgb="FF16254F"/>
        <rFont val="Arial"/>
        <family val="2"/>
      </rPr>
      <t>(kWh)</t>
    </r>
  </si>
  <si>
    <r>
      <rPr>
        <b/>
        <sz val="12"/>
        <color theme="1"/>
        <rFont val="Arial"/>
        <family val="2"/>
      </rPr>
      <t>Fuel consumption in cars</t>
    </r>
    <r>
      <rPr>
        <sz val="12"/>
        <color theme="1"/>
        <rFont val="Arial"/>
        <family val="2"/>
      </rPr>
      <t xml:space="preserve"> (liters)</t>
    </r>
    <r>
      <rPr>
        <sz val="12"/>
        <color rgb="FF000000"/>
        <rFont val="Arial"/>
        <family val="2"/>
      </rPr>
      <t> </t>
    </r>
  </si>
  <si>
    <r>
      <t xml:space="preserve">Fuel consumption in generators (stationary installations) </t>
    </r>
    <r>
      <rPr>
        <sz val="12"/>
        <color rgb="FF16254F"/>
        <rFont val="Arial"/>
        <family val="2"/>
      </rPr>
      <t>(liters)</t>
    </r>
  </si>
  <si>
    <t>Trends in the fleet of company cars at Bezeq </t>
  </si>
  <si>
    <t>Percentage of electric and hybrid vehicles in the total fleet</t>
  </si>
  <si>
    <r>
      <t xml:space="preserve">Waste – Bezeq </t>
    </r>
    <r>
      <rPr>
        <sz val="12"/>
        <color rgb="FF16254F"/>
        <rFont val="Arial"/>
        <family val="2"/>
      </rPr>
      <t>(kg)</t>
    </r>
  </si>
  <si>
    <r>
      <t xml:space="preserve">Waste – Pelephone </t>
    </r>
    <r>
      <rPr>
        <sz val="12"/>
        <color rgb="FF16254F"/>
        <rFont val="Arial"/>
        <family val="2"/>
      </rPr>
      <t>(kg)</t>
    </r>
  </si>
  <si>
    <t>Product recycling – 
Bezeq Int. TECH</t>
  </si>
  <si>
    <t>% of product reuse at Bezeq Int. TECH plant (upcycling)</t>
  </si>
  <si>
    <r>
      <t>yes – waste (kg)</t>
    </r>
    <r>
      <rPr>
        <sz val="12"/>
        <color rgb="FF16254F"/>
        <rFont val="Arial"/>
        <family val="2"/>
      </rPr>
      <t xml:space="preserve"> </t>
    </r>
  </si>
  <si>
    <t>Paper recycling (kg) </t>
  </si>
  <si>
    <t>Reduction in waste due to switch to reusable boxes – box-it</t>
  </si>
  <si>
    <t xml:space="preserve">* In 2025, data for 2023 was refined </t>
  </si>
  <si>
    <r>
      <t xml:space="preserve">No. of employees in the Group </t>
    </r>
    <r>
      <rPr>
        <sz val="12"/>
        <color rgb="FF16254F"/>
        <rFont val="Arial"/>
        <family val="2"/>
      </rPr>
      <t>(total employed, employees and managers, part- and full-time, not including outside employees)</t>
    </r>
  </si>
  <si>
    <t>Bezeq Int. TECH</t>
  </si>
  <si>
    <t>Av. age</t>
  </si>
  <si>
    <t>Date of appointment</t>
  </si>
  <si>
    <t>Date of birth</t>
  </si>
  <si>
    <t>Emergency training - no. of defense and evacuation drills per year</t>
  </si>
  <si>
    <t>Loss of working days due to an accident, av. per employee  </t>
  </si>
  <si>
    <t>Employee churn at Bezeq International TECH</t>
  </si>
  <si>
    <t>No. of employees covered by collective agreements</t>
  </si>
  <si>
    <t>% of employees covered by collective agreements</t>
  </si>
  <si>
    <t>c</t>
  </si>
  <si>
    <t>Addressing inquiries and grievances</t>
  </si>
  <si>
    <t>Public Inquiries – ca-2@bezeq.co.il</t>
  </si>
  <si>
    <t>Grievances submitted to the internal auditor</t>
  </si>
  <si>
    <r>
      <t xml:space="preserve">Bezeq Group's sustainability vision – </t>
    </r>
    <r>
      <rPr>
        <b/>
        <sz val="10"/>
        <color rgb="FF16254F"/>
        <rFont val="Arial"/>
        <family val="2"/>
      </rPr>
      <t xml:space="preserve">connecting Israel to a better future </t>
    </r>
    <r>
      <rPr>
        <sz val="10"/>
        <color rgb="FF16254F"/>
        <rFont val="Arial"/>
        <family val="2"/>
      </rPr>
      <t xml:space="preserve">– is based on the belief that its core business activities are fully aligned with the principles of corporate social responsibility and sustainable development in three areas:
</t>
    </r>
    <r>
      <rPr>
        <b/>
        <sz val="10"/>
        <color rgb="FF16254F"/>
        <rFont val="Arial"/>
        <family val="2"/>
      </rPr>
      <t>Environment 
Society 
Governance</t>
    </r>
    <r>
      <rPr>
        <sz val="10"/>
        <color rgb="FF16254F"/>
        <rFont val="Arial"/>
        <family val="2"/>
      </rPr>
      <t xml:space="preserve">
These three areas naturally shape the Group's targets and objectives to advance and realize its vision through their full integration into its business strategy.</t>
    </r>
  </si>
  <si>
    <r>
      <rPr>
        <b/>
        <sz val="10"/>
        <color rgb="FF000000"/>
        <rFont val="Arial"/>
        <family val="2"/>
      </rPr>
      <t>17%</t>
    </r>
    <r>
      <rPr>
        <sz val="10"/>
        <color rgb="FF000000"/>
        <rFont val="Arial"/>
        <family val="2"/>
      </rPr>
      <t xml:space="preserve"> of Bezeq Group employees</t>
    </r>
    <r>
      <rPr>
        <b/>
        <sz val="10"/>
        <color rgb="FF000000"/>
        <rFont val="Arial"/>
        <family val="2"/>
      </rPr>
      <t xml:space="preserve"> belong to diverse populations
</t>
    </r>
    <r>
      <rPr>
        <sz val="9"/>
        <color rgb="FF000000"/>
        <rFont val="Arial"/>
        <family val="2"/>
      </rPr>
      <t>* Employees from the ultra-Orthodox sector, Arab society, Israelis of Ethiopian origin, and people with disabilities</t>
    </r>
  </si>
  <si>
    <t xml:space="preserve">* Following the revised methodologies for calculating Scope 3 emissions, 2024 has been defined as the base year and will serve as the benchmark for future comparisons. Data provided by the organization's suppliers and standard average data were used to calculate categories 1, 2, 4, and 11. 65% of the products were included in the calculation of Bezeq's total procurement (estimated financial expenditure). </t>
  </si>
  <si>
    <t xml:space="preserve">* In 2024, fuel consumption for generators was recorded based on purchases for tank refills rather than actual consumption, due to the absence of consumption data </t>
  </si>
  <si>
    <r>
      <rPr>
        <b/>
        <sz val="14"/>
        <color theme="1"/>
        <rFont val="Arial"/>
        <family val="2"/>
      </rPr>
      <t>W</t>
    </r>
    <r>
      <rPr>
        <b/>
        <sz val="14"/>
        <color rgb="FF16254F"/>
        <rFont val="Arial"/>
        <family val="2"/>
      </rPr>
      <t xml:space="preserve">ater consumption </t>
    </r>
    <r>
      <rPr>
        <b/>
        <sz val="11"/>
        <color rgb="FF16254F"/>
        <rFont val="Arial"/>
        <family val="2"/>
      </rPr>
      <t>(cube</t>
    </r>
    <r>
      <rPr>
        <b/>
        <sz val="11"/>
        <color rgb="FF000000"/>
        <rFont val="Arial"/>
        <family val="2"/>
      </rPr>
      <t>) </t>
    </r>
  </si>
  <si>
    <t>Employee health and safety at Bezeq Group</t>
  </si>
  <si>
    <t>In-person training for employees</t>
  </si>
  <si>
    <t>Digital and in-person learning hours on ethics in 2024 at Bezeq</t>
  </si>
  <si>
    <t>In-person</t>
  </si>
  <si>
    <t>Holdings structure*</t>
  </si>
  <si>
    <t>Targets applicable in the year for bonus plans for all officers, with separate targets defined for Bezeq officers and for the CEOs of the material subsidiaries</t>
  </si>
  <si>
    <t>Targets tailored to the role of the relevant officer and to the specific goals and issues that the Company or the Group wishes to promote in that year</t>
  </si>
  <si>
    <t>The Company’s officers will be eligible for a non-measurable bonus component based on a qualitative assessment of their performance by the supervising manager</t>
  </si>
  <si>
    <t>As part of the targets of the Company and the Group (Component A above), the EBITDA or adjusted EBITDA target and/or the adjusted net profit target (after tax) and/or the cash flow target of the Company or the Group will constitute the most significant weighted target(s) among the Company/Group objectives. The target weight of the EBITDA or adjusted EBITDA (as the case may be) and/or the adjusted net profit (after tax) and/or the cash flow of each officer will be based on the officer’s position in the Company or the Group, as the case may be.</t>
  </si>
  <si>
    <t>Ethics-related complaints submitted to the Company’s auditor</t>
  </si>
  <si>
    <t xml:space="preserve">Complaints submitted to the Company's auditor mainly concern matters related to human resources and operations. The auditor addresses these submissions by conducting the necessary inquiries and evaluations, based on the nature of the complaint, with the relevant parties. </t>
  </si>
  <si>
    <t>Percentage of diverse populations at Bezeq Group</t>
  </si>
  <si>
    <t>Target: Net zero by 2050</t>
  </si>
  <si>
    <t>Percentage of women in Management</t>
  </si>
  <si>
    <t xml:space="preserve">See detailed Scope 3 report on Bezeq's website at https://ir.bezeq.co.il/esg-reports </t>
  </si>
  <si>
    <t>% of employees covered by the Company's group health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</si>
</sst>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3" formatCode="_ * #,##0.00_ ;_ * \-#,##0.00_ ;_ * &quot;-&quot;??_ ;_ @_ "/>
    <numFmt numFmtId="164" formatCode="0.0"/>
    <numFmt numFmtId="165" formatCode="0.0%"/>
    <numFmt numFmtId="166" formatCode="_ * #,##0_ ;_ * \-#,##0_ ;_ * &quot;-&quot;??_ ;_ @_ "/>
    <numFmt numFmtId="167" formatCode="_ * #,##0.000_ ;_ * \-#,##0.000_ ;_ * &quot;-&quot;??_ ;_ @_ "/>
    <numFmt numFmtId="168" formatCode="#,##0.0"/>
    <numFmt numFmtId="169" formatCode="_ * #,##0.0_ ;_ * \-#,##0.0_ ;_ * &quot;-&quot;??_ ;_ @_ "/>
  </numFmts>
  <fonts count="61" x14ac:knownFonts="1">
    <font>
      <sz val="11"/>
      <color theme="1"/>
      <name val="Calibri"/>
      <family val="2"/>
    </font>
    <font>
      <sz val="10"/>
      <color theme="1"/>
      <name val="Arial"/>
      <family val="2"/>
    </font>
    <font>
      <sz val="9"/>
      <color theme="1"/>
      <name val="Arial"/>
      <family val="2"/>
    </font>
    <font>
      <sz val="11"/>
      <color rgb="FF000000"/>
      <name val="Arial"/>
      <family val="2"/>
    </font>
    <font>
      <u/>
      <sz val="11"/>
      <color theme="10"/>
      <name val="Arial"/>
      <family val="2"/>
      <scheme val="minor"/>
    </font>
    <font>
      <sz val="11"/>
      <color theme="1"/>
      <name val="Arial"/>
      <family val="2"/>
      <scheme val="minor"/>
    </font>
    <font>
      <sz val="10"/>
      <color theme="1"/>
      <name val="Calibri"/>
      <family val="2"/>
    </font>
    <font>
      <b/>
      <sz val="11"/>
      <color theme="1"/>
      <name val="Calibri"/>
      <family val="2"/>
    </font>
    <font>
      <sz val="9"/>
      <name val="Tahoma"/>
      <family val="2"/>
    </font>
    <font>
      <b/>
      <sz val="9"/>
      <name val="Tahoma"/>
      <family val="2"/>
    </font>
    <font>
      <b/>
      <sz val="8"/>
      <name val="Calibri"/>
      <family val="2"/>
    </font>
    <font>
      <sz val="9"/>
      <color rgb="FF000000"/>
      <name val="Arial"/>
      <family val="2"/>
    </font>
    <font>
      <sz val="11"/>
      <color theme="1"/>
      <name val="Arial"/>
      <family val="2"/>
    </font>
    <font>
      <b/>
      <sz val="11"/>
      <color theme="1"/>
      <name val="Arial"/>
      <family val="2"/>
    </font>
    <font>
      <b/>
      <sz val="10"/>
      <color theme="0"/>
      <name val="Arial"/>
      <family val="2"/>
    </font>
    <font>
      <sz val="12"/>
      <color theme="1"/>
      <name val="Arial"/>
      <family val="2"/>
    </font>
    <font>
      <sz val="18"/>
      <color rgb="FF16254F"/>
      <name val="Arial"/>
      <family val="2"/>
    </font>
    <font>
      <b/>
      <sz val="10"/>
      <color theme="1"/>
      <name val="Arial"/>
      <family val="2"/>
    </font>
    <font>
      <sz val="10"/>
      <color rgb="FF000000"/>
      <name val="Arial"/>
      <family val="2"/>
    </font>
    <font>
      <b/>
      <sz val="10"/>
      <color rgb="FF16254F"/>
      <name val="Arial"/>
      <family val="2"/>
    </font>
    <font>
      <u/>
      <sz val="10"/>
      <color theme="10"/>
      <name val="Arial"/>
      <family val="2"/>
    </font>
    <font>
      <sz val="8"/>
      <color theme="1"/>
      <name val="Arial"/>
      <family val="2"/>
    </font>
    <font>
      <b/>
      <sz val="14"/>
      <color rgb="FF16254F"/>
      <name val="Arial"/>
      <family val="2"/>
    </font>
    <font>
      <b/>
      <sz val="10"/>
      <name val="Arial"/>
      <family val="2"/>
    </font>
    <font>
      <sz val="10"/>
      <name val="Arial"/>
      <family val="2"/>
    </font>
    <font>
      <b/>
      <sz val="10"/>
      <color rgb="FF000000"/>
      <name val="Arial"/>
      <family val="2"/>
    </font>
    <font>
      <sz val="10"/>
      <color theme="0"/>
      <name val="Arial"/>
      <family val="2"/>
    </font>
    <font>
      <sz val="11"/>
      <color theme="0"/>
      <name val="Arial"/>
      <family val="2"/>
    </font>
    <font>
      <b/>
      <sz val="11"/>
      <color theme="0"/>
      <name val="Arial"/>
      <family val="2"/>
    </font>
    <font>
      <b/>
      <sz val="14"/>
      <color rgb="FFFF0000"/>
      <name val="Arial"/>
      <family val="2"/>
    </font>
    <font>
      <sz val="11"/>
      <color rgb="FF16254F"/>
      <name val="Arial"/>
      <family val="2"/>
    </font>
    <font>
      <sz val="10"/>
      <color rgb="FFFF0000"/>
      <name val="Arial"/>
      <family val="2"/>
    </font>
    <font>
      <b/>
      <sz val="11"/>
      <color rgb="FF16254F"/>
      <name val="Arial"/>
      <family val="2"/>
    </font>
    <font>
      <sz val="11"/>
      <name val="Arial"/>
      <family val="2"/>
    </font>
    <font>
      <b/>
      <sz val="10"/>
      <color rgb="FFFFFFFF"/>
      <name val="Arial"/>
      <family val="2"/>
    </font>
    <font>
      <sz val="18"/>
      <color theme="1"/>
      <name val="Arial"/>
      <family val="2"/>
    </font>
    <font>
      <sz val="18"/>
      <name val="Arial"/>
      <family val="2"/>
    </font>
    <font>
      <b/>
      <sz val="14"/>
      <color theme="1"/>
      <name val="Arial"/>
      <family val="2"/>
    </font>
    <font>
      <b/>
      <sz val="11"/>
      <name val="Arial"/>
      <family val="2"/>
    </font>
    <font>
      <sz val="12"/>
      <color rgb="FF16254F"/>
      <name val="Arial"/>
      <family val="2"/>
    </font>
    <font>
      <vertAlign val="subscript"/>
      <sz val="12"/>
      <color rgb="FF16254F"/>
      <name val="Arial"/>
      <family val="2"/>
    </font>
    <font>
      <b/>
      <sz val="8"/>
      <color rgb="FF000000"/>
      <name val="Arial"/>
      <family val="2"/>
    </font>
    <font>
      <sz val="8"/>
      <name val="Arial"/>
      <family val="2"/>
    </font>
    <font>
      <sz val="9"/>
      <name val="Arial"/>
      <family val="2"/>
    </font>
    <font>
      <b/>
      <sz val="12"/>
      <color rgb="FF16254F"/>
      <name val="Arial"/>
      <family val="2"/>
    </font>
    <font>
      <sz val="10"/>
      <color rgb="FF16254F"/>
      <name val="Arial"/>
      <family val="2"/>
    </font>
    <font>
      <sz val="10"/>
      <color rgb="FF1229C6"/>
      <name val="Arial"/>
      <family val="2"/>
    </font>
    <font>
      <b/>
      <sz val="16"/>
      <color theme="0"/>
      <name val="Arial"/>
      <family val="2"/>
    </font>
    <font>
      <sz val="14"/>
      <color theme="0"/>
      <name val="Arial"/>
      <family val="2"/>
    </font>
    <font>
      <sz val="11"/>
      <color rgb="FF1229C6"/>
      <name val="Arial"/>
      <family val="2"/>
    </font>
    <font>
      <sz val="14"/>
      <color rgb="FF1229C6"/>
      <name val="Arial"/>
      <family val="2"/>
    </font>
    <font>
      <sz val="10"/>
      <color theme="10"/>
      <name val="Arial"/>
      <family val="2"/>
    </font>
    <font>
      <sz val="12"/>
      <color rgb="FF000000"/>
      <name val="Arial"/>
      <family val="2"/>
    </font>
    <font>
      <b/>
      <sz val="16"/>
      <color rgb="FF16254F"/>
      <name val="Arial"/>
      <family val="2"/>
    </font>
    <font>
      <b/>
      <vertAlign val="subscript"/>
      <sz val="12"/>
      <color rgb="FF16254F"/>
      <name val="Arial"/>
      <family val="2"/>
    </font>
    <font>
      <sz val="14"/>
      <color rgb="FF16254F"/>
      <name val="Arial"/>
      <family val="2"/>
    </font>
    <font>
      <sz val="14"/>
      <color theme="1"/>
      <name val="Arial"/>
      <family val="2"/>
    </font>
    <font>
      <vertAlign val="subscript"/>
      <sz val="14"/>
      <color rgb="FF16254F"/>
      <name val="Arial"/>
      <family val="2"/>
    </font>
    <font>
      <b/>
      <sz val="12"/>
      <color theme="1"/>
      <name val="Arial"/>
      <family val="2"/>
    </font>
    <font>
      <b/>
      <sz val="11"/>
      <color rgb="FF000000"/>
      <name val="Arial"/>
      <family val="2"/>
    </font>
    <font>
      <sz val="11"/>
      <color theme="1"/>
      <name val="Calibri"/>
      <family val="2"/>
    </font>
  </fonts>
  <fills count="17">
    <fill>
      <patternFill patternType="none"/>
    </fill>
    <fill>
      <patternFill patternType="gray125"/>
    </fill>
    <fill>
      <patternFill patternType="solid">
        <fgColor rgb="FF0C1C60"/>
        <bgColor indexed="64"/>
      </patternFill>
    </fill>
    <fill>
      <patternFill patternType="solid">
        <fgColor rgb="FF16254F"/>
        <bgColor indexed="64"/>
      </patternFill>
    </fill>
    <fill>
      <patternFill patternType="solid">
        <fgColor theme="0"/>
        <bgColor indexed="64"/>
      </patternFill>
    </fill>
    <fill>
      <patternFill patternType="solid">
        <fgColor theme="0" tint="-4.9501022370067448E-2"/>
        <bgColor indexed="64"/>
      </patternFill>
    </fill>
    <fill>
      <patternFill patternType="solid">
        <fgColor theme="0" tint="-0.14969328897976622"/>
        <bgColor indexed="64"/>
      </patternFill>
    </fill>
    <fill>
      <patternFill patternType="solid">
        <fgColor rgb="FFE7EBF9"/>
        <bgColor indexed="64"/>
      </patternFill>
    </fill>
    <fill>
      <patternFill patternType="solid">
        <fgColor theme="4" tint="0.79985961485641044"/>
        <bgColor indexed="64"/>
      </patternFill>
    </fill>
    <fill>
      <patternFill patternType="solid">
        <fgColor theme="0" tint="-0.14951017792291024"/>
        <bgColor indexed="64"/>
      </patternFill>
    </fill>
    <fill>
      <patternFill patternType="solid">
        <fgColor rgb="FFD2CBD2"/>
        <bgColor indexed="64"/>
      </patternFill>
    </fill>
    <fill>
      <patternFill patternType="solid">
        <fgColor rgb="FFFFFF00"/>
        <bgColor indexed="64"/>
      </patternFill>
    </fill>
    <fill>
      <patternFill patternType="solid">
        <fgColor rgb="FFFFC000"/>
        <bgColor indexed="64"/>
      </patternFill>
    </fill>
    <fill>
      <patternFill patternType="solid">
        <fgColor rgb="FF5392C7"/>
        <bgColor indexed="64"/>
      </patternFill>
    </fill>
    <fill>
      <patternFill patternType="solid">
        <fgColor rgb="FFF0C2E1"/>
        <bgColor indexed="64"/>
      </patternFill>
    </fill>
    <fill>
      <patternFill patternType="solid">
        <fgColor theme="0" tint="-4.9806207464827418E-2"/>
        <bgColor indexed="64"/>
      </patternFill>
    </fill>
    <fill>
      <patternFill patternType="solid">
        <fgColor theme="0" tint="-4.9409466841639452E-2"/>
        <bgColor indexed="64"/>
      </patternFill>
    </fill>
  </fills>
  <borders count="146">
    <border>
      <left/>
      <right/>
      <top/>
      <bottom/>
      <diagonal/>
    </border>
    <border>
      <left/>
      <right/>
      <top style="thin">
        <color theme="0" tint="-4.9501022370067448E-2"/>
      </top>
      <bottom style="thin">
        <color theme="0" tint="-4.9501022370067448E-2"/>
      </bottom>
      <diagonal/>
    </border>
    <border>
      <left/>
      <right/>
      <top/>
      <bottom style="thick">
        <color rgb="FF16254F"/>
      </bottom>
      <diagonal/>
    </border>
    <border>
      <left/>
      <right style="thick">
        <color theme="0"/>
      </right>
      <top/>
      <bottom/>
      <diagonal/>
    </border>
    <border>
      <left/>
      <right/>
      <top/>
      <bottom style="thin">
        <color theme="0" tint="-4.9501022370067448E-2"/>
      </bottom>
      <diagonal/>
    </border>
    <border>
      <left/>
      <right/>
      <top style="thin">
        <color theme="0" tint="-4.9501022370067448E-2"/>
      </top>
      <bottom/>
      <diagonal/>
    </border>
    <border>
      <left style="thick">
        <color theme="0"/>
      </left>
      <right/>
      <top/>
      <bottom/>
      <diagonal/>
    </border>
    <border>
      <left/>
      <right/>
      <top/>
      <bottom style="medium">
        <color rgb="FFF2F2F2"/>
      </bottom>
      <diagonal/>
    </border>
    <border>
      <left style="thin">
        <color theme="0"/>
      </left>
      <right/>
      <top/>
      <bottom/>
      <diagonal/>
    </border>
    <border>
      <left/>
      <right style="thin">
        <color rgb="FF000000"/>
      </right>
      <top/>
      <bottom/>
      <diagonal/>
    </border>
    <border>
      <left/>
      <right style="thin">
        <color theme="0" tint="-0.34949797051911985"/>
      </right>
      <top/>
      <bottom/>
      <diagonal/>
    </border>
    <border>
      <left/>
      <right style="thin">
        <color rgb="FF000000"/>
      </right>
      <top/>
      <bottom style="thin">
        <color theme="0" tint="-4.9501022370067448E-2"/>
      </bottom>
      <diagonal/>
    </border>
    <border>
      <left/>
      <right style="thin">
        <color rgb="FF000000"/>
      </right>
      <top style="thin">
        <color theme="0" tint="-4.9501022370067448E-2"/>
      </top>
      <bottom style="thin">
        <color theme="0" tint="-4.9501022370067448E-2"/>
      </bottom>
      <diagonal/>
    </border>
    <border>
      <left/>
      <right style="thin">
        <color rgb="FF000000"/>
      </right>
      <top style="thin">
        <color theme="0" tint="-4.9501022370067448E-2"/>
      </top>
      <bottom/>
      <diagonal/>
    </border>
    <border>
      <left/>
      <right style="thin">
        <color theme="0"/>
      </right>
      <top/>
      <bottom/>
      <diagonal/>
    </border>
    <border>
      <left style="thin">
        <color auto="1"/>
      </left>
      <right style="thin">
        <color auto="1"/>
      </right>
      <top style="thin">
        <color auto="1"/>
      </top>
      <bottom/>
      <diagonal/>
    </border>
    <border>
      <left style="thin">
        <color auto="1"/>
      </left>
      <right style="thin">
        <color theme="0" tint="-0.34949797051911985"/>
      </right>
      <top style="thin">
        <color auto="1"/>
      </top>
      <bottom/>
      <diagonal/>
    </border>
    <border>
      <left/>
      <right/>
      <top style="thin">
        <color auto="1"/>
      </top>
      <bottom/>
      <diagonal/>
    </border>
    <border>
      <left/>
      <right style="thin">
        <color theme="0" tint="-0.34949797051911985"/>
      </right>
      <top/>
      <bottom style="thin">
        <color theme="0" tint="-4.9501022370067448E-2"/>
      </bottom>
      <diagonal/>
    </border>
    <border>
      <left/>
      <right style="thin">
        <color theme="0" tint="-0.24979400006103702"/>
      </right>
      <top/>
      <bottom style="thin">
        <color theme="0" tint="-4.9501022370067448E-2"/>
      </bottom>
      <diagonal/>
    </border>
    <border>
      <left/>
      <right/>
      <top/>
      <bottom style="thin">
        <color theme="0" tint="-4.9409466841639452E-2"/>
      </bottom>
      <diagonal/>
    </border>
    <border>
      <left/>
      <right style="thin">
        <color theme="0" tint="-0.34949797051911985"/>
      </right>
      <top style="thin">
        <color theme="0" tint="-4.9501022370067448E-2"/>
      </top>
      <bottom/>
      <diagonal/>
    </border>
    <border>
      <left/>
      <right style="thin">
        <color theme="0" tint="-0.24979400006103702"/>
      </right>
      <top style="thin">
        <color theme="0" tint="-4.9501022370067448E-2"/>
      </top>
      <bottom/>
      <diagonal/>
    </border>
    <border>
      <left style="thick">
        <color theme="0"/>
      </left>
      <right style="thick">
        <color theme="0"/>
      </right>
      <top/>
      <bottom/>
      <diagonal/>
    </border>
    <border>
      <left/>
      <right style="thin">
        <color theme="0" tint="-0.34940641499069186"/>
      </right>
      <top/>
      <bottom/>
      <diagonal/>
    </border>
    <border>
      <left/>
      <right style="thin">
        <color theme="0" tint="-0.34940641499069186"/>
      </right>
      <top/>
      <bottom style="thin">
        <color theme="0" tint="-4.9409466841639452E-2"/>
      </bottom>
      <diagonal/>
    </border>
    <border>
      <left/>
      <right style="thin">
        <color theme="0" tint="-0.34940641499069186"/>
      </right>
      <top style="thin">
        <color theme="0" tint="-4.9409466841639452E-2"/>
      </top>
      <bottom style="thin">
        <color theme="0" tint="-4.9409466841639452E-2"/>
      </bottom>
      <diagonal/>
    </border>
    <border>
      <left/>
      <right/>
      <top style="thin">
        <color theme="0" tint="-4.9409466841639452E-2"/>
      </top>
      <bottom style="thin">
        <color theme="0" tint="-4.9409466841639452E-2"/>
      </bottom>
      <diagonal/>
    </border>
    <border>
      <left/>
      <right style="thin">
        <color theme="0" tint="-0.34940641499069186"/>
      </right>
      <top style="thin">
        <color theme="0" tint="-4.9409466841639452E-2"/>
      </top>
      <bottom/>
      <diagonal/>
    </border>
    <border>
      <left/>
      <right/>
      <top style="thin">
        <color theme="0" tint="-4.9409466841639452E-2"/>
      </top>
      <bottom/>
      <diagonal/>
    </border>
    <border>
      <left/>
      <right/>
      <top/>
      <bottom style="thin">
        <color theme="0" tint="-4.9378948332163455E-2"/>
      </bottom>
      <diagonal/>
    </border>
    <border>
      <left/>
      <right/>
      <top style="thin">
        <color theme="0" tint="-4.9378948332163455E-2"/>
      </top>
      <bottom style="thin">
        <color theme="0" tint="-4.9378948332163455E-2"/>
      </bottom>
      <diagonal/>
    </border>
    <border>
      <left/>
      <right style="thin">
        <color theme="0" tint="-0.24979400006103702"/>
      </right>
      <top/>
      <bottom/>
      <diagonal/>
    </border>
    <border>
      <left/>
      <right style="thin">
        <color theme="0" tint="-0.34949797051911985"/>
      </right>
      <top style="thin">
        <color theme="0" tint="-4.9501022370067448E-2"/>
      </top>
      <bottom style="thin">
        <color theme="0" tint="-4.9501022370067448E-2"/>
      </bottom>
      <diagonal/>
    </border>
    <border>
      <left/>
      <right style="thin">
        <color theme="0" tint="-0.24979400006103702"/>
      </right>
      <top style="thin">
        <color theme="0" tint="-4.9501022370067448E-2"/>
      </top>
      <bottom style="thin">
        <color theme="0" tint="-4.9501022370067448E-2"/>
      </bottom>
      <diagonal/>
    </border>
    <border>
      <left/>
      <right style="thin">
        <color auto="1"/>
      </right>
      <top/>
      <bottom/>
      <diagonal/>
    </border>
    <border>
      <left style="medium">
        <color auto="1"/>
      </left>
      <right/>
      <top/>
      <bottom style="thin">
        <color theme="0" tint="-4.9378948332163455E-2"/>
      </bottom>
      <diagonal/>
    </border>
    <border>
      <left/>
      <right style="thin">
        <color auto="1"/>
      </right>
      <top/>
      <bottom style="thin">
        <color theme="0" tint="-4.9378948332163455E-2"/>
      </bottom>
      <diagonal/>
    </border>
    <border>
      <left/>
      <right style="medium">
        <color auto="1"/>
      </right>
      <top/>
      <bottom style="thin">
        <color theme="0" tint="-4.9378948332163455E-2"/>
      </bottom>
      <diagonal/>
    </border>
    <border>
      <left/>
      <right style="medium">
        <color auto="1"/>
      </right>
      <top/>
      <bottom style="thin">
        <color theme="0" tint="-4.9409466841639452E-2"/>
      </bottom>
      <diagonal/>
    </border>
    <border>
      <left/>
      <right style="thin">
        <color auto="1"/>
      </right>
      <top style="thin">
        <color theme="0" tint="-4.9501022370067448E-2"/>
      </top>
      <bottom style="thin">
        <color theme="0" tint="-4.9501022370067448E-2"/>
      </bottom>
      <diagonal/>
    </border>
    <border>
      <left/>
      <right style="thin">
        <color auto="1"/>
      </right>
      <top/>
      <bottom style="thin">
        <color theme="0" tint="-4.9409466841639452E-2"/>
      </bottom>
      <diagonal/>
    </border>
    <border>
      <left style="medium">
        <color auto="1"/>
      </left>
      <right/>
      <top style="thin">
        <color theme="0" tint="-4.9501022370067448E-2"/>
      </top>
      <bottom style="thin">
        <color theme="0" tint="-4.9501022370067448E-2"/>
      </bottom>
      <diagonal/>
    </border>
    <border>
      <left/>
      <right style="medium">
        <color auto="1"/>
      </right>
      <top style="thin">
        <color theme="0" tint="-4.9501022370067448E-2"/>
      </top>
      <bottom style="thin">
        <color theme="0" tint="-4.9501022370067448E-2"/>
      </bottom>
      <diagonal/>
    </border>
    <border>
      <left style="medium">
        <color auto="1"/>
      </left>
      <right style="thin">
        <color theme="0" tint="-0.14951017792291024"/>
      </right>
      <top style="thin">
        <color theme="0" tint="-4.9501022370067448E-2"/>
      </top>
      <bottom style="thin">
        <color theme="0" tint="-4.9501022370067448E-2"/>
      </bottom>
      <diagonal/>
    </border>
    <border>
      <left/>
      <right style="thin">
        <color theme="0" tint="-4.9806207464827418E-2"/>
      </right>
      <top style="thin">
        <color theme="0" tint="-4.9501022370067448E-2"/>
      </top>
      <bottom style="thin">
        <color theme="0" tint="-4.9501022370067448E-2"/>
      </bottom>
      <diagonal/>
    </border>
    <border>
      <left style="medium">
        <color auto="1"/>
      </left>
      <right style="thin">
        <color auto="1"/>
      </right>
      <top style="thin">
        <color theme="0" tint="-4.9501022370067448E-2"/>
      </top>
      <bottom style="medium">
        <color auto="1"/>
      </bottom>
      <diagonal/>
    </border>
    <border>
      <left/>
      <right style="thin">
        <color auto="1"/>
      </right>
      <top style="thin">
        <color theme="0" tint="-4.9501022370067448E-2"/>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theme="0"/>
      </left>
      <right style="thin">
        <color theme="0"/>
      </right>
      <top/>
      <bottom/>
      <diagonal/>
    </border>
    <border>
      <left/>
      <right/>
      <top style="thin">
        <color theme="0" tint="-4.9501022370067448E-2"/>
      </top>
      <bottom style="thin">
        <color theme="0" tint="-0.34949797051911985"/>
      </bottom>
      <diagonal/>
    </border>
    <border>
      <left/>
      <right/>
      <top/>
      <bottom style="thin">
        <color theme="0" tint="-0.34949797051911985"/>
      </bottom>
      <diagonal/>
    </border>
    <border>
      <left style="thin">
        <color theme="0" tint="-0.34949797051911985"/>
      </left>
      <right/>
      <top style="thin">
        <color theme="0" tint="-0.34949797051911985"/>
      </top>
      <bottom/>
      <diagonal/>
    </border>
    <border>
      <left style="thin">
        <color theme="0" tint="-0.24979400006103702"/>
      </left>
      <right/>
      <top/>
      <bottom style="thin">
        <color theme="0" tint="-4.9501022370067448E-2"/>
      </bottom>
      <diagonal/>
    </border>
    <border>
      <left style="thin">
        <color theme="0" tint="-0.24979400006103702"/>
      </left>
      <right/>
      <top style="thin">
        <color theme="0" tint="-4.9501022370067448E-2"/>
      </top>
      <bottom style="thin">
        <color theme="0" tint="-4.9501022370067448E-2"/>
      </bottom>
      <diagonal/>
    </border>
    <border>
      <left style="thin">
        <color rgb="FF000000"/>
      </left>
      <right/>
      <top/>
      <bottom/>
      <diagonal/>
    </border>
    <border>
      <left/>
      <right style="thick">
        <color theme="0"/>
      </right>
      <top/>
      <bottom style="thin">
        <color theme="0" tint="-4.9501022370067448E-2"/>
      </bottom>
      <diagonal/>
    </border>
    <border>
      <left/>
      <right style="thick">
        <color theme="0"/>
      </right>
      <top style="thin">
        <color theme="0" tint="-4.9501022370067448E-2"/>
      </top>
      <bottom style="thin">
        <color theme="0" tint="-4.9501022370067448E-2"/>
      </bottom>
      <diagonal/>
    </border>
    <border>
      <left/>
      <right style="thick">
        <color theme="0"/>
      </right>
      <top style="thin">
        <color theme="0" tint="-4.9501022370067448E-2"/>
      </top>
      <bottom/>
      <diagonal/>
    </border>
    <border>
      <left/>
      <right style="thin">
        <color auto="1"/>
      </right>
      <top/>
      <bottom style="thin">
        <color theme="0" tint="-4.9501022370067448E-2"/>
      </bottom>
      <diagonal/>
    </border>
    <border>
      <left/>
      <right style="thin">
        <color auto="1"/>
      </right>
      <top style="thin">
        <color theme="0" tint="-4.9501022370067448E-2"/>
      </top>
      <bottom/>
      <diagonal/>
    </border>
    <border>
      <left style="thin">
        <color auto="1"/>
      </left>
      <right/>
      <top style="thin">
        <color auto="1"/>
      </top>
      <bottom/>
      <diagonal/>
    </border>
    <border>
      <left style="thick">
        <color theme="0"/>
      </left>
      <right style="thin">
        <color auto="1"/>
      </right>
      <top style="thin">
        <color auto="1"/>
      </top>
      <bottom/>
      <diagonal/>
    </border>
    <border>
      <left style="thin">
        <color theme="0" tint="-0.34949797051911985"/>
      </left>
      <right/>
      <top/>
      <bottom style="thin">
        <color theme="0" tint="-4.9501022370067448E-2"/>
      </bottom>
      <diagonal/>
    </border>
    <border>
      <left style="thin">
        <color theme="0" tint="-0.34940641499069186"/>
      </left>
      <right/>
      <top/>
      <bottom style="thin">
        <color theme="0" tint="-4.9409466841639452E-2"/>
      </bottom>
      <diagonal/>
    </border>
    <border>
      <left style="thin">
        <color theme="0" tint="-0.34949797051911985"/>
      </left>
      <right/>
      <top style="thin">
        <color theme="0" tint="-4.9501022370067448E-2"/>
      </top>
      <bottom style="thin">
        <color theme="0" tint="-4.9501022370067448E-2"/>
      </bottom>
      <diagonal/>
    </border>
    <border>
      <left style="thin">
        <color theme="0" tint="-0.34949797051911985"/>
      </left>
      <right/>
      <top style="thin">
        <color theme="0" tint="-4.9501022370067448E-2"/>
      </top>
      <bottom/>
      <diagonal/>
    </border>
    <border>
      <left/>
      <right/>
      <top style="thin">
        <color theme="0" tint="-4.9378948332163455E-2"/>
      </top>
      <bottom/>
      <diagonal/>
    </border>
    <border>
      <left/>
      <right/>
      <top style="thin">
        <color rgb="FFF2F2F2"/>
      </top>
      <bottom style="thin">
        <color rgb="FFF2F2F2"/>
      </bottom>
      <diagonal/>
    </border>
    <border>
      <left/>
      <right/>
      <top/>
      <bottom style="thin">
        <color rgb="FFF2F2F2"/>
      </bottom>
      <diagonal/>
    </border>
    <border>
      <left/>
      <right/>
      <top style="thin">
        <color rgb="FFF2F2F2"/>
      </top>
      <bottom/>
      <diagonal/>
    </border>
    <border>
      <left/>
      <right/>
      <top style="thin">
        <color theme="0" tint="-4.9592577898495437E-2"/>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34949797051911985"/>
      </left>
      <right/>
      <top/>
      <bottom/>
      <diagonal/>
    </border>
    <border>
      <left/>
      <right style="thin">
        <color theme="0"/>
      </right>
      <top/>
      <bottom style="thin">
        <color theme="0" tint="-4.9501022370067448E-2"/>
      </bottom>
      <diagonal/>
    </border>
    <border>
      <left style="thin">
        <color theme="0"/>
      </left>
      <right style="thin">
        <color theme="0"/>
      </right>
      <top/>
      <bottom style="thin">
        <color theme="0"/>
      </bottom>
      <diagonal/>
    </border>
    <border>
      <left style="thin">
        <color auto="1"/>
      </left>
      <right/>
      <top/>
      <bottom/>
      <diagonal/>
    </border>
    <border>
      <left/>
      <right/>
      <top style="thin">
        <color theme="0" tint="-4.9501022370067448E-2"/>
      </top>
      <bottom style="thin">
        <color theme="0" tint="-4.9806207464827418E-2"/>
      </bottom>
      <diagonal/>
    </border>
    <border>
      <left/>
      <right/>
      <top/>
      <bottom style="thin">
        <color theme="0" tint="-4.9806207464827418E-2"/>
      </bottom>
      <diagonal/>
    </border>
    <border>
      <left/>
      <right/>
      <top style="thin">
        <color theme="0" tint="-4.9806207464827418E-2"/>
      </top>
      <bottom/>
      <diagonal/>
    </border>
    <border>
      <left/>
      <right/>
      <top style="thin">
        <color theme="0" tint="-4.9806207464827418E-2"/>
      </top>
      <bottom style="thin">
        <color theme="0" tint="-4.9806207464827418E-2"/>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theme="0" tint="-0.14947965941343425"/>
      </bottom>
      <diagonal/>
    </border>
    <border>
      <left/>
      <right/>
      <top style="thin">
        <color theme="0" tint="-0.14947965941343425"/>
      </top>
      <bottom style="thin">
        <color theme="0" tint="-0.14947965941343425"/>
      </bottom>
      <diagonal/>
    </border>
    <border>
      <left/>
      <right/>
      <top style="thin">
        <color theme="0" tint="-0.14947965941343425"/>
      </top>
      <bottom/>
      <diagonal/>
    </border>
    <border>
      <left/>
      <right/>
      <top/>
      <bottom style="thin">
        <color theme="0" tint="-0.14951017792291024"/>
      </bottom>
      <diagonal/>
    </border>
    <border>
      <left/>
      <right/>
      <top style="thin">
        <color theme="0" tint="-4.9501022370067448E-2"/>
      </top>
      <bottom style="thin">
        <color auto="1"/>
      </bottom>
      <diagonal/>
    </border>
    <border>
      <left style="medium">
        <color auto="1"/>
      </left>
      <right/>
      <top/>
      <bottom/>
      <diagonal/>
    </border>
    <border>
      <left/>
      <right style="medium">
        <color auto="1"/>
      </right>
      <top/>
      <bottom/>
      <diagonal/>
    </border>
    <border>
      <left style="medium">
        <color auto="1"/>
      </left>
      <right/>
      <top style="thin">
        <color theme="0" tint="-4.9501022370067448E-2"/>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thin">
        <color auto="1"/>
      </right>
      <top/>
      <bottom style="thin">
        <color auto="1"/>
      </bottom>
      <diagonal/>
    </border>
    <border>
      <left style="thin">
        <color theme="0"/>
      </left>
      <right style="thin">
        <color theme="0"/>
      </right>
      <top/>
      <bottom style="thin">
        <color theme="0" tint="-4.9501022370067448E-2"/>
      </bottom>
      <diagonal/>
    </border>
    <border>
      <left style="thin">
        <color theme="0"/>
      </left>
      <right/>
      <top/>
      <bottom style="thin">
        <color theme="0" tint="-4.9501022370067448E-2"/>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int="-4.9501022370067448E-2"/>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theme="0" tint="-0.14951017792291024"/>
      </top>
      <bottom/>
      <diagonal/>
    </border>
    <border>
      <left style="thin">
        <color auto="1"/>
      </left>
      <right/>
      <top style="thin">
        <color auto="1"/>
      </top>
      <bottom style="thin">
        <color auto="1"/>
      </bottom>
      <diagonal/>
    </border>
    <border>
      <left style="thick">
        <color theme="0"/>
      </left>
      <right/>
      <top/>
      <bottom style="thin">
        <color theme="0" tint="-4.9501022370067448E-2"/>
      </bottom>
      <diagonal/>
    </border>
    <border>
      <left style="thick">
        <color theme="0"/>
      </left>
      <right/>
      <top style="thin">
        <color theme="0" tint="-4.9501022370067448E-2"/>
      </top>
      <bottom style="thin">
        <color theme="0" tint="-4.9501022370067448E-2"/>
      </bottom>
      <diagonal/>
    </border>
    <border>
      <left style="thick">
        <color theme="0"/>
      </left>
      <right/>
      <top style="thin">
        <color theme="0" tint="-4.9501022370067448E-2"/>
      </top>
      <bottom/>
      <diagonal/>
    </border>
    <border>
      <left style="thin">
        <color theme="0" tint="-0.34949797051911985"/>
      </left>
      <right style="thin">
        <color theme="0" tint="-0.34949797051911985"/>
      </right>
      <top style="thin">
        <color theme="0" tint="-4.9501022370067448E-2"/>
      </top>
      <bottom/>
      <diagonal/>
    </border>
    <border>
      <left style="thick">
        <color theme="0"/>
      </left>
      <right style="thin">
        <color auto="1"/>
      </right>
      <top/>
      <bottom/>
      <diagonal/>
    </border>
    <border>
      <left/>
      <right style="thick">
        <color theme="0"/>
      </right>
      <top style="thin">
        <color theme="0" tint="-4.9378948332163455E-2"/>
      </top>
      <bottom/>
      <diagonal/>
    </border>
    <border>
      <left style="thin">
        <color theme="0" tint="-0.24979400006103702"/>
      </left>
      <right/>
      <top style="thin">
        <color theme="0" tint="-4.9806207464827418E-2"/>
      </top>
      <bottom/>
      <diagonal/>
    </border>
    <border>
      <left/>
      <right style="thick">
        <color theme="0"/>
      </right>
      <top style="thin">
        <color theme="0" tint="-4.9806207464827418E-2"/>
      </top>
      <bottom/>
      <diagonal/>
    </border>
    <border>
      <left style="thin">
        <color theme="0" tint="-0.24979400006103702"/>
      </left>
      <right/>
      <top style="thin">
        <color theme="0" tint="-4.9501022370067448E-2"/>
      </top>
      <bottom style="thin">
        <color theme="0" tint="-4.9806207464827418E-2"/>
      </bottom>
      <diagonal/>
    </border>
    <border>
      <left/>
      <right style="thin">
        <color theme="0" tint="-0.24979400006103702"/>
      </right>
      <top style="thin">
        <color theme="0" tint="-4.9501022370067448E-2"/>
      </top>
      <bottom style="thin">
        <color theme="0" tint="-4.9806207464827418E-2"/>
      </bottom>
      <diagonal/>
    </border>
    <border>
      <left/>
      <right style="thin">
        <color theme="0" tint="-0.24979400006103702"/>
      </right>
      <top style="thin">
        <color theme="0" tint="-4.9378948332163455E-2"/>
      </top>
      <bottom/>
      <diagonal/>
    </border>
    <border>
      <left style="thin">
        <color theme="0" tint="-0.24979400006103702"/>
      </left>
      <right/>
      <top/>
      <bottom/>
      <diagonal/>
    </border>
    <border>
      <left/>
      <right style="thin">
        <color theme="0" tint="-0.24979400006103702"/>
      </right>
      <top style="thin">
        <color theme="0" tint="-4.9806207464827418E-2"/>
      </top>
      <bottom/>
      <diagonal/>
    </border>
    <border>
      <left style="thick">
        <color theme="0"/>
      </left>
      <right/>
      <top/>
      <bottom style="thin">
        <color theme="0" tint="-0.14941862239448225"/>
      </bottom>
      <diagonal/>
    </border>
    <border>
      <left/>
      <right style="thick">
        <color theme="0"/>
      </right>
      <top/>
      <bottom style="thin">
        <color theme="0" tint="-4.9439985351115455E-2"/>
      </bottom>
      <diagonal/>
    </border>
    <border>
      <left/>
      <right style="thick">
        <color theme="0"/>
      </right>
      <top style="thin">
        <color theme="0" tint="-4.9439985351115455E-2"/>
      </top>
      <bottom style="thin">
        <color theme="0" tint="-4.9439985351115455E-2"/>
      </bottom>
      <diagonal/>
    </border>
    <border>
      <left/>
      <right style="thick">
        <color theme="0"/>
      </right>
      <top style="thin">
        <color theme="0" tint="-4.9439985351115455E-2"/>
      </top>
      <bottom/>
      <diagonal/>
    </border>
    <border>
      <left style="thick">
        <color theme="0"/>
      </left>
      <right/>
      <top/>
      <bottom style="thin">
        <color theme="0" tint="-4.9409466841639452E-2"/>
      </bottom>
      <diagonal/>
    </border>
    <border>
      <left style="thick">
        <color theme="0"/>
      </left>
      <right/>
      <top style="thin">
        <color theme="0" tint="-4.9409466841639452E-2"/>
      </top>
      <bottom style="thin">
        <color theme="0" tint="-4.9409466841639452E-2"/>
      </bottom>
      <diagonal/>
    </border>
    <border>
      <left/>
      <right style="thick">
        <color theme="0"/>
      </right>
      <top/>
      <bottom style="thin">
        <color theme="0" tint="-4.9409466841639452E-2"/>
      </bottom>
      <diagonal/>
    </border>
    <border>
      <left/>
      <right style="thick">
        <color theme="0"/>
      </right>
      <top style="thin">
        <color theme="0" tint="-4.9409466841639452E-2"/>
      </top>
      <bottom/>
      <diagonal/>
    </border>
    <border>
      <left/>
      <right style="thin">
        <color theme="0" tint="-0.34949797051911985"/>
      </right>
      <top style="thin">
        <color theme="0" tint="-4.9501022370067448E-2"/>
      </top>
      <bottom style="thin">
        <color theme="0" tint="-0.34949797051911985"/>
      </bottom>
      <diagonal/>
    </border>
    <border>
      <left/>
      <right/>
      <top style="thin">
        <color theme="0" tint="-0.34949797051911985"/>
      </top>
      <bottom style="thin">
        <color theme="0" tint="-4.9501022370067448E-2"/>
      </bottom>
      <diagonal/>
    </border>
    <border>
      <left/>
      <right style="thin">
        <color theme="0" tint="-0.34949797051911985"/>
      </right>
      <top style="thin">
        <color theme="0" tint="-0.34949797051911985"/>
      </top>
      <bottom style="thin">
        <color theme="0" tint="-4.9501022370067448E-2"/>
      </bottom>
      <diagonal/>
    </border>
    <border>
      <left style="thin">
        <color theme="0" tint="-0.34949797051911985"/>
      </left>
      <right style="thick">
        <color theme="0"/>
      </right>
      <top style="thin">
        <color theme="0" tint="-0.34949797051911985"/>
      </top>
      <bottom/>
      <diagonal/>
    </border>
    <border>
      <left style="thin">
        <color theme="0" tint="-0.34949797051911985"/>
      </left>
      <right style="thick">
        <color theme="0"/>
      </right>
      <top/>
      <bottom/>
      <diagonal/>
    </border>
    <border>
      <left style="thin">
        <color theme="0" tint="-0.14981536301767021"/>
      </left>
      <right/>
      <top/>
      <bottom/>
      <diagonal/>
    </border>
    <border>
      <left style="thin">
        <color theme="0" tint="-4.9806207464827418E-2"/>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thick">
        <color theme="0"/>
      </right>
      <top style="thin">
        <color theme="0" tint="-4.9409466841639452E-2"/>
      </top>
      <bottom style="thin">
        <color theme="0" tint="-4.9409466841639452E-2"/>
      </bottom>
      <diagonal/>
    </border>
    <border>
      <left style="thin">
        <color theme="0" tint="-0.34940641499069186"/>
      </left>
      <right/>
      <top/>
      <bottom/>
      <diagonal/>
    </border>
  </borders>
  <cellStyleXfs count="14">
    <xf numFmtId="0" fontId="0" fillId="0" borderId="0">
      <alignment vertical="center"/>
    </xf>
    <xf numFmtId="9" fontId="5" fillId="0" borderId="0" applyFill="0" applyBorder="0" applyProtection="0">
      <alignment vertical="center"/>
    </xf>
    <xf numFmtId="42" fontId="1" fillId="0" borderId="0" applyFill="0" applyBorder="0" applyProtection="0">
      <alignment vertical="center"/>
    </xf>
    <xf numFmtId="43" fontId="5" fillId="0" borderId="0" applyFill="0" applyBorder="0" applyProtection="0">
      <alignment vertical="center"/>
    </xf>
    <xf numFmtId="41" fontId="1" fillId="0" borderId="0" applyFill="0" applyBorder="0" applyProtection="0">
      <alignment vertical="center"/>
    </xf>
    <xf numFmtId="0" fontId="4" fillId="0" borderId="0" applyNumberFormat="0" applyFill="0" applyBorder="0" applyProtection="0">
      <alignment vertical="center"/>
    </xf>
    <xf numFmtId="43" fontId="5" fillId="0" borderId="0" applyFill="0" applyBorder="0" applyProtection="0">
      <alignment vertical="center"/>
    </xf>
    <xf numFmtId="0" fontId="60" fillId="0" borderId="0" applyNumberFormat="0" applyFill="0" applyBorder="0"/>
    <xf numFmtId="0" fontId="5" fillId="0" borderId="0" applyNumberFormat="0" applyFill="0" applyBorder="0"/>
    <xf numFmtId="43" fontId="5" fillId="0" borderId="0" applyFill="0" applyBorder="0" applyProtection="0">
      <alignment vertical="center"/>
    </xf>
    <xf numFmtId="9" fontId="5" fillId="0" borderId="0" applyFill="0" applyBorder="0" applyProtection="0">
      <alignment vertical="center"/>
    </xf>
    <xf numFmtId="43" fontId="5" fillId="0" borderId="0" applyFill="0" applyBorder="0" applyProtection="0">
      <alignment vertical="center"/>
    </xf>
    <xf numFmtId="43" fontId="5" fillId="0" borderId="0" applyFill="0" applyBorder="0" applyProtection="0">
      <alignment vertical="center"/>
    </xf>
    <xf numFmtId="43" fontId="5" fillId="0" borderId="0" applyFill="0" applyBorder="0" applyProtection="0">
      <alignment vertical="center"/>
    </xf>
  </cellStyleXfs>
  <cellXfs count="1147">
    <xf numFmtId="0" fontId="0" fillId="0" borderId="0" xfId="0" applyAlignment="1"/>
    <xf numFmtId="9" fontId="1" fillId="0" borderId="4" xfId="1" applyFont="1" applyBorder="1" applyAlignment="1">
      <alignment horizontal="right" vertical="center"/>
    </xf>
    <xf numFmtId="0" fontId="14" fillId="3" borderId="0" xfId="0" applyFont="1" applyFill="1" applyAlignment="1">
      <alignment horizontal="right" vertical="center" wrapText="1"/>
    </xf>
    <xf numFmtId="9" fontId="1" fillId="0" borderId="5" xfId="1" applyFont="1" applyBorder="1" applyAlignment="1">
      <alignment horizontal="right" vertical="center"/>
    </xf>
    <xf numFmtId="0" fontId="24" fillId="5" borderId="0" xfId="3" applyNumberFormat="1" applyFont="1" applyFill="1" applyAlignment="1">
      <alignment horizontal="center" vertical="center" wrapText="1"/>
    </xf>
    <xf numFmtId="0" fontId="14" fillId="3" borderId="0" xfId="0" applyFont="1" applyFill="1" applyAlignment="1">
      <alignment horizontal="center" vertical="center" wrapText="1"/>
    </xf>
    <xf numFmtId="0" fontId="45" fillId="0" borderId="0" xfId="0" applyFont="1" applyAlignment="1">
      <alignment vertical="top" wrapText="1"/>
    </xf>
    <xf numFmtId="166" fontId="3" fillId="0" borderId="0" xfId="3" applyNumberFormat="1" applyFont="1" applyAlignment="1">
      <alignment horizontal="right" vertical="center"/>
    </xf>
    <xf numFmtId="9" fontId="6" fillId="0" borderId="1" xfId="0" applyNumberFormat="1" applyFont="1" applyBorder="1">
      <alignment vertical="center"/>
    </xf>
    <xf numFmtId="9" fontId="6" fillId="0" borderId="1" xfId="1" applyFont="1" applyBorder="1">
      <alignment vertical="center"/>
    </xf>
    <xf numFmtId="0" fontId="12" fillId="2" borderId="0" xfId="0" applyFont="1" applyFill="1">
      <alignment vertical="center"/>
    </xf>
    <xf numFmtId="0" fontId="1" fillId="0" borderId="2" xfId="0" applyFont="1" applyBorder="1">
      <alignment vertical="center"/>
    </xf>
    <xf numFmtId="0" fontId="12" fillId="0" borderId="0" xfId="0" applyFont="1">
      <alignment vertical="center"/>
    </xf>
    <xf numFmtId="0" fontId="1" fillId="0" borderId="0" xfId="0" applyFont="1">
      <alignment vertical="center"/>
    </xf>
    <xf numFmtId="0" fontId="14" fillId="3" borderId="0" xfId="0" applyFont="1" applyFill="1" applyAlignment="1">
      <alignment horizontal="center" vertical="top" wrapText="1"/>
    </xf>
    <xf numFmtId="0" fontId="14" fillId="3" borderId="3" xfId="0" applyFont="1" applyFill="1" applyBorder="1" applyAlignment="1">
      <alignment horizontal="center" vertical="top" wrapText="1"/>
    </xf>
    <xf numFmtId="0" fontId="12" fillId="0" borderId="0" xfId="0" applyFont="1" applyAlignment="1">
      <alignment vertical="center" wrapText="1"/>
    </xf>
    <xf numFmtId="0" fontId="1" fillId="0" borderId="0" xfId="0" applyFont="1" applyAlignment="1">
      <alignment wrapText="1"/>
    </xf>
    <xf numFmtId="9" fontId="12" fillId="0" borderId="0" xfId="1" applyFont="1">
      <alignment vertical="center"/>
    </xf>
    <xf numFmtId="0" fontId="16" fillId="0" borderId="2" xfId="0" applyFont="1" applyBorder="1">
      <alignment vertical="center"/>
    </xf>
    <xf numFmtId="0" fontId="1" fillId="0" borderId="2" xfId="0" applyFont="1" applyBorder="1" applyAlignment="1">
      <alignment wrapText="1"/>
    </xf>
    <xf numFmtId="0" fontId="16" fillId="0" borderId="0" xfId="0" applyFont="1">
      <alignment vertical="center"/>
    </xf>
    <xf numFmtId="0" fontId="12" fillId="0" borderId="0" xfId="0" applyFont="1" applyAlignment="1">
      <alignment wrapText="1"/>
    </xf>
    <xf numFmtId="0" fontId="17" fillId="0" borderId="4" xfId="0" applyFont="1" applyBorder="1">
      <alignment vertical="center"/>
    </xf>
    <xf numFmtId="9" fontId="1" fillId="0" borderId="4" xfId="0" applyNumberFormat="1" applyFont="1" applyBorder="1">
      <alignment vertical="center"/>
    </xf>
    <xf numFmtId="9" fontId="1" fillId="0" borderId="5" xfId="0" applyNumberFormat="1" applyFont="1" applyBorder="1" applyAlignment="1">
      <alignment horizontal="center" vertical="center"/>
    </xf>
    <xf numFmtId="0" fontId="17" fillId="0" borderId="1" xfId="0" applyFont="1" applyBorder="1">
      <alignment vertical="center"/>
    </xf>
    <xf numFmtId="9" fontId="1" fillId="0" borderId="1" xfId="0" applyNumberFormat="1" applyFont="1" applyBorder="1">
      <alignment vertical="center"/>
    </xf>
    <xf numFmtId="0" fontId="17" fillId="0" borderId="5" xfId="0" applyFont="1" applyBorder="1">
      <alignment vertical="center"/>
    </xf>
    <xf numFmtId="9" fontId="1" fillId="0" borderId="5" xfId="0" applyNumberFormat="1" applyFont="1" applyBorder="1">
      <alignment vertical="center"/>
    </xf>
    <xf numFmtId="0" fontId="18" fillId="0" borderId="0" xfId="0" applyFont="1" applyAlignment="1">
      <alignment vertical="top" wrapText="1"/>
    </xf>
    <xf numFmtId="0" fontId="19" fillId="0" borderId="0" xfId="0" applyFont="1">
      <alignment vertical="center"/>
    </xf>
    <xf numFmtId="0" fontId="12" fillId="0" borderId="0" xfId="0" applyFont="1" applyAlignment="1">
      <alignment horizontal="right"/>
    </xf>
    <xf numFmtId="0" fontId="1" fillId="0" borderId="0" xfId="0" applyFont="1" applyAlignment="1">
      <alignment horizontal="right" vertical="center"/>
    </xf>
    <xf numFmtId="0" fontId="1" fillId="0" borderId="0" xfId="0" applyFont="1" applyAlignment="1">
      <alignment horizontal="right"/>
    </xf>
    <xf numFmtId="0" fontId="14" fillId="3" borderId="0" xfId="0" applyFont="1" applyFill="1" applyAlignment="1">
      <alignment horizontal="right" vertical="top" wrapText="1"/>
    </xf>
    <xf numFmtId="0" fontId="1" fillId="4" borderId="1" xfId="0" applyFont="1" applyFill="1" applyBorder="1" applyAlignment="1">
      <alignment horizontal="right" vertical="center"/>
    </xf>
    <xf numFmtId="0" fontId="1" fillId="4" borderId="5" xfId="0" applyFont="1" applyFill="1" applyBorder="1" applyAlignment="1">
      <alignment horizontal="right" vertical="center"/>
    </xf>
    <xf numFmtId="0" fontId="21" fillId="0" borderId="0" xfId="0" applyFont="1">
      <alignment vertical="center"/>
    </xf>
    <xf numFmtId="0" fontId="12" fillId="0" borderId="0" xfId="0" applyFont="1" applyAlignment="1">
      <alignment horizontal="center"/>
    </xf>
    <xf numFmtId="0" fontId="1" fillId="0" borderId="4" xfId="0" applyFont="1" applyBorder="1" applyAlignment="1">
      <alignment horizontal="right" vertical="center"/>
    </xf>
    <xf numFmtId="9" fontId="1" fillId="0" borderId="4" xfId="0" applyNumberFormat="1" applyFont="1" applyBorder="1" applyAlignment="1">
      <alignment vertical="center" wrapText="1"/>
    </xf>
    <xf numFmtId="0" fontId="1" fillId="5" borderId="0" xfId="0" applyFont="1" applyFill="1" applyAlignment="1">
      <alignment horizontal="center" vertical="center" wrapText="1"/>
    </xf>
    <xf numFmtId="9" fontId="1" fillId="0" borderId="1" xfId="0" applyNumberFormat="1" applyFont="1" applyBorder="1" applyAlignment="1">
      <alignment vertical="center" wrapText="1"/>
    </xf>
    <xf numFmtId="0" fontId="1" fillId="4" borderId="4" xfId="0" applyFont="1" applyFill="1" applyBorder="1" applyAlignment="1">
      <alignment horizontal="right" vertical="center"/>
    </xf>
    <xf numFmtId="0" fontId="12" fillId="6" borderId="0" xfId="0" applyFont="1" applyFill="1">
      <alignment vertical="center"/>
    </xf>
    <xf numFmtId="0" fontId="24" fillId="0" borderId="1" xfId="0" applyFont="1" applyBorder="1" applyAlignment="1">
      <alignment horizontal="right" vertical="center" wrapText="1"/>
    </xf>
    <xf numFmtId="0" fontId="1" fillId="5" borderId="6" xfId="0" applyFont="1" applyFill="1" applyBorder="1" applyAlignment="1">
      <alignment horizontal="center" vertical="center" wrapText="1"/>
    </xf>
    <xf numFmtId="0" fontId="24" fillId="0" borderId="4" xfId="7" applyFont="1" applyBorder="1" applyAlignment="1">
      <alignment horizontal="right" vertical="center" wrapText="1"/>
    </xf>
    <xf numFmtId="0" fontId="24" fillId="0" borderId="1" xfId="7" applyFont="1" applyBorder="1" applyAlignment="1">
      <alignment horizontal="right" vertical="center" wrapText="1"/>
    </xf>
    <xf numFmtId="0" fontId="24" fillId="0" borderId="0" xfId="7" applyFont="1" applyAlignment="1">
      <alignment horizontal="right" vertical="center" wrapText="1"/>
    </xf>
    <xf numFmtId="0" fontId="24" fillId="0" borderId="0" xfId="7" applyFont="1" applyAlignment="1">
      <alignment horizontal="left" vertical="center" wrapText="1"/>
    </xf>
    <xf numFmtId="0" fontId="12" fillId="4" borderId="0" xfId="0" applyFont="1" applyFill="1" applyAlignment="1">
      <alignment horizontal="right"/>
    </xf>
    <xf numFmtId="0" fontId="22" fillId="0" borderId="0" xfId="3" applyNumberFormat="1" applyFont="1">
      <alignment vertical="center"/>
    </xf>
    <xf numFmtId="0" fontId="24" fillId="4" borderId="4" xfId="0" applyFont="1" applyFill="1" applyBorder="1" applyAlignment="1">
      <alignment horizontal="right" vertical="center" wrapText="1"/>
    </xf>
    <xf numFmtId="0" fontId="24" fillId="4" borderId="1" xfId="0" applyFont="1" applyFill="1" applyBorder="1" applyAlignment="1">
      <alignment horizontal="right" vertical="center" wrapText="1"/>
    </xf>
    <xf numFmtId="0" fontId="24" fillId="4" borderId="5" xfId="0" applyFont="1" applyFill="1" applyBorder="1" applyAlignment="1">
      <alignment horizontal="right" vertical="center" wrapText="1"/>
    </xf>
    <xf numFmtId="0" fontId="24" fillId="0" borderId="5" xfId="0" applyFont="1" applyBorder="1" applyAlignment="1">
      <alignment horizontal="left" vertical="center" wrapText="1"/>
    </xf>
    <xf numFmtId="0" fontId="24" fillId="0" borderId="4" xfId="7" applyFont="1" applyBorder="1" applyAlignment="1">
      <alignment horizontal="center" vertical="center" wrapText="1"/>
    </xf>
    <xf numFmtId="2" fontId="24" fillId="0" borderId="1" xfId="7" applyNumberFormat="1" applyFont="1" applyBorder="1" applyAlignment="1">
      <alignment horizontal="center" vertical="center" wrapText="1"/>
    </xf>
    <xf numFmtId="2" fontId="24" fillId="0" borderId="4" xfId="0" applyNumberFormat="1" applyFont="1" applyBorder="1" applyAlignment="1">
      <alignment horizontal="center" vertical="center" wrapText="1"/>
    </xf>
    <xf numFmtId="0" fontId="24" fillId="0" borderId="1" xfId="7" applyFont="1" applyBorder="1" applyAlignment="1">
      <alignment horizontal="center" vertical="center" wrapText="1"/>
    </xf>
    <xf numFmtId="2" fontId="24" fillId="0" borderId="1" xfId="0" applyNumberFormat="1" applyFont="1" applyBorder="1" applyAlignment="1">
      <alignment horizontal="center" vertical="center" wrapText="1"/>
    </xf>
    <xf numFmtId="49" fontId="24" fillId="0" borderId="4" xfId="7" applyNumberFormat="1" applyFont="1" applyBorder="1" applyAlignment="1">
      <alignment horizontal="center" vertical="center" wrapText="1"/>
    </xf>
    <xf numFmtId="0" fontId="24" fillId="0" borderId="0" xfId="7" applyFont="1" applyAlignment="1">
      <alignment horizontal="center" vertical="center" wrapText="1"/>
    </xf>
    <xf numFmtId="2" fontId="24" fillId="0" borderId="0" xfId="0" applyNumberFormat="1" applyFont="1" applyAlignment="1">
      <alignment horizontal="center" vertical="center" wrapText="1"/>
    </xf>
    <xf numFmtId="0" fontId="24" fillId="4" borderId="0" xfId="0" applyFont="1" applyFill="1" applyAlignment="1">
      <alignment horizontal="center" vertical="center" wrapText="1"/>
    </xf>
    <xf numFmtId="0" fontId="1" fillId="0" borderId="0" xfId="0" applyFont="1" applyAlignment="1">
      <alignment horizontal="center" vertical="center"/>
    </xf>
    <xf numFmtId="0" fontId="23" fillId="4" borderId="0" xfId="0" applyFont="1" applyFill="1" applyAlignment="1">
      <alignment horizontal="right" vertical="center" wrapText="1"/>
    </xf>
    <xf numFmtId="0" fontId="24" fillId="4" borderId="0" xfId="0" applyFont="1" applyFill="1" applyAlignment="1">
      <alignment horizontal="right" vertical="center" wrapText="1"/>
    </xf>
    <xf numFmtId="2" fontId="24" fillId="0" borderId="4" xfId="7" applyNumberFormat="1" applyFont="1" applyBorder="1" applyAlignment="1">
      <alignment horizontal="center" vertical="center" wrapText="1"/>
    </xf>
    <xf numFmtId="164" fontId="24" fillId="0" borderId="4"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4" fontId="24" fillId="0" borderId="0" xfId="0" applyNumberFormat="1" applyFont="1" applyAlignment="1">
      <alignment horizontal="center" vertical="center" wrapText="1"/>
    </xf>
    <xf numFmtId="2" fontId="24" fillId="0" borderId="0" xfId="7" applyNumberFormat="1" applyFont="1" applyAlignment="1">
      <alignment horizontal="center" vertical="center" wrapText="1"/>
    </xf>
    <xf numFmtId="0" fontId="24" fillId="0" borderId="4" xfId="7" applyFont="1" applyBorder="1" applyAlignment="1">
      <alignment horizontal="left" vertical="center" wrapText="1"/>
    </xf>
    <xf numFmtId="0" fontId="18" fillId="0" borderId="7" xfId="0" applyFont="1" applyBorder="1" applyAlignment="1">
      <alignment horizontal="center" vertical="center" wrapText="1"/>
    </xf>
    <xf numFmtId="0" fontId="24" fillId="0" borderId="4" xfId="0" applyFont="1" applyBorder="1" applyAlignment="1">
      <alignment horizontal="right" vertical="center" wrapText="1"/>
    </xf>
    <xf numFmtId="0" fontId="24" fillId="0" borderId="1" xfId="7" applyFont="1" applyBorder="1" applyAlignment="1">
      <alignment horizontal="left" vertical="center" wrapText="1"/>
    </xf>
    <xf numFmtId="0" fontId="24" fillId="0" borderId="4" xfId="0" applyFont="1" applyBorder="1" applyAlignment="1">
      <alignment horizontal="center" vertical="center" wrapText="1"/>
    </xf>
    <xf numFmtId="0" fontId="18" fillId="0" borderId="0" xfId="0" applyFont="1" applyAlignment="1">
      <alignment horizontal="center" vertical="center" wrapText="1"/>
    </xf>
    <xf numFmtId="0" fontId="24" fillId="4" borderId="0" xfId="7" applyFont="1" applyFill="1" applyAlignment="1">
      <alignment horizontal="center" vertical="center" wrapText="1"/>
    </xf>
    <xf numFmtId="0" fontId="24" fillId="0" borderId="0" xfId="0" applyFont="1" applyAlignment="1">
      <alignment horizontal="right" vertical="center" wrapText="1"/>
    </xf>
    <xf numFmtId="0" fontId="18" fillId="0" borderId="7" xfId="0" applyFont="1" applyBorder="1" applyAlignment="1">
      <alignment horizontal="left" vertical="center" wrapText="1"/>
    </xf>
    <xf numFmtId="0" fontId="1" fillId="4" borderId="0" xfId="0" applyFont="1" applyFill="1" applyAlignment="1">
      <alignment horizontal="center"/>
    </xf>
    <xf numFmtId="0" fontId="14" fillId="3" borderId="0" xfId="0" applyFont="1" applyFill="1" applyAlignment="1">
      <alignment vertical="center" wrapText="1"/>
    </xf>
    <xf numFmtId="0" fontId="14" fillId="3" borderId="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25" fillId="7" borderId="0" xfId="0" applyFont="1" applyFill="1" applyAlignment="1">
      <alignment vertical="center" wrapText="1"/>
    </xf>
    <xf numFmtId="0" fontId="25" fillId="7" borderId="9" xfId="0" applyFont="1" applyFill="1" applyBorder="1" applyAlignment="1">
      <alignment vertical="center" wrapText="1"/>
    </xf>
    <xf numFmtId="0" fontId="25" fillId="7" borderId="10" xfId="0" applyFont="1" applyFill="1" applyBorder="1" applyAlignment="1">
      <alignment vertical="center" wrapText="1"/>
    </xf>
    <xf numFmtId="0" fontId="25" fillId="7" borderId="0" xfId="0" applyFont="1" applyFill="1" applyAlignment="1">
      <alignment horizontal="right" vertical="center" wrapText="1"/>
    </xf>
    <xf numFmtId="0" fontId="25" fillId="0" borderId="4" xfId="0" applyFont="1" applyBorder="1" applyAlignment="1">
      <alignment vertical="center" wrapText="1"/>
    </xf>
    <xf numFmtId="166" fontId="18" fillId="0" borderId="0" xfId="3" applyNumberFormat="1" applyFont="1" applyAlignment="1">
      <alignment vertical="center" wrapText="1"/>
    </xf>
    <xf numFmtId="0" fontId="1" fillId="4" borderId="9" xfId="0" applyFont="1" applyFill="1" applyBorder="1">
      <alignment vertical="center"/>
    </xf>
    <xf numFmtId="166" fontId="18" fillId="0" borderId="0" xfId="6" applyNumberFormat="1" applyFont="1" applyAlignment="1">
      <alignment vertical="center" wrapText="1"/>
    </xf>
    <xf numFmtId="166" fontId="18" fillId="4" borderId="9" xfId="6" applyNumberFormat="1" applyFont="1" applyFill="1" applyBorder="1" applyAlignment="1">
      <alignment vertical="center" wrapText="1"/>
    </xf>
    <xf numFmtId="0" fontId="1" fillId="0" borderId="4" xfId="0" applyFont="1" applyBorder="1">
      <alignment vertical="center"/>
    </xf>
    <xf numFmtId="43" fontId="18" fillId="0" borderId="4" xfId="3" applyFont="1" applyBorder="1" applyAlignment="1">
      <alignment vertical="center" wrapText="1"/>
    </xf>
    <xf numFmtId="0" fontId="18" fillId="0" borderId="4" xfId="0" applyFont="1" applyBorder="1" applyAlignment="1">
      <alignment vertical="center" wrapText="1"/>
    </xf>
    <xf numFmtId="166" fontId="18" fillId="4" borderId="11" xfId="6" applyNumberFormat="1" applyFont="1" applyFill="1" applyBorder="1" applyAlignment="1">
      <alignment vertical="center" wrapText="1"/>
    </xf>
    <xf numFmtId="0" fontId="25" fillId="0" borderId="1" xfId="0" applyFont="1" applyBorder="1" applyAlignment="1">
      <alignment vertical="center" wrapText="1"/>
    </xf>
    <xf numFmtId="0" fontId="18" fillId="0" borderId="0" xfId="0" applyFont="1" applyAlignment="1">
      <alignment vertical="center" wrapText="1"/>
    </xf>
    <xf numFmtId="0" fontId="1" fillId="0" borderId="0" xfId="7" applyFont="1" applyAlignment="1">
      <alignment vertical="center"/>
    </xf>
    <xf numFmtId="0" fontId="1" fillId="4" borderId="9" xfId="7" applyFont="1" applyFill="1" applyBorder="1" applyAlignment="1">
      <alignment vertical="center"/>
    </xf>
    <xf numFmtId="0" fontId="1" fillId="0" borderId="1" xfId="0" applyFont="1" applyBorder="1">
      <alignment vertical="center"/>
    </xf>
    <xf numFmtId="43" fontId="18" fillId="0" borderId="1" xfId="3" applyFont="1" applyBorder="1" applyAlignment="1">
      <alignment vertical="center" wrapText="1"/>
    </xf>
    <xf numFmtId="0" fontId="18" fillId="0" borderId="1" xfId="0" applyFont="1" applyBorder="1" applyAlignment="1">
      <alignment vertical="center" wrapText="1"/>
    </xf>
    <xf numFmtId="0" fontId="1" fillId="4" borderId="12" xfId="7" applyFont="1" applyFill="1" applyBorder="1" applyAlignment="1">
      <alignment vertical="center"/>
    </xf>
    <xf numFmtId="166" fontId="1" fillId="0" borderId="0" xfId="3" applyNumberFormat="1" applyFont="1">
      <alignment vertical="center"/>
    </xf>
    <xf numFmtId="3" fontId="1" fillId="4" borderId="9" xfId="0" applyNumberFormat="1" applyFont="1" applyFill="1" applyBorder="1">
      <alignment vertical="center"/>
    </xf>
    <xf numFmtId="43" fontId="18" fillId="0" borderId="0" xfId="3" applyFont="1" applyAlignment="1">
      <alignment vertical="center" wrapText="1"/>
    </xf>
    <xf numFmtId="166" fontId="1" fillId="0" borderId="0" xfId="6" applyNumberFormat="1" applyFont="1">
      <alignment vertical="center"/>
    </xf>
    <xf numFmtId="166" fontId="1" fillId="4" borderId="9" xfId="6" applyNumberFormat="1" applyFont="1" applyFill="1" applyBorder="1">
      <alignment vertical="center"/>
    </xf>
    <xf numFmtId="166" fontId="1" fillId="4" borderId="12" xfId="6" applyNumberFormat="1" applyFont="1" applyFill="1" applyBorder="1">
      <alignment vertical="center"/>
    </xf>
    <xf numFmtId="166" fontId="12" fillId="0" borderId="0" xfId="3" applyNumberFormat="1" applyFont="1">
      <alignment vertical="center"/>
    </xf>
    <xf numFmtId="0" fontId="1" fillId="0" borderId="1" xfId="0" applyFont="1" applyBorder="1" applyAlignment="1">
      <alignment horizontal="right" vertical="center"/>
    </xf>
    <xf numFmtId="166" fontId="18" fillId="0" borderId="1" xfId="3" applyNumberFormat="1" applyFont="1" applyBorder="1" applyAlignment="1">
      <alignment horizontal="right" vertical="center" wrapText="1"/>
    </xf>
    <xf numFmtId="166" fontId="18" fillId="0" borderId="1" xfId="3" applyNumberFormat="1" applyFont="1" applyBorder="1" applyAlignment="1">
      <alignment vertical="center" wrapText="1"/>
    </xf>
    <xf numFmtId="0" fontId="25" fillId="0" borderId="5" xfId="0" applyFont="1" applyBorder="1" applyAlignment="1">
      <alignment vertical="center" wrapText="1"/>
    </xf>
    <xf numFmtId="10" fontId="18" fillId="0" borderId="0" xfId="0" applyNumberFormat="1" applyFont="1" applyAlignment="1">
      <alignment vertical="center" wrapText="1"/>
    </xf>
    <xf numFmtId="10" fontId="1" fillId="0" borderId="0" xfId="0" applyNumberFormat="1" applyFont="1">
      <alignment vertical="center"/>
    </xf>
    <xf numFmtId="0" fontId="18" fillId="0" borderId="0" xfId="0" applyFont="1" applyAlignment="1">
      <alignment horizontal="right" vertical="center" wrapText="1"/>
    </xf>
    <xf numFmtId="10" fontId="1" fillId="4" borderId="9" xfId="7" applyNumberFormat="1" applyFont="1" applyFill="1" applyBorder="1" applyAlignment="1">
      <alignment vertical="center"/>
    </xf>
    <xf numFmtId="10" fontId="1" fillId="0" borderId="5" xfId="1" applyNumberFormat="1" applyFont="1" applyBorder="1">
      <alignment vertical="center"/>
    </xf>
    <xf numFmtId="0" fontId="18" fillId="0" borderId="5" xfId="0" applyFont="1" applyBorder="1" applyAlignment="1">
      <alignment horizontal="right" vertical="center" wrapText="1"/>
    </xf>
    <xf numFmtId="10" fontId="1" fillId="0" borderId="0" xfId="7" applyNumberFormat="1" applyFont="1" applyAlignment="1">
      <alignment vertical="center"/>
    </xf>
    <xf numFmtId="10" fontId="18" fillId="0" borderId="5" xfId="0" applyNumberFormat="1" applyFont="1" applyBorder="1" applyAlignment="1">
      <alignment vertical="center" wrapText="1"/>
    </xf>
    <xf numFmtId="10" fontId="1" fillId="4" borderId="13" xfId="7" applyNumberFormat="1" applyFont="1" applyFill="1" applyBorder="1" applyAlignment="1">
      <alignment vertical="center"/>
    </xf>
    <xf numFmtId="0" fontId="14" fillId="3" borderId="0" xfId="0" applyFont="1" applyFill="1">
      <alignment vertical="center"/>
    </xf>
    <xf numFmtId="0" fontId="14" fillId="3" borderId="0" xfId="0" applyFont="1" applyFill="1" applyAlignment="1">
      <alignment horizontal="center" vertical="center"/>
    </xf>
    <xf numFmtId="0" fontId="14" fillId="3" borderId="14" xfId="0" applyFont="1" applyFill="1" applyBorder="1" applyAlignment="1">
      <alignment horizontal="center" vertical="center"/>
    </xf>
    <xf numFmtId="0" fontId="14" fillId="4" borderId="0" xfId="0" applyFont="1" applyFill="1" applyAlignment="1">
      <alignment vertical="center" wrapText="1"/>
    </xf>
    <xf numFmtId="0" fontId="25" fillId="7" borderId="0" xfId="0" applyFont="1" applyFill="1" applyAlignment="1">
      <alignment horizontal="center" vertical="center" wrapText="1"/>
    </xf>
    <xf numFmtId="0" fontId="25" fillId="7" borderId="15"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5" fillId="4" borderId="0" xfId="0" applyFont="1" applyFill="1" applyAlignment="1">
      <alignment vertical="center" wrapText="1"/>
    </xf>
    <xf numFmtId="9" fontId="18" fillId="0" borderId="4" xfId="6" applyNumberFormat="1" applyFont="1" applyBorder="1" applyAlignment="1">
      <alignment vertical="center" wrapText="1"/>
    </xf>
    <xf numFmtId="166" fontId="1" fillId="0" borderId="1" xfId="6" applyNumberFormat="1" applyFont="1" applyBorder="1">
      <alignment vertical="center"/>
    </xf>
    <xf numFmtId="166" fontId="12" fillId="0" borderId="1" xfId="3" applyNumberFormat="1" applyFont="1" applyBorder="1">
      <alignment vertical="center"/>
    </xf>
    <xf numFmtId="166" fontId="1" fillId="0" borderId="1" xfId="3" applyNumberFormat="1" applyFont="1" applyBorder="1">
      <alignment vertical="center"/>
    </xf>
    <xf numFmtId="9" fontId="18" fillId="0" borderId="4" xfId="3" applyNumberFormat="1" applyFont="1" applyBorder="1" applyAlignment="1">
      <alignment vertical="center" wrapText="1"/>
    </xf>
    <xf numFmtId="0" fontId="17" fillId="7" borderId="0" xfId="0" applyFont="1" applyFill="1" applyAlignment="1">
      <alignment vertical="center" wrapText="1"/>
    </xf>
    <xf numFmtId="0" fontId="17" fillId="7" borderId="0" xfId="0" applyFont="1" applyFill="1" applyAlignment="1">
      <alignment horizontal="right" vertical="top"/>
    </xf>
    <xf numFmtId="0" fontId="17" fillId="7" borderId="10" xfId="0" applyFont="1" applyFill="1" applyBorder="1" applyAlignment="1">
      <alignment horizontal="right" vertical="top" wrapText="1"/>
    </xf>
    <xf numFmtId="0" fontId="17" fillId="4" borderId="4" xfId="0" applyFont="1" applyFill="1" applyBorder="1" applyAlignment="1">
      <alignment vertical="center" wrapText="1"/>
    </xf>
    <xf numFmtId="0" fontId="1" fillId="4" borderId="4" xfId="0" applyFont="1" applyFill="1" applyBorder="1">
      <alignment vertical="center"/>
    </xf>
    <xf numFmtId="0" fontId="1" fillId="4" borderId="18" xfId="0" applyFont="1" applyFill="1" applyBorder="1">
      <alignment vertical="center"/>
    </xf>
    <xf numFmtId="3" fontId="1" fillId="4" borderId="4" xfId="0" applyNumberFormat="1" applyFont="1" applyFill="1" applyBorder="1">
      <alignment vertical="center"/>
    </xf>
    <xf numFmtId="3" fontId="1" fillId="0" borderId="4" xfId="0" applyNumberFormat="1" applyFont="1" applyBorder="1">
      <alignment vertical="center"/>
    </xf>
    <xf numFmtId="0" fontId="1" fillId="4" borderId="19" xfId="0" applyFont="1" applyFill="1" applyBorder="1">
      <alignment vertical="center"/>
    </xf>
    <xf numFmtId="0" fontId="1" fillId="4" borderId="20" xfId="0" applyFont="1" applyFill="1" applyBorder="1">
      <alignment vertical="center"/>
    </xf>
    <xf numFmtId="0" fontId="17" fillId="4" borderId="5" xfId="0" applyFont="1" applyFill="1" applyBorder="1" applyAlignment="1">
      <alignment vertical="center" wrapText="1"/>
    </xf>
    <xf numFmtId="164" fontId="1" fillId="4" borderId="5" xfId="0" applyNumberFormat="1" applyFont="1" applyFill="1" applyBorder="1">
      <alignment vertical="center"/>
    </xf>
    <xf numFmtId="0" fontId="1" fillId="4" borderId="5" xfId="0" applyFont="1" applyFill="1" applyBorder="1">
      <alignment vertical="center"/>
    </xf>
    <xf numFmtId="0" fontId="1" fillId="4" borderId="21" xfId="0" applyFont="1" applyFill="1" applyBorder="1">
      <alignment vertical="center"/>
    </xf>
    <xf numFmtId="0" fontId="1" fillId="4" borderId="22" xfId="0" applyFont="1" applyFill="1" applyBorder="1">
      <alignment vertical="center"/>
    </xf>
    <xf numFmtId="0" fontId="14" fillId="3" borderId="14" xfId="0" applyFont="1" applyFill="1" applyBorder="1" applyAlignment="1">
      <alignment vertical="center" wrapText="1"/>
    </xf>
    <xf numFmtId="0" fontId="14" fillId="4" borderId="0" xfId="0" applyFont="1" applyFill="1" applyAlignment="1">
      <alignment horizontal="right" vertical="center"/>
    </xf>
    <xf numFmtId="0" fontId="14" fillId="4" borderId="23" xfId="0" applyFont="1" applyFill="1" applyBorder="1" applyAlignment="1">
      <alignment horizontal="center" vertical="center" wrapText="1"/>
    </xf>
    <xf numFmtId="0" fontId="12" fillId="4" borderId="0" xfId="0" applyFont="1" applyFill="1">
      <alignment vertical="center"/>
    </xf>
    <xf numFmtId="0" fontId="17" fillId="7" borderId="0" xfId="0" applyFont="1" applyFill="1" applyAlignment="1">
      <alignment horizontal="right" vertical="center" wrapText="1"/>
    </xf>
    <xf numFmtId="0" fontId="17" fillId="7" borderId="24" xfId="0" applyFont="1" applyFill="1" applyBorder="1" applyAlignment="1">
      <alignment horizontal="right" vertical="center" wrapText="1"/>
    </xf>
    <xf numFmtId="0" fontId="17" fillId="7" borderId="0" xfId="0" applyFont="1" applyFill="1" applyAlignment="1">
      <alignment horizontal="right" vertical="center"/>
    </xf>
    <xf numFmtId="0" fontId="1" fillId="4" borderId="0" xfId="0" applyFont="1" applyFill="1">
      <alignment vertical="center"/>
    </xf>
    <xf numFmtId="0" fontId="1" fillId="4" borderId="0" xfId="0" applyFont="1" applyFill="1" applyAlignment="1">
      <alignment horizontal="center" vertical="center"/>
    </xf>
    <xf numFmtId="0" fontId="17" fillId="4" borderId="25" xfId="0" applyFont="1" applyFill="1" applyBorder="1" applyAlignment="1">
      <alignment vertical="center" wrapText="1"/>
    </xf>
    <xf numFmtId="1" fontId="26" fillId="4" borderId="20" xfId="0" applyNumberFormat="1" applyFont="1" applyFill="1" applyBorder="1" applyAlignment="1" applyProtection="1">
      <alignment horizontal="right" vertical="center"/>
      <protection locked="0"/>
    </xf>
    <xf numFmtId="0" fontId="17" fillId="4" borderId="26" xfId="0" applyFont="1" applyFill="1" applyBorder="1" applyAlignment="1">
      <alignment vertical="center" wrapText="1"/>
    </xf>
    <xf numFmtId="1" fontId="26" fillId="4" borderId="27" xfId="0" applyNumberFormat="1" applyFont="1" applyFill="1" applyBorder="1" applyAlignment="1" applyProtection="1">
      <alignment horizontal="right" vertical="center"/>
      <protection locked="0"/>
    </xf>
    <xf numFmtId="9" fontId="1" fillId="4" borderId="27" xfId="0" applyNumberFormat="1" applyFont="1" applyFill="1" applyBorder="1" applyAlignment="1" applyProtection="1">
      <alignment horizontal="right" vertical="center"/>
      <protection locked="0"/>
    </xf>
    <xf numFmtId="0" fontId="17" fillId="4" borderId="28" xfId="0" applyFont="1" applyFill="1" applyBorder="1" applyAlignment="1">
      <alignment vertical="center" wrapText="1"/>
    </xf>
    <xf numFmtId="9" fontId="1" fillId="4" borderId="29" xfId="0" applyNumberFormat="1" applyFont="1" applyFill="1" applyBorder="1" applyAlignment="1" applyProtection="1">
      <alignment horizontal="right" vertical="center"/>
      <protection locked="0"/>
    </xf>
    <xf numFmtId="0" fontId="14" fillId="3" borderId="0" xfId="0" applyFont="1" applyFill="1" applyAlignment="1">
      <alignment horizontal="right" vertical="center"/>
    </xf>
    <xf numFmtId="0" fontId="24" fillId="4" borderId="20" xfId="0" applyFont="1" applyFill="1" applyBorder="1" applyAlignment="1">
      <alignment horizontal="right" vertical="center" wrapText="1"/>
    </xf>
    <xf numFmtId="20" fontId="12" fillId="0" borderId="0" xfId="0" applyNumberFormat="1" applyFont="1">
      <alignment vertical="center"/>
    </xf>
    <xf numFmtId="0" fontId="24" fillId="0" borderId="20" xfId="0" applyFont="1" applyBorder="1" applyAlignment="1">
      <alignment horizontal="right" vertical="center" wrapText="1"/>
    </xf>
    <xf numFmtId="0" fontId="24" fillId="0" borderId="30" xfId="0" applyFont="1" applyBorder="1" applyAlignment="1">
      <alignment horizontal="right" vertical="center" wrapText="1"/>
    </xf>
    <xf numFmtId="0" fontId="24" fillId="4" borderId="27" xfId="0" applyFont="1" applyFill="1" applyBorder="1" applyAlignment="1">
      <alignment horizontal="right" vertical="center" wrapText="1"/>
    </xf>
    <xf numFmtId="0" fontId="24" fillId="0" borderId="27" xfId="0" applyFont="1" applyBorder="1" applyAlignment="1">
      <alignment horizontal="right" vertical="center" wrapText="1"/>
    </xf>
    <xf numFmtId="0" fontId="24" fillId="0" borderId="31" xfId="0" applyFont="1" applyBorder="1" applyAlignment="1">
      <alignment horizontal="right" vertical="center" wrapText="1"/>
    </xf>
    <xf numFmtId="0" fontId="23" fillId="0" borderId="31" xfId="0" applyFont="1" applyBorder="1" applyAlignment="1">
      <alignment horizontal="right" vertical="center" wrapText="1"/>
    </xf>
    <xf numFmtId="0" fontId="24" fillId="0" borderId="5" xfId="0" applyFont="1" applyBorder="1" applyAlignment="1">
      <alignment horizontal="right" vertical="center" wrapText="1"/>
    </xf>
    <xf numFmtId="0" fontId="23" fillId="4" borderId="29" xfId="0" applyFont="1" applyFill="1" applyBorder="1" applyAlignment="1">
      <alignment horizontal="right" vertical="center" wrapText="1"/>
    </xf>
    <xf numFmtId="0" fontId="23" fillId="0" borderId="27" xfId="0" applyFont="1" applyBorder="1" applyAlignment="1">
      <alignment horizontal="right" vertical="center" wrapText="1"/>
    </xf>
    <xf numFmtId="0" fontId="17" fillId="7" borderId="10" xfId="0" applyFont="1" applyFill="1" applyBorder="1" applyAlignment="1">
      <alignment horizontal="right" vertical="center" wrapText="1"/>
    </xf>
    <xf numFmtId="0" fontId="17" fillId="7" borderId="10" xfId="0" applyFont="1" applyFill="1" applyBorder="1" applyAlignment="1">
      <alignment horizontal="right" vertical="center"/>
    </xf>
    <xf numFmtId="0" fontId="17" fillId="7" borderId="32" xfId="0" applyFont="1" applyFill="1" applyBorder="1" applyAlignment="1">
      <alignment horizontal="right" vertical="center"/>
    </xf>
    <xf numFmtId="0" fontId="17" fillId="4" borderId="18" xfId="0" applyFont="1" applyFill="1" applyBorder="1" applyAlignment="1">
      <alignment vertical="center" wrapText="1"/>
    </xf>
    <xf numFmtId="9" fontId="1" fillId="4" borderId="4" xfId="0" applyNumberFormat="1" applyFont="1" applyFill="1" applyBorder="1" applyAlignment="1" applyProtection="1">
      <alignment horizontal="right" vertical="center"/>
      <protection locked="0"/>
    </xf>
    <xf numFmtId="9" fontId="1" fillId="4" borderId="18" xfId="0" applyNumberFormat="1" applyFont="1" applyFill="1" applyBorder="1" applyAlignment="1" applyProtection="1">
      <alignment horizontal="right" vertical="center"/>
      <protection locked="0"/>
    </xf>
    <xf numFmtId="9" fontId="1" fillId="4" borderId="19" xfId="0" applyNumberFormat="1" applyFont="1" applyFill="1" applyBorder="1" applyAlignment="1" applyProtection="1">
      <alignment horizontal="right" vertical="center"/>
      <protection locked="0"/>
    </xf>
    <xf numFmtId="9" fontId="1" fillId="0" borderId="4" xfId="0" applyNumberFormat="1" applyFont="1" applyBorder="1" applyAlignment="1" applyProtection="1">
      <alignment horizontal="right" vertical="center"/>
      <protection locked="0"/>
    </xf>
    <xf numFmtId="0" fontId="17" fillId="4" borderId="1" xfId="0" applyFont="1" applyFill="1" applyBorder="1" applyAlignment="1">
      <alignment horizontal="right" vertical="center" wrapText="1"/>
    </xf>
    <xf numFmtId="0" fontId="17" fillId="4" borderId="33" xfId="0" applyFont="1" applyFill="1" applyBorder="1" applyAlignment="1">
      <alignment vertical="center" wrapText="1"/>
    </xf>
    <xf numFmtId="9" fontId="1" fillId="4" borderId="1" xfId="0" applyNumberFormat="1" applyFont="1" applyFill="1" applyBorder="1" applyAlignment="1" applyProtection="1">
      <alignment horizontal="right" vertical="center"/>
      <protection locked="0"/>
    </xf>
    <xf numFmtId="9" fontId="1" fillId="4" borderId="33" xfId="0" applyNumberFormat="1" applyFont="1" applyFill="1" applyBorder="1" applyAlignment="1" applyProtection="1">
      <alignment horizontal="right" vertical="center"/>
      <protection locked="0"/>
    </xf>
    <xf numFmtId="9" fontId="1" fillId="4" borderId="34" xfId="0" applyNumberFormat="1" applyFont="1" applyFill="1" applyBorder="1" applyAlignment="1" applyProtection="1">
      <alignment horizontal="right" vertical="center"/>
      <protection locked="0"/>
    </xf>
    <xf numFmtId="0" fontId="17" fillId="4" borderId="21" xfId="0" applyFont="1" applyFill="1" applyBorder="1" applyAlignment="1">
      <alignment vertical="center" wrapText="1"/>
    </xf>
    <xf numFmtId="9" fontId="1" fillId="4" borderId="5" xfId="0" applyNumberFormat="1" applyFont="1" applyFill="1" applyBorder="1" applyAlignment="1" applyProtection="1">
      <alignment horizontal="right" vertical="center"/>
      <protection locked="0"/>
    </xf>
    <xf numFmtId="9" fontId="1" fillId="4" borderId="21" xfId="0" applyNumberFormat="1" applyFont="1" applyFill="1" applyBorder="1" applyAlignment="1" applyProtection="1">
      <alignment horizontal="right" vertical="center"/>
      <protection locked="0"/>
    </xf>
    <xf numFmtId="9" fontId="1" fillId="4" borderId="22" xfId="0" applyNumberFormat="1" applyFont="1" applyFill="1" applyBorder="1" applyAlignment="1" applyProtection="1">
      <alignment horizontal="right" vertical="center"/>
      <protection locked="0"/>
    </xf>
    <xf numFmtId="0" fontId="17" fillId="0" borderId="0" xfId="0" applyFont="1" applyAlignment="1">
      <alignment horizontal="right" vertical="center" wrapText="1"/>
    </xf>
    <xf numFmtId="0" fontId="17" fillId="0" borderId="0" xfId="0" applyFont="1" applyAlignment="1">
      <alignment vertical="center" wrapText="1"/>
    </xf>
    <xf numFmtId="9" fontId="1" fillId="0" borderId="0" xfId="0" applyNumberFormat="1" applyFont="1" applyAlignment="1" applyProtection="1">
      <alignment horizontal="center" vertical="center"/>
      <protection locked="0"/>
    </xf>
    <xf numFmtId="9" fontId="18" fillId="4" borderId="4" xfId="0" applyNumberFormat="1" applyFont="1" applyFill="1" applyBorder="1" applyAlignment="1">
      <alignment horizontal="right" vertical="center"/>
    </xf>
    <xf numFmtId="9" fontId="18" fillId="4" borderId="18" xfId="0" applyNumberFormat="1" applyFont="1" applyFill="1" applyBorder="1" applyAlignment="1">
      <alignment horizontal="right" vertical="center"/>
    </xf>
    <xf numFmtId="9" fontId="18" fillId="4" borderId="19" xfId="0" applyNumberFormat="1" applyFont="1" applyFill="1" applyBorder="1" applyAlignment="1">
      <alignment horizontal="right" vertical="center"/>
    </xf>
    <xf numFmtId="9" fontId="18" fillId="4" borderId="1" xfId="0" applyNumberFormat="1" applyFont="1" applyFill="1" applyBorder="1" applyAlignment="1">
      <alignment horizontal="right" vertical="center"/>
    </xf>
    <xf numFmtId="9" fontId="18" fillId="4" borderId="33" xfId="0" applyNumberFormat="1" applyFont="1" applyFill="1" applyBorder="1" applyAlignment="1">
      <alignment horizontal="right" vertical="center"/>
    </xf>
    <xf numFmtId="9" fontId="18" fillId="4" borderId="34" xfId="0" applyNumberFormat="1" applyFont="1" applyFill="1" applyBorder="1" applyAlignment="1">
      <alignment horizontal="right" vertical="center"/>
    </xf>
    <xf numFmtId="0" fontId="17" fillId="7" borderId="0" xfId="8" applyFont="1" applyFill="1" applyAlignment="1">
      <alignment horizontal="right" vertical="center"/>
    </xf>
    <xf numFmtId="9" fontId="1" fillId="4" borderId="4" xfId="8" applyNumberFormat="1" applyFont="1" applyFill="1" applyBorder="1" applyAlignment="1" applyProtection="1">
      <alignment horizontal="right" vertical="center"/>
      <protection locked="0"/>
    </xf>
    <xf numFmtId="9" fontId="1" fillId="4" borderId="1" xfId="8" applyNumberFormat="1" applyFont="1" applyFill="1" applyBorder="1" applyAlignment="1" applyProtection="1">
      <alignment horizontal="right" vertical="center"/>
      <protection locked="0"/>
    </xf>
    <xf numFmtId="0" fontId="1" fillId="4" borderId="4" xfId="8" applyFont="1" applyFill="1" applyBorder="1" applyAlignment="1">
      <alignment horizontal="right" vertical="center"/>
    </xf>
    <xf numFmtId="0" fontId="1" fillId="4" borderId="1" xfId="8" applyFont="1" applyFill="1" applyBorder="1" applyAlignment="1">
      <alignment horizontal="right" vertical="center"/>
    </xf>
    <xf numFmtId="0" fontId="27" fillId="0" borderId="0" xfId="0" applyFont="1">
      <alignment vertical="center"/>
    </xf>
    <xf numFmtId="0" fontId="26" fillId="0" borderId="0" xfId="0" applyFont="1">
      <alignment vertical="center"/>
    </xf>
    <xf numFmtId="9" fontId="26" fillId="0" borderId="0" xfId="0" applyNumberFormat="1" applyFont="1">
      <alignment vertical="center"/>
    </xf>
    <xf numFmtId="0" fontId="17" fillId="7" borderId="0" xfId="0" applyFont="1" applyFill="1" applyAlignment="1">
      <alignment horizontal="center" vertical="center" wrapText="1"/>
    </xf>
    <xf numFmtId="0" fontId="17" fillId="7" borderId="35" xfId="0" applyFont="1" applyFill="1" applyBorder="1" applyAlignment="1">
      <alignment horizontal="center" vertical="center" wrapText="1"/>
    </xf>
    <xf numFmtId="0" fontId="17" fillId="5" borderId="0" xfId="0" applyFont="1" applyFill="1" applyAlignment="1">
      <alignment horizontal="right" vertical="center"/>
    </xf>
    <xf numFmtId="0" fontId="17" fillId="5" borderId="35" xfId="0" applyFont="1" applyFill="1" applyBorder="1" applyAlignment="1">
      <alignment vertical="center" wrapText="1"/>
    </xf>
    <xf numFmtId="0" fontId="1" fillId="0" borderId="36" xfId="0" applyFont="1" applyBorder="1" applyAlignment="1">
      <alignment horizontal="right" vertical="center"/>
    </xf>
    <xf numFmtId="165" fontId="1" fillId="0" borderId="37" xfId="1" applyNumberFormat="1" applyFont="1" applyBorder="1" applyAlignment="1">
      <alignment horizontal="right" vertical="center"/>
    </xf>
    <xf numFmtId="0" fontId="1" fillId="0" borderId="30" xfId="0" applyFont="1" applyBorder="1" applyAlignment="1">
      <alignment horizontal="right" vertical="center"/>
    </xf>
    <xf numFmtId="1" fontId="1" fillId="0" borderId="30" xfId="1" applyNumberFormat="1" applyFont="1" applyBorder="1" applyAlignment="1">
      <alignment horizontal="right" vertical="center"/>
    </xf>
    <xf numFmtId="165" fontId="1" fillId="0" borderId="38" xfId="1" applyNumberFormat="1" applyFont="1" applyBorder="1" applyAlignment="1">
      <alignment horizontal="right" vertical="center"/>
    </xf>
    <xf numFmtId="2" fontId="1" fillId="4" borderId="20" xfId="1" applyNumberFormat="1" applyFont="1" applyFill="1" applyBorder="1" applyAlignment="1">
      <alignment horizontal="right" vertical="center"/>
    </xf>
    <xf numFmtId="10" fontId="1" fillId="4" borderId="39" xfId="1" applyNumberFormat="1" applyFont="1" applyFill="1" applyBorder="1" applyAlignment="1">
      <alignment horizontal="right" vertical="center"/>
    </xf>
    <xf numFmtId="0" fontId="1" fillId="4" borderId="36" xfId="0" applyFont="1" applyFill="1" applyBorder="1" applyAlignment="1">
      <alignment horizontal="right" vertical="center"/>
    </xf>
    <xf numFmtId="0" fontId="1" fillId="4" borderId="37" xfId="0" applyFont="1" applyFill="1" applyBorder="1" applyAlignment="1">
      <alignment horizontal="right" vertical="center"/>
    </xf>
    <xf numFmtId="0" fontId="1" fillId="4" borderId="30" xfId="0" applyFont="1" applyFill="1" applyBorder="1" applyAlignment="1">
      <alignment horizontal="right" vertical="center"/>
    </xf>
    <xf numFmtId="1" fontId="1" fillId="4" borderId="30" xfId="1" applyNumberFormat="1" applyFont="1" applyFill="1" applyBorder="1" applyAlignment="1">
      <alignment horizontal="right" vertical="center"/>
    </xf>
    <xf numFmtId="10" fontId="1" fillId="4" borderId="40" xfId="0" applyNumberFormat="1" applyFont="1" applyFill="1" applyBorder="1" applyAlignment="1">
      <alignment horizontal="right" vertical="center"/>
    </xf>
    <xf numFmtId="165" fontId="1" fillId="4" borderId="37" xfId="1" applyNumberFormat="1" applyFont="1" applyFill="1" applyBorder="1" applyAlignment="1">
      <alignment horizontal="right" vertical="center"/>
    </xf>
    <xf numFmtId="10" fontId="1" fillId="4" borderId="41" xfId="1" applyNumberFormat="1" applyFont="1" applyFill="1" applyBorder="1" applyAlignment="1">
      <alignment horizontal="right" vertical="center"/>
    </xf>
    <xf numFmtId="0" fontId="1" fillId="0" borderId="42" xfId="0" applyFont="1" applyBorder="1" applyAlignment="1">
      <alignment horizontal="right" vertical="center"/>
    </xf>
    <xf numFmtId="10" fontId="1" fillId="0" borderId="40" xfId="0" applyNumberFormat="1" applyFont="1" applyBorder="1" applyAlignment="1">
      <alignment horizontal="right" vertical="center"/>
    </xf>
    <xf numFmtId="0" fontId="1" fillId="0" borderId="40" xfId="0" applyFont="1" applyBorder="1" applyAlignment="1">
      <alignment horizontal="right" vertical="center"/>
    </xf>
    <xf numFmtId="10" fontId="1" fillId="0" borderId="43" xfId="0" applyNumberFormat="1" applyFont="1" applyBorder="1" applyAlignment="1">
      <alignment horizontal="right" vertical="center"/>
    </xf>
    <xf numFmtId="165" fontId="1" fillId="0" borderId="40" xfId="1" applyNumberFormat="1" applyFont="1" applyBorder="1" applyAlignment="1">
      <alignment horizontal="right" vertical="center"/>
    </xf>
    <xf numFmtId="9" fontId="1" fillId="0" borderId="40" xfId="0" applyNumberFormat="1" applyFont="1" applyBorder="1" applyAlignment="1">
      <alignment horizontal="right" vertical="center"/>
    </xf>
    <xf numFmtId="9" fontId="1" fillId="4" borderId="43" xfId="10" applyFont="1" applyFill="1" applyBorder="1" applyAlignment="1">
      <alignment horizontal="right" vertical="center"/>
    </xf>
    <xf numFmtId="9" fontId="1" fillId="0" borderId="43" xfId="0" applyNumberFormat="1" applyFont="1" applyBorder="1" applyAlignment="1">
      <alignment horizontal="right" vertical="center"/>
    </xf>
    <xf numFmtId="0" fontId="1" fillId="0" borderId="44" xfId="0" applyFont="1" applyBorder="1" applyAlignment="1">
      <alignment horizontal="right" vertical="center"/>
    </xf>
    <xf numFmtId="0" fontId="1" fillId="0" borderId="45" xfId="0" applyFont="1" applyBorder="1" applyAlignment="1">
      <alignment horizontal="right" vertical="center"/>
    </xf>
    <xf numFmtId="0" fontId="1" fillId="0" borderId="43" xfId="0" applyFont="1" applyBorder="1" applyAlignment="1">
      <alignment horizontal="right" vertical="center"/>
    </xf>
    <xf numFmtId="0" fontId="12" fillId="8" borderId="46" xfId="0" applyFont="1" applyFill="1" applyBorder="1" applyAlignment="1">
      <alignment horizontal="right"/>
    </xf>
    <xf numFmtId="0" fontId="12" fillId="8" borderId="47" xfId="0" applyFont="1" applyFill="1" applyBorder="1" applyAlignment="1">
      <alignment horizontal="right"/>
    </xf>
    <xf numFmtId="0" fontId="12" fillId="8" borderId="48" xfId="0" applyFont="1" applyFill="1" applyBorder="1">
      <alignment vertical="center"/>
    </xf>
    <xf numFmtId="0" fontId="12" fillId="0" borderId="35" xfId="0" applyFont="1" applyBorder="1">
      <alignment vertical="center"/>
    </xf>
    <xf numFmtId="0" fontId="1" fillId="0" borderId="0" xfId="0" applyFont="1" applyAlignment="1">
      <alignment horizontal="right" vertical="center" wrapText="1"/>
    </xf>
    <xf numFmtId="9" fontId="12" fillId="0" borderId="49" xfId="0" applyNumberFormat="1" applyFont="1" applyBorder="1">
      <alignment vertical="center"/>
    </xf>
    <xf numFmtId="0" fontId="14" fillId="3" borderId="50" xfId="0" applyFont="1" applyFill="1" applyBorder="1" applyAlignment="1">
      <alignment horizontal="right" vertical="center"/>
    </xf>
    <xf numFmtId="0" fontId="28" fillId="4" borderId="0" xfId="0" applyFont="1" applyFill="1" applyAlignment="1">
      <alignment horizontal="center" vertical="center"/>
    </xf>
    <xf numFmtId="0" fontId="23" fillId="7" borderId="0" xfId="0" applyFont="1" applyFill="1" applyAlignment="1">
      <alignment horizontal="right" vertical="center"/>
    </xf>
    <xf numFmtId="0" fontId="27" fillId="4" borderId="0" xfId="0" applyFont="1" applyFill="1">
      <alignment vertical="center"/>
    </xf>
    <xf numFmtId="0" fontId="28" fillId="4" borderId="0" xfId="0" applyFont="1" applyFill="1">
      <alignment vertical="center"/>
    </xf>
    <xf numFmtId="9" fontId="28" fillId="4" borderId="0" xfId="1" applyFont="1" applyFill="1">
      <alignment vertical="center"/>
    </xf>
    <xf numFmtId="0" fontId="27" fillId="4" borderId="0" xfId="0" applyFont="1" applyFill="1" applyAlignment="1">
      <alignment vertical="center" wrapText="1"/>
    </xf>
    <xf numFmtId="9" fontId="27" fillId="4" borderId="0" xfId="1" applyFont="1" applyFill="1">
      <alignment vertical="center"/>
    </xf>
    <xf numFmtId="0" fontId="1" fillId="0" borderId="5" xfId="0" applyFont="1" applyBorder="1" applyAlignment="1">
      <alignment horizontal="right" vertical="center"/>
    </xf>
    <xf numFmtId="0" fontId="14" fillId="3" borderId="14" xfId="0" applyFont="1" applyFill="1" applyBorder="1">
      <alignment vertical="center"/>
    </xf>
    <xf numFmtId="0" fontId="17" fillId="7" borderId="10" xfId="0" applyFont="1" applyFill="1" applyBorder="1" applyAlignment="1">
      <alignment horizontal="right" vertical="top"/>
    </xf>
    <xf numFmtId="0" fontId="17" fillId="7" borderId="0" xfId="0" applyFont="1" applyFill="1" applyAlignment="1">
      <alignment vertical="top" wrapText="1"/>
    </xf>
    <xf numFmtId="0" fontId="17" fillId="7" borderId="10" xfId="0" applyFont="1" applyFill="1" applyBorder="1" applyAlignment="1">
      <alignment vertical="top" wrapText="1"/>
    </xf>
    <xf numFmtId="0" fontId="1" fillId="0" borderId="51" xfId="0" applyFont="1" applyBorder="1" applyAlignment="1">
      <alignment horizontal="right" vertical="center"/>
    </xf>
    <xf numFmtId="0" fontId="1" fillId="4" borderId="52" xfId="0" applyFont="1" applyFill="1" applyBorder="1">
      <alignment vertical="center"/>
    </xf>
    <xf numFmtId="0" fontId="17" fillId="0" borderId="5" xfId="0" applyFont="1" applyBorder="1" applyAlignment="1">
      <alignment horizontal="right" vertical="center" wrapText="1"/>
    </xf>
    <xf numFmtId="0" fontId="1" fillId="0" borderId="4" xfId="0" applyFont="1" applyBorder="1" applyAlignment="1" applyProtection="1">
      <alignment horizontal="right" vertical="center"/>
      <protection locked="0"/>
    </xf>
    <xf numFmtId="0" fontId="1" fillId="0" borderId="1" xfId="0" applyFont="1" applyBorder="1" applyAlignment="1" applyProtection="1">
      <alignment horizontal="right" vertical="center"/>
      <protection locked="0"/>
    </xf>
    <xf numFmtId="0" fontId="18" fillId="4" borderId="53" xfId="0" applyFont="1" applyFill="1" applyBorder="1" applyAlignment="1" applyProtection="1">
      <alignment vertical="center" wrapText="1"/>
      <protection locked="0"/>
    </xf>
    <xf numFmtId="0" fontId="1" fillId="4" borderId="51" xfId="0" applyFont="1" applyFill="1" applyBorder="1" applyAlignment="1">
      <alignment horizontal="right" vertical="center"/>
    </xf>
    <xf numFmtId="0" fontId="17" fillId="0" borderId="1" xfId="0" applyFont="1" applyBorder="1" applyAlignment="1">
      <alignment vertical="center" wrapText="1"/>
    </xf>
    <xf numFmtId="0" fontId="17" fillId="0" borderId="5" xfId="0" applyFont="1" applyBorder="1" applyAlignment="1">
      <alignment vertical="center" wrapText="1"/>
    </xf>
    <xf numFmtId="0" fontId="12" fillId="0" borderId="0" xfId="0" applyFont="1" applyAlignment="1">
      <alignment horizontal="right" vertical="center"/>
    </xf>
    <xf numFmtId="0" fontId="26" fillId="3" borderId="0" xfId="0" applyFont="1" applyFill="1">
      <alignment vertical="center"/>
    </xf>
    <xf numFmtId="0" fontId="14" fillId="7" borderId="0" xfId="0" applyFont="1" applyFill="1" applyAlignment="1">
      <alignment vertical="center" wrapText="1"/>
    </xf>
    <xf numFmtId="3" fontId="1" fillId="4" borderId="1" xfId="0" applyNumberFormat="1" applyFont="1" applyFill="1" applyBorder="1">
      <alignment vertical="center"/>
    </xf>
    <xf numFmtId="3" fontId="1" fillId="4" borderId="54" xfId="0" applyNumberFormat="1" applyFont="1" applyFill="1" applyBorder="1">
      <alignment vertical="center"/>
    </xf>
    <xf numFmtId="3" fontId="1" fillId="4" borderId="55" xfId="0" applyNumberFormat="1" applyFont="1" applyFill="1" applyBorder="1">
      <alignment vertical="center"/>
    </xf>
    <xf numFmtId="3" fontId="1" fillId="4" borderId="5" xfId="0" applyNumberFormat="1" applyFont="1" applyFill="1" applyBorder="1">
      <alignment vertical="center"/>
    </xf>
    <xf numFmtId="0" fontId="1" fillId="0" borderId="5" xfId="0" applyFont="1" applyBorder="1">
      <alignment vertical="center"/>
    </xf>
    <xf numFmtId="0" fontId="1" fillId="0" borderId="3" xfId="0" applyFont="1" applyBorder="1" applyAlignment="1">
      <alignment horizontal="right" vertical="center"/>
    </xf>
    <xf numFmtId="3" fontId="1" fillId="0" borderId="4" xfId="0" applyNumberFormat="1" applyFont="1" applyBorder="1" applyAlignment="1">
      <alignment horizontal="right" vertical="center"/>
    </xf>
    <xf numFmtId="3" fontId="1" fillId="0" borderId="1" xfId="0" applyNumberFormat="1" applyFont="1" applyBorder="1" applyAlignment="1">
      <alignment horizontal="right" vertical="center"/>
    </xf>
    <xf numFmtId="3" fontId="1" fillId="0" borderId="5" xfId="0" applyNumberFormat="1" applyFont="1" applyBorder="1" applyAlignment="1" applyProtection="1">
      <alignment horizontal="right" vertical="center"/>
      <protection locked="0"/>
    </xf>
    <xf numFmtId="0" fontId="1" fillId="0" borderId="4" xfId="0" applyFont="1" applyBorder="1" applyAlignment="1">
      <alignment vertical="center" wrapText="1"/>
    </xf>
    <xf numFmtId="0" fontId="1" fillId="0" borderId="4" xfId="0" applyFont="1" applyBorder="1" applyProtection="1">
      <alignment vertical="center"/>
      <protection locked="0"/>
    </xf>
    <xf numFmtId="0" fontId="1" fillId="0" borderId="1" xfId="0" applyFont="1" applyBorder="1" applyAlignment="1">
      <alignment vertical="center" wrapText="1"/>
    </xf>
    <xf numFmtId="0" fontId="1" fillId="0" borderId="1" xfId="0" applyFont="1" applyBorder="1" applyProtection="1">
      <alignment vertical="center"/>
      <protection locked="0"/>
    </xf>
    <xf numFmtId="3" fontId="1" fillId="0" borderId="1" xfId="0" applyNumberFormat="1" applyFont="1" applyBorder="1">
      <alignment vertical="center"/>
    </xf>
    <xf numFmtId="0" fontId="1" fillId="0" borderId="5" xfId="0" applyFont="1" applyBorder="1" applyAlignment="1">
      <alignment vertical="center" wrapText="1"/>
    </xf>
    <xf numFmtId="2" fontId="1" fillId="0" borderId="5" xfId="0" applyNumberFormat="1" applyFont="1" applyBorder="1" applyAlignment="1">
      <alignment vertical="center" wrapText="1"/>
    </xf>
    <xf numFmtId="3" fontId="1" fillId="0" borderId="5" xfId="0" applyNumberFormat="1" applyFont="1" applyBorder="1" applyProtection="1">
      <alignment vertical="center"/>
      <protection locked="0"/>
    </xf>
    <xf numFmtId="0" fontId="29" fillId="0" borderId="0" xfId="3" applyNumberFormat="1" applyFont="1">
      <alignment vertical="center"/>
    </xf>
    <xf numFmtId="0" fontId="12" fillId="4" borderId="56" xfId="0" applyFont="1" applyFill="1" applyBorder="1">
      <alignment vertical="center"/>
    </xf>
    <xf numFmtId="9" fontId="12" fillId="4" borderId="0" xfId="0" applyNumberFormat="1" applyFont="1" applyFill="1">
      <alignment vertical="center"/>
    </xf>
    <xf numFmtId="9" fontId="12" fillId="0" borderId="0" xfId="1" applyFont="1" applyAlignment="1">
      <alignment horizontal="right" vertical="center" wrapText="1"/>
    </xf>
    <xf numFmtId="0" fontId="14" fillId="3" borderId="3" xfId="0" applyFont="1" applyFill="1" applyBorder="1" applyAlignment="1">
      <alignment horizontal="center" vertical="center" wrapText="1"/>
    </xf>
    <xf numFmtId="0" fontId="17" fillId="7" borderId="32" xfId="0" applyFont="1" applyFill="1" applyBorder="1" applyAlignment="1">
      <alignment horizontal="right" vertical="center" wrapText="1"/>
    </xf>
    <xf numFmtId="166" fontId="1" fillId="0" borderId="4" xfId="3" applyNumberFormat="1" applyFont="1" applyBorder="1" applyAlignment="1">
      <alignment vertical="center" wrapText="1"/>
    </xf>
    <xf numFmtId="166" fontId="1" fillId="0" borderId="19" xfId="3" applyNumberFormat="1" applyFont="1" applyBorder="1" applyAlignment="1">
      <alignment vertical="center" wrapText="1"/>
    </xf>
    <xf numFmtId="166" fontId="1" fillId="0" borderId="30" xfId="3" applyNumberFormat="1" applyFont="1" applyBorder="1" applyAlignment="1">
      <alignment vertical="center" wrapText="1"/>
    </xf>
    <xf numFmtId="166" fontId="1" fillId="0" borderId="30" xfId="0" applyNumberFormat="1" applyFont="1" applyBorder="1">
      <alignment vertical="center"/>
    </xf>
    <xf numFmtId="166" fontId="1" fillId="0" borderId="1" xfId="3" applyNumberFormat="1" applyFont="1" applyBorder="1" applyAlignment="1">
      <alignment vertical="center" wrapText="1"/>
    </xf>
    <xf numFmtId="166" fontId="1" fillId="0" borderId="34" xfId="3" applyNumberFormat="1" applyFont="1" applyBorder="1" applyAlignment="1">
      <alignment vertical="center" wrapText="1"/>
    </xf>
    <xf numFmtId="166" fontId="1" fillId="0" borderId="31" xfId="3" applyNumberFormat="1" applyFont="1" applyBorder="1" applyAlignment="1">
      <alignment vertical="center" wrapText="1"/>
    </xf>
    <xf numFmtId="166" fontId="1" fillId="0" borderId="0" xfId="3" applyNumberFormat="1" applyFont="1" applyAlignment="1">
      <alignment vertical="center" wrapText="1"/>
    </xf>
    <xf numFmtId="0" fontId="1" fillId="7" borderId="0" xfId="0" applyFont="1" applyFill="1" applyAlignment="1">
      <alignment horizontal="right" vertical="center" wrapText="1"/>
    </xf>
    <xf numFmtId="0" fontId="17" fillId="7" borderId="14" xfId="0" applyFont="1" applyFill="1" applyBorder="1" applyAlignment="1">
      <alignment horizontal="right" vertical="center" wrapText="1"/>
    </xf>
    <xf numFmtId="0" fontId="1" fillId="0" borderId="18" xfId="0" applyFont="1" applyBorder="1" applyAlignment="1">
      <alignment vertical="center" wrapText="1"/>
    </xf>
    <xf numFmtId="3" fontId="1" fillId="0" borderId="4" xfId="0" applyNumberFormat="1" applyFont="1" applyBorder="1" applyAlignment="1" applyProtection="1">
      <alignment vertical="center" wrapText="1"/>
      <protection locked="0"/>
    </xf>
    <xf numFmtId="3" fontId="1" fillId="0" borderId="18" xfId="0" applyNumberFormat="1" applyFont="1" applyBorder="1" applyAlignment="1">
      <alignment vertical="center" wrapText="1"/>
    </xf>
    <xf numFmtId="3" fontId="1" fillId="0" borderId="4" xfId="0" applyNumberFormat="1" applyFont="1" applyBorder="1" applyAlignment="1">
      <alignment vertical="center" wrapText="1"/>
    </xf>
    <xf numFmtId="3" fontId="1" fillId="4" borderId="4" xfId="0" applyNumberFormat="1" applyFont="1" applyFill="1" applyBorder="1" applyAlignment="1">
      <alignment vertical="center" wrapText="1"/>
    </xf>
    <xf numFmtId="3" fontId="2" fillId="4" borderId="57" xfId="0" applyNumberFormat="1" applyFont="1" applyFill="1" applyBorder="1" applyAlignment="1" applyProtection="1">
      <alignment vertical="center" wrapText="1"/>
      <protection locked="0"/>
    </xf>
    <xf numFmtId="10" fontId="1" fillId="0" borderId="1" xfId="1" applyNumberFormat="1" applyFont="1" applyBorder="1" applyAlignment="1">
      <alignment vertical="center" wrapText="1"/>
    </xf>
    <xf numFmtId="10" fontId="1" fillId="0" borderId="33" xfId="0" applyNumberFormat="1" applyFont="1" applyBorder="1" applyAlignment="1">
      <alignment vertical="center" wrapText="1"/>
    </xf>
    <xf numFmtId="9" fontId="1" fillId="0" borderId="33" xfId="0" applyNumberFormat="1" applyFont="1" applyBorder="1" applyAlignment="1">
      <alignment vertical="center" wrapText="1"/>
    </xf>
    <xf numFmtId="9" fontId="1" fillId="0" borderId="1" xfId="1" applyFont="1" applyBorder="1" applyAlignment="1">
      <alignment vertical="center" wrapText="1"/>
    </xf>
    <xf numFmtId="9" fontId="1" fillId="0" borderId="33" xfId="1" applyFont="1" applyBorder="1" applyAlignment="1">
      <alignment vertical="center" wrapText="1"/>
    </xf>
    <xf numFmtId="9" fontId="1" fillId="4" borderId="1" xfId="10" applyFont="1" applyFill="1" applyBorder="1" applyAlignment="1">
      <alignment vertical="center" wrapText="1"/>
    </xf>
    <xf numFmtId="0" fontId="1" fillId="0" borderId="33" xfId="0" applyFont="1" applyBorder="1" applyAlignment="1">
      <alignment vertical="center" wrapText="1"/>
    </xf>
    <xf numFmtId="3" fontId="1" fillId="0" borderId="1" xfId="0" applyNumberFormat="1" applyFont="1" applyBorder="1" applyAlignment="1" applyProtection="1">
      <alignment vertical="center" wrapText="1"/>
      <protection locked="0"/>
    </xf>
    <xf numFmtId="3" fontId="1" fillId="0" borderId="33" xfId="0" applyNumberFormat="1" applyFont="1" applyBorder="1" applyAlignment="1">
      <alignment vertical="center" wrapText="1"/>
    </xf>
    <xf numFmtId="3" fontId="1" fillId="0" borderId="1" xfId="0" applyNumberFormat="1" applyFont="1" applyBorder="1" applyAlignment="1">
      <alignment vertical="center" wrapText="1"/>
    </xf>
    <xf numFmtId="3" fontId="1" fillId="4" borderId="1" xfId="0" applyNumberFormat="1" applyFont="1" applyFill="1" applyBorder="1" applyAlignment="1">
      <alignment vertical="center" wrapText="1"/>
    </xf>
    <xf numFmtId="0" fontId="1" fillId="4" borderId="58" xfId="0" applyFont="1" applyFill="1" applyBorder="1" applyAlignment="1" applyProtection="1">
      <alignment vertical="center" wrapText="1"/>
      <protection locked="0"/>
    </xf>
    <xf numFmtId="3" fontId="1" fillId="4" borderId="58" xfId="0" applyNumberFormat="1" applyFont="1" applyFill="1" applyBorder="1" applyAlignment="1" applyProtection="1">
      <alignment vertical="center" wrapText="1"/>
      <protection locked="0"/>
    </xf>
    <xf numFmtId="3" fontId="1" fillId="0" borderId="33" xfId="0" applyNumberFormat="1" applyFont="1" applyBorder="1" applyAlignment="1" applyProtection="1">
      <alignment vertical="center" wrapText="1"/>
      <protection locked="0"/>
    </xf>
    <xf numFmtId="0" fontId="2" fillId="4" borderId="58" xfId="0" applyFont="1" applyFill="1" applyBorder="1" applyAlignment="1" applyProtection="1">
      <alignment vertical="center" wrapText="1"/>
      <protection locked="0"/>
    </xf>
    <xf numFmtId="9" fontId="1" fillId="0" borderId="5" xfId="0" applyNumberFormat="1" applyFont="1" applyBorder="1" applyAlignment="1">
      <alignment vertical="center" wrapText="1"/>
    </xf>
    <xf numFmtId="9" fontId="1" fillId="0" borderId="21" xfId="0" applyNumberFormat="1" applyFont="1" applyBorder="1" applyAlignment="1">
      <alignment vertical="center" wrapText="1"/>
    </xf>
    <xf numFmtId="9" fontId="1" fillId="0" borderId="5" xfId="0" applyNumberFormat="1" applyFont="1" applyBorder="1" applyAlignment="1" applyProtection="1">
      <alignment vertical="center" wrapText="1"/>
      <protection locked="0"/>
    </xf>
    <xf numFmtId="9" fontId="1" fillId="0" borderId="21" xfId="0" applyNumberFormat="1" applyFont="1" applyBorder="1" applyAlignment="1" applyProtection="1">
      <alignment vertical="center" wrapText="1"/>
      <protection locked="0"/>
    </xf>
    <xf numFmtId="9" fontId="1" fillId="0" borderId="5" xfId="1" applyFont="1" applyBorder="1" applyAlignment="1">
      <alignment vertical="center" wrapText="1"/>
    </xf>
    <xf numFmtId="9" fontId="1" fillId="0" borderId="21" xfId="1" applyFont="1" applyBorder="1" applyAlignment="1">
      <alignment vertical="center" wrapText="1"/>
    </xf>
    <xf numFmtId="9" fontId="1" fillId="4" borderId="5" xfId="10" applyFont="1" applyFill="1" applyBorder="1" applyAlignment="1">
      <alignment vertical="center" wrapText="1"/>
    </xf>
    <xf numFmtId="9" fontId="1" fillId="4" borderId="59" xfId="0" applyNumberFormat="1" applyFont="1" applyFill="1" applyBorder="1" applyAlignment="1" applyProtection="1">
      <alignment vertical="center" wrapText="1"/>
      <protection locked="0"/>
    </xf>
    <xf numFmtId="9" fontId="1" fillId="0" borderId="0" xfId="0" applyNumberFormat="1" applyFont="1" applyAlignment="1">
      <alignment horizontal="right" vertical="center" wrapText="1"/>
    </xf>
    <xf numFmtId="9" fontId="1" fillId="0" borderId="0" xfId="0" applyNumberFormat="1" applyFont="1" applyAlignment="1" applyProtection="1">
      <alignment horizontal="right" vertical="center" wrapText="1"/>
      <protection locked="0"/>
    </xf>
    <xf numFmtId="9" fontId="1" fillId="0" borderId="0" xfId="1" applyFont="1" applyAlignment="1">
      <alignment horizontal="right" vertical="center" wrapText="1"/>
    </xf>
    <xf numFmtId="0" fontId="17" fillId="0" borderId="0" xfId="0" applyFont="1" applyAlignment="1" applyProtection="1">
      <alignment horizontal="right" vertical="center" wrapText="1"/>
      <protection locked="0"/>
    </xf>
    <xf numFmtId="0" fontId="1" fillId="7" borderId="10" xfId="0" applyFont="1" applyFill="1" applyBorder="1" applyAlignment="1">
      <alignment horizontal="right" vertical="center" wrapText="1"/>
    </xf>
    <xf numFmtId="0" fontId="17" fillId="0" borderId="4" xfId="0" applyFont="1" applyBorder="1" applyAlignment="1">
      <alignment vertical="center" wrapText="1"/>
    </xf>
    <xf numFmtId="0" fontId="1" fillId="4" borderId="4" xfId="0" applyFont="1" applyFill="1" applyBorder="1" applyAlignment="1">
      <alignment vertical="center" wrapText="1"/>
    </xf>
    <xf numFmtId="0" fontId="1" fillId="4" borderId="1" xfId="0" applyFont="1" applyFill="1" applyBorder="1" applyAlignment="1">
      <alignment vertical="center" wrapText="1"/>
    </xf>
    <xf numFmtId="3" fontId="1" fillId="4" borderId="1" xfId="0" applyNumberFormat="1" applyFont="1" applyFill="1" applyBorder="1" applyAlignment="1" applyProtection="1">
      <alignment vertical="center" wrapText="1"/>
      <protection locked="0"/>
    </xf>
    <xf numFmtId="9" fontId="1" fillId="0" borderId="0" xfId="0" applyNumberFormat="1" applyFont="1" applyAlignment="1" applyProtection="1">
      <alignment vertical="center" wrapText="1"/>
      <protection locked="0"/>
    </xf>
    <xf numFmtId="9" fontId="1" fillId="0" borderId="0" xfId="1" applyFont="1" applyAlignment="1">
      <alignment vertical="center" wrapText="1"/>
    </xf>
    <xf numFmtId="0" fontId="1" fillId="0" borderId="0" xfId="0" applyFont="1" applyAlignment="1">
      <alignment vertical="center" wrapText="1"/>
    </xf>
    <xf numFmtId="0" fontId="1" fillId="7" borderId="35" xfId="0" applyFont="1" applyFill="1" applyBorder="1" applyAlignment="1">
      <alignment horizontal="right" vertical="center" wrapText="1"/>
    </xf>
    <xf numFmtId="0" fontId="1" fillId="0" borderId="60" xfId="0" applyFont="1" applyBorder="1" applyAlignment="1">
      <alignment vertical="center" wrapText="1"/>
    </xf>
    <xf numFmtId="166" fontId="1" fillId="4" borderId="20" xfId="3" applyNumberFormat="1" applyFont="1" applyFill="1" applyBorder="1" applyAlignment="1">
      <alignment vertical="center" wrapText="1"/>
    </xf>
    <xf numFmtId="0" fontId="1" fillId="0" borderId="40" xfId="0" applyFont="1" applyBorder="1" applyAlignment="1">
      <alignment vertical="center" wrapText="1"/>
    </xf>
    <xf numFmtId="9" fontId="1" fillId="4" borderId="27" xfId="1" applyFont="1" applyFill="1" applyBorder="1">
      <alignment vertical="center"/>
    </xf>
    <xf numFmtId="166" fontId="1" fillId="4" borderId="27" xfId="3" applyNumberFormat="1" applyFont="1" applyFill="1" applyBorder="1" applyAlignment="1">
      <alignment vertical="center" wrapText="1"/>
    </xf>
    <xf numFmtId="166" fontId="1" fillId="4" borderId="27" xfId="0" applyNumberFormat="1" applyFont="1" applyFill="1" applyBorder="1">
      <alignment vertical="center"/>
    </xf>
    <xf numFmtId="9" fontId="1" fillId="4" borderId="27" xfId="1" applyFont="1" applyFill="1" applyBorder="1" applyAlignment="1">
      <alignment vertical="center" wrapText="1"/>
    </xf>
    <xf numFmtId="3" fontId="1" fillId="4" borderId="33" xfId="0" applyNumberFormat="1" applyFont="1" applyFill="1" applyBorder="1" applyAlignment="1">
      <alignment vertical="center" wrapText="1"/>
    </xf>
    <xf numFmtId="3" fontId="1" fillId="0" borderId="40" xfId="0" applyNumberFormat="1" applyFont="1" applyBorder="1" applyAlignment="1">
      <alignment vertical="center" wrapText="1"/>
    </xf>
    <xf numFmtId="0" fontId="1" fillId="4" borderId="27" xfId="0" applyFont="1" applyFill="1" applyBorder="1">
      <alignment vertical="center"/>
    </xf>
    <xf numFmtId="9" fontId="1" fillId="0" borderId="40" xfId="1" applyFont="1" applyBorder="1" applyAlignment="1">
      <alignment vertical="center" wrapText="1"/>
    </xf>
    <xf numFmtId="3" fontId="1" fillId="4" borderId="33" xfId="0" applyNumberFormat="1" applyFont="1" applyFill="1" applyBorder="1" applyAlignment="1" applyProtection="1">
      <alignment vertical="center" wrapText="1"/>
      <protection locked="0"/>
    </xf>
    <xf numFmtId="3" fontId="1" fillId="0" borderId="40" xfId="0" applyNumberFormat="1" applyFont="1" applyBorder="1" applyAlignment="1" applyProtection="1">
      <alignment vertical="center" wrapText="1"/>
      <protection locked="0"/>
    </xf>
    <xf numFmtId="9" fontId="1" fillId="0" borderId="61" xfId="1" applyFont="1" applyBorder="1" applyAlignment="1">
      <alignment vertical="center" wrapText="1"/>
    </xf>
    <xf numFmtId="0" fontId="22" fillId="9" borderId="0" xfId="3" applyNumberFormat="1" applyFont="1" applyFill="1" applyAlignment="1">
      <alignment vertical="center" wrapText="1"/>
    </xf>
    <xf numFmtId="0" fontId="26" fillId="3" borderId="62" xfId="0" applyFont="1" applyFill="1" applyBorder="1" applyAlignment="1">
      <alignment vertical="center" wrapText="1"/>
    </xf>
    <xf numFmtId="0" fontId="14" fillId="3" borderId="17" xfId="0" applyFont="1" applyFill="1" applyBorder="1" applyAlignment="1">
      <alignment vertical="center" wrapText="1"/>
    </xf>
    <xf numFmtId="0" fontId="14" fillId="3" borderId="63" xfId="0" applyFont="1" applyFill="1" applyBorder="1" applyAlignment="1">
      <alignment horizontal="center" vertical="center" wrapText="1"/>
    </xf>
    <xf numFmtId="0" fontId="17" fillId="0" borderId="5" xfId="0" applyFont="1" applyBorder="1" applyAlignment="1">
      <alignment horizontal="right" vertical="center"/>
    </xf>
    <xf numFmtId="0" fontId="17" fillId="0" borderId="0" xfId="0" applyFont="1" applyAlignment="1">
      <alignment horizontal="right" vertical="center"/>
    </xf>
    <xf numFmtId="49" fontId="1" fillId="0" borderId="0" xfId="0" applyNumberFormat="1" applyFont="1" applyAlignment="1">
      <alignment horizontal="center" vertical="center" wrapText="1"/>
    </xf>
    <xf numFmtId="0" fontId="26" fillId="3" borderId="0" xfId="0" applyFont="1" applyFill="1" applyAlignment="1">
      <alignment vertical="center" wrapText="1"/>
    </xf>
    <xf numFmtId="0" fontId="17" fillId="7" borderId="0" xfId="0" applyFont="1" applyFill="1" applyAlignment="1">
      <alignment vertical="top"/>
    </xf>
    <xf numFmtId="9" fontId="1" fillId="0" borderId="18" xfId="0" applyNumberFormat="1" applyFont="1" applyBorder="1">
      <alignment vertical="center"/>
    </xf>
    <xf numFmtId="3" fontId="1" fillId="0" borderId="64" xfId="0" applyNumberFormat="1" applyFont="1" applyBorder="1">
      <alignment vertical="center"/>
    </xf>
    <xf numFmtId="165" fontId="1" fillId="0" borderId="1" xfId="0" applyNumberFormat="1" applyFont="1" applyBorder="1">
      <alignment vertical="center"/>
    </xf>
    <xf numFmtId="3" fontId="1" fillId="4" borderId="65" xfId="0" applyNumberFormat="1" applyFont="1" applyFill="1" applyBorder="1">
      <alignment vertical="center"/>
    </xf>
    <xf numFmtId="9" fontId="1" fillId="4" borderId="20" xfId="0" applyNumberFormat="1" applyFont="1" applyFill="1" applyBorder="1" applyAlignment="1">
      <alignment vertical="center" wrapText="1"/>
    </xf>
    <xf numFmtId="0" fontId="1" fillId="0" borderId="57" xfId="0" applyFont="1" applyBorder="1">
      <alignment vertical="center"/>
    </xf>
    <xf numFmtId="165" fontId="1" fillId="0" borderId="33" xfId="0" applyNumberFormat="1" applyFont="1" applyBorder="1">
      <alignment vertical="center"/>
    </xf>
    <xf numFmtId="0" fontId="1" fillId="0" borderId="66" xfId="0" applyFont="1" applyBorder="1" applyAlignment="1">
      <alignment horizontal="right" vertical="center"/>
    </xf>
    <xf numFmtId="3" fontId="1" fillId="4" borderId="66" xfId="0" applyNumberFormat="1" applyFont="1" applyFill="1" applyBorder="1" applyAlignment="1">
      <alignment horizontal="right" vertical="center"/>
    </xf>
    <xf numFmtId="165" fontId="1" fillId="4" borderId="1" xfId="0" applyNumberFormat="1" applyFont="1" applyFill="1" applyBorder="1">
      <alignment vertical="center"/>
    </xf>
    <xf numFmtId="0" fontId="1" fillId="0" borderId="58" xfId="0" applyFont="1" applyBorder="1">
      <alignment vertical="center"/>
    </xf>
    <xf numFmtId="165" fontId="1" fillId="0" borderId="33" xfId="1" applyNumberFormat="1" applyFont="1" applyBorder="1">
      <alignment vertical="center"/>
    </xf>
    <xf numFmtId="3" fontId="1" fillId="0" borderId="66" xfId="0" applyNumberFormat="1" applyFont="1" applyBorder="1">
      <alignment vertical="center"/>
    </xf>
    <xf numFmtId="165" fontId="1" fillId="0" borderId="1" xfId="1" applyNumberFormat="1" applyFont="1" applyBorder="1">
      <alignment vertical="center"/>
    </xf>
    <xf numFmtId="165" fontId="1" fillId="4" borderId="1" xfId="0" applyNumberFormat="1" applyFont="1" applyFill="1" applyBorder="1" applyAlignment="1">
      <alignment vertical="center" wrapText="1"/>
    </xf>
    <xf numFmtId="9" fontId="1" fillId="0" borderId="33" xfId="0" applyNumberFormat="1" applyFont="1" applyBorder="1">
      <alignment vertical="center"/>
    </xf>
    <xf numFmtId="0" fontId="1" fillId="0" borderId="59" xfId="0" applyFont="1" applyBorder="1">
      <alignment vertical="center"/>
    </xf>
    <xf numFmtId="166" fontId="1" fillId="0" borderId="0" xfId="3" applyNumberFormat="1" applyFont="1" applyAlignment="1">
      <alignment horizontal="center" vertical="center"/>
    </xf>
    <xf numFmtId="165" fontId="12" fillId="0" borderId="0" xfId="1" applyNumberFormat="1" applyFont="1" applyAlignment="1">
      <alignment horizontal="center" vertical="center" wrapText="1"/>
    </xf>
    <xf numFmtId="0" fontId="14" fillId="3" borderId="4" xfId="0" applyFont="1" applyFill="1" applyBorder="1" applyAlignment="1">
      <alignment vertical="center" wrapText="1"/>
    </xf>
    <xf numFmtId="0" fontId="26" fillId="3" borderId="4" xfId="0" applyFont="1" applyFill="1" applyBorder="1">
      <alignment vertical="center"/>
    </xf>
    <xf numFmtId="0" fontId="17" fillId="7" borderId="1" xfId="0" applyFont="1" applyFill="1" applyBorder="1">
      <alignment vertical="center"/>
    </xf>
    <xf numFmtId="0" fontId="1" fillId="7" borderId="1" xfId="0" applyFont="1" applyFill="1" applyBorder="1">
      <alignment vertical="center"/>
    </xf>
    <xf numFmtId="0" fontId="1" fillId="4" borderId="27" xfId="0" applyFont="1" applyFill="1" applyBorder="1" applyAlignment="1">
      <alignment vertical="center" wrapText="1"/>
    </xf>
    <xf numFmtId="0" fontId="1" fillId="4" borderId="26" xfId="0" applyFont="1" applyFill="1" applyBorder="1" applyAlignment="1">
      <alignment vertical="center" wrapText="1"/>
    </xf>
    <xf numFmtId="0" fontId="1" fillId="4" borderId="66" xfId="0" applyFont="1" applyFill="1" applyBorder="1" applyProtection="1">
      <alignment vertical="center"/>
      <protection locked="0"/>
    </xf>
    <xf numFmtId="0" fontId="1" fillId="4" borderId="33" xfId="0" applyFont="1" applyFill="1" applyBorder="1" applyProtection="1">
      <alignment vertical="center"/>
      <protection locked="0"/>
    </xf>
    <xf numFmtId="0" fontId="1" fillId="4" borderId="1" xfId="0" applyFont="1" applyFill="1" applyBorder="1" applyProtection="1">
      <alignment vertical="center"/>
      <protection locked="0"/>
    </xf>
    <xf numFmtId="0" fontId="1" fillId="4" borderId="29" xfId="0" applyFont="1" applyFill="1" applyBorder="1" applyAlignment="1">
      <alignment vertical="center" wrapText="1"/>
    </xf>
    <xf numFmtId="0" fontId="1" fillId="4" borderId="28" xfId="0" applyFont="1" applyFill="1" applyBorder="1" applyAlignment="1">
      <alignment vertical="center" wrapText="1"/>
    </xf>
    <xf numFmtId="0" fontId="1" fillId="4" borderId="67" xfId="0" applyFont="1" applyFill="1" applyBorder="1" applyProtection="1">
      <alignment vertical="center"/>
      <protection locked="0"/>
    </xf>
    <xf numFmtId="0" fontId="1" fillId="4" borderId="21" xfId="0" applyFont="1" applyFill="1" applyBorder="1" applyProtection="1">
      <alignment vertical="center"/>
      <protection locked="0"/>
    </xf>
    <xf numFmtId="0" fontId="1" fillId="4" borderId="21" xfId="0" applyFont="1" applyFill="1" applyBorder="1" applyAlignment="1" applyProtection="1">
      <alignment horizontal="right" vertical="center"/>
      <protection locked="0"/>
    </xf>
    <xf numFmtId="0" fontId="1" fillId="4" borderId="67" xfId="0" applyFont="1" applyFill="1" applyBorder="1" applyAlignment="1" applyProtection="1">
      <alignment horizontal="right" vertical="center"/>
      <protection locked="0"/>
    </xf>
    <xf numFmtId="0" fontId="1" fillId="4" borderId="5" xfId="0" applyFont="1" applyFill="1" applyBorder="1" applyAlignment="1" applyProtection="1">
      <alignment horizontal="right" vertical="center"/>
      <protection locked="0"/>
    </xf>
    <xf numFmtId="0" fontId="14" fillId="0" borderId="0" xfId="0" applyFont="1" applyAlignment="1">
      <alignment horizontal="center" vertical="center"/>
    </xf>
    <xf numFmtId="0" fontId="28" fillId="0" borderId="0" xfId="0" applyFont="1" applyAlignment="1">
      <alignment horizontal="center" vertical="center"/>
    </xf>
    <xf numFmtId="3" fontId="1" fillId="0" borderId="4" xfId="0" applyNumberFormat="1" applyFont="1" applyBorder="1" applyProtection="1">
      <alignment vertical="center"/>
      <protection locked="0"/>
    </xf>
    <xf numFmtId="3" fontId="1" fillId="0" borderId="18" xfId="0" applyNumberFormat="1" applyFont="1" applyBorder="1">
      <alignment vertical="center"/>
    </xf>
    <xf numFmtId="3" fontId="1" fillId="0" borderId="30" xfId="0" applyNumberFormat="1" applyFont="1" applyBorder="1" applyProtection="1">
      <alignment vertical="center"/>
      <protection locked="0"/>
    </xf>
    <xf numFmtId="3" fontId="1" fillId="4" borderId="20" xfId="0" applyNumberFormat="1" applyFont="1" applyFill="1" applyBorder="1" applyProtection="1">
      <alignment vertical="center"/>
      <protection locked="0"/>
    </xf>
    <xf numFmtId="3" fontId="1" fillId="4" borderId="20" xfId="0" applyNumberFormat="1" applyFont="1" applyFill="1" applyBorder="1">
      <alignment vertical="center"/>
    </xf>
    <xf numFmtId="3" fontId="1" fillId="0" borderId="1" xfId="0" applyNumberFormat="1" applyFont="1" applyBorder="1" applyProtection="1">
      <alignment vertical="center"/>
      <protection locked="0"/>
    </xf>
    <xf numFmtId="3" fontId="1" fillId="0" borderId="33" xfId="0" applyNumberFormat="1" applyFont="1" applyBorder="1">
      <alignment vertical="center"/>
    </xf>
    <xf numFmtId="3" fontId="1" fillId="0" borderId="31" xfId="0" applyNumberFormat="1" applyFont="1" applyBorder="1" applyProtection="1">
      <alignment vertical="center"/>
      <protection locked="0"/>
    </xf>
    <xf numFmtId="3" fontId="1" fillId="4" borderId="27" xfId="0" applyNumberFormat="1" applyFont="1" applyFill="1" applyBorder="1" applyProtection="1">
      <alignment vertical="center"/>
      <protection locked="0"/>
    </xf>
    <xf numFmtId="3" fontId="1" fillId="0" borderId="5" xfId="0" applyNumberFormat="1" applyFont="1" applyBorder="1">
      <alignment vertical="center"/>
    </xf>
    <xf numFmtId="3" fontId="1" fillId="0" borderId="21" xfId="0" applyNumberFormat="1" applyFont="1" applyBorder="1">
      <alignment vertical="center"/>
    </xf>
    <xf numFmtId="3" fontId="1" fillId="0" borderId="68" xfId="0" applyNumberFormat="1" applyFont="1" applyBorder="1">
      <alignment vertical="center"/>
    </xf>
    <xf numFmtId="3" fontId="1" fillId="4" borderId="29" xfId="0" applyNumberFormat="1" applyFont="1" applyFill="1" applyBorder="1">
      <alignment vertical="center"/>
    </xf>
    <xf numFmtId="3" fontId="1" fillId="0" borderId="0" xfId="0" applyNumberFormat="1" applyFont="1">
      <alignment vertical="center"/>
    </xf>
    <xf numFmtId="3" fontId="18" fillId="0" borderId="69" xfId="0" applyNumberFormat="1" applyFont="1" applyBorder="1">
      <alignment vertical="center"/>
    </xf>
    <xf numFmtId="3" fontId="18" fillId="4" borderId="70" xfId="0" applyNumberFormat="1" applyFont="1" applyFill="1" applyBorder="1" applyProtection="1">
      <alignment vertical="center"/>
      <protection locked="0"/>
    </xf>
    <xf numFmtId="3" fontId="18" fillId="4" borderId="70" xfId="0" applyNumberFormat="1" applyFont="1" applyFill="1" applyBorder="1">
      <alignment vertical="center"/>
    </xf>
    <xf numFmtId="3" fontId="18" fillId="4" borderId="69" xfId="0" applyNumberFormat="1" applyFont="1" applyFill="1" applyBorder="1" applyProtection="1">
      <alignment vertical="center"/>
      <protection locked="0"/>
    </xf>
    <xf numFmtId="3" fontId="18" fillId="4" borderId="69" xfId="0" applyNumberFormat="1" applyFont="1" applyFill="1" applyBorder="1">
      <alignment vertical="center"/>
    </xf>
    <xf numFmtId="3" fontId="18" fillId="4" borderId="71" xfId="0" applyNumberFormat="1" applyFont="1" applyFill="1" applyBorder="1">
      <alignment vertical="center"/>
    </xf>
    <xf numFmtId="0" fontId="1" fillId="3" borderId="0" xfId="0" applyFont="1" applyFill="1">
      <alignment vertical="center"/>
    </xf>
    <xf numFmtId="0" fontId="1" fillId="7" borderId="0" xfId="0" applyFont="1" applyFill="1">
      <alignment vertical="center"/>
    </xf>
    <xf numFmtId="0" fontId="17" fillId="7" borderId="0" xfId="0" applyFont="1" applyFill="1">
      <alignment vertical="center"/>
    </xf>
    <xf numFmtId="0" fontId="17" fillId="7" borderId="10" xfId="0" applyFont="1" applyFill="1" applyBorder="1">
      <alignment vertical="center"/>
    </xf>
    <xf numFmtId="0" fontId="1" fillId="7" borderId="0" xfId="0" applyFont="1" applyFill="1" applyAlignment="1">
      <alignment vertical="center" wrapText="1"/>
    </xf>
    <xf numFmtId="3" fontId="1" fillId="4" borderId="4" xfId="0" applyNumberFormat="1" applyFont="1" applyFill="1" applyBorder="1" applyProtection="1">
      <alignment vertical="center"/>
      <protection locked="0"/>
    </xf>
    <xf numFmtId="3" fontId="1" fillId="4" borderId="18" xfId="0" applyNumberFormat="1" applyFont="1" applyFill="1" applyBorder="1">
      <alignment vertical="center"/>
    </xf>
    <xf numFmtId="3" fontId="1" fillId="4" borderId="1" xfId="0" applyNumberFormat="1" applyFont="1" applyFill="1" applyBorder="1" applyProtection="1">
      <alignment vertical="center"/>
      <protection locked="0"/>
    </xf>
    <xf numFmtId="3" fontId="1" fillId="4" borderId="33" xfId="0" applyNumberFormat="1" applyFont="1" applyFill="1" applyBorder="1">
      <alignment vertical="center"/>
    </xf>
    <xf numFmtId="3" fontId="1" fillId="0" borderId="4" xfId="0" applyNumberFormat="1" applyFont="1" applyBorder="1" applyAlignment="1" applyProtection="1">
      <alignment horizontal="right" vertical="center"/>
      <protection locked="0"/>
    </xf>
    <xf numFmtId="3" fontId="1" fillId="4" borderId="4" xfId="0" applyNumberFormat="1" applyFont="1" applyFill="1" applyBorder="1" applyAlignment="1" applyProtection="1">
      <alignment horizontal="right" vertical="center"/>
      <protection locked="0"/>
    </xf>
    <xf numFmtId="3" fontId="1" fillId="4" borderId="4" xfId="0" applyNumberFormat="1" applyFont="1" applyFill="1" applyBorder="1" applyAlignment="1">
      <alignment horizontal="right" vertical="center"/>
    </xf>
    <xf numFmtId="3" fontId="1" fillId="0" borderId="1" xfId="0" applyNumberFormat="1" applyFont="1" applyBorder="1" applyAlignment="1" applyProtection="1">
      <alignment horizontal="right" vertical="center"/>
      <protection locked="0"/>
    </xf>
    <xf numFmtId="3" fontId="1" fillId="4" borderId="1" xfId="0" applyNumberFormat="1" applyFont="1" applyFill="1" applyBorder="1" applyAlignment="1" applyProtection="1">
      <alignment horizontal="right" vertical="center"/>
      <protection locked="0"/>
    </xf>
    <xf numFmtId="3" fontId="1" fillId="0" borderId="5" xfId="0" applyNumberFormat="1" applyFont="1" applyBorder="1" applyAlignment="1">
      <alignment horizontal="right" vertical="center"/>
    </xf>
    <xf numFmtId="0" fontId="1" fillId="0" borderId="59" xfId="0" applyFont="1" applyBorder="1" applyAlignment="1">
      <alignment horizontal="right" vertical="center"/>
    </xf>
    <xf numFmtId="3" fontId="1" fillId="4" borderId="5" xfId="0" applyNumberFormat="1" applyFont="1" applyFill="1" applyBorder="1" applyAlignment="1">
      <alignment horizontal="right" vertical="center"/>
    </xf>
    <xf numFmtId="0" fontId="1" fillId="4" borderId="1" xfId="0" applyFont="1" applyFill="1" applyBorder="1">
      <alignment vertical="center"/>
    </xf>
    <xf numFmtId="3" fontId="1" fillId="0" borderId="0" xfId="0" applyNumberFormat="1" applyFont="1" applyAlignment="1">
      <alignment horizontal="right"/>
    </xf>
    <xf numFmtId="0" fontId="1" fillId="0" borderId="0" xfId="0" applyFont="1" applyAlignment="1">
      <alignment horizontal="center" vertical="center" wrapText="1"/>
    </xf>
    <xf numFmtId="3" fontId="1" fillId="4" borderId="4" xfId="0" applyNumberFormat="1" applyFont="1" applyFill="1" applyBorder="1" applyAlignment="1" applyProtection="1">
      <alignment horizontal="center" vertical="center"/>
      <protection locked="0"/>
    </xf>
    <xf numFmtId="3" fontId="1" fillId="4" borderId="4" xfId="0" applyNumberFormat="1" applyFont="1" applyFill="1" applyBorder="1" applyAlignment="1">
      <alignment horizontal="center" vertical="center"/>
    </xf>
    <xf numFmtId="3" fontId="1" fillId="4" borderId="1" xfId="0" applyNumberFormat="1" applyFont="1" applyFill="1" applyBorder="1" applyAlignment="1" applyProtection="1">
      <alignment horizontal="center" vertical="center"/>
      <protection locked="0"/>
    </xf>
    <xf numFmtId="3" fontId="1" fillId="4" borderId="1"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3" fontId="1" fillId="4" borderId="4" xfId="8" applyNumberFormat="1" applyFont="1" applyFill="1" applyBorder="1" applyAlignment="1">
      <alignment horizontal="right" vertical="center"/>
    </xf>
    <xf numFmtId="0" fontId="1" fillId="4" borderId="5" xfId="8" applyFont="1" applyFill="1" applyBorder="1" applyAlignment="1">
      <alignment horizontal="right" vertical="center"/>
    </xf>
    <xf numFmtId="3" fontId="1" fillId="4" borderId="5" xfId="8" applyNumberFormat="1" applyFont="1" applyFill="1" applyBorder="1" applyAlignment="1">
      <alignment horizontal="right" vertical="center"/>
    </xf>
    <xf numFmtId="3" fontId="12" fillId="0" borderId="0" xfId="0" applyNumberFormat="1" applyFont="1">
      <alignment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2" fillId="10" borderId="0" xfId="0" applyFont="1" applyFill="1">
      <alignment vertical="center"/>
    </xf>
    <xf numFmtId="0" fontId="22" fillId="0" borderId="0" xfId="3" applyNumberFormat="1" applyFont="1" applyAlignment="1">
      <alignment horizontal="right" vertical="center" wrapText="1"/>
    </xf>
    <xf numFmtId="0" fontId="14" fillId="0" borderId="6" xfId="0" applyFont="1" applyBorder="1" applyAlignment="1">
      <alignment horizontal="center" vertical="center" wrapText="1"/>
    </xf>
    <xf numFmtId="0" fontId="14" fillId="3" borderId="4" xfId="3" applyNumberFormat="1" applyFont="1" applyFill="1" applyBorder="1" applyAlignment="1">
      <alignment horizontal="right" vertical="top" wrapText="1"/>
    </xf>
    <xf numFmtId="0" fontId="14" fillId="3" borderId="4" xfId="0" applyFont="1" applyFill="1" applyBorder="1" applyAlignment="1">
      <alignment vertical="top"/>
    </xf>
    <xf numFmtId="9" fontId="1" fillId="0" borderId="1" xfId="3" applyNumberFormat="1" applyFont="1" applyBorder="1">
      <alignment vertical="center"/>
    </xf>
    <xf numFmtId="166" fontId="1" fillId="0" borderId="5" xfId="3" applyNumberFormat="1" applyFont="1" applyBorder="1">
      <alignment vertical="center"/>
    </xf>
    <xf numFmtId="9" fontId="1" fillId="0" borderId="5" xfId="3" applyNumberFormat="1" applyFont="1" applyBorder="1">
      <alignment vertical="center"/>
    </xf>
    <xf numFmtId="166" fontId="1" fillId="4" borderId="5" xfId="3" applyNumberFormat="1" applyFont="1" applyFill="1" applyBorder="1">
      <alignment vertical="center"/>
    </xf>
    <xf numFmtId="0" fontId="23" fillId="0" borderId="0" xfId="3" applyNumberFormat="1" applyFont="1" applyAlignment="1">
      <alignment horizontal="right" vertical="center"/>
    </xf>
    <xf numFmtId="166" fontId="24" fillId="0" borderId="0" xfId="3" applyNumberFormat="1" applyFont="1">
      <alignment vertical="center"/>
    </xf>
    <xf numFmtId="9" fontId="24" fillId="0" borderId="0" xfId="3" applyNumberFormat="1" applyFont="1">
      <alignment vertical="center"/>
    </xf>
    <xf numFmtId="0" fontId="24" fillId="0" borderId="0" xfId="0" applyFont="1">
      <alignment vertical="center"/>
    </xf>
    <xf numFmtId="165" fontId="12" fillId="0" borderId="0" xfId="1" applyNumberFormat="1" applyFont="1">
      <alignment vertical="center"/>
    </xf>
    <xf numFmtId="0" fontId="14" fillId="3" borderId="4" xfId="3" applyNumberFormat="1" applyFont="1" applyFill="1" applyBorder="1" applyAlignment="1">
      <alignment horizontal="center" vertical="top" wrapText="1"/>
    </xf>
    <xf numFmtId="1" fontId="1" fillId="0" borderId="1" xfId="3" applyNumberFormat="1" applyFont="1" applyBorder="1" applyAlignment="1">
      <alignment horizontal="center" vertical="center"/>
    </xf>
    <xf numFmtId="1" fontId="1" fillId="0" borderId="5" xfId="3" applyNumberFormat="1" applyFont="1" applyBorder="1" applyAlignment="1">
      <alignment horizontal="center" vertical="center"/>
    </xf>
    <xf numFmtId="166" fontId="1" fillId="0" borderId="0" xfId="3" applyNumberFormat="1" applyFont="1" applyAlignment="1">
      <alignment horizontal="right" vertical="center"/>
    </xf>
    <xf numFmtId="1" fontId="24" fillId="4" borderId="0" xfId="3" applyNumberFormat="1" applyFont="1" applyFill="1" applyAlignment="1">
      <alignment horizontal="center" vertical="center"/>
    </xf>
    <xf numFmtId="166" fontId="24" fillId="4" borderId="0" xfId="3" applyNumberFormat="1" applyFont="1" applyFill="1" applyAlignment="1">
      <alignment horizontal="center" vertical="center"/>
    </xf>
    <xf numFmtId="169" fontId="1" fillId="0" borderId="0" xfId="3" applyNumberFormat="1" applyFont="1">
      <alignment vertical="center"/>
    </xf>
    <xf numFmtId="166" fontId="31" fillId="4" borderId="0" xfId="3" applyNumberFormat="1" applyFont="1" applyFill="1">
      <alignment vertical="center"/>
    </xf>
    <xf numFmtId="0" fontId="23" fillId="0" borderId="0" xfId="3" applyNumberFormat="1" applyFont="1" applyAlignment="1">
      <alignment horizontal="right" vertical="center" wrapText="1"/>
    </xf>
    <xf numFmtId="166" fontId="1" fillId="0" borderId="0" xfId="3" applyNumberFormat="1" applyFont="1" applyAlignment="1">
      <alignment horizontal="right" vertical="center" wrapText="1"/>
    </xf>
    <xf numFmtId="166" fontId="1" fillId="0" borderId="1" xfId="3" applyNumberFormat="1" applyFont="1" applyBorder="1" applyAlignment="1">
      <alignment horizontal="right" vertical="center"/>
    </xf>
    <xf numFmtId="166" fontId="1" fillId="0" borderId="5" xfId="3" applyNumberFormat="1" applyFont="1" applyBorder="1" applyAlignment="1">
      <alignment horizontal="right" vertical="center"/>
    </xf>
    <xf numFmtId="166" fontId="24" fillId="4" borderId="72" xfId="3" applyNumberFormat="1" applyFont="1" applyFill="1" applyBorder="1">
      <alignment vertical="center"/>
    </xf>
    <xf numFmtId="166" fontId="24" fillId="4" borderId="0" xfId="3" applyNumberFormat="1" applyFont="1" applyFill="1">
      <alignment vertical="center"/>
    </xf>
    <xf numFmtId="166" fontId="1" fillId="4" borderId="0" xfId="3" applyNumberFormat="1" applyFont="1" applyFill="1" applyAlignment="1">
      <alignment horizontal="right" vertical="center"/>
    </xf>
    <xf numFmtId="0" fontId="17" fillId="0" borderId="0" xfId="0" applyFont="1">
      <alignment vertical="center"/>
    </xf>
    <xf numFmtId="0" fontId="23" fillId="0" borderId="5" xfId="3" applyNumberFormat="1" applyFont="1" applyBorder="1" applyAlignment="1">
      <alignment vertical="center" wrapText="1"/>
    </xf>
    <xf numFmtId="166" fontId="1" fillId="4" borderId="5" xfId="3" applyNumberFormat="1" applyFont="1" applyFill="1" applyBorder="1" applyAlignment="1"/>
    <xf numFmtId="0" fontId="12" fillId="0" borderId="0" xfId="3" applyNumberFormat="1" applyFont="1">
      <alignment vertical="center"/>
    </xf>
    <xf numFmtId="0" fontId="14" fillId="3" borderId="0" xfId="3" applyNumberFormat="1" applyFont="1" applyFill="1" applyAlignment="1">
      <alignment horizontal="right" vertical="top" wrapText="1"/>
    </xf>
    <xf numFmtId="0" fontId="23" fillId="0" borderId="4" xfId="3" applyNumberFormat="1" applyFont="1" applyBorder="1" applyAlignment="1">
      <alignment horizontal="center" vertical="center" wrapText="1"/>
    </xf>
    <xf numFmtId="166" fontId="1" fillId="0" borderId="4" xfId="3" applyNumberFormat="1" applyFont="1" applyBorder="1">
      <alignment vertical="center"/>
    </xf>
    <xf numFmtId="0" fontId="23" fillId="0" borderId="5" xfId="3" applyNumberFormat="1" applyFont="1" applyBorder="1" applyAlignment="1">
      <alignment horizontal="center" vertical="center" wrapText="1"/>
    </xf>
    <xf numFmtId="9" fontId="1" fillId="0" borderId="5" xfId="1" applyFont="1" applyBorder="1">
      <alignment vertical="center"/>
    </xf>
    <xf numFmtId="166" fontId="24" fillId="4" borderId="5" xfId="3" applyNumberFormat="1" applyFont="1" applyFill="1" applyBorder="1">
      <alignment vertical="center"/>
    </xf>
    <xf numFmtId="9" fontId="24" fillId="4" borderId="5" xfId="1" applyFont="1" applyFill="1" applyBorder="1">
      <alignment vertical="center"/>
    </xf>
    <xf numFmtId="0" fontId="33" fillId="0" borderId="0" xfId="0" applyFont="1">
      <alignment vertical="center"/>
    </xf>
    <xf numFmtId="166" fontId="1" fillId="0" borderId="5" xfId="3" applyNumberFormat="1" applyFont="1" applyBorder="1" applyAlignment="1">
      <alignment horizontal="center" vertical="center" wrapText="1"/>
    </xf>
    <xf numFmtId="166" fontId="1" fillId="0" borderId="0" xfId="3" applyNumberFormat="1" applyFont="1" applyAlignment="1">
      <alignment horizontal="center" vertical="center" wrapText="1"/>
    </xf>
    <xf numFmtId="0" fontId="14" fillId="3" borderId="0" xfId="3" applyNumberFormat="1" applyFont="1" applyFill="1">
      <alignment vertical="center"/>
    </xf>
    <xf numFmtId="0" fontId="14" fillId="3" borderId="0" xfId="3" applyNumberFormat="1" applyFont="1" applyFill="1" applyAlignment="1">
      <alignment horizontal="right" vertical="center" wrapText="1"/>
    </xf>
    <xf numFmtId="166" fontId="1" fillId="4" borderId="4" xfId="3" applyNumberFormat="1" applyFont="1" applyFill="1" applyBorder="1" applyAlignment="1">
      <alignment horizontal="left" vertical="center" indent="2"/>
    </xf>
    <xf numFmtId="165" fontId="1" fillId="0" borderId="4" xfId="1" applyNumberFormat="1" applyFont="1" applyBorder="1" applyAlignment="1">
      <alignment horizontal="center" vertical="center"/>
    </xf>
    <xf numFmtId="10" fontId="1" fillId="0" borderId="4" xfId="1" applyNumberFormat="1" applyFont="1" applyBorder="1">
      <alignment vertical="center"/>
    </xf>
    <xf numFmtId="166" fontId="24" fillId="0" borderId="4" xfId="3" applyNumberFormat="1" applyFont="1" applyBorder="1">
      <alignment vertical="center"/>
    </xf>
    <xf numFmtId="166" fontId="18" fillId="0" borderId="1" xfId="3" applyNumberFormat="1" applyFont="1" applyBorder="1">
      <alignment vertical="center"/>
    </xf>
    <xf numFmtId="166" fontId="24" fillId="4" borderId="4" xfId="3" applyNumberFormat="1" applyFont="1" applyFill="1" applyBorder="1" applyAlignment="1">
      <alignment horizontal="left" vertical="center" indent="2"/>
    </xf>
    <xf numFmtId="166" fontId="18" fillId="0" borderId="5" xfId="3" applyNumberFormat="1" applyFont="1" applyBorder="1">
      <alignment vertical="center"/>
    </xf>
    <xf numFmtId="166" fontId="1" fillId="4" borderId="5" xfId="3" applyNumberFormat="1" applyFont="1" applyFill="1" applyBorder="1" applyAlignment="1">
      <alignment horizontal="left" vertical="center" indent="2"/>
    </xf>
    <xf numFmtId="0" fontId="12" fillId="0" borderId="0" xfId="3" applyNumberFormat="1" applyFont="1" applyAlignment="1">
      <alignment horizontal="right" vertical="center" wrapText="1"/>
    </xf>
    <xf numFmtId="0" fontId="12" fillId="4" borderId="0" xfId="3" applyNumberFormat="1" applyFont="1" applyFill="1">
      <alignment vertical="center"/>
    </xf>
    <xf numFmtId="0" fontId="14" fillId="3" borderId="4" xfId="3" applyNumberFormat="1" applyFont="1" applyFill="1" applyBorder="1" applyAlignment="1">
      <alignment horizontal="right" vertical="center"/>
    </xf>
    <xf numFmtId="0" fontId="14" fillId="3" borderId="4" xfId="3" applyNumberFormat="1" applyFont="1" applyFill="1" applyBorder="1" applyAlignment="1">
      <alignment horizontal="right" vertical="center" wrapText="1"/>
    </xf>
    <xf numFmtId="0" fontId="14" fillId="3" borderId="4" xfId="3" applyNumberFormat="1" applyFont="1" applyFill="1" applyBorder="1" applyAlignment="1">
      <alignment horizontal="center" vertical="center" wrapText="1"/>
    </xf>
    <xf numFmtId="166" fontId="17" fillId="0" borderId="1" xfId="3" applyNumberFormat="1" applyFont="1" applyBorder="1" applyAlignment="1">
      <alignment horizontal="right" vertical="center"/>
    </xf>
    <xf numFmtId="166" fontId="17" fillId="0" borderId="3" xfId="3" applyNumberFormat="1" applyFont="1" applyBorder="1" applyAlignment="1">
      <alignment horizontal="center" vertical="center"/>
    </xf>
    <xf numFmtId="0" fontId="23" fillId="0" borderId="1" xfId="3" applyNumberFormat="1" applyFont="1" applyBorder="1" applyAlignment="1">
      <alignment horizontal="left" vertical="center" wrapText="1"/>
    </xf>
    <xf numFmtId="0" fontId="17" fillId="0" borderId="0" xfId="3" applyNumberFormat="1" applyFont="1" applyAlignment="1">
      <alignment horizontal="right" vertical="center"/>
    </xf>
    <xf numFmtId="166" fontId="17" fillId="0" borderId="0" xfId="3" applyNumberFormat="1" applyFont="1" applyAlignment="1">
      <alignment horizontal="right" vertical="center"/>
    </xf>
    <xf numFmtId="166" fontId="12" fillId="0" borderId="0" xfId="3" applyNumberFormat="1" applyFont="1" applyAlignment="1">
      <alignment horizontal="center"/>
    </xf>
    <xf numFmtId="0" fontId="14" fillId="3" borderId="0" xfId="3" applyNumberFormat="1" applyFont="1" applyFill="1" applyAlignment="1">
      <alignment horizontal="right" vertical="center"/>
    </xf>
    <xf numFmtId="166" fontId="1" fillId="0" borderId="4" xfId="3" applyNumberFormat="1" applyFont="1" applyBorder="1" applyAlignment="1">
      <alignment horizontal="right" vertical="center"/>
    </xf>
    <xf numFmtId="166" fontId="1" fillId="0" borderId="4" xfId="3" applyNumberFormat="1" applyFont="1" applyBorder="1" applyAlignment="1">
      <alignment horizontal="right" vertical="center" wrapText="1"/>
    </xf>
    <xf numFmtId="166" fontId="1" fillId="0" borderId="5" xfId="3" applyNumberFormat="1" applyFont="1" applyBorder="1" applyAlignment="1">
      <alignment horizontal="right" vertical="center" wrapText="1"/>
    </xf>
    <xf numFmtId="166" fontId="18" fillId="4" borderId="5" xfId="3" applyNumberFormat="1" applyFont="1" applyFill="1" applyBorder="1" applyAlignment="1">
      <alignment horizontal="right" vertical="center"/>
    </xf>
    <xf numFmtId="166" fontId="1" fillId="4" borderId="5" xfId="3" applyNumberFormat="1" applyFont="1" applyFill="1" applyBorder="1" applyAlignment="1">
      <alignment horizontal="right" vertical="center"/>
    </xf>
    <xf numFmtId="9" fontId="1" fillId="0" borderId="1" xfId="1" applyFont="1" applyBorder="1" applyAlignment="1">
      <alignment horizontal="right" vertical="center"/>
    </xf>
    <xf numFmtId="166" fontId="1" fillId="0" borderId="1" xfId="3" applyNumberFormat="1" applyFont="1" applyBorder="1" applyAlignment="1">
      <alignment horizontal="right" vertical="center" wrapText="1"/>
    </xf>
    <xf numFmtId="166" fontId="12" fillId="0" borderId="0" xfId="3" applyNumberFormat="1" applyFont="1" applyAlignment="1">
      <alignment wrapText="1"/>
    </xf>
    <xf numFmtId="0" fontId="34" fillId="3" borderId="0" xfId="0" applyFont="1" applyFill="1" applyAlignment="1">
      <alignment horizontal="right" vertical="center" wrapText="1"/>
    </xf>
    <xf numFmtId="0" fontId="34" fillId="3" borderId="0" xfId="0" applyFont="1" applyFill="1" applyAlignment="1">
      <alignment horizontal="center" vertical="center" wrapText="1"/>
    </xf>
    <xf numFmtId="9" fontId="1" fillId="0" borderId="0" xfId="1" applyFont="1" applyAlignment="1">
      <alignment horizontal="right" vertical="center"/>
    </xf>
    <xf numFmtId="166" fontId="1" fillId="4" borderId="0" xfId="3" applyNumberFormat="1" applyFont="1" applyFill="1" applyAlignment="1">
      <alignment horizontal="right" vertical="center" wrapText="1"/>
    </xf>
    <xf numFmtId="9" fontId="1" fillId="4" borderId="0" xfId="1" applyFont="1" applyFill="1" applyAlignment="1">
      <alignment horizontal="right" vertical="center"/>
    </xf>
    <xf numFmtId="0" fontId="23" fillId="0" borderId="0" xfId="3" applyNumberFormat="1" applyFont="1">
      <alignment vertical="center"/>
    </xf>
    <xf numFmtId="9" fontId="12" fillId="0" borderId="0" xfId="3" applyNumberFormat="1" applyFont="1">
      <alignment vertical="center"/>
    </xf>
    <xf numFmtId="0" fontId="35" fillId="0" borderId="2" xfId="0" applyFont="1" applyBorder="1">
      <alignment vertical="center"/>
    </xf>
    <xf numFmtId="0" fontId="35" fillId="0" borderId="0" xfId="0" applyFont="1">
      <alignment vertical="center"/>
    </xf>
    <xf numFmtId="0" fontId="36" fillId="0" borderId="0" xfId="0" applyFont="1">
      <alignment vertical="center"/>
    </xf>
    <xf numFmtId="0" fontId="37" fillId="0" borderId="0" xfId="3" applyNumberFormat="1" applyFont="1" applyAlignment="1">
      <alignment horizontal="right" vertical="center" wrapText="1"/>
    </xf>
    <xf numFmtId="0" fontId="38" fillId="0" borderId="73" xfId="0" applyFont="1" applyBorder="1">
      <alignment vertical="center"/>
    </xf>
    <xf numFmtId="0" fontId="24" fillId="0" borderId="73" xfId="0" applyFont="1" applyBorder="1">
      <alignment vertical="center"/>
    </xf>
    <xf numFmtId="0" fontId="38" fillId="0" borderId="74" xfId="0" applyFont="1" applyBorder="1">
      <alignment vertical="center"/>
    </xf>
    <xf numFmtId="0" fontId="14" fillId="3" borderId="0" xfId="3" applyNumberFormat="1" applyFont="1" applyFill="1" applyAlignment="1">
      <alignment horizontal="center" vertical="center"/>
    </xf>
    <xf numFmtId="0" fontId="17" fillId="3" borderId="14" xfId="3" applyNumberFormat="1" applyFont="1" applyFill="1" applyBorder="1" applyAlignment="1">
      <alignment horizontal="center" vertical="center"/>
    </xf>
    <xf numFmtId="0" fontId="14" fillId="3" borderId="0" xfId="3" applyNumberFormat="1" applyFont="1" applyFill="1" applyAlignment="1">
      <alignment horizontal="center" vertical="center" wrapText="1"/>
    </xf>
    <xf numFmtId="0" fontId="24" fillId="0" borderId="0" xfId="0" applyFont="1" applyAlignment="1">
      <alignment horizontal="right" vertical="center"/>
    </xf>
    <xf numFmtId="0" fontId="24" fillId="0" borderId="74" xfId="0" applyFont="1" applyBorder="1" applyAlignment="1">
      <alignment horizontal="right" vertical="center"/>
    </xf>
    <xf numFmtId="0" fontId="24" fillId="0" borderId="49" xfId="0" applyFont="1" applyBorder="1" applyAlignment="1">
      <alignment horizontal="right" vertical="center"/>
    </xf>
    <xf numFmtId="0" fontId="17" fillId="5" borderId="0" xfId="0" applyFont="1" applyFill="1" applyAlignment="1">
      <alignment horizontal="right" vertical="center" wrapText="1"/>
    </xf>
    <xf numFmtId="0" fontId="17" fillId="5" borderId="10" xfId="0" applyFont="1" applyFill="1" applyBorder="1" applyAlignment="1">
      <alignment horizontal="right" vertical="center"/>
    </xf>
    <xf numFmtId="0" fontId="17" fillId="5" borderId="75" xfId="0" applyFont="1" applyFill="1" applyBorder="1" applyAlignment="1">
      <alignment horizontal="right" vertical="center"/>
    </xf>
    <xf numFmtId="0" fontId="17" fillId="5" borderId="14" xfId="0" applyFont="1" applyFill="1" applyBorder="1" applyAlignment="1">
      <alignment horizontal="right" vertical="center"/>
    </xf>
    <xf numFmtId="0" fontId="1" fillId="0" borderId="49" xfId="0" applyFont="1" applyBorder="1" applyAlignment="1">
      <alignment horizontal="right" vertical="center"/>
    </xf>
    <xf numFmtId="0" fontId="24" fillId="0" borderId="74" xfId="0" applyFont="1" applyBorder="1" applyAlignment="1">
      <alignment horizontal="right" vertical="center" wrapText="1"/>
    </xf>
    <xf numFmtId="3" fontId="24" fillId="0" borderId="49" xfId="0" applyNumberFormat="1" applyFont="1" applyBorder="1" applyAlignment="1">
      <alignment horizontal="right" vertical="center"/>
    </xf>
    <xf numFmtId="3" fontId="24" fillId="11" borderId="49" xfId="0" applyNumberFormat="1" applyFont="1" applyFill="1" applyBorder="1" applyAlignment="1">
      <alignment horizontal="right" vertical="center"/>
    </xf>
    <xf numFmtId="43" fontId="1" fillId="0" borderId="4" xfId="0" applyNumberFormat="1" applyFont="1" applyBorder="1" applyAlignment="1">
      <alignment horizontal="right" vertical="center"/>
    </xf>
    <xf numFmtId="166" fontId="1" fillId="0" borderId="4" xfId="0" applyNumberFormat="1" applyFont="1" applyBorder="1" applyAlignment="1">
      <alignment horizontal="right" vertical="center"/>
    </xf>
    <xf numFmtId="9" fontId="1" fillId="0" borderId="18" xfId="1" applyFont="1" applyBorder="1" applyAlignment="1">
      <alignment horizontal="right" vertical="center"/>
    </xf>
    <xf numFmtId="43" fontId="1" fillId="0" borderId="64" xfId="0" applyNumberFormat="1" applyFont="1" applyBorder="1" applyAlignment="1">
      <alignment horizontal="right" vertical="center"/>
    </xf>
    <xf numFmtId="2" fontId="1" fillId="0" borderId="4" xfId="0" applyNumberFormat="1" applyFont="1" applyBorder="1" applyAlignment="1">
      <alignment horizontal="right" vertical="center"/>
    </xf>
    <xf numFmtId="2" fontId="1" fillId="0" borderId="64" xfId="1" applyNumberFormat="1" applyFont="1" applyBorder="1" applyAlignment="1">
      <alignment horizontal="right" vertical="center"/>
    </xf>
    <xf numFmtId="2" fontId="1" fillId="0" borderId="4" xfId="1" applyNumberFormat="1" applyFont="1" applyBorder="1" applyAlignment="1">
      <alignment horizontal="right" vertical="center"/>
    </xf>
    <xf numFmtId="0" fontId="24" fillId="0" borderId="0" xfId="0" applyFont="1" applyAlignment="1">
      <alignment horizontal="center" vertical="center"/>
    </xf>
    <xf numFmtId="166" fontId="24" fillId="0" borderId="49" xfId="3" applyNumberFormat="1" applyFont="1" applyBorder="1" applyAlignment="1">
      <alignment horizontal="right" vertical="center"/>
    </xf>
    <xf numFmtId="43" fontId="1" fillId="0" borderId="1" xfId="0" applyNumberFormat="1" applyFont="1" applyBorder="1" applyAlignment="1">
      <alignment horizontal="right" vertical="center"/>
    </xf>
    <xf numFmtId="43" fontId="1" fillId="0" borderId="66" xfId="0" applyNumberFormat="1" applyFont="1" applyBorder="1" applyAlignment="1">
      <alignment horizontal="right" vertical="center"/>
    </xf>
    <xf numFmtId="2" fontId="1" fillId="0" borderId="66" xfId="1" applyNumberFormat="1" applyFont="1" applyBorder="1" applyAlignment="1">
      <alignment horizontal="right" vertical="center"/>
    </xf>
    <xf numFmtId="2" fontId="1" fillId="0" borderId="1" xfId="1" applyNumberFormat="1" applyFont="1" applyBorder="1" applyAlignment="1">
      <alignment horizontal="right" vertical="center"/>
    </xf>
    <xf numFmtId="0" fontId="24" fillId="11" borderId="74" xfId="0" applyFont="1" applyFill="1" applyBorder="1" applyAlignment="1">
      <alignment horizontal="right" vertical="center" wrapText="1"/>
    </xf>
    <xf numFmtId="43" fontId="1" fillId="4" borderId="1" xfId="0" applyNumberFormat="1" applyFont="1" applyFill="1" applyBorder="1" applyAlignment="1">
      <alignment horizontal="right" vertical="center"/>
    </xf>
    <xf numFmtId="2" fontId="1" fillId="4" borderId="4" xfId="0" applyNumberFormat="1" applyFont="1" applyFill="1" applyBorder="1" applyAlignment="1">
      <alignment horizontal="right" vertical="center"/>
    </xf>
    <xf numFmtId="43" fontId="1" fillId="4" borderId="4" xfId="0" applyNumberFormat="1" applyFont="1" applyFill="1" applyBorder="1" applyAlignment="1">
      <alignment horizontal="right" vertical="center"/>
    </xf>
    <xf numFmtId="43" fontId="1" fillId="0" borderId="5" xfId="0" applyNumberFormat="1" applyFont="1" applyBorder="1" applyAlignment="1">
      <alignment horizontal="right" vertical="center"/>
    </xf>
    <xf numFmtId="43" fontId="1" fillId="0" borderId="67" xfId="0" applyNumberFormat="1" applyFont="1" applyBorder="1" applyAlignment="1">
      <alignment horizontal="right" vertical="center"/>
    </xf>
    <xf numFmtId="164" fontId="1" fillId="0" borderId="4" xfId="0" applyNumberFormat="1" applyFont="1" applyBorder="1" applyAlignment="1">
      <alignment horizontal="right" vertical="center"/>
    </xf>
    <xf numFmtId="2" fontId="1" fillId="0" borderId="67" xfId="1" applyNumberFormat="1" applyFont="1" applyBorder="1" applyAlignment="1">
      <alignment horizontal="right" vertical="center"/>
    </xf>
    <xf numFmtId="2" fontId="1" fillId="0" borderId="5" xfId="1" applyNumberFormat="1" applyFont="1" applyBorder="1" applyAlignment="1">
      <alignment horizontal="right" vertical="center"/>
    </xf>
    <xf numFmtId="166" fontId="24" fillId="12" borderId="49" xfId="3" applyNumberFormat="1" applyFont="1" applyFill="1" applyBorder="1" applyAlignment="1">
      <alignment horizontal="right" vertical="center"/>
    </xf>
    <xf numFmtId="2" fontId="17" fillId="0" borderId="67" xfId="1" applyNumberFormat="1" applyFont="1" applyBorder="1" applyAlignment="1">
      <alignment horizontal="right" vertical="center"/>
    </xf>
    <xf numFmtId="2" fontId="17" fillId="0" borderId="5" xfId="1" applyNumberFormat="1" applyFont="1" applyBorder="1" applyAlignment="1">
      <alignment horizontal="right" vertical="center"/>
    </xf>
    <xf numFmtId="9" fontId="1" fillId="0" borderId="21" xfId="1" applyFont="1" applyBorder="1" applyAlignment="1">
      <alignment horizontal="right" vertical="center"/>
    </xf>
    <xf numFmtId="2" fontId="17" fillId="0" borderId="4" xfId="1" applyNumberFormat="1" applyFont="1" applyBorder="1" applyAlignment="1">
      <alignment horizontal="right" vertical="center"/>
    </xf>
    <xf numFmtId="165" fontId="33" fillId="0" borderId="0" xfId="1" applyNumberFormat="1" applyFont="1" applyAlignment="1">
      <alignment horizontal="right" vertical="center"/>
    </xf>
    <xf numFmtId="167" fontId="1" fillId="0" borderId="4" xfId="0" applyNumberFormat="1" applyFont="1" applyBorder="1" applyAlignment="1">
      <alignment horizontal="right" vertical="center"/>
    </xf>
    <xf numFmtId="167" fontId="1" fillId="0" borderId="1" xfId="0" applyNumberFormat="1" applyFont="1" applyBorder="1" applyAlignment="1">
      <alignment horizontal="right" vertical="center"/>
    </xf>
    <xf numFmtId="0" fontId="24" fillId="0" borderId="0" xfId="3" applyNumberFormat="1" applyFont="1" applyAlignment="1">
      <alignment horizontal="right" vertical="center"/>
    </xf>
    <xf numFmtId="0" fontId="24" fillId="0" borderId="49" xfId="3" applyNumberFormat="1" applyFont="1" applyBorder="1" applyAlignment="1">
      <alignment horizontal="right" vertical="center"/>
    </xf>
    <xf numFmtId="0" fontId="24" fillId="0" borderId="0" xfId="0" applyFont="1" applyAlignment="1">
      <alignment horizontal="center" vertical="center" wrapText="1"/>
    </xf>
    <xf numFmtId="167" fontId="17" fillId="0" borderId="1" xfId="0" applyNumberFormat="1" applyFont="1" applyBorder="1" applyAlignment="1">
      <alignment horizontal="right" vertical="center"/>
    </xf>
    <xf numFmtId="167" fontId="17" fillId="0" borderId="4" xfId="0" applyNumberFormat="1" applyFont="1" applyBorder="1" applyAlignment="1">
      <alignment horizontal="right" vertical="center"/>
    </xf>
    <xf numFmtId="9" fontId="17" fillId="0" borderId="4" xfId="1" applyFont="1" applyBorder="1" applyAlignment="1">
      <alignment horizontal="right" vertical="center"/>
    </xf>
    <xf numFmtId="0" fontId="14" fillId="3" borderId="0" xfId="3" applyNumberFormat="1" applyFont="1" applyFill="1" applyAlignment="1">
      <alignment vertical="top" wrapText="1"/>
    </xf>
    <xf numFmtId="165" fontId="1" fillId="0" borderId="5" xfId="1" applyNumberFormat="1" applyFont="1" applyBorder="1" applyAlignment="1">
      <alignment horizontal="right" vertical="center"/>
    </xf>
    <xf numFmtId="165" fontId="26" fillId="4" borderId="5" xfId="1" applyNumberFormat="1" applyFont="1" applyFill="1" applyBorder="1" applyAlignment="1">
      <alignment horizontal="right" vertical="center"/>
    </xf>
    <xf numFmtId="0" fontId="14" fillId="3" borderId="0" xfId="3" applyNumberFormat="1" applyFont="1" applyFill="1" applyAlignment="1">
      <alignment vertical="center" wrapText="1"/>
    </xf>
    <xf numFmtId="165" fontId="1" fillId="0" borderId="4" xfId="1" applyNumberFormat="1" applyFont="1" applyBorder="1" applyAlignment="1">
      <alignment horizontal="right" vertical="center"/>
    </xf>
    <xf numFmtId="166" fontId="17" fillId="0" borderId="5" xfId="3" applyNumberFormat="1" applyFont="1" applyBorder="1">
      <alignment vertical="center"/>
    </xf>
    <xf numFmtId="166" fontId="17" fillId="0" borderId="5" xfId="3" applyNumberFormat="1" applyFont="1" applyBorder="1" applyAlignment="1">
      <alignment horizontal="right" vertical="center"/>
    </xf>
    <xf numFmtId="165" fontId="17" fillId="0" borderId="4" xfId="1" applyNumberFormat="1" applyFont="1" applyBorder="1" applyAlignment="1">
      <alignment horizontal="right" vertical="center"/>
    </xf>
    <xf numFmtId="166" fontId="24" fillId="0" borderId="1" xfId="3" applyNumberFormat="1" applyFont="1" applyBorder="1" applyAlignment="1">
      <alignment horizontal="right" vertical="center"/>
    </xf>
    <xf numFmtId="165" fontId="24" fillId="0" borderId="4" xfId="1" applyNumberFormat="1" applyFont="1" applyBorder="1" applyAlignment="1">
      <alignment horizontal="right" vertical="center"/>
    </xf>
    <xf numFmtId="0" fontId="1" fillId="0" borderId="4" xfId="3" applyNumberFormat="1" applyFont="1" applyBorder="1" applyAlignment="1">
      <alignment horizontal="right" vertical="center"/>
    </xf>
    <xf numFmtId="0" fontId="1" fillId="0" borderId="1" xfId="3" applyNumberFormat="1" applyFont="1" applyBorder="1" applyAlignment="1">
      <alignment horizontal="right" vertical="center"/>
    </xf>
    <xf numFmtId="0" fontId="1" fillId="0" borderId="0" xfId="3" applyNumberFormat="1" applyFont="1" applyAlignment="1">
      <alignment horizontal="right" vertical="center"/>
    </xf>
    <xf numFmtId="0" fontId="24" fillId="5" borderId="0" xfId="3" applyNumberFormat="1" applyFont="1" applyFill="1" applyAlignment="1">
      <alignment vertical="center" wrapText="1"/>
    </xf>
    <xf numFmtId="0" fontId="12" fillId="13"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7" fillId="4" borderId="0" xfId="0" applyFont="1" applyFill="1" applyAlignment="1">
      <alignment horizontal="right" vertical="top"/>
    </xf>
    <xf numFmtId="0" fontId="17" fillId="4" borderId="76" xfId="0" applyFont="1" applyFill="1" applyBorder="1" applyAlignment="1">
      <alignment horizontal="right" vertical="top" wrapText="1"/>
    </xf>
    <xf numFmtId="3" fontId="1" fillId="4" borderId="0" xfId="0" applyNumberFormat="1" applyFont="1" applyFill="1">
      <alignment vertical="center"/>
    </xf>
    <xf numFmtId="9" fontId="1" fillId="4" borderId="1" xfId="0" applyNumberFormat="1" applyFont="1" applyFill="1" applyBorder="1">
      <alignment vertical="center"/>
    </xf>
    <xf numFmtId="9" fontId="1" fillId="0" borderId="33" xfId="0" applyNumberFormat="1" applyFont="1" applyBorder="1" applyAlignment="1">
      <alignment horizontal="right" vertical="center"/>
    </xf>
    <xf numFmtId="9" fontId="1" fillId="0" borderId="33" xfId="1" applyFont="1" applyBorder="1">
      <alignment vertical="center"/>
    </xf>
    <xf numFmtId="9" fontId="1" fillId="0" borderId="1" xfId="1" applyFont="1" applyBorder="1">
      <alignment vertical="center"/>
    </xf>
    <xf numFmtId="9" fontId="1" fillId="4" borderId="1" xfId="1" applyFont="1" applyFill="1" applyBorder="1">
      <alignment vertical="center"/>
    </xf>
    <xf numFmtId="9" fontId="1" fillId="0" borderId="21" xfId="0" applyNumberFormat="1" applyFont="1" applyBorder="1">
      <alignment vertical="center"/>
    </xf>
    <xf numFmtId="9" fontId="1" fillId="4" borderId="5" xfId="0" applyNumberFormat="1" applyFont="1" applyFill="1" applyBorder="1">
      <alignment vertical="center"/>
    </xf>
    <xf numFmtId="0" fontId="1" fillId="0" borderId="0" xfId="0" applyFont="1" applyAlignment="1">
      <alignment horizontal="right" wrapText="1"/>
    </xf>
    <xf numFmtId="0" fontId="24" fillId="4" borderId="0" xfId="3" applyNumberFormat="1" applyFont="1" applyFill="1" applyAlignment="1">
      <alignment vertical="center" wrapText="1"/>
    </xf>
    <xf numFmtId="0" fontId="1" fillId="0" borderId="77" xfId="0" applyFont="1" applyBorder="1">
      <alignment vertical="center"/>
    </xf>
    <xf numFmtId="0" fontId="1" fillId="0" borderId="77" xfId="0" applyFont="1" applyBorder="1" applyAlignment="1">
      <alignment horizontal="right" wrapText="1"/>
    </xf>
    <xf numFmtId="0" fontId="1" fillId="0" borderId="77" xfId="0" applyFont="1" applyBorder="1" applyAlignment="1">
      <alignment horizontal="right"/>
    </xf>
    <xf numFmtId="0" fontId="24" fillId="4" borderId="0" xfId="3" applyNumberFormat="1" applyFont="1" applyFill="1" applyAlignment="1">
      <alignment horizontal="center" vertical="center" wrapText="1"/>
    </xf>
    <xf numFmtId="0" fontId="14" fillId="3" borderId="0" xfId="3" applyNumberFormat="1" applyFont="1" applyFill="1" applyAlignment="1">
      <alignment horizontal="right"/>
    </xf>
    <xf numFmtId="0" fontId="17" fillId="4" borderId="4" xfId="3" applyNumberFormat="1" applyFont="1" applyFill="1" applyBorder="1">
      <alignment vertical="center"/>
    </xf>
    <xf numFmtId="166" fontId="1" fillId="4" borderId="4" xfId="3" applyNumberFormat="1" applyFont="1" applyFill="1" applyBorder="1">
      <alignment vertical="center"/>
    </xf>
    <xf numFmtId="0" fontId="17" fillId="4" borderId="1" xfId="3" applyNumberFormat="1" applyFont="1" applyFill="1" applyBorder="1">
      <alignment vertical="center"/>
    </xf>
    <xf numFmtId="166" fontId="1" fillId="4" borderId="1" xfId="3" applyNumberFormat="1" applyFont="1" applyFill="1" applyBorder="1">
      <alignment vertical="center"/>
    </xf>
    <xf numFmtId="0" fontId="17" fillId="0" borderId="1" xfId="3" applyNumberFormat="1" applyFont="1" applyBorder="1">
      <alignment vertical="center"/>
    </xf>
    <xf numFmtId="0" fontId="17" fillId="0" borderId="0" xfId="3" applyNumberFormat="1" applyFont="1">
      <alignment vertical="center"/>
    </xf>
    <xf numFmtId="0" fontId="24" fillId="0" borderId="0" xfId="3" applyNumberFormat="1" applyFont="1" applyAlignment="1">
      <alignment horizontal="center" vertical="center" wrapText="1"/>
    </xf>
    <xf numFmtId="0" fontId="1" fillId="7" borderId="0" xfId="0" applyFont="1" applyFill="1" applyAlignment="1">
      <alignment horizontal="right" vertical="center"/>
    </xf>
    <xf numFmtId="0" fontId="17" fillId="7" borderId="78" xfId="0" applyFont="1" applyFill="1" applyBorder="1" applyAlignment="1">
      <alignment vertical="center" wrapText="1"/>
    </xf>
    <xf numFmtId="0" fontId="17" fillId="7" borderId="9" xfId="0" applyFont="1" applyFill="1" applyBorder="1" applyAlignment="1">
      <alignment vertical="center" wrapText="1"/>
    </xf>
    <xf numFmtId="0" fontId="17" fillId="7" borderId="14" xfId="0" applyFont="1" applyFill="1" applyBorder="1" applyAlignment="1">
      <alignment vertical="center" wrapText="1"/>
    </xf>
    <xf numFmtId="165" fontId="1" fillId="4" borderId="4" xfId="1" applyNumberFormat="1" applyFont="1" applyFill="1" applyBorder="1">
      <alignment vertical="center"/>
    </xf>
    <xf numFmtId="165" fontId="1" fillId="4" borderId="0" xfId="1" applyNumberFormat="1" applyFont="1" applyFill="1">
      <alignment vertical="center"/>
    </xf>
    <xf numFmtId="165" fontId="1" fillId="4" borderId="11" xfId="1" applyNumberFormat="1" applyFont="1" applyFill="1" applyBorder="1">
      <alignment vertical="center"/>
    </xf>
    <xf numFmtId="165" fontId="1" fillId="4" borderId="0" xfId="0" applyNumberFormat="1" applyFont="1" applyFill="1" applyAlignment="1">
      <alignment horizontal="right" vertical="center"/>
    </xf>
    <xf numFmtId="10" fontId="1" fillId="4" borderId="0" xfId="0" applyNumberFormat="1" applyFont="1" applyFill="1" applyAlignment="1">
      <alignment horizontal="right" vertical="center"/>
    </xf>
    <xf numFmtId="10" fontId="1" fillId="4" borderId="4" xfId="0" applyNumberFormat="1" applyFont="1" applyFill="1" applyBorder="1" applyAlignment="1">
      <alignment horizontal="right" vertical="center"/>
    </xf>
    <xf numFmtId="10" fontId="1" fillId="4" borderId="1" xfId="0" applyNumberFormat="1" applyFont="1" applyFill="1" applyBorder="1">
      <alignment vertical="center"/>
    </xf>
    <xf numFmtId="10" fontId="1" fillId="4" borderId="0" xfId="0" applyNumberFormat="1" applyFont="1" applyFill="1">
      <alignment vertical="center"/>
    </xf>
    <xf numFmtId="10" fontId="1" fillId="4" borderId="12" xfId="0" applyNumberFormat="1" applyFont="1" applyFill="1" applyBorder="1">
      <alignment vertical="center"/>
    </xf>
    <xf numFmtId="9" fontId="1" fillId="4" borderId="0" xfId="0" applyNumberFormat="1" applyFont="1" applyFill="1" applyAlignment="1">
      <alignment horizontal="right" vertical="center"/>
    </xf>
    <xf numFmtId="9" fontId="1" fillId="4" borderId="1" xfId="0" applyNumberFormat="1" applyFont="1" applyFill="1" applyBorder="1" applyAlignment="1">
      <alignment horizontal="right" vertical="center"/>
    </xf>
    <xf numFmtId="10" fontId="1" fillId="0" borderId="5" xfId="0" applyNumberFormat="1" applyFont="1" applyBorder="1">
      <alignment vertical="center"/>
    </xf>
    <xf numFmtId="10" fontId="1" fillId="0" borderId="0" xfId="0" applyNumberFormat="1" applyFont="1" applyAlignment="1">
      <alignment horizontal="right" vertical="center"/>
    </xf>
    <xf numFmtId="0" fontId="1" fillId="0" borderId="13" xfId="0" applyFont="1" applyBorder="1" applyAlignment="1">
      <alignment horizontal="right" vertical="center"/>
    </xf>
    <xf numFmtId="10" fontId="1" fillId="0" borderId="4" xfId="0" applyNumberFormat="1" applyFont="1" applyBorder="1" applyAlignment="1">
      <alignment horizontal="right" vertical="center"/>
    </xf>
    <xf numFmtId="0" fontId="1" fillId="4" borderId="0" xfId="0" applyFont="1" applyFill="1" applyAlignment="1">
      <alignment horizontal="right" vertical="center"/>
    </xf>
    <xf numFmtId="165" fontId="1" fillId="4" borderId="9" xfId="1" applyNumberFormat="1" applyFont="1" applyFill="1" applyBorder="1">
      <alignment vertical="center"/>
    </xf>
    <xf numFmtId="0" fontId="22" fillId="9" borderId="0" xfId="3" applyNumberFormat="1" applyFont="1" applyFill="1">
      <alignment vertical="center"/>
    </xf>
    <xf numFmtId="0" fontId="44" fillId="0" borderId="0" xfId="0" applyFont="1" applyAlignment="1">
      <alignment vertical="center" wrapText="1"/>
    </xf>
    <xf numFmtId="0" fontId="12" fillId="0" borderId="0" xfId="0" applyFont="1" applyAlignment="1">
      <alignment vertical="top"/>
    </xf>
    <xf numFmtId="0" fontId="39" fillId="0" borderId="0" xfId="0" applyFont="1" applyAlignment="1">
      <alignment vertical="top" wrapText="1"/>
    </xf>
    <xf numFmtId="0" fontId="46" fillId="0" borderId="5" xfId="5" applyFont="1" applyBorder="1">
      <alignment vertical="center"/>
    </xf>
    <xf numFmtId="0" fontId="47" fillId="3" borderId="0" xfId="0" applyFont="1" applyFill="1" applyAlignment="1">
      <alignment vertical="center" wrapText="1"/>
    </xf>
    <xf numFmtId="0" fontId="48" fillId="3" borderId="0" xfId="0" applyFont="1" applyFill="1" applyAlignment="1">
      <alignment vertical="center" wrapText="1"/>
    </xf>
    <xf numFmtId="0" fontId="46" fillId="0" borderId="4" xfId="5" applyFont="1" applyBorder="1">
      <alignment vertical="center"/>
    </xf>
    <xf numFmtId="0" fontId="46" fillId="0" borderId="1" xfId="5" applyFont="1" applyBorder="1">
      <alignment vertical="center"/>
    </xf>
    <xf numFmtId="0" fontId="49" fillId="0" borderId="0" xfId="0" applyFont="1">
      <alignment vertical="center"/>
    </xf>
    <xf numFmtId="0" fontId="50" fillId="3" borderId="0" xfId="0" applyFont="1" applyFill="1" applyAlignment="1">
      <alignment vertical="center" wrapText="1"/>
    </xf>
    <xf numFmtId="0" fontId="51" fillId="0" borderId="4" xfId="5" applyFont="1" applyBorder="1">
      <alignment vertical="center"/>
    </xf>
    <xf numFmtId="0" fontId="51" fillId="0" borderId="1" xfId="5" applyFont="1" applyBorder="1">
      <alignment vertical="center"/>
    </xf>
    <xf numFmtId="0" fontId="51" fillId="0" borderId="5" xfId="5" applyFont="1" applyBorder="1">
      <alignment vertical="center"/>
    </xf>
    <xf numFmtId="0" fontId="46" fillId="0" borderId="0" xfId="5" applyFont="1">
      <alignment vertical="center"/>
    </xf>
    <xf numFmtId="0" fontId="53" fillId="0" borderId="0" xfId="0" applyFont="1">
      <alignment vertical="center"/>
    </xf>
    <xf numFmtId="0" fontId="18" fillId="0" borderId="1" xfId="0" applyFont="1" applyBorder="1" applyAlignment="1">
      <alignment horizontal="left" vertical="center"/>
    </xf>
    <xf numFmtId="0" fontId="18" fillId="0" borderId="79" xfId="0" applyFont="1" applyBorder="1" applyAlignment="1">
      <alignment horizontal="left" vertical="center" wrapText="1"/>
    </xf>
    <xf numFmtId="0" fontId="18" fillId="0" borderId="80" xfId="0" applyFont="1" applyBorder="1">
      <alignment vertical="center"/>
    </xf>
    <xf numFmtId="0" fontId="24" fillId="0" borderId="81" xfId="0" applyFont="1" applyBorder="1" applyAlignment="1">
      <alignment wrapText="1"/>
    </xf>
    <xf numFmtId="0" fontId="18" fillId="0" borderId="81" xfId="0" applyFont="1" applyBorder="1">
      <alignment vertical="center"/>
    </xf>
    <xf numFmtId="0" fontId="18" fillId="0" borderId="1" xfId="0" applyFont="1" applyBorder="1">
      <alignment vertical="center"/>
    </xf>
    <xf numFmtId="0" fontId="25" fillId="0" borderId="1" xfId="0" applyFont="1" applyBorder="1">
      <alignment vertical="center"/>
    </xf>
    <xf numFmtId="0" fontId="18" fillId="0" borderId="82" xfId="0" applyFont="1" applyBorder="1" applyAlignment="1">
      <alignment wrapText="1"/>
    </xf>
    <xf numFmtId="0" fontId="19" fillId="9" borderId="0" xfId="3" applyNumberFormat="1" applyFont="1" applyFill="1" applyAlignment="1">
      <alignment vertical="center" wrapText="1"/>
    </xf>
    <xf numFmtId="0" fontId="19" fillId="0" borderId="0" xfId="3" applyNumberFormat="1" applyFont="1">
      <alignmen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7" borderId="10" xfId="0" applyFont="1" applyFill="1" applyBorder="1" applyAlignment="1">
      <alignment horizontal="left" wrapText="1"/>
    </xf>
    <xf numFmtId="9" fontId="6" fillId="0" borderId="18" xfId="1" applyFont="1" applyBorder="1" applyAlignment="1">
      <alignment horizontal="right" vertical="center" readingOrder="2"/>
    </xf>
    <xf numFmtId="0" fontId="14" fillId="3" borderId="0" xfId="3" applyNumberFormat="1" applyFont="1" applyFill="1" applyAlignment="1">
      <alignment horizontal="left" vertical="center"/>
    </xf>
    <xf numFmtId="0" fontId="14" fillId="3" borderId="14" xfId="3" applyNumberFormat="1" applyFont="1" applyFill="1" applyBorder="1" applyAlignment="1">
      <alignment horizontal="left" vertical="center" wrapText="1"/>
    </xf>
    <xf numFmtId="0" fontId="17" fillId="4" borderId="4" xfId="0" applyFont="1" applyFill="1" applyBorder="1" applyAlignment="1">
      <alignment horizontal="left" vertical="center"/>
    </xf>
    <xf numFmtId="0" fontId="17" fillId="4" borderId="1" xfId="0" applyFont="1" applyFill="1" applyBorder="1" applyAlignment="1">
      <alignment horizontal="left" vertical="center"/>
    </xf>
    <xf numFmtId="0" fontId="17" fillId="0" borderId="5" xfId="0" applyFont="1" applyBorder="1" applyAlignment="1">
      <alignment horizontal="left" vertical="center"/>
    </xf>
    <xf numFmtId="0" fontId="44" fillId="0" borderId="0" xfId="3" applyNumberFormat="1" applyFont="1">
      <alignment vertical="center"/>
    </xf>
    <xf numFmtId="0" fontId="15" fillId="0" borderId="0" xfId="0" applyFont="1">
      <alignment vertical="center"/>
    </xf>
    <xf numFmtId="0" fontId="44" fillId="14" borderId="0" xfId="3" applyNumberFormat="1" applyFont="1" applyFill="1">
      <alignment vertical="center"/>
    </xf>
    <xf numFmtId="0" fontId="44" fillId="9" borderId="0" xfId="3" applyNumberFormat="1" applyFont="1" applyFill="1">
      <alignment vertical="center"/>
    </xf>
    <xf numFmtId="165" fontId="1" fillId="0" borderId="83" xfId="0" applyNumberFormat="1" applyFont="1" applyBorder="1">
      <alignment vertical="center"/>
    </xf>
    <xf numFmtId="165" fontId="1" fillId="0" borderId="84" xfId="0" applyNumberFormat="1" applyFont="1" applyBorder="1">
      <alignment vertical="center"/>
    </xf>
    <xf numFmtId="165" fontId="1" fillId="0" borderId="83" xfId="0" applyNumberFormat="1" applyFont="1" applyBorder="1" applyAlignment="1">
      <alignment horizontal="right"/>
    </xf>
    <xf numFmtId="0" fontId="23" fillId="4" borderId="4" xfId="0" applyFont="1" applyFill="1" applyBorder="1" applyAlignment="1">
      <alignment horizontal="left" vertical="center"/>
    </xf>
    <xf numFmtId="0" fontId="39" fillId="0" borderId="2" xfId="0" applyFont="1" applyBorder="1">
      <alignment vertical="center"/>
    </xf>
    <xf numFmtId="0" fontId="23" fillId="0" borderId="4" xfId="3" applyNumberFormat="1" applyFont="1" applyBorder="1" applyAlignment="1">
      <alignment horizontal="left" vertical="center" wrapText="1"/>
    </xf>
    <xf numFmtId="0" fontId="23" fillId="0" borderId="5" xfId="3" applyNumberFormat="1" applyFont="1" applyBorder="1" applyAlignment="1">
      <alignment horizontal="left" vertical="center" wrapText="1"/>
    </xf>
    <xf numFmtId="0" fontId="17" fillId="0" borderId="4" xfId="3" applyNumberFormat="1" applyFont="1" applyBorder="1" applyAlignment="1">
      <alignment horizontal="left" vertical="center"/>
    </xf>
    <xf numFmtId="0" fontId="17" fillId="0" borderId="1" xfId="3" applyNumberFormat="1" applyFont="1" applyBorder="1" applyAlignment="1">
      <alignment horizontal="left" vertical="center"/>
    </xf>
    <xf numFmtId="0" fontId="17" fillId="0" borderId="5" xfId="3" applyNumberFormat="1" applyFont="1" applyBorder="1" applyAlignment="1">
      <alignment horizontal="left" vertical="center"/>
    </xf>
    <xf numFmtId="0" fontId="17" fillId="0" borderId="0" xfId="3" applyNumberFormat="1" applyFont="1" applyAlignment="1">
      <alignment horizontal="left" vertical="center"/>
    </xf>
    <xf numFmtId="166" fontId="1" fillId="0" borderId="4" xfId="3" applyNumberFormat="1" applyFont="1" applyBorder="1" applyAlignment="1">
      <alignment horizontal="left" vertical="center"/>
    </xf>
    <xf numFmtId="166" fontId="1" fillId="0" borderId="1" xfId="3" applyNumberFormat="1" applyFont="1" applyBorder="1" applyAlignment="1">
      <alignment horizontal="left" vertical="center"/>
    </xf>
    <xf numFmtId="166" fontId="17" fillId="0" borderId="1" xfId="3" applyNumberFormat="1" applyFont="1" applyBorder="1" applyAlignment="1">
      <alignment horizontal="left" vertical="center"/>
    </xf>
    <xf numFmtId="166" fontId="1" fillId="0" borderId="1" xfId="3" applyNumberFormat="1" applyFont="1" applyBorder="1" applyAlignment="1">
      <alignment vertical="top"/>
    </xf>
    <xf numFmtId="0" fontId="17" fillId="0" borderId="4" xfId="0" applyFont="1" applyBorder="1" applyAlignment="1">
      <alignment horizontal="left" vertical="center" wrapText="1"/>
    </xf>
    <xf numFmtId="0" fontId="17" fillId="5" borderId="10" xfId="0" applyFont="1" applyFill="1" applyBorder="1" applyAlignment="1">
      <alignment horizontal="right" vertical="center" wrapText="1"/>
    </xf>
    <xf numFmtId="0" fontId="55" fillId="0" borderId="2" xfId="0" applyFont="1" applyBorder="1">
      <alignment vertical="center"/>
    </xf>
    <xf numFmtId="0" fontId="22" fillId="0" borderId="2" xfId="0" applyFont="1" applyBorder="1">
      <alignment vertical="center"/>
    </xf>
    <xf numFmtId="0" fontId="56" fillId="0" borderId="0" xfId="0" applyFont="1">
      <alignment vertical="center"/>
    </xf>
    <xf numFmtId="0" fontId="56" fillId="0" borderId="2" xfId="0" applyFont="1" applyBorder="1">
      <alignment vertical="center"/>
    </xf>
    <xf numFmtId="0" fontId="17" fillId="0" borderId="1" xfId="3" applyNumberFormat="1" applyFont="1" applyBorder="1" applyAlignment="1">
      <alignment horizontal="left" vertical="center" wrapText="1"/>
    </xf>
    <xf numFmtId="0" fontId="17" fillId="0" borderId="5" xfId="3" applyNumberFormat="1" applyFont="1" applyBorder="1" applyAlignment="1">
      <alignment horizontal="left" vertical="center" wrapText="1"/>
    </xf>
    <xf numFmtId="0" fontId="12" fillId="0" borderId="0" xfId="3" applyNumberFormat="1" applyFont="1" applyAlignment="1">
      <alignment horizontal="left" vertical="center" wrapText="1"/>
    </xf>
    <xf numFmtId="0" fontId="24" fillId="0" borderId="1" xfId="3" applyNumberFormat="1" applyFont="1" applyBorder="1" applyAlignment="1">
      <alignment horizontal="left" vertical="center" wrapText="1"/>
    </xf>
    <xf numFmtId="0" fontId="24" fillId="0" borderId="5" xfId="3" applyNumberFormat="1" applyFont="1" applyBorder="1" applyAlignment="1">
      <alignment horizontal="left" vertical="center" wrapText="1"/>
    </xf>
    <xf numFmtId="0" fontId="15" fillId="0" borderId="0" xfId="3" applyNumberFormat="1" applyFont="1">
      <alignment vertical="center"/>
    </xf>
    <xf numFmtId="0" fontId="23" fillId="0" borderId="5" xfId="3" applyNumberFormat="1" applyFont="1" applyBorder="1" applyAlignment="1">
      <alignment horizontal="left" vertical="center"/>
    </xf>
    <xf numFmtId="0" fontId="23" fillId="0" borderId="0" xfId="3" applyNumberFormat="1" applyFont="1" applyAlignment="1">
      <alignment horizontal="left" vertical="center"/>
    </xf>
    <xf numFmtId="0" fontId="33" fillId="0" borderId="0" xfId="3" applyNumberFormat="1" applyFont="1" applyAlignment="1">
      <alignment horizontal="left" vertical="center" wrapText="1"/>
    </xf>
    <xf numFmtId="0" fontId="11" fillId="0" borderId="0" xfId="0" applyFont="1" applyAlignment="1">
      <alignment horizontal="left" vertical="top" wrapText="1"/>
    </xf>
    <xf numFmtId="0" fontId="14" fillId="3" borderId="0" xfId="3" applyNumberFormat="1" applyFont="1" applyFill="1" applyAlignment="1">
      <alignment horizontal="center" wrapText="1"/>
    </xf>
    <xf numFmtId="0" fontId="14" fillId="3" borderId="6" xfId="0" applyFont="1" applyFill="1" applyBorder="1" applyAlignment="1">
      <alignment horizontal="center" wrapText="1"/>
    </xf>
    <xf numFmtId="3" fontId="1" fillId="0" borderId="4" xfId="3" applyNumberFormat="1" applyFont="1" applyBorder="1" applyAlignment="1">
      <alignment horizontal="right" vertical="center"/>
    </xf>
    <xf numFmtId="3" fontId="1" fillId="4" borderId="4" xfId="3" applyNumberFormat="1" applyFont="1" applyFill="1" applyBorder="1">
      <alignment vertical="center"/>
    </xf>
    <xf numFmtId="0" fontId="13" fillId="0" borderId="0" xfId="0" applyFont="1" applyAlignment="1">
      <alignment horizontal="left"/>
    </xf>
    <xf numFmtId="0" fontId="23" fillId="0" borderId="0" xfId="3" applyNumberFormat="1" applyFont="1" applyAlignment="1">
      <alignment horizontal="left" vertical="center" wrapText="1"/>
    </xf>
    <xf numFmtId="0" fontId="1" fillId="0" borderId="0" xfId="0" applyFont="1" applyAlignment="1">
      <alignment horizontal="left"/>
    </xf>
    <xf numFmtId="0" fontId="44" fillId="9" borderId="0" xfId="3" applyNumberFormat="1" applyFont="1" applyFill="1" applyAlignment="1">
      <alignment vertical="center" wrapText="1"/>
    </xf>
    <xf numFmtId="49" fontId="1" fillId="0" borderId="1" xfId="0" applyNumberFormat="1" applyFont="1" applyBorder="1" applyAlignment="1">
      <alignment horizontal="right" vertical="center" wrapText="1"/>
    </xf>
    <xf numFmtId="49" fontId="1" fillId="0" borderId="5" xfId="0" applyNumberFormat="1" applyFont="1" applyBorder="1" applyAlignment="1">
      <alignment horizontal="right" vertical="center" wrapText="1"/>
    </xf>
    <xf numFmtId="0" fontId="17" fillId="7" borderId="0" xfId="0" applyFont="1" applyFill="1" applyAlignment="1">
      <alignment horizontal="center" vertical="top"/>
    </xf>
    <xf numFmtId="0" fontId="17" fillId="7" borderId="10" xfId="0" applyFont="1" applyFill="1" applyBorder="1" applyAlignment="1">
      <alignment horizontal="center" vertical="top" wrapText="1"/>
    </xf>
    <xf numFmtId="0" fontId="17" fillId="7" borderId="75" xfId="0" applyFont="1" applyFill="1" applyBorder="1" applyAlignment="1">
      <alignment horizontal="center" vertical="top"/>
    </xf>
    <xf numFmtId="0" fontId="17" fillId="7" borderId="0" xfId="0" applyFont="1" applyFill="1" applyAlignment="1">
      <alignment horizontal="center" vertical="top" wrapText="1"/>
    </xf>
    <xf numFmtId="0" fontId="17" fillId="7" borderId="0" xfId="0" applyFont="1" applyFill="1" applyAlignment="1">
      <alignment horizontal="center" vertical="center"/>
    </xf>
    <xf numFmtId="0" fontId="37" fillId="0" borderId="0" xfId="0" applyFont="1">
      <alignment vertical="center"/>
    </xf>
    <xf numFmtId="0" fontId="1" fillId="0" borderId="0" xfId="0" applyFont="1" applyAlignment="1">
      <alignment horizontal="left" vertical="center"/>
    </xf>
    <xf numFmtId="0" fontId="14" fillId="3" borderId="0" xfId="0" applyFont="1" applyFill="1" applyAlignment="1">
      <alignment horizontal="center" wrapText="1"/>
    </xf>
    <xf numFmtId="9" fontId="1" fillId="0" borderId="4" xfId="0" applyNumberFormat="1" applyFont="1" applyBorder="1" applyAlignment="1">
      <alignment horizontal="center" vertical="center"/>
    </xf>
    <xf numFmtId="9" fontId="1" fillId="0" borderId="1" xfId="0" applyNumberFormat="1" applyFont="1" applyBorder="1" applyAlignment="1">
      <alignment horizontal="center" vertical="center"/>
    </xf>
    <xf numFmtId="0" fontId="17" fillId="5" borderId="85" xfId="0" applyFont="1" applyFill="1" applyBorder="1" applyAlignment="1">
      <alignment horizontal="left" vertical="top"/>
    </xf>
    <xf numFmtId="0" fontId="17" fillId="5" borderId="85" xfId="0" applyFont="1" applyFill="1" applyBorder="1" applyAlignment="1">
      <alignment horizontal="left" vertical="top" wrapText="1"/>
    </xf>
    <xf numFmtId="0" fontId="17" fillId="5" borderId="86" xfId="0" applyFont="1" applyFill="1" applyBorder="1" applyAlignment="1">
      <alignment horizontal="left" vertical="top"/>
    </xf>
    <xf numFmtId="0" fontId="17" fillId="5" borderId="86" xfId="0" applyFont="1" applyFill="1" applyBorder="1" applyAlignment="1">
      <alignment horizontal="left" vertical="top" wrapText="1"/>
    </xf>
    <xf numFmtId="0" fontId="17" fillId="5" borderId="87" xfId="0" applyFont="1" applyFill="1" applyBorder="1" applyAlignment="1">
      <alignment horizontal="left" vertical="top"/>
    </xf>
    <xf numFmtId="0" fontId="17" fillId="5" borderId="87" xfId="0" applyFont="1" applyFill="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4" fillId="3" borderId="0" xfId="0" applyFont="1" applyFill="1" applyAlignment="1">
      <alignment horizontal="left" vertical="center" wrapText="1"/>
    </xf>
    <xf numFmtId="0" fontId="37" fillId="0" borderId="2" xfId="0" applyFont="1" applyBorder="1">
      <alignment vertical="center"/>
    </xf>
    <xf numFmtId="0" fontId="17" fillId="4" borderId="86" xfId="0" applyFont="1" applyFill="1" applyBorder="1" applyAlignment="1">
      <alignment horizontal="left" vertical="center" wrapText="1"/>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7" fillId="4" borderId="87" xfId="0" applyFont="1" applyFill="1" applyBorder="1" applyAlignment="1">
      <alignment horizontal="left" vertical="center" wrapText="1"/>
    </xf>
    <xf numFmtId="0" fontId="1" fillId="4" borderId="5" xfId="0" applyFont="1" applyFill="1" applyBorder="1" applyAlignment="1">
      <alignment horizontal="left" vertical="center"/>
    </xf>
    <xf numFmtId="0" fontId="1" fillId="4" borderId="5" xfId="0" applyFont="1" applyFill="1" applyBorder="1" applyAlignment="1">
      <alignment horizontal="left" vertical="center" wrapText="1"/>
    </xf>
    <xf numFmtId="0" fontId="20" fillId="4" borderId="5" xfId="5" applyFont="1" applyFill="1" applyBorder="1" applyAlignment="1">
      <alignment horizontal="left" vertical="center" wrapText="1"/>
    </xf>
    <xf numFmtId="0" fontId="15" fillId="0" borderId="2" xfId="0" applyFont="1" applyBorder="1">
      <alignment vertical="center"/>
    </xf>
    <xf numFmtId="0" fontId="14" fillId="3" borderId="0" xfId="0" applyFont="1" applyFill="1" applyAlignment="1">
      <alignment horizontal="left" vertical="top" wrapText="1"/>
    </xf>
    <xf numFmtId="0" fontId="17" fillId="7" borderId="85" xfId="0" applyFont="1" applyFill="1" applyBorder="1" applyAlignment="1">
      <alignment horizontal="left" vertical="center" wrapText="1"/>
    </xf>
    <xf numFmtId="9" fontId="1" fillId="0" borderId="4" xfId="0" applyNumberFormat="1" applyFont="1" applyBorder="1" applyAlignment="1">
      <alignment horizontal="left" vertical="center" wrapText="1"/>
    </xf>
    <xf numFmtId="0" fontId="17" fillId="7" borderId="86" xfId="0" applyFont="1" applyFill="1" applyBorder="1" applyAlignment="1">
      <alignment horizontal="left" vertical="center" wrapText="1"/>
    </xf>
    <xf numFmtId="9" fontId="1" fillId="0" borderId="1" xfId="0" applyNumberFormat="1" applyFont="1" applyBorder="1" applyAlignment="1">
      <alignment horizontal="left" vertical="center" wrapText="1"/>
    </xf>
    <xf numFmtId="0" fontId="1" fillId="0" borderId="4" xfId="0" applyFont="1" applyBorder="1" applyAlignment="1">
      <alignment horizontal="center" vertical="center"/>
    </xf>
    <xf numFmtId="9" fontId="1" fillId="0" borderId="4"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0" xfId="0" applyFont="1" applyAlignment="1">
      <alignment horizontal="center"/>
    </xf>
    <xf numFmtId="0" fontId="14" fillId="3" borderId="6" xfId="0" applyFont="1" applyFill="1" applyBorder="1" applyAlignment="1">
      <alignment horizontal="left" vertical="center" wrapText="1"/>
    </xf>
    <xf numFmtId="0" fontId="44" fillId="0" borderId="2" xfId="0" applyFont="1" applyBorder="1">
      <alignment vertical="center"/>
    </xf>
    <xf numFmtId="0" fontId="58" fillId="0" borderId="2" xfId="0" applyFont="1" applyBorder="1">
      <alignment vertical="center"/>
    </xf>
    <xf numFmtId="0" fontId="44" fillId="0" borderId="0" xfId="6" applyNumberFormat="1" applyFont="1">
      <alignment vertical="center"/>
    </xf>
    <xf numFmtId="0" fontId="44" fillId="0" borderId="88" xfId="6" applyNumberFormat="1" applyFont="1" applyBorder="1">
      <alignment vertical="center"/>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23" fillId="0" borderId="4" xfId="7" applyFont="1" applyBorder="1" applyAlignment="1">
      <alignment horizontal="left" vertical="center" wrapText="1"/>
    </xf>
    <xf numFmtId="0" fontId="23" fillId="0" borderId="1" xfId="7" applyFont="1" applyBorder="1" applyAlignment="1">
      <alignment horizontal="left" vertical="center" wrapText="1"/>
    </xf>
    <xf numFmtId="0" fontId="23" fillId="0" borderId="0" xfId="7" applyFont="1" applyAlignment="1">
      <alignment horizontal="left" vertical="center" wrapText="1"/>
    </xf>
    <xf numFmtId="0" fontId="23" fillId="0" borderId="0" xfId="0" applyFont="1" applyAlignment="1">
      <alignment horizontal="left" vertical="center" wrapText="1"/>
    </xf>
    <xf numFmtId="0" fontId="23" fillId="4" borderId="4"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0" xfId="0" applyFont="1" applyFill="1" applyAlignment="1">
      <alignment horizontal="left" vertical="center" wrapText="1"/>
    </xf>
    <xf numFmtId="0" fontId="23" fillId="0" borderId="4" xfId="0" applyFont="1" applyBorder="1" applyAlignment="1">
      <alignment horizontal="left" vertical="center" wrapText="1"/>
    </xf>
    <xf numFmtId="9" fontId="18" fillId="0" borderId="0" xfId="3" applyNumberFormat="1" applyFont="1" applyAlignment="1">
      <alignment horizontal="right" vertical="center" wrapText="1"/>
    </xf>
    <xf numFmtId="9" fontId="1" fillId="0" borderId="0" xfId="3" applyNumberFormat="1" applyFont="1" applyAlignment="1">
      <alignment horizontal="right" vertical="center"/>
    </xf>
    <xf numFmtId="9" fontId="1" fillId="4" borderId="0" xfId="6" applyNumberFormat="1" applyFont="1" applyFill="1" applyAlignment="1">
      <alignment horizontal="right" vertical="center"/>
    </xf>
    <xf numFmtId="9" fontId="1" fillId="0" borderId="0" xfId="6" applyNumberFormat="1" applyFont="1" applyAlignment="1">
      <alignment horizontal="right" vertical="center"/>
    </xf>
    <xf numFmtId="1" fontId="18" fillId="0" borderId="0" xfId="3" applyNumberFormat="1" applyFont="1" applyAlignment="1">
      <alignment horizontal="right" vertical="center" wrapText="1"/>
    </xf>
    <xf numFmtId="1" fontId="1" fillId="0" borderId="0" xfId="3" applyNumberFormat="1" applyFont="1" applyAlignment="1">
      <alignment horizontal="right" vertical="center"/>
    </xf>
    <xf numFmtId="1" fontId="1" fillId="4" borderId="0" xfId="6" applyNumberFormat="1" applyFont="1" applyFill="1" applyAlignment="1">
      <alignment horizontal="right" vertical="center"/>
    </xf>
    <xf numFmtId="1" fontId="1" fillId="0" borderId="0" xfId="6" applyNumberFormat="1" applyFont="1" applyAlignment="1">
      <alignment horizontal="right" vertical="center"/>
    </xf>
    <xf numFmtId="1" fontId="1" fillId="4" borderId="0" xfId="7" applyNumberFormat="1" applyFont="1" applyFill="1" applyAlignment="1">
      <alignment horizontal="right" vertical="center"/>
    </xf>
    <xf numFmtId="9" fontId="24" fillId="4" borderId="4" xfId="7" applyNumberFormat="1" applyFont="1" applyFill="1" applyBorder="1" applyAlignment="1">
      <alignment horizontal="center" vertical="center" wrapText="1"/>
    </xf>
    <xf numFmtId="9" fontId="24" fillId="4" borderId="1" xfId="0" applyNumberFormat="1" applyFont="1" applyFill="1" applyBorder="1" applyAlignment="1">
      <alignment horizontal="center" vertical="center" wrapText="1"/>
    </xf>
    <xf numFmtId="166" fontId="24" fillId="4" borderId="29" xfId="3" applyNumberFormat="1" applyFont="1" applyFill="1" applyBorder="1" applyAlignment="1">
      <alignment horizontal="right" vertical="center" wrapText="1"/>
    </xf>
    <xf numFmtId="0" fontId="23" fillId="4" borderId="20" xfId="0" applyFont="1" applyFill="1" applyBorder="1" applyAlignment="1">
      <alignment horizontal="left" vertical="center" wrapText="1"/>
    </xf>
    <xf numFmtId="0" fontId="23" fillId="4" borderId="27"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 fillId="0" borderId="5" xfId="0" applyFont="1" applyBorder="1" applyAlignment="1">
      <alignment horizontal="left" vertical="center" wrapText="1"/>
    </xf>
    <xf numFmtId="0" fontId="1" fillId="4" borderId="29" xfId="0" applyFont="1" applyFill="1" applyBorder="1" applyAlignment="1">
      <alignment horizontal="left" vertical="center" wrapText="1"/>
    </xf>
    <xf numFmtId="9" fontId="1" fillId="4" borderId="1" xfId="8" applyNumberFormat="1" applyFont="1" applyFill="1" applyBorder="1" applyAlignment="1" applyProtection="1">
      <alignment horizontal="center" vertical="center"/>
      <protection locked="0"/>
    </xf>
    <xf numFmtId="0" fontId="12" fillId="0" borderId="49" xfId="0" applyFont="1" applyBorder="1" applyAlignment="1">
      <alignment horizontal="left" vertical="center"/>
    </xf>
    <xf numFmtId="0" fontId="17" fillId="8" borderId="89" xfId="0" applyFont="1" applyFill="1" applyBorder="1" applyAlignment="1">
      <alignment horizontal="left" vertical="center"/>
    </xf>
    <xf numFmtId="0" fontId="17" fillId="5" borderId="90" xfId="0" applyFont="1" applyFill="1" applyBorder="1" applyAlignment="1">
      <alignment horizontal="center" vertical="center"/>
    </xf>
    <xf numFmtId="0" fontId="17" fillId="5" borderId="35" xfId="0" applyFont="1" applyFill="1" applyBorder="1" applyAlignment="1">
      <alignment horizontal="center" vertical="center" wrapText="1"/>
    </xf>
    <xf numFmtId="0" fontId="17" fillId="5" borderId="0" xfId="0" applyFont="1" applyFill="1" applyAlignment="1">
      <alignment horizontal="center" vertical="center"/>
    </xf>
    <xf numFmtId="0" fontId="17" fillId="5" borderId="91" xfId="0" applyFont="1" applyFill="1" applyBorder="1" applyAlignment="1">
      <alignment horizontal="center" vertical="center" wrapText="1"/>
    </xf>
    <xf numFmtId="0" fontId="12" fillId="8" borderId="92" xfId="0" applyFont="1" applyFill="1" applyBorder="1" applyAlignment="1">
      <alignment horizontal="right" vertical="center"/>
    </xf>
    <xf numFmtId="165" fontId="12" fillId="8" borderId="93" xfId="1" applyNumberFormat="1" applyFont="1" applyFill="1" applyBorder="1" applyAlignment="1">
      <alignment horizontal="right" vertical="center"/>
    </xf>
    <xf numFmtId="0" fontId="12" fillId="8" borderId="94" xfId="0" applyFont="1" applyFill="1" applyBorder="1" applyAlignment="1">
      <alignment horizontal="right" vertical="center"/>
    </xf>
    <xf numFmtId="1" fontId="12" fillId="8" borderId="95" xfId="0" applyNumberFormat="1" applyFont="1" applyFill="1" applyBorder="1" applyAlignment="1">
      <alignment horizontal="right" vertical="center"/>
    </xf>
    <xf numFmtId="165" fontId="12" fillId="8" borderId="96" xfId="1" applyNumberFormat="1" applyFont="1" applyFill="1" applyBorder="1" applyAlignment="1">
      <alignment horizontal="right" vertical="center"/>
    </xf>
    <xf numFmtId="0" fontId="12" fillId="8" borderId="97" xfId="0" applyFont="1" applyFill="1" applyBorder="1" applyAlignment="1">
      <alignment horizontal="right" vertical="center"/>
    </xf>
    <xf numFmtId="0" fontId="12" fillId="8" borderId="95" xfId="0" applyFont="1" applyFill="1" applyBorder="1" applyAlignment="1">
      <alignment horizontal="right" vertical="center"/>
    </xf>
    <xf numFmtId="2" fontId="12" fillId="8" borderId="95" xfId="0" applyNumberFormat="1" applyFont="1" applyFill="1" applyBorder="1" applyAlignment="1">
      <alignment horizontal="right" vertical="center"/>
    </xf>
    <xf numFmtId="0" fontId="12" fillId="8" borderId="48" xfId="0" applyFont="1" applyFill="1" applyBorder="1" applyAlignment="1">
      <alignment horizontal="right" vertical="center"/>
    </xf>
    <xf numFmtId="165" fontId="12" fillId="8" borderId="98" xfId="1" applyNumberFormat="1" applyFont="1" applyFill="1" applyBorder="1" applyAlignment="1">
      <alignment horizontal="right" vertical="center"/>
    </xf>
    <xf numFmtId="1" fontId="12" fillId="8" borderId="48" xfId="0" applyNumberFormat="1" applyFont="1" applyFill="1" applyBorder="1" applyAlignment="1">
      <alignment horizontal="right" vertical="center"/>
    </xf>
    <xf numFmtId="2" fontId="12" fillId="8" borderId="48" xfId="0" applyNumberFormat="1" applyFont="1" applyFill="1" applyBorder="1" applyAlignment="1">
      <alignment horizontal="right" vertical="center"/>
    </xf>
    <xf numFmtId="0" fontId="14" fillId="3" borderId="50" xfId="0" applyFont="1" applyFill="1" applyBorder="1" applyAlignment="1">
      <alignment horizontal="left" vertical="center"/>
    </xf>
    <xf numFmtId="0" fontId="17" fillId="5" borderId="4"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23" fillId="7" borderId="0" xfId="0" applyFont="1" applyFill="1" applyAlignment="1">
      <alignment horizontal="center" vertical="center"/>
    </xf>
    <xf numFmtId="0" fontId="23" fillId="7" borderId="14" xfId="0" applyFont="1" applyFill="1" applyBorder="1" applyAlignment="1">
      <alignment horizontal="center" vertical="center"/>
    </xf>
    <xf numFmtId="0" fontId="17" fillId="4" borderId="1"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7" borderId="10" xfId="0" applyFont="1" applyFill="1" applyBorder="1" applyAlignment="1">
      <alignment horizontal="center" vertical="center" wrapText="1"/>
    </xf>
    <xf numFmtId="0" fontId="17" fillId="7" borderId="56"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33" xfId="0" applyFont="1" applyFill="1" applyBorder="1" applyAlignment="1">
      <alignment horizontal="center" vertical="center"/>
    </xf>
    <xf numFmtId="0" fontId="17" fillId="7" borderId="66" xfId="0" applyFont="1" applyFill="1" applyBorder="1" applyAlignment="1">
      <alignment horizontal="center" vertical="center"/>
    </xf>
    <xf numFmtId="0" fontId="14" fillId="3" borderId="99" xfId="0" applyFont="1" applyFill="1" applyBorder="1" applyAlignment="1">
      <alignment horizontal="center" vertical="center" wrapText="1"/>
    </xf>
    <xf numFmtId="0" fontId="14" fillId="3" borderId="100" xfId="0" applyFont="1" applyFill="1" applyBorder="1" applyAlignment="1">
      <alignment horizontal="center" vertical="center" wrapText="1"/>
    </xf>
    <xf numFmtId="0" fontId="23" fillId="4" borderId="0" xfId="3" applyNumberFormat="1" applyFont="1" applyFill="1" applyAlignment="1">
      <alignment horizontal="left" vertical="center"/>
    </xf>
    <xf numFmtId="166" fontId="2" fillId="0" borderId="0" xfId="3" applyNumberFormat="1" applyFont="1" applyAlignment="1">
      <alignment horizontal="left" vertical="center" wrapText="1"/>
    </xf>
    <xf numFmtId="0" fontId="37" fillId="0" borderId="0" xfId="0" applyFont="1" applyAlignment="1">
      <alignment horizontal="right" vertical="center" wrapText="1"/>
    </xf>
    <xf numFmtId="0" fontId="17" fillId="7" borderId="32" xfId="0" applyFont="1" applyFill="1" applyBorder="1" applyAlignment="1">
      <alignment horizontal="center" vertical="center" wrapText="1"/>
    </xf>
    <xf numFmtId="0" fontId="18" fillId="0" borderId="4" xfId="0" applyFont="1" applyBorder="1" applyAlignment="1">
      <alignment horizontal="right" vertical="center" wrapText="1"/>
    </xf>
    <xf numFmtId="0" fontId="24" fillId="4" borderId="20" xfId="0" applyFont="1" applyFill="1" applyBorder="1" applyAlignment="1">
      <alignment horizontal="left" vertical="center" wrapText="1"/>
    </xf>
    <xf numFmtId="0" fontId="24" fillId="4" borderId="27" xfId="0" applyFont="1" applyFill="1" applyBorder="1" applyAlignment="1">
      <alignment horizontal="left" vertical="center" wrapText="1"/>
    </xf>
    <xf numFmtId="0" fontId="37" fillId="0" borderId="2" xfId="0" applyFont="1" applyBorder="1" applyAlignment="1">
      <alignment wrapText="1"/>
    </xf>
    <xf numFmtId="9" fontId="24" fillId="4" borderId="1" xfId="7" applyNumberFormat="1" applyFont="1" applyFill="1" applyBorder="1" applyAlignment="1">
      <alignment horizontal="center" vertical="center" wrapText="1"/>
    </xf>
    <xf numFmtId="0" fontId="12" fillId="0" borderId="0" xfId="0" applyFont="1" applyAlignment="1">
      <alignment horizontal="left" vertical="center"/>
    </xf>
    <xf numFmtId="9" fontId="24" fillId="0" borderId="1" xfId="0" applyNumberFormat="1" applyFont="1" applyBorder="1" applyAlignment="1">
      <alignment horizontal="center" vertical="center" wrapText="1"/>
    </xf>
    <xf numFmtId="0" fontId="44" fillId="14" borderId="0" xfId="3" applyNumberFormat="1" applyFont="1" applyFill="1" applyAlignment="1">
      <alignment horizontal="left" vertical="center" readingOrder="1"/>
    </xf>
    <xf numFmtId="0" fontId="44" fillId="14" borderId="0" xfId="3" applyNumberFormat="1" applyFont="1" applyFill="1" applyAlignment="1">
      <alignment horizontal="left" vertical="center"/>
    </xf>
    <xf numFmtId="0" fontId="22" fillId="9" borderId="0" xfId="3" applyNumberFormat="1" applyFont="1" applyFill="1" applyAlignment="1">
      <alignment horizontal="center" vertical="center" wrapText="1"/>
    </xf>
    <xf numFmtId="0" fontId="17" fillId="0" borderId="106" xfId="0" applyFont="1" applyBorder="1" applyAlignment="1">
      <alignment horizontal="center" vertical="center"/>
    </xf>
    <xf numFmtId="0" fontId="17" fillId="0" borderId="83" xfId="0" applyFont="1" applyBorder="1" applyAlignment="1">
      <alignment horizontal="center" vertical="center"/>
    </xf>
    <xf numFmtId="0" fontId="24" fillId="5" borderId="107" xfId="3" applyNumberFormat="1" applyFont="1" applyFill="1" applyBorder="1" applyAlignment="1">
      <alignment horizontal="center" vertical="center" wrapText="1"/>
    </xf>
    <xf numFmtId="0" fontId="24" fillId="5" borderId="108" xfId="3" applyNumberFormat="1" applyFont="1" applyFill="1" applyBorder="1" applyAlignment="1">
      <alignment horizontal="center" vertical="center" wrapText="1"/>
    </xf>
    <xf numFmtId="0" fontId="24" fillId="5" borderId="109" xfId="3"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24" fillId="5" borderId="0" xfId="3" applyNumberFormat="1" applyFont="1" applyFill="1" applyAlignment="1">
      <alignment horizontal="center" vertical="center" wrapText="1"/>
    </xf>
    <xf numFmtId="0" fontId="17" fillId="7" borderId="110" xfId="3" applyNumberFormat="1" applyFont="1" applyFill="1" applyBorder="1" applyAlignment="1">
      <alignment horizontal="center" vertical="center"/>
    </xf>
    <xf numFmtId="0" fontId="17" fillId="7" borderId="0" xfId="3" applyNumberFormat="1" applyFont="1" applyFill="1" applyAlignment="1">
      <alignment horizontal="center" vertical="center"/>
    </xf>
    <xf numFmtId="0" fontId="17" fillId="7" borderId="88" xfId="3" applyNumberFormat="1" applyFont="1" applyFill="1" applyBorder="1" applyAlignment="1">
      <alignment horizontal="center" vertical="center"/>
    </xf>
    <xf numFmtId="0" fontId="14" fillId="3" borderId="0" xfId="0" applyFont="1" applyFill="1" applyAlignment="1">
      <alignment horizontal="center"/>
    </xf>
    <xf numFmtId="0" fontId="14" fillId="3" borderId="8" xfId="0" applyFont="1" applyFill="1" applyBorder="1" applyAlignment="1">
      <alignment horizontal="center"/>
    </xf>
    <xf numFmtId="0" fontId="14" fillId="3" borderId="14" xfId="0" applyFont="1" applyFill="1" applyBorder="1" applyAlignment="1">
      <alignment horizontal="center"/>
    </xf>
    <xf numFmtId="0" fontId="19" fillId="9" borderId="0" xfId="3" applyNumberFormat="1" applyFont="1" applyFill="1" applyAlignment="1">
      <alignment horizontal="center" vertical="center" wrapText="1"/>
    </xf>
    <xf numFmtId="9" fontId="1" fillId="0" borderId="5" xfId="1" applyFont="1" applyBorder="1" applyAlignment="1">
      <alignment horizontal="right" vertical="center"/>
    </xf>
    <xf numFmtId="9" fontId="1" fillId="0" borderId="105" xfId="1" applyFont="1" applyBorder="1" applyAlignment="1">
      <alignment horizontal="right" vertical="center"/>
    </xf>
    <xf numFmtId="0" fontId="24" fillId="5" borderId="8" xfId="3" applyNumberFormat="1" applyFont="1" applyFill="1" applyBorder="1" applyAlignment="1">
      <alignment horizontal="center" vertical="center" wrapText="1"/>
    </xf>
    <xf numFmtId="0" fontId="14" fillId="3" borderId="0" xfId="0" applyFont="1" applyFill="1" applyAlignment="1">
      <alignment horizontal="right" vertical="center" wrapText="1"/>
    </xf>
    <xf numFmtId="0" fontId="14" fillId="3" borderId="14" xfId="0" applyFont="1" applyFill="1" applyBorder="1" applyAlignment="1">
      <alignment horizontal="right" vertical="center" wrapText="1"/>
    </xf>
    <xf numFmtId="9" fontId="1" fillId="0" borderId="4" xfId="1" applyFont="1" applyBorder="1" applyAlignment="1">
      <alignment horizontal="right" vertical="center"/>
    </xf>
    <xf numFmtId="9" fontId="1" fillId="0" borderId="76" xfId="1" applyFont="1" applyBorder="1" applyAlignment="1">
      <alignment horizontal="right" vertical="center"/>
    </xf>
    <xf numFmtId="166" fontId="1" fillId="4" borderId="0" xfId="3" applyNumberFormat="1" applyFont="1" applyFill="1" applyAlignment="1">
      <alignment horizontal="center" vertical="center"/>
    </xf>
    <xf numFmtId="166" fontId="1" fillId="4" borderId="4" xfId="3" applyNumberFormat="1" applyFont="1" applyFill="1" applyBorder="1" applyAlignment="1">
      <alignment horizontal="center" vertical="center"/>
    </xf>
    <xf numFmtId="166" fontId="1" fillId="4" borderId="5" xfId="3" applyNumberFormat="1" applyFont="1" applyFill="1" applyBorder="1" applyAlignment="1">
      <alignment horizontal="center" vertical="center"/>
    </xf>
    <xf numFmtId="0" fontId="14" fillId="3" borderId="101" xfId="0" applyFont="1" applyFill="1" applyBorder="1" applyAlignment="1">
      <alignment horizontal="center" vertical="center" wrapText="1"/>
    </xf>
    <xf numFmtId="0" fontId="14" fillId="3" borderId="102" xfId="0" applyFont="1" applyFill="1" applyBorder="1" applyAlignment="1">
      <alignment horizontal="center" vertical="center" wrapText="1"/>
    </xf>
    <xf numFmtId="0" fontId="14" fillId="3" borderId="103" xfId="0" applyFont="1" applyFill="1" applyBorder="1" applyAlignment="1">
      <alignment horizontal="center" vertical="center" wrapText="1"/>
    </xf>
    <xf numFmtId="0" fontId="14" fillId="3" borderId="104" xfId="0" applyFont="1" applyFill="1" applyBorder="1" applyAlignment="1">
      <alignment horizontal="center" vertical="center" wrapText="1"/>
    </xf>
    <xf numFmtId="0" fontId="14" fillId="4" borderId="8" xfId="0" applyFont="1" applyFill="1" applyBorder="1" applyAlignment="1">
      <alignment horizontal="center" vertical="center"/>
    </xf>
    <xf numFmtId="0" fontId="14" fillId="4" borderId="14" xfId="0" applyFont="1" applyFill="1" applyBorder="1" applyAlignment="1">
      <alignment horizontal="center" vertical="center"/>
    </xf>
    <xf numFmtId="9" fontId="24" fillId="4" borderId="1" xfId="1" applyFont="1" applyFill="1" applyBorder="1" applyAlignment="1">
      <alignment horizontal="center" vertical="center"/>
    </xf>
    <xf numFmtId="9" fontId="24" fillId="4" borderId="4" xfId="1" applyFont="1" applyFill="1" applyBorder="1" applyAlignment="1">
      <alignment horizontal="center" vertical="center"/>
    </xf>
    <xf numFmtId="9" fontId="24" fillId="4" borderId="4" xfId="1" applyFont="1" applyFill="1" applyBorder="1" applyAlignment="1">
      <alignment horizontal="right" vertical="center"/>
    </xf>
    <xf numFmtId="9" fontId="1" fillId="0" borderId="4" xfId="1" applyFont="1" applyBorder="1" applyAlignment="1">
      <alignment horizontal="center" vertical="center"/>
    </xf>
    <xf numFmtId="9" fontId="1" fillId="0" borderId="5" xfId="1" applyFont="1" applyBorder="1" applyAlignment="1">
      <alignment horizontal="center" vertical="center"/>
    </xf>
    <xf numFmtId="166" fontId="1" fillId="0" borderId="0" xfId="3" applyNumberFormat="1" applyFont="1" applyAlignment="1">
      <alignment horizontal="center" vertical="center"/>
    </xf>
    <xf numFmtId="0" fontId="45" fillId="0" borderId="0" xfId="0" applyFont="1" applyAlignment="1">
      <alignment vertical="top" wrapText="1"/>
    </xf>
    <xf numFmtId="0" fontId="43" fillId="0" borderId="0" xfId="3" applyNumberFormat="1" applyFont="1" applyAlignment="1">
      <alignment horizontal="left" vertical="center" wrapText="1"/>
    </xf>
    <xf numFmtId="0" fontId="43" fillId="0" borderId="0" xfId="3" applyNumberFormat="1" applyFont="1" applyAlignment="1">
      <alignment horizontal="left" vertical="top" wrapText="1"/>
    </xf>
    <xf numFmtId="0" fontId="0" fillId="0" borderId="0" xfId="0" applyAlignment="1">
      <alignment vertical="top"/>
    </xf>
    <xf numFmtId="0" fontId="44" fillId="0" borderId="0" xfId="3" applyNumberFormat="1" applyFont="1" applyAlignment="1">
      <alignment horizontal="left" vertical="center" wrapText="1"/>
    </xf>
    <xf numFmtId="0" fontId="42" fillId="0" borderId="0" xfId="3" applyNumberFormat="1" applyFont="1" applyAlignment="1">
      <alignment horizontal="center" vertical="center" wrapText="1"/>
    </xf>
    <xf numFmtId="0" fontId="24" fillId="5" borderId="6" xfId="3" applyNumberFormat="1" applyFont="1" applyFill="1" applyBorder="1" applyAlignment="1">
      <alignment horizontal="center" vertical="center" wrapText="1"/>
    </xf>
    <xf numFmtId="0" fontId="17" fillId="0" borderId="5" xfId="3" applyNumberFormat="1" applyFont="1" applyBorder="1" applyAlignment="1">
      <alignment horizontal="left" vertical="center"/>
    </xf>
    <xf numFmtId="0" fontId="17" fillId="0" borderId="0" xfId="3" applyNumberFormat="1" applyFont="1" applyAlignment="1">
      <alignment horizontal="left" vertical="center"/>
    </xf>
    <xf numFmtId="166" fontId="1" fillId="0" borderId="5"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4" xfId="0" applyNumberFormat="1" applyFont="1" applyBorder="1" applyAlignment="1">
      <alignment horizontal="center" vertical="center"/>
    </xf>
    <xf numFmtId="10" fontId="1" fillId="0" borderId="5" xfId="1" applyNumberFormat="1" applyFont="1" applyBorder="1" applyAlignment="1">
      <alignment horizontal="center" vertical="center"/>
    </xf>
    <xf numFmtId="10" fontId="1" fillId="0" borderId="0" xfId="1" applyNumberFormat="1" applyFont="1" applyAlignment="1">
      <alignment horizontal="center" vertical="center"/>
    </xf>
    <xf numFmtId="10" fontId="1" fillId="0" borderId="4" xfId="1" applyNumberFormat="1" applyFont="1" applyBorder="1" applyAlignment="1">
      <alignment horizontal="center" vertical="center"/>
    </xf>
    <xf numFmtId="10" fontId="17" fillId="0" borderId="5" xfId="1" applyNumberFormat="1" applyFont="1" applyBorder="1" applyAlignment="1">
      <alignment horizontal="center" vertical="center"/>
    </xf>
    <xf numFmtId="10" fontId="17" fillId="0" borderId="0" xfId="1" applyNumberFormat="1" applyFont="1" applyAlignment="1">
      <alignment horizontal="center" vertical="center"/>
    </xf>
    <xf numFmtId="10" fontId="17" fillId="0" borderId="4" xfId="1" applyNumberFormat="1" applyFont="1" applyBorder="1" applyAlignment="1">
      <alignment horizontal="center" vertical="center"/>
    </xf>
    <xf numFmtId="0" fontId="17" fillId="0" borderId="4" xfId="3" applyNumberFormat="1" applyFont="1" applyBorder="1" applyAlignment="1">
      <alignment horizontal="left" vertical="center"/>
    </xf>
    <xf numFmtId="0" fontId="17" fillId="0" borderId="1" xfId="3" applyNumberFormat="1" applyFont="1" applyBorder="1" applyAlignment="1">
      <alignment horizontal="left" vertical="center"/>
    </xf>
    <xf numFmtId="166" fontId="1" fillId="0" borderId="1" xfId="0" applyNumberFormat="1" applyFont="1" applyBorder="1" applyAlignment="1">
      <alignment horizontal="right" vertical="center"/>
    </xf>
    <xf numFmtId="166" fontId="1" fillId="0" borderId="4" xfId="0" applyNumberFormat="1" applyFont="1" applyBorder="1" applyAlignment="1">
      <alignment horizontal="right" vertical="center"/>
    </xf>
    <xf numFmtId="0" fontId="12" fillId="15" borderId="0" xfId="1" applyNumberFormat="1" applyFont="1" applyFill="1" applyAlignment="1">
      <alignment horizontal="center" vertical="center"/>
    </xf>
    <xf numFmtId="0" fontId="24" fillId="0" borderId="111"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14" fillId="3" borderId="0" xfId="3" applyNumberFormat="1" applyFont="1" applyFill="1" applyAlignment="1">
      <alignment horizontal="center" vertical="center" wrapText="1"/>
    </xf>
    <xf numFmtId="0" fontId="1" fillId="15" borderId="102" xfId="1" applyNumberFormat="1" applyFont="1" applyFill="1" applyBorder="1" applyAlignment="1">
      <alignment horizontal="center" vertical="center"/>
    </xf>
    <xf numFmtId="0" fontId="1" fillId="15" borderId="0" xfId="1" applyNumberFormat="1" applyFont="1" applyFill="1" applyAlignment="1">
      <alignment horizontal="center" vertical="center"/>
    </xf>
    <xf numFmtId="0" fontId="33" fillId="0" borderId="49" xfId="0" applyFont="1" applyBorder="1" applyAlignment="1">
      <alignment horizontal="center" vertical="center"/>
    </xf>
    <xf numFmtId="0" fontId="23" fillId="0" borderId="111" xfId="0" applyFont="1" applyBorder="1" applyAlignment="1">
      <alignment horizontal="center" vertical="center"/>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44" fillId="0" borderId="0" xfId="3" applyNumberFormat="1" applyFont="1" applyAlignment="1">
      <alignment horizontal="right" vertical="center" wrapText="1"/>
    </xf>
    <xf numFmtId="0" fontId="37" fillId="0" borderId="0" xfId="3" applyNumberFormat="1" applyFont="1" applyAlignment="1">
      <alignment horizontal="right" vertical="center" wrapText="1"/>
    </xf>
    <xf numFmtId="0" fontId="14" fillId="3" borderId="0" xfId="3" applyNumberFormat="1" applyFont="1" applyFill="1" applyAlignment="1">
      <alignment horizontal="center" vertical="center"/>
    </xf>
    <xf numFmtId="0" fontId="14" fillId="3" borderId="14" xfId="3" applyNumberFormat="1" applyFont="1" applyFill="1" applyBorder="1" applyAlignment="1">
      <alignment horizontal="center" vertical="center"/>
    </xf>
    <xf numFmtId="0" fontId="14" fillId="3" borderId="8" xfId="3" applyNumberFormat="1" applyFont="1" applyFill="1" applyBorder="1" applyAlignment="1">
      <alignment horizontal="center" vertical="center"/>
    </xf>
    <xf numFmtId="0" fontId="14" fillId="3" borderId="50" xfId="3" applyNumberFormat="1" applyFont="1" applyFill="1" applyBorder="1" applyAlignment="1">
      <alignment horizontal="center" vertical="center"/>
    </xf>
    <xf numFmtId="0" fontId="1" fillId="5" borderId="6" xfId="0" applyFont="1" applyFill="1" applyBorder="1" applyAlignment="1">
      <alignment horizontal="center" vertical="center" wrapText="1"/>
    </xf>
    <xf numFmtId="166" fontId="1" fillId="0" borderId="5" xfId="3" applyNumberFormat="1" applyFont="1" applyBorder="1" applyAlignment="1">
      <alignment horizontal="center" vertical="center"/>
    </xf>
    <xf numFmtId="166" fontId="1" fillId="0" borderId="4" xfId="3" applyNumberFormat="1" applyFont="1" applyBorder="1" applyAlignment="1">
      <alignment horizontal="center" vertical="center"/>
    </xf>
    <xf numFmtId="166" fontId="1" fillId="0" borderId="59" xfId="3" applyNumberFormat="1" applyFont="1" applyBorder="1" applyAlignment="1">
      <alignment horizontal="center" vertical="center"/>
    </xf>
    <xf numFmtId="166" fontId="1" fillId="0" borderId="57" xfId="3" applyNumberFormat="1" applyFont="1" applyBorder="1" applyAlignment="1">
      <alignment horizontal="center" vertical="center"/>
    </xf>
    <xf numFmtId="0" fontId="1" fillId="5" borderId="0" xfId="0" applyFont="1" applyFill="1" applyAlignment="1">
      <alignment horizontal="center" vertical="center" wrapText="1"/>
    </xf>
    <xf numFmtId="0" fontId="44" fillId="0" borderId="0" xfId="3" applyNumberFormat="1" applyFont="1" applyAlignment="1">
      <alignment horizontal="center" vertical="center" wrapText="1"/>
    </xf>
    <xf numFmtId="0" fontId="11" fillId="0" borderId="0" xfId="0" applyFont="1" applyAlignment="1">
      <alignment horizontal="left" vertical="top" wrapText="1"/>
    </xf>
    <xf numFmtId="0" fontId="22" fillId="0" borderId="0" xfId="3" applyNumberFormat="1" applyFont="1" applyAlignment="1">
      <alignment horizontal="right" vertical="center" wrapText="1"/>
    </xf>
    <xf numFmtId="166" fontId="26" fillId="4" borderId="4" xfId="3" applyNumberFormat="1" applyFont="1" applyFill="1" applyBorder="1" applyAlignment="1">
      <alignment horizontal="center" vertical="center" wrapText="1"/>
    </xf>
    <xf numFmtId="166" fontId="1" fillId="4" borderId="4" xfId="3" applyNumberFormat="1" applyFont="1" applyFill="1" applyBorder="1" applyAlignment="1">
      <alignment horizontal="center" vertical="center" wrapText="1"/>
    </xf>
    <xf numFmtId="0" fontId="23" fillId="0" borderId="5" xfId="3" applyNumberFormat="1" applyFont="1" applyBorder="1" applyAlignment="1">
      <alignment horizontal="left" vertical="center" wrapText="1"/>
    </xf>
    <xf numFmtId="0" fontId="23" fillId="0" borderId="4" xfId="3" applyNumberFormat="1" applyFont="1" applyBorder="1" applyAlignment="1">
      <alignment horizontal="left" vertical="center" wrapText="1"/>
    </xf>
    <xf numFmtId="0" fontId="23" fillId="0" borderId="0" xfId="3" applyNumberFormat="1" applyFont="1" applyAlignment="1">
      <alignment horizontal="left" vertical="center" wrapText="1"/>
    </xf>
    <xf numFmtId="0" fontId="22" fillId="0" borderId="0" xfId="3" applyNumberFormat="1" applyFont="1" applyAlignment="1">
      <alignment horizontal="left" vertical="center" wrapText="1"/>
    </xf>
    <xf numFmtId="0" fontId="14" fillId="3" borderId="4" xfId="3" applyNumberFormat="1" applyFont="1" applyFill="1" applyBorder="1" applyAlignment="1">
      <alignment horizontal="center" vertical="center" wrapText="1"/>
    </xf>
    <xf numFmtId="0" fontId="14" fillId="3" borderId="0" xfId="0" applyFont="1" applyFill="1" applyAlignment="1">
      <alignment horizontal="center" vertical="center"/>
    </xf>
    <xf numFmtId="0" fontId="14" fillId="3" borderId="14" xfId="0" applyFont="1" applyFill="1" applyBorder="1" applyAlignment="1">
      <alignment horizontal="center" vertical="center"/>
    </xf>
    <xf numFmtId="49" fontId="1" fillId="5" borderId="112" xfId="0" applyNumberFormat="1" applyFont="1" applyFill="1" applyBorder="1" applyAlignment="1">
      <alignment horizontal="center" vertical="center" wrapText="1"/>
    </xf>
    <xf numFmtId="49" fontId="1" fillId="5" borderId="113" xfId="0" applyNumberFormat="1" applyFont="1" applyFill="1" applyBorder="1" applyAlignment="1">
      <alignment horizontal="center" vertical="center" wrapText="1"/>
    </xf>
    <xf numFmtId="49" fontId="1" fillId="5" borderId="114" xfId="0" applyNumberFormat="1" applyFont="1" applyFill="1" applyBorder="1" applyAlignment="1">
      <alignment horizontal="center" vertical="center" wrapText="1"/>
    </xf>
    <xf numFmtId="0" fontId="14" fillId="3" borderId="76" xfId="0" applyFont="1" applyFill="1" applyBorder="1" applyAlignment="1">
      <alignment horizontal="center" vertical="center"/>
    </xf>
    <xf numFmtId="0" fontId="14" fillId="3" borderId="99" xfId="0" applyFont="1" applyFill="1" applyBorder="1" applyAlignment="1">
      <alignment horizontal="center" vertical="center"/>
    </xf>
    <xf numFmtId="49" fontId="1" fillId="5" borderId="6" xfId="0" applyNumberFormat="1"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8" xfId="0" applyFont="1" applyFill="1" applyBorder="1" applyAlignment="1">
      <alignment horizontal="center" vertical="center" wrapText="1"/>
    </xf>
    <xf numFmtId="166" fontId="17" fillId="0" borderId="67" xfId="3" applyNumberFormat="1" applyFont="1" applyBorder="1" applyAlignment="1">
      <alignment horizontal="center" vertical="center"/>
    </xf>
    <xf numFmtId="166" fontId="17" fillId="0" borderId="5" xfId="3" applyNumberFormat="1" applyFont="1" applyBorder="1" applyAlignment="1">
      <alignment horizontal="center" vertical="center"/>
    </xf>
    <xf numFmtId="0" fontId="14" fillId="3" borderId="14" xfId="0" applyFont="1" applyFill="1" applyBorder="1" applyAlignment="1">
      <alignment horizontal="center" vertical="center" wrapText="1"/>
    </xf>
    <xf numFmtId="166" fontId="17" fillId="0" borderId="21" xfId="3" applyNumberFormat="1" applyFont="1" applyBorder="1" applyAlignment="1">
      <alignment horizontal="center" vertical="center"/>
    </xf>
    <xf numFmtId="166" fontId="17" fillId="0" borderId="115" xfId="3" applyNumberFormat="1" applyFont="1" applyBorder="1" applyAlignment="1">
      <alignment horizontal="center" vertical="center"/>
    </xf>
    <xf numFmtId="0" fontId="14" fillId="3" borderId="63" xfId="0" applyFont="1" applyFill="1" applyBorder="1" applyAlignment="1">
      <alignment horizontal="center" vertical="center" wrapText="1"/>
    </xf>
    <xf numFmtId="0" fontId="14" fillId="3" borderId="116" xfId="0" applyFont="1" applyFill="1" applyBorder="1" applyAlignment="1">
      <alignment horizontal="center" vertical="center" wrapText="1"/>
    </xf>
    <xf numFmtId="168" fontId="1" fillId="0" borderId="5" xfId="0" applyNumberFormat="1" applyFont="1" applyBorder="1" applyAlignment="1">
      <alignment horizontal="center" vertical="center"/>
    </xf>
    <xf numFmtId="168" fontId="1" fillId="0" borderId="0" xfId="0" applyNumberFormat="1" applyFont="1" applyAlignment="1">
      <alignment horizontal="center" vertical="center"/>
    </xf>
    <xf numFmtId="0" fontId="14" fillId="3" borderId="8" xfId="0" applyFont="1" applyFill="1" applyBorder="1" applyAlignment="1">
      <alignment horizontal="center" vertical="center"/>
    </xf>
    <xf numFmtId="164" fontId="1" fillId="0" borderId="18" xfId="0" applyNumberFormat="1" applyFont="1" applyBorder="1" applyAlignment="1">
      <alignment horizontal="right" vertical="center"/>
    </xf>
    <xf numFmtId="164" fontId="1" fillId="0" borderId="33" xfId="0" applyNumberFormat="1" applyFont="1" applyBorder="1" applyAlignment="1">
      <alignment horizontal="right" vertical="center"/>
    </xf>
    <xf numFmtId="164" fontId="1" fillId="0" borderId="21" xfId="0" applyNumberFormat="1" applyFont="1" applyBorder="1" applyAlignment="1">
      <alignment horizontal="right" vertical="center"/>
    </xf>
    <xf numFmtId="0" fontId="1" fillId="0" borderId="4" xfId="0" applyFont="1" applyBorder="1" applyAlignment="1">
      <alignment horizontal="right" vertical="center"/>
    </xf>
    <xf numFmtId="0" fontId="1" fillId="0" borderId="1" xfId="0" applyFont="1" applyBorder="1" applyAlignment="1">
      <alignment horizontal="right" vertical="center"/>
    </xf>
    <xf numFmtId="0" fontId="1" fillId="0" borderId="5" xfId="0" applyFont="1" applyBorder="1" applyAlignment="1">
      <alignment horizontal="right" vertical="center"/>
    </xf>
    <xf numFmtId="0" fontId="14" fillId="3"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3" fontId="1" fillId="0" borderId="5" xfId="0" applyNumberFormat="1" applyFont="1" applyBorder="1" applyAlignment="1">
      <alignment horizontal="center" vertical="center"/>
    </xf>
    <xf numFmtId="3" fontId="1" fillId="0" borderId="0" xfId="0" applyNumberFormat="1" applyFont="1" applyAlignment="1">
      <alignment horizontal="center" vertical="center"/>
    </xf>
    <xf numFmtId="0" fontId="1" fillId="0" borderId="18" xfId="0" applyFont="1" applyBorder="1" applyAlignment="1">
      <alignment horizontal="right" vertical="center"/>
    </xf>
    <xf numFmtId="0" fontId="1" fillId="0" borderId="33" xfId="0" applyFont="1" applyBorder="1" applyAlignment="1">
      <alignment horizontal="right" vertical="center"/>
    </xf>
    <xf numFmtId="0" fontId="1" fillId="0" borderId="21" xfId="0" applyFont="1" applyBorder="1" applyAlignment="1">
      <alignment horizontal="right" vertical="center"/>
    </xf>
    <xf numFmtId="0" fontId="1" fillId="0" borderId="57" xfId="0" applyFont="1" applyBorder="1" applyAlignment="1">
      <alignment horizontal="right"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1" fillId="4" borderId="4" xfId="0" applyFont="1" applyFill="1" applyBorder="1">
      <alignment vertical="center"/>
    </xf>
    <xf numFmtId="0" fontId="1" fillId="4" borderId="1" xfId="0" applyFont="1" applyFill="1" applyBorder="1">
      <alignment vertical="center"/>
    </xf>
    <xf numFmtId="0" fontId="1" fillId="4" borderId="5" xfId="0" applyFont="1" applyFill="1" applyBorder="1">
      <alignment vertical="center"/>
    </xf>
    <xf numFmtId="168" fontId="1" fillId="0" borderId="59" xfId="0" applyNumberFormat="1" applyFont="1" applyBorder="1" applyAlignment="1">
      <alignment horizontal="center" vertical="center"/>
    </xf>
    <xf numFmtId="168" fontId="1" fillId="0" borderId="3" xfId="0" applyNumberFormat="1" applyFont="1" applyBorder="1" applyAlignment="1">
      <alignment horizontal="center" vertical="center"/>
    </xf>
    <xf numFmtId="0" fontId="1" fillId="4" borderId="3" xfId="0" applyFont="1" applyFill="1" applyBorder="1" applyAlignment="1">
      <alignment horizontal="right" vertical="center"/>
    </xf>
    <xf numFmtId="0" fontId="1" fillId="4" borderId="3" xfId="0" applyFont="1" applyFill="1" applyBorder="1" applyAlignment="1">
      <alignment horizontal="center" vertical="center"/>
    </xf>
    <xf numFmtId="0" fontId="44" fillId="9" borderId="0" xfId="3" applyNumberFormat="1" applyFont="1" applyFill="1" applyAlignment="1">
      <alignment horizontal="left" vertical="center" wrapText="1"/>
    </xf>
    <xf numFmtId="3" fontId="1" fillId="0" borderId="59" xfId="0" applyNumberFormat="1" applyFont="1" applyBorder="1">
      <alignment vertical="center"/>
    </xf>
    <xf numFmtId="3" fontId="1" fillId="0" borderId="3" xfId="0" applyNumberFormat="1" applyFont="1" applyBorder="1">
      <alignment vertical="center"/>
    </xf>
    <xf numFmtId="3" fontId="1" fillId="0" borderId="5" xfId="0" applyNumberFormat="1" applyFont="1" applyBorder="1">
      <alignment vertical="center"/>
    </xf>
    <xf numFmtId="3" fontId="1" fillId="0" borderId="0" xfId="0" applyNumberFormat="1" applyFont="1">
      <alignment vertical="center"/>
    </xf>
    <xf numFmtId="166" fontId="1" fillId="5" borderId="6" xfId="3" applyNumberFormat="1" applyFont="1" applyFill="1" applyBorder="1" applyAlignment="1">
      <alignment horizontal="center" vertical="center"/>
    </xf>
    <xf numFmtId="166" fontId="1" fillId="4" borderId="6" xfId="3" applyNumberFormat="1" applyFont="1" applyFill="1" applyBorder="1" applyAlignment="1">
      <alignment horizontal="center" vertical="center" wrapText="1"/>
    </xf>
    <xf numFmtId="166" fontId="1" fillId="5" borderId="6" xfId="3" applyNumberFormat="1"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166" fontId="1" fillId="16" borderId="6" xfId="3" applyNumberFormat="1" applyFont="1" applyFill="1" applyBorder="1" applyAlignment="1">
      <alignment horizontal="center" vertical="center" wrapText="1"/>
    </xf>
    <xf numFmtId="166" fontId="1" fillId="16" borderId="125" xfId="3" applyNumberFormat="1" applyFont="1" applyFill="1" applyBorder="1" applyAlignment="1">
      <alignment horizontal="center" vertical="center" wrapText="1"/>
    </xf>
    <xf numFmtId="0" fontId="14" fillId="3" borderId="32" xfId="0" applyFont="1" applyFill="1" applyBorder="1" applyAlignment="1">
      <alignment horizontal="center" vertical="center" wrapText="1"/>
    </xf>
    <xf numFmtId="166" fontId="1" fillId="0" borderId="1" xfId="3" applyNumberFormat="1" applyFont="1" applyBorder="1" applyAlignment="1">
      <alignment horizontal="center" vertical="center" wrapText="1"/>
    </xf>
    <xf numFmtId="166" fontId="1" fillId="0" borderId="34" xfId="3" applyNumberFormat="1" applyFont="1" applyBorder="1" applyAlignment="1">
      <alignment horizontal="center" vertical="center" wrapText="1"/>
    </xf>
    <xf numFmtId="166" fontId="1" fillId="0" borderId="120" xfId="0" applyNumberFormat="1" applyFont="1" applyBorder="1" applyAlignment="1">
      <alignment horizontal="center" vertical="center"/>
    </xf>
    <xf numFmtId="166" fontId="1" fillId="0" borderId="79" xfId="0" applyNumberFormat="1" applyFont="1" applyBorder="1" applyAlignment="1">
      <alignment horizontal="center" vertical="center"/>
    </xf>
    <xf numFmtId="166" fontId="1" fillId="0" borderId="121" xfId="0" applyNumberFormat="1" applyFont="1" applyBorder="1" applyAlignment="1">
      <alignment horizontal="center" vertical="center"/>
    </xf>
    <xf numFmtId="166" fontId="1" fillId="0" borderId="68" xfId="0" applyNumberFormat="1" applyFont="1" applyBorder="1" applyAlignment="1">
      <alignment horizontal="center" vertical="center"/>
    </xf>
    <xf numFmtId="166" fontId="1" fillId="0" borderId="122" xfId="0" applyNumberFormat="1" applyFont="1" applyBorder="1" applyAlignment="1">
      <alignment horizontal="center" vertical="center"/>
    </xf>
    <xf numFmtId="9" fontId="1" fillId="0" borderId="0" xfId="1" applyFont="1" applyAlignment="1">
      <alignment horizontal="center"/>
    </xf>
    <xf numFmtId="9" fontId="1" fillId="0" borderId="123" xfId="1" applyFont="1" applyBorder="1" applyAlignment="1">
      <alignment horizontal="center"/>
    </xf>
    <xf numFmtId="9" fontId="1" fillId="0" borderId="32" xfId="1" applyFont="1" applyBorder="1" applyAlignment="1">
      <alignment horizontal="center"/>
    </xf>
    <xf numFmtId="9" fontId="1" fillId="0" borderId="118" xfId="1" applyFont="1" applyBorder="1" applyAlignment="1">
      <alignment horizontal="center"/>
    </xf>
    <xf numFmtId="9" fontId="1" fillId="0" borderId="81" xfId="1" applyFont="1" applyBorder="1" applyAlignment="1">
      <alignment horizontal="center"/>
    </xf>
    <xf numFmtId="9" fontId="1" fillId="0" borderId="124" xfId="1" applyFont="1" applyBorder="1" applyAlignment="1">
      <alignment horizontal="center"/>
    </xf>
    <xf numFmtId="166" fontId="1" fillId="0" borderId="117" xfId="0" applyNumberFormat="1" applyFont="1" applyBorder="1" applyAlignment="1">
      <alignment horizontal="center" vertical="center"/>
    </xf>
    <xf numFmtId="9" fontId="1" fillId="0" borderId="119" xfId="1" applyFont="1" applyBorder="1" applyAlignment="1">
      <alignment horizontal="center"/>
    </xf>
    <xf numFmtId="164" fontId="1" fillId="0" borderId="19" xfId="0" applyNumberFormat="1" applyFont="1" applyBorder="1" applyProtection="1">
      <alignment vertical="center"/>
      <protection locked="0"/>
    </xf>
    <xf numFmtId="164" fontId="1" fillId="0" borderId="34" xfId="0" applyNumberFormat="1" applyFont="1" applyBorder="1" applyProtection="1">
      <alignment vertical="center"/>
      <protection locked="0"/>
    </xf>
    <xf numFmtId="164" fontId="1" fillId="0" borderId="22" xfId="0" applyNumberFormat="1" applyFont="1" applyBorder="1" applyProtection="1">
      <alignment vertical="center"/>
      <protection locked="0"/>
    </xf>
    <xf numFmtId="0" fontId="1" fillId="0" borderId="18" xfId="0" applyFont="1" applyBorder="1" applyAlignment="1">
      <alignment horizontal="right" vertical="center" wrapText="1"/>
    </xf>
    <xf numFmtId="0" fontId="1" fillId="0" borderId="33" xfId="0" applyFont="1" applyBorder="1" applyAlignment="1">
      <alignment horizontal="right" vertical="center" wrapText="1"/>
    </xf>
    <xf numFmtId="0" fontId="1" fillId="0" borderId="21" xfId="0" applyFont="1" applyBorder="1" applyAlignment="1">
      <alignment horizontal="right" vertical="center" wrapText="1"/>
    </xf>
    <xf numFmtId="164" fontId="1" fillId="0" borderId="18" xfId="0" applyNumberFormat="1" applyFont="1" applyBorder="1" applyProtection="1">
      <alignment vertical="center"/>
      <protection locked="0"/>
    </xf>
    <xf numFmtId="164" fontId="1" fillId="0" borderId="33" xfId="0" applyNumberFormat="1" applyFont="1" applyBorder="1" applyProtection="1">
      <alignment vertical="center"/>
      <protection locked="0"/>
    </xf>
    <xf numFmtId="164" fontId="1" fillId="0" borderId="21" xfId="0" applyNumberFormat="1" applyFont="1" applyBorder="1" applyProtection="1">
      <alignment vertical="center"/>
      <protection locked="0"/>
    </xf>
    <xf numFmtId="164" fontId="1" fillId="0" borderId="18" xfId="0" applyNumberFormat="1" applyFont="1" applyBorder="1" applyAlignment="1" applyProtection="1">
      <alignment horizontal="right" vertical="center"/>
      <protection locked="0"/>
    </xf>
    <xf numFmtId="164" fontId="1" fillId="0" borderId="33" xfId="0" applyNumberFormat="1" applyFont="1" applyBorder="1" applyAlignment="1" applyProtection="1">
      <alignment horizontal="right" vertical="center"/>
      <protection locked="0"/>
    </xf>
    <xf numFmtId="164" fontId="1" fillId="0" borderId="21" xfId="0" applyNumberFormat="1" applyFont="1" applyBorder="1" applyAlignment="1" applyProtection="1">
      <alignment horizontal="right" vertical="center"/>
      <protection locked="0"/>
    </xf>
    <xf numFmtId="0" fontId="14" fillId="3" borderId="123" xfId="0" applyFont="1" applyFill="1" applyBorder="1" applyAlignment="1">
      <alignment horizontal="center" vertical="center"/>
    </xf>
    <xf numFmtId="0" fontId="14" fillId="3" borderId="32" xfId="0" applyFont="1" applyFill="1" applyBorder="1" applyAlignment="1">
      <alignment horizontal="center" vertical="center"/>
    </xf>
    <xf numFmtId="1" fontId="1" fillId="0" borderId="4" xfId="0" applyNumberFormat="1" applyFont="1" applyBorder="1" applyAlignment="1" applyProtection="1">
      <alignment horizontal="right" vertical="center"/>
      <protection locked="0"/>
    </xf>
    <xf numFmtId="1" fontId="1" fillId="0" borderId="1" xfId="0" applyNumberFormat="1" applyFont="1" applyBorder="1" applyAlignment="1" applyProtection="1">
      <alignment horizontal="right" vertical="center"/>
      <protection locked="0"/>
    </xf>
    <xf numFmtId="1" fontId="1" fillId="0" borderId="5" xfId="0" applyNumberFormat="1" applyFont="1" applyBorder="1" applyAlignment="1" applyProtection="1">
      <alignment horizontal="right" vertical="center"/>
      <protection locked="0"/>
    </xf>
    <xf numFmtId="164" fontId="1" fillId="4" borderId="126" xfId="0" applyNumberFormat="1" applyFont="1" applyFill="1" applyBorder="1" applyProtection="1">
      <alignment vertical="center"/>
      <protection locked="0"/>
    </xf>
    <xf numFmtId="164" fontId="1" fillId="4" borderId="127" xfId="0" applyNumberFormat="1" applyFont="1" applyFill="1" applyBorder="1" applyProtection="1">
      <alignment vertical="center"/>
      <protection locked="0"/>
    </xf>
    <xf numFmtId="164" fontId="1" fillId="4" borderId="128" xfId="0" applyNumberFormat="1" applyFont="1" applyFill="1" applyBorder="1" applyProtection="1">
      <alignment vertical="center"/>
      <protection locked="0"/>
    </xf>
    <xf numFmtId="0" fontId="14" fillId="3" borderId="56" xfId="0" applyFont="1" applyFill="1" applyBorder="1" applyAlignment="1">
      <alignment horizontal="center" vertical="center"/>
    </xf>
    <xf numFmtId="1" fontId="1" fillId="0" borderId="18" xfId="0" applyNumberFormat="1" applyFont="1" applyBorder="1" applyAlignment="1" applyProtection="1">
      <alignment horizontal="right" vertical="center"/>
      <protection locked="0"/>
    </xf>
    <xf numFmtId="1" fontId="1" fillId="0" borderId="33" xfId="0" applyNumberFormat="1" applyFont="1" applyBorder="1" applyAlignment="1" applyProtection="1">
      <alignment horizontal="right" vertical="center"/>
      <protection locked="0"/>
    </xf>
    <xf numFmtId="1" fontId="1" fillId="0" borderId="21" xfId="0" applyNumberFormat="1" applyFont="1" applyBorder="1" applyAlignment="1" applyProtection="1">
      <alignment horizontal="right" vertical="center"/>
      <protection locked="0"/>
    </xf>
    <xf numFmtId="0" fontId="1" fillId="4" borderId="0" xfId="0" applyFont="1" applyFill="1" applyAlignment="1">
      <alignment horizontal="center" vertical="center" wrapText="1"/>
    </xf>
    <xf numFmtId="1" fontId="1" fillId="0" borderId="19" xfId="0" applyNumberFormat="1" applyFont="1" applyBorder="1" applyAlignment="1" applyProtection="1">
      <alignment horizontal="right" vertical="center"/>
      <protection locked="0"/>
    </xf>
    <xf numFmtId="1" fontId="1" fillId="0" borderId="34" xfId="0" applyNumberFormat="1" applyFont="1" applyBorder="1" applyAlignment="1" applyProtection="1">
      <alignment horizontal="right" vertical="center"/>
      <protection locked="0"/>
    </xf>
    <xf numFmtId="1" fontId="1" fillId="0" borderId="22" xfId="0" applyNumberFormat="1" applyFont="1" applyBorder="1" applyAlignment="1" applyProtection="1">
      <alignment horizontal="right" vertical="center"/>
      <protection locked="0"/>
    </xf>
    <xf numFmtId="164" fontId="1" fillId="0" borderId="19" xfId="0" applyNumberFormat="1" applyFont="1" applyBorder="1" applyAlignment="1" applyProtection="1">
      <alignment horizontal="right" vertical="center"/>
      <protection locked="0"/>
    </xf>
    <xf numFmtId="164" fontId="1" fillId="0" borderId="34" xfId="0" applyNumberFormat="1" applyFont="1" applyBorder="1" applyAlignment="1" applyProtection="1">
      <alignment horizontal="right" vertical="center"/>
      <protection locked="0"/>
    </xf>
    <xf numFmtId="164" fontId="1" fillId="0" borderId="22" xfId="0" applyNumberFormat="1" applyFont="1" applyBorder="1" applyAlignment="1" applyProtection="1">
      <alignment horizontal="right" vertical="center"/>
      <protection locked="0"/>
    </xf>
    <xf numFmtId="164" fontId="1" fillId="4" borderId="32" xfId="0" applyNumberFormat="1" applyFont="1" applyFill="1" applyBorder="1" applyAlignment="1" applyProtection="1">
      <alignment horizontal="center" vertical="center"/>
      <protection locked="0"/>
    </xf>
    <xf numFmtId="0" fontId="1" fillId="4" borderId="32" xfId="0" applyFont="1" applyFill="1" applyBorder="1" applyAlignment="1">
      <alignment horizontal="center" vertical="center" wrapText="1"/>
    </xf>
    <xf numFmtId="0" fontId="1" fillId="0" borderId="0" xfId="0" applyFont="1" applyAlignment="1">
      <alignment horizontal="center" vertical="center"/>
    </xf>
    <xf numFmtId="0" fontId="1" fillId="4" borderId="0" xfId="0" applyFont="1" applyFill="1" applyAlignment="1">
      <alignment horizontal="center" vertical="center"/>
    </xf>
    <xf numFmtId="164" fontId="1" fillId="0" borderId="57" xfId="0" applyNumberFormat="1" applyFont="1" applyBorder="1" applyProtection="1">
      <alignment vertical="center"/>
      <protection locked="0"/>
    </xf>
    <xf numFmtId="164" fontId="1" fillId="0" borderId="58" xfId="0" applyNumberFormat="1" applyFont="1" applyBorder="1" applyProtection="1">
      <alignment vertical="center"/>
      <protection locked="0"/>
    </xf>
    <xf numFmtId="164" fontId="1" fillId="0" borderId="59" xfId="0" applyNumberFormat="1" applyFont="1" applyBorder="1" applyProtection="1">
      <alignment vertical="center"/>
      <protection locked="0"/>
    </xf>
    <xf numFmtId="164" fontId="1" fillId="0" borderId="4" xfId="0" applyNumberFormat="1" applyFont="1" applyBorder="1" applyAlignment="1" applyProtection="1">
      <alignment horizontal="right" vertical="center"/>
      <protection locked="0"/>
    </xf>
    <xf numFmtId="164" fontId="1" fillId="0" borderId="1"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0" fontId="1" fillId="0" borderId="3" xfId="0" applyNumberFormat="1" applyFont="1" applyBorder="1" applyAlignment="1">
      <alignment horizontal="center" vertical="center"/>
    </xf>
    <xf numFmtId="10" fontId="1" fillId="0" borderId="57" xfId="0" applyNumberFormat="1" applyFont="1" applyBorder="1" applyAlignment="1">
      <alignment horizontal="center" vertical="center"/>
    </xf>
    <xf numFmtId="10" fontId="1" fillId="0" borderId="22" xfId="0" applyNumberFormat="1" applyFont="1" applyBorder="1" applyAlignment="1">
      <alignment horizontal="center" vertical="center"/>
    </xf>
    <xf numFmtId="10" fontId="1" fillId="0" borderId="32" xfId="0" applyNumberFormat="1" applyFont="1" applyBorder="1" applyAlignment="1">
      <alignment horizontal="center" vertical="center"/>
    </xf>
    <xf numFmtId="10" fontId="1" fillId="0" borderId="19" xfId="0" applyNumberFormat="1" applyFont="1" applyBorder="1" applyAlignment="1">
      <alignment horizontal="center" vertical="center"/>
    </xf>
    <xf numFmtId="165" fontId="1" fillId="0" borderId="3" xfId="0" applyNumberFormat="1" applyFont="1" applyBorder="1" applyAlignment="1">
      <alignment horizontal="center" vertical="center"/>
    </xf>
    <xf numFmtId="165" fontId="1" fillId="4" borderId="3" xfId="1" applyNumberFormat="1" applyFont="1" applyFill="1" applyBorder="1" applyAlignment="1">
      <alignment horizontal="center" vertical="center"/>
    </xf>
    <xf numFmtId="10" fontId="1" fillId="4" borderId="3" xfId="0" applyNumberFormat="1" applyFont="1" applyFill="1" applyBorder="1" applyAlignment="1">
      <alignment horizontal="center" vertical="center"/>
    </xf>
    <xf numFmtId="9" fontId="18" fillId="4" borderId="136" xfId="0" applyNumberFormat="1" applyFont="1" applyFill="1" applyBorder="1" applyAlignment="1" applyProtection="1">
      <alignment horizontal="center" vertical="center" wrapText="1"/>
      <protection locked="0"/>
    </xf>
    <xf numFmtId="9" fontId="18" fillId="4" borderId="137" xfId="0" applyNumberFormat="1" applyFont="1" applyFill="1" applyBorder="1" applyAlignment="1" applyProtection="1">
      <alignment horizontal="center" vertical="center" wrapText="1"/>
      <protection locked="0"/>
    </xf>
    <xf numFmtId="0" fontId="17" fillId="0" borderId="5" xfId="0" applyFont="1" applyBorder="1" applyAlignment="1">
      <alignment vertical="center" wrapText="1"/>
    </xf>
    <xf numFmtId="0" fontId="17" fillId="0" borderId="21" xfId="0" applyFont="1" applyBorder="1" applyAlignment="1">
      <alignment vertical="center" wrapText="1"/>
    </xf>
    <xf numFmtId="0" fontId="17" fillId="0" borderId="134" xfId="0" applyFont="1" applyBorder="1" applyAlignment="1">
      <alignment vertical="center" wrapText="1"/>
    </xf>
    <xf numFmtId="0" fontId="17" fillId="0" borderId="135"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165" fontId="1" fillId="0" borderId="10" xfId="0" applyNumberFormat="1" applyFont="1" applyBorder="1" applyAlignment="1">
      <alignment horizontal="center" vertical="center"/>
    </xf>
    <xf numFmtId="0" fontId="17" fillId="5" borderId="4"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0" borderId="51" xfId="0" applyFont="1" applyBorder="1" applyAlignment="1">
      <alignment horizontal="left" vertical="center" wrapText="1"/>
    </xf>
    <xf numFmtId="0" fontId="17" fillId="0" borderId="133" xfId="0" applyFont="1" applyBorder="1" applyAlignment="1">
      <alignment horizontal="left" vertical="center" wrapText="1"/>
    </xf>
    <xf numFmtId="0" fontId="17" fillId="0" borderId="4" xfId="0" applyFont="1" applyBorder="1" applyAlignment="1">
      <alignment horizontal="left" vertical="center" wrapText="1"/>
    </xf>
    <xf numFmtId="0" fontId="17" fillId="0" borderId="18" xfId="0" applyFont="1" applyBorder="1" applyAlignment="1">
      <alignment horizontal="left" vertical="center" wrapText="1"/>
    </xf>
    <xf numFmtId="49" fontId="1" fillId="0" borderId="10" xfId="1" applyNumberFormat="1" applyFont="1" applyBorder="1" applyAlignment="1">
      <alignment horizontal="center" vertical="center"/>
    </xf>
    <xf numFmtId="165" fontId="1" fillId="0" borderId="10" xfId="1" applyNumberFormat="1" applyFont="1" applyBorder="1" applyAlignment="1">
      <alignment horizontal="center" vertical="center"/>
    </xf>
    <xf numFmtId="0" fontId="17" fillId="0" borderId="5" xfId="0" applyFont="1" applyBorder="1" applyAlignment="1">
      <alignment horizontal="left" vertical="center" wrapText="1"/>
    </xf>
    <xf numFmtId="0" fontId="17" fillId="0" borderId="21"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165" fontId="1" fillId="0" borderId="3" xfId="1" applyNumberFormat="1" applyFont="1" applyBorder="1" applyAlignment="1">
      <alignment horizontal="center" vertical="center"/>
    </xf>
    <xf numFmtId="165" fontId="1" fillId="0" borderId="4" xfId="0" applyNumberFormat="1" applyFont="1" applyBorder="1" applyAlignment="1">
      <alignment horizontal="center" vertical="center"/>
    </xf>
    <xf numFmtId="49" fontId="1" fillId="16" borderId="129" xfId="0" applyNumberFormat="1" applyFont="1" applyFill="1" applyBorder="1" applyAlignment="1">
      <alignment horizontal="center" vertical="center" wrapText="1"/>
    </xf>
    <xf numFmtId="49" fontId="1" fillId="16" borderId="130" xfId="0" applyNumberFormat="1" applyFont="1" applyFill="1" applyBorder="1" applyAlignment="1">
      <alignment horizontal="center" vertical="center" wrapText="1"/>
    </xf>
    <xf numFmtId="10" fontId="1" fillId="4" borderId="131" xfId="0" applyNumberFormat="1" applyFont="1" applyFill="1" applyBorder="1" applyAlignment="1">
      <alignment horizontal="center" vertical="center"/>
    </xf>
    <xf numFmtId="10" fontId="1" fillId="4" borderId="132" xfId="0" applyNumberFormat="1" applyFont="1" applyFill="1" applyBorder="1" applyAlignment="1">
      <alignment horizontal="center" vertical="center"/>
    </xf>
    <xf numFmtId="0" fontId="17" fillId="7" borderId="139" xfId="0" applyFont="1" applyFill="1" applyBorder="1" applyAlignment="1">
      <alignment horizontal="center" vertical="center" wrapText="1"/>
    </xf>
    <xf numFmtId="0" fontId="17" fillId="7" borderId="14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35" xfId="0" applyFont="1" applyFill="1" applyBorder="1" applyAlignment="1">
      <alignment horizontal="center" vertical="center" wrapText="1"/>
    </xf>
    <xf numFmtId="0" fontId="17" fillId="7" borderId="141"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7" fillId="7" borderId="142" xfId="0" applyFont="1" applyFill="1" applyBorder="1" applyAlignment="1">
      <alignment horizontal="center" vertical="center" wrapText="1"/>
    </xf>
    <xf numFmtId="0" fontId="14" fillId="3" borderId="138" xfId="0" applyFont="1" applyFill="1" applyBorder="1" applyAlignment="1">
      <alignment horizontal="center" vertical="center" wrapText="1"/>
    </xf>
    <xf numFmtId="0" fontId="17" fillId="7" borderId="143" xfId="0" applyFont="1" applyFill="1" applyBorder="1" applyAlignment="1">
      <alignment horizontal="center" vertical="center" wrapText="1"/>
    </xf>
    <xf numFmtId="49" fontId="1" fillId="5" borderId="0" xfId="0" applyNumberFormat="1" applyFont="1" applyFill="1" applyAlignment="1">
      <alignment horizontal="center" vertical="center" wrapText="1"/>
    </xf>
    <xf numFmtId="0" fontId="23" fillId="4" borderId="29" xfId="0" applyFont="1" applyFill="1" applyBorder="1" applyAlignment="1">
      <alignment horizontal="left" vertical="center" wrapText="1"/>
    </xf>
    <xf numFmtId="0" fontId="17" fillId="4" borderId="20" xfId="0" applyFont="1" applyFill="1" applyBorder="1" applyAlignment="1">
      <alignment horizontal="left" vertical="center" wrapText="1"/>
    </xf>
    <xf numFmtId="9" fontId="1" fillId="0" borderId="145" xfId="0" applyNumberFormat="1" applyFont="1" applyBorder="1" applyAlignment="1">
      <alignment horizontal="center" vertical="center"/>
    </xf>
    <xf numFmtId="9" fontId="1" fillId="0" borderId="0" xfId="0" applyNumberFormat="1" applyFont="1" applyAlignment="1">
      <alignment horizontal="center" vertical="center"/>
    </xf>
    <xf numFmtId="0" fontId="17" fillId="4" borderId="0" xfId="0" applyFont="1" applyFill="1" applyAlignment="1">
      <alignment horizontal="left" vertical="center" wrapText="1"/>
    </xf>
    <xf numFmtId="0" fontId="17" fillId="4" borderId="4" xfId="0" applyFont="1" applyFill="1" applyBorder="1" applyAlignment="1">
      <alignment horizontal="left" vertical="center" wrapText="1"/>
    </xf>
    <xf numFmtId="9" fontId="1" fillId="4" borderId="66" xfId="0" applyNumberFormat="1" applyFont="1" applyFill="1" applyBorder="1" applyAlignment="1" applyProtection="1">
      <alignment horizontal="right" vertical="center"/>
      <protection locked="0"/>
    </xf>
    <xf numFmtId="9" fontId="1" fillId="4" borderId="33" xfId="0" applyNumberFormat="1" applyFont="1" applyFill="1" applyBorder="1" applyAlignment="1" applyProtection="1">
      <alignment horizontal="right" vertical="center"/>
      <protection locked="0"/>
    </xf>
    <xf numFmtId="0" fontId="1" fillId="5" borderId="23" xfId="0" applyFont="1" applyFill="1" applyBorder="1" applyAlignment="1">
      <alignment horizontal="center" vertical="center"/>
    </xf>
    <xf numFmtId="0" fontId="14" fillId="3" borderId="23" xfId="0" applyFont="1" applyFill="1" applyBorder="1" applyAlignment="1">
      <alignment horizontal="center" vertical="center" wrapText="1"/>
    </xf>
    <xf numFmtId="0" fontId="32" fillId="0" borderId="0" xfId="3" applyNumberFormat="1" applyFont="1" applyAlignment="1">
      <alignment horizontal="left" vertical="center" wrapText="1"/>
    </xf>
    <xf numFmtId="9" fontId="58" fillId="0" borderId="0" xfId="0" applyNumberFormat="1" applyFont="1" applyAlignment="1">
      <alignment horizontal="center" vertical="center"/>
    </xf>
    <xf numFmtId="0" fontId="14" fillId="3" borderId="6" xfId="0" applyFont="1" applyFill="1" applyBorder="1" applyAlignment="1">
      <alignment horizontal="center" vertical="center"/>
    </xf>
    <xf numFmtId="0" fontId="1" fillId="5" borderId="6" xfId="0" applyFont="1" applyFill="1" applyBorder="1" applyAlignment="1">
      <alignment horizontal="center" vertical="center"/>
    </xf>
    <xf numFmtId="0" fontId="1" fillId="16" borderId="23" xfId="0" applyFont="1" applyFill="1" applyBorder="1" applyAlignment="1">
      <alignment horizontal="center" vertical="center"/>
    </xf>
    <xf numFmtId="9" fontId="1" fillId="4" borderId="27" xfId="0" applyNumberFormat="1" applyFont="1" applyFill="1" applyBorder="1" applyAlignment="1" applyProtection="1">
      <alignment horizontal="center" vertical="center"/>
      <protection locked="0"/>
    </xf>
    <xf numFmtId="9" fontId="1" fillId="4" borderId="144" xfId="0" applyNumberFormat="1" applyFont="1" applyFill="1" applyBorder="1" applyAlignment="1" applyProtection="1">
      <alignment horizontal="center" vertical="center"/>
      <protection locked="0"/>
    </xf>
    <xf numFmtId="0" fontId="14" fillId="3" borderId="9" xfId="0" applyFont="1" applyFill="1" applyBorder="1" applyAlignment="1">
      <alignment horizontal="center" vertical="center" wrapText="1"/>
    </xf>
    <xf numFmtId="0" fontId="23" fillId="0" borderId="1" xfId="0" applyFont="1" applyBorder="1" applyAlignment="1">
      <alignment horizontal="left" vertical="center" wrapText="1"/>
    </xf>
    <xf numFmtId="0" fontId="24" fillId="0" borderId="4" xfId="7" applyFont="1" applyBorder="1" applyAlignment="1">
      <alignment horizontal="right" vertical="center" wrapText="1"/>
    </xf>
    <xf numFmtId="0" fontId="24" fillId="0" borderId="1" xfId="7" applyFont="1" applyBorder="1" applyAlignment="1">
      <alignment horizontal="right" vertical="center" wrapText="1"/>
    </xf>
    <xf numFmtId="0" fontId="1" fillId="5" borderId="0" xfId="0" applyFont="1" applyFill="1" applyAlignment="1">
      <alignment horizontal="left" vertical="center" wrapText="1"/>
    </xf>
    <xf numFmtId="0" fontId="1" fillId="0" borderId="0" xfId="0" applyFont="1" applyAlignment="1">
      <alignment horizontal="left" vertical="top" wrapText="1"/>
    </xf>
    <xf numFmtId="0" fontId="14" fillId="3" borderId="0" xfId="0" applyFont="1" applyFill="1" applyAlignment="1">
      <alignment horizontal="left" vertical="center" wrapText="1"/>
    </xf>
    <xf numFmtId="0" fontId="17" fillId="0" borderId="0" xfId="0" applyFont="1" applyAlignment="1">
      <alignment horizontal="left" vertical="top"/>
    </xf>
    <xf numFmtId="0" fontId="12" fillId="15" borderId="0" xfId="0" applyFont="1" applyFill="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center" vertical="top" wrapText="1"/>
    </xf>
  </cellXfs>
  <cellStyles count="14">
    <cellStyle name="Comma" xfId="3" builtinId="3"/>
    <cellStyle name="Comma [0]" xfId="4" xr:uid="{00000000-0005-0000-0000-000007000000}"/>
    <cellStyle name="Comma 2" xfId="6" xr:uid="{00000000-0005-0000-0000-000009000000}"/>
    <cellStyle name="Comma 3" xfId="9" xr:uid="{00000000-0005-0000-0000-00000C000000}"/>
    <cellStyle name="Comma 4" xfId="11" xr:uid="{00000000-0005-0000-0000-00000E000000}"/>
    <cellStyle name="Comma 5" xfId="13" xr:uid="{00000000-0005-0000-0000-000010000000}"/>
    <cellStyle name="Comma 6" xfId="12" xr:uid="{00000000-0005-0000-0000-00000F000000}"/>
    <cellStyle name="Currency [0]" xfId="2" xr:uid="{00000000-0005-0000-0000-000006000000}"/>
    <cellStyle name="Normal" xfId="0" builtinId="0"/>
    <cellStyle name="Normal 2" xfId="7" xr:uid="{00000000-0005-0000-0000-00000A000000}"/>
    <cellStyle name="Normal 3" xfId="8" xr:uid="{00000000-0005-0000-0000-00000B000000}"/>
    <cellStyle name="Percent" xfId="1" builtinId="5"/>
    <cellStyle name="Percent 2" xfId="10" xr:uid="{00000000-0005-0000-0000-00000D000000}"/>
    <cellStyle name="היפר-קישור"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svg"/><Relationship Id="rId1" Type="http://schemas.openxmlformats.org/officeDocument/2006/relationships/image" Target="../media/image6.png"/><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xdr:rowOff>
    </xdr:from>
    <xdr:to>
      <xdr:col>17</xdr:col>
      <xdr:colOff>177720</xdr:colOff>
      <xdr:row>39</xdr:row>
      <xdr:rowOff>75300</xdr:rowOff>
    </xdr:to>
    <xdr:sp macro="" textlink="" fLocksText="0">
      <xdr:nvSpPr>
        <xdr:cNvPr id="2" name="מלבן 1">
          <a:extLst>
            <a:ext uri="{FF2B5EF4-FFF2-40B4-BE49-F238E27FC236}">
              <a16:creationId xmlns:a16="http://schemas.microsoft.com/office/drawing/2014/main" id="{00000000-0008-0000-0000-000002000000}"/>
            </a:ext>
          </a:extLst>
        </xdr:cNvPr>
        <xdr:cNvSpPr/>
      </xdr:nvSpPr>
      <xdr:spPr>
        <a:xfrm>
          <a:off x="0" y="9525"/>
          <a:ext cx="10706100" cy="6753225"/>
        </a:xfrm>
        <a:prstGeom prst="rect">
          <a:avLst/>
        </a:prstGeom>
        <a:solidFill>
          <a:srgbClr val="1229C6"/>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clientData/>
  </xdr:twoCellAnchor>
  <xdr:twoCellAnchor editAs="oneCell">
    <xdr:from>
      <xdr:col>0</xdr:col>
      <xdr:colOff>0</xdr:colOff>
      <xdr:row>0</xdr:row>
      <xdr:rowOff>0</xdr:rowOff>
    </xdr:from>
    <xdr:to>
      <xdr:col>17</xdr:col>
      <xdr:colOff>232833</xdr:colOff>
      <xdr:row>42</xdr:row>
      <xdr:rowOff>126851</xdr:rowOff>
    </xdr:to>
    <xdr:pic>
      <xdr:nvPicPr>
        <xdr:cNvPr id="8" name="תמונה 7">
          <a:extLst>
            <a:ext uri="{FF2B5EF4-FFF2-40B4-BE49-F238E27FC236}">
              <a16:creationId xmlns:a16="http://schemas.microsoft.com/office/drawing/2014/main" id="{00000000-0008-0000-0000-000008000000}"/>
            </a:ext>
          </a:extLst>
        </xdr:cNvPr>
        <xdr:cNvPicPr preferRelativeResize="0">
          <a:picLocks/>
        </xdr:cNvPicPr>
      </xdr:nvPicPr>
      <xdr:blipFill>
        <a:blip xmlns:r="http://schemas.openxmlformats.org/officeDocument/2006/relationships" r:embed="rId1">
          <a:alphaModFix amt="70000"/>
        </a:blip>
        <a:stretch>
          <a:fillRect/>
        </a:stretch>
      </xdr:blipFill>
      <xdr:spPr>
        <a:xfrm>
          <a:off x="0" y="0"/>
          <a:ext cx="10753725" cy="7324725"/>
        </a:xfrm>
        <a:prstGeom prst="rect">
          <a:avLst/>
        </a:prstGeom>
      </xdr:spPr>
    </xdr:pic>
    <xdr:clientData/>
  </xdr:twoCellAnchor>
  <xdr:twoCellAnchor>
    <xdr:from>
      <xdr:col>3</xdr:col>
      <xdr:colOff>367702</xdr:colOff>
      <xdr:row>5</xdr:row>
      <xdr:rowOff>143488</xdr:rowOff>
    </xdr:from>
    <xdr:to>
      <xdr:col>10</xdr:col>
      <xdr:colOff>575683</xdr:colOff>
      <xdr:row>16</xdr:row>
      <xdr:rowOff>166076</xdr:rowOff>
    </xdr:to>
    <xdr:sp macro="" textlink="">
      <xdr:nvSpPr>
        <xdr:cNvPr id="4" name="תיבת טקסט 3">
          <a:extLst>
            <a:ext uri="{FF2B5EF4-FFF2-40B4-BE49-F238E27FC236}">
              <a16:creationId xmlns:a16="http://schemas.microsoft.com/office/drawing/2014/main" id="{00000000-0008-0000-0000-000004000000}"/>
            </a:ext>
          </a:extLst>
        </xdr:cNvPr>
        <xdr:cNvSpPr txBox="1"/>
      </xdr:nvSpPr>
      <xdr:spPr>
        <a:xfrm>
          <a:off x="2228850" y="1000125"/>
          <a:ext cx="4543425" cy="1905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t"/>
        <a:lstStyle/>
        <a:p>
          <a:r>
            <a:rPr lang="en-US" sz="6000" b="1" i="0" baseline="0">
              <a:solidFill>
                <a:schemeClr val="bg1"/>
              </a:solidFill>
              <a:effectLst/>
              <a:latin typeface="Arial" panose="020B0604020202020204" pitchFamily="34" charset="0"/>
              <a:ea typeface="+mn-ea"/>
              <a:cs typeface="+mn-cs"/>
            </a:rPr>
            <a:t>ESG</a:t>
          </a:r>
        </a:p>
        <a:p>
          <a:r>
            <a:rPr lang="en-US" sz="6000" b="1" i="0" baseline="0">
              <a:solidFill>
                <a:schemeClr val="bg1"/>
              </a:solidFill>
              <a:effectLst/>
              <a:latin typeface="Arial" panose="020B0604020202020204" pitchFamily="34" charset="0"/>
              <a:ea typeface="+mn-ea"/>
              <a:cs typeface="+mn-cs"/>
            </a:rPr>
            <a:t>Metrics</a:t>
          </a:r>
        </a:p>
      </xdr:txBody>
    </xdr:sp>
    <xdr:clientData/>
  </xdr:twoCellAnchor>
  <xdr:twoCellAnchor editAs="oneCell">
    <xdr:from>
      <xdr:col>1</xdr:col>
      <xdr:colOff>317500</xdr:colOff>
      <xdr:row>39</xdr:row>
      <xdr:rowOff>165100</xdr:rowOff>
    </xdr:from>
    <xdr:to>
      <xdr:col>9</xdr:col>
      <xdr:colOff>96833</xdr:colOff>
      <xdr:row>41</xdr:row>
      <xdr:rowOff>127555</xdr:rowOff>
    </xdr:to>
    <xdr:pic>
      <xdr:nvPicPr>
        <xdr:cNvPr id="3" name="גרפיקה 2">
          <a:extLst>
            <a:ext uri="{FF2B5EF4-FFF2-40B4-BE49-F238E27FC236}">
              <a16:creationId xmlns:a16="http://schemas.microsoft.com/office/drawing/2014/main" id="{DC3336F9-21FE-4F1D-B6BC-2A144812D21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33450" y="6848475"/>
          <a:ext cx="4733925" cy="304800"/>
        </a:xfrm>
        <a:prstGeom prst="rect">
          <a:avLst/>
        </a:prstGeom>
        <a:effectLst>
          <a:outerShdw blurRad="228600" dir="5400000" algn="ctr" rotWithShape="0">
            <a:srgbClr val="000000">
              <a:alpha val="66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17</xdr:col>
      <xdr:colOff>254400</xdr:colOff>
      <xdr:row>39</xdr:row>
      <xdr:rowOff>120100</xdr:rowOff>
    </xdr:to>
    <xdr:grpSp>
      <xdr:nvGrpSpPr>
        <xdr:cNvPr id="2" name="קבוצה 1">
          <a:extLst>
            <a:ext uri="{FF2B5EF4-FFF2-40B4-BE49-F238E27FC236}">
              <a16:creationId xmlns:a16="http://schemas.microsoft.com/office/drawing/2014/main" id="{00000000-0008-0000-0900-000002000000}"/>
            </a:ext>
          </a:extLst>
        </xdr:cNvPr>
        <xdr:cNvGrpSpPr>
          <a:grpSpLocks/>
        </xdr:cNvGrpSpPr>
      </xdr:nvGrpSpPr>
      <xdr:grpSpPr>
        <a:xfrm flipH="1">
          <a:off x="76200" y="50800"/>
          <a:ext cx="11189100" cy="7003500"/>
          <a:chOff x="2142464505" y="0"/>
          <a:chExt cx="10465200" cy="7498800"/>
        </a:xfrm>
      </xdr:grpSpPr>
      <xdr:pic>
        <xdr:nvPicPr>
          <xdr:cNvPr id="3" name="תמונה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l="3413" r="3413"/>
          <a:stretch>
            <a:fillRect/>
          </a:stretch>
        </xdr:blipFill>
        <xdr:spPr>
          <a:xfrm>
            <a:off x="2142464506" y="0"/>
            <a:ext cx="10465199" cy="7498800"/>
          </a:xfrm>
          <a:prstGeom prst="rect">
            <a:avLst/>
          </a:prstGeom>
        </xdr:spPr>
      </xdr:pic>
      <xdr:sp macro="" textlink="" fLocksText="0">
        <xdr:nvSpPr>
          <xdr:cNvPr id="4" name="מלבן 3">
            <a:extLst>
              <a:ext uri="{FF2B5EF4-FFF2-40B4-BE49-F238E27FC236}">
                <a16:creationId xmlns:a16="http://schemas.microsoft.com/office/drawing/2014/main" id="{00000000-0008-0000-0900-000004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9</xdr:col>
      <xdr:colOff>11206</xdr:colOff>
      <xdr:row>30</xdr:row>
      <xdr:rowOff>134470</xdr:rowOff>
    </xdr:from>
    <xdr:to>
      <xdr:col>16</xdr:col>
      <xdr:colOff>199465</xdr:colOff>
      <xdr:row>38</xdr:row>
      <xdr:rowOff>97346</xdr:rowOff>
    </xdr:to>
    <xdr:sp macro="" textlink="">
      <xdr:nvSpPr>
        <xdr:cNvPr id="5" name="תיבת טקסט 4">
          <a:extLst>
            <a:ext uri="{FF2B5EF4-FFF2-40B4-BE49-F238E27FC236}">
              <a16:creationId xmlns:a16="http://schemas.microsoft.com/office/drawing/2014/main" id="{00000000-0008-0000-0900-000005000000}"/>
            </a:ext>
          </a:extLst>
        </xdr:cNvPr>
        <xdr:cNvSpPr txBox="1"/>
      </xdr:nvSpPr>
      <xdr:spPr>
        <a:xfrm>
          <a:off x="5581650" y="5276850"/>
          <a:ext cx="4524375" cy="1333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effectLst/>
              <a:latin typeface="Arial" panose="020B0604020202020204" pitchFamily="34" charset="0"/>
              <a:ea typeface="+mn-ea"/>
              <a:cs typeface="+mn-cs"/>
            </a:rPr>
            <a:t>Society</a:t>
          </a:r>
        </a:p>
      </xdr:txBody>
    </xdr:sp>
    <xdr:clientData/>
  </xdr:twoCellAnchor>
  <xdr:twoCellAnchor editAs="oneCell">
    <xdr:from>
      <xdr:col>0</xdr:col>
      <xdr:colOff>266700</xdr:colOff>
      <xdr:row>1</xdr:row>
      <xdr:rowOff>38100</xdr:rowOff>
    </xdr:from>
    <xdr:to>
      <xdr:col>5</xdr:col>
      <xdr:colOff>472935</xdr:colOff>
      <xdr:row>2</xdr:row>
      <xdr:rowOff>55060</xdr:rowOff>
    </xdr:to>
    <xdr:pic>
      <xdr:nvPicPr>
        <xdr:cNvPr id="7" name="גרפיקה 2">
          <a:extLst>
            <a:ext uri="{FF2B5EF4-FFF2-40B4-BE49-F238E27FC236}">
              <a16:creationId xmlns:a16="http://schemas.microsoft.com/office/drawing/2014/main" id="{2EFD851C-E10B-418C-9975-BA7EA9581E3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6700" y="209550"/>
          <a:ext cx="3305175" cy="190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215900</xdr:colOff>
      <xdr:row>2</xdr:row>
      <xdr:rowOff>7803</xdr:rowOff>
    </xdr:to>
    <xdr:pic>
      <xdr:nvPicPr>
        <xdr:cNvPr id="3" name="גרפיקה 7">
          <a:extLst>
            <a:ext uri="{FF2B5EF4-FFF2-40B4-BE49-F238E27FC236}">
              <a16:creationId xmlns:a16="http://schemas.microsoft.com/office/drawing/2014/main" id="{3160194E-A3CD-4EA9-A92E-07A6B0601B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52800" cy="2000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571500</xdr:colOff>
      <xdr:row>2</xdr:row>
      <xdr:rowOff>7803</xdr:rowOff>
    </xdr:to>
    <xdr:pic>
      <xdr:nvPicPr>
        <xdr:cNvPr id="2" name="גרפיקה 7">
          <a:extLst>
            <a:ext uri="{FF2B5EF4-FFF2-40B4-BE49-F238E27FC236}">
              <a16:creationId xmlns:a16="http://schemas.microsoft.com/office/drawing/2014/main" id="{D475D81D-6CBE-46BB-A44E-83D6A1F063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71850" cy="2000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88900</xdr:colOff>
      <xdr:row>2</xdr:row>
      <xdr:rowOff>7803</xdr:rowOff>
    </xdr:to>
    <xdr:pic>
      <xdr:nvPicPr>
        <xdr:cNvPr id="4" name="גרפיקה 7">
          <a:extLst>
            <a:ext uri="{FF2B5EF4-FFF2-40B4-BE49-F238E27FC236}">
              <a16:creationId xmlns:a16="http://schemas.microsoft.com/office/drawing/2014/main" id="{00632208-B75A-47CE-9DA3-21F52BADEC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43275" cy="2000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482600</xdr:colOff>
      <xdr:row>2</xdr:row>
      <xdr:rowOff>7803</xdr:rowOff>
    </xdr:to>
    <xdr:pic>
      <xdr:nvPicPr>
        <xdr:cNvPr id="3" name="גרפיקה 7">
          <a:extLst>
            <a:ext uri="{FF2B5EF4-FFF2-40B4-BE49-F238E27FC236}">
              <a16:creationId xmlns:a16="http://schemas.microsoft.com/office/drawing/2014/main" id="{79C7D245-2A43-47C8-9A23-5D10065982B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71850" cy="200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114300</xdr:colOff>
      <xdr:row>2</xdr:row>
      <xdr:rowOff>7803</xdr:rowOff>
    </xdr:to>
    <xdr:pic>
      <xdr:nvPicPr>
        <xdr:cNvPr id="3" name="גרפיקה 7">
          <a:extLst>
            <a:ext uri="{FF2B5EF4-FFF2-40B4-BE49-F238E27FC236}">
              <a16:creationId xmlns:a16="http://schemas.microsoft.com/office/drawing/2014/main" id="{2D0B60EF-C970-4501-9478-4791CA20F8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43275" cy="200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406400</xdr:colOff>
      <xdr:row>2</xdr:row>
      <xdr:rowOff>7803</xdr:rowOff>
    </xdr:to>
    <xdr:pic>
      <xdr:nvPicPr>
        <xdr:cNvPr id="3" name="גרפיקה 7">
          <a:extLst>
            <a:ext uri="{FF2B5EF4-FFF2-40B4-BE49-F238E27FC236}">
              <a16:creationId xmlns:a16="http://schemas.microsoft.com/office/drawing/2014/main" id="{4ECD5C62-3C20-482B-B5CA-31704F9F6C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71850" cy="200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533400</xdr:colOff>
      <xdr:row>2</xdr:row>
      <xdr:rowOff>7803</xdr:rowOff>
    </xdr:to>
    <xdr:pic>
      <xdr:nvPicPr>
        <xdr:cNvPr id="3" name="גרפיקה 7">
          <a:extLst>
            <a:ext uri="{FF2B5EF4-FFF2-40B4-BE49-F238E27FC236}">
              <a16:creationId xmlns:a16="http://schemas.microsoft.com/office/drawing/2014/main" id="{C3F9E8C6-8F14-4B21-87BC-A8C2B09268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62325" cy="200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0</xdr:row>
      <xdr:rowOff>25400</xdr:rowOff>
    </xdr:from>
    <xdr:to>
      <xdr:col>17</xdr:col>
      <xdr:colOff>216300</xdr:colOff>
      <xdr:row>39</xdr:row>
      <xdr:rowOff>94700</xdr:rowOff>
    </xdr:to>
    <xdr:grpSp>
      <xdr:nvGrpSpPr>
        <xdr:cNvPr id="2" name="קבוצה 1">
          <a:extLst>
            <a:ext uri="{FF2B5EF4-FFF2-40B4-BE49-F238E27FC236}">
              <a16:creationId xmlns:a16="http://schemas.microsoft.com/office/drawing/2014/main" id="{00000000-0008-0000-1100-000002000000}"/>
            </a:ext>
          </a:extLst>
        </xdr:cNvPr>
        <xdr:cNvGrpSpPr>
          <a:grpSpLocks/>
        </xdr:cNvGrpSpPr>
      </xdr:nvGrpSpPr>
      <xdr:grpSpPr>
        <a:xfrm flipH="1">
          <a:off x="38100" y="25400"/>
          <a:ext cx="11189100" cy="7003500"/>
          <a:chOff x="2142464505" y="0"/>
          <a:chExt cx="10465200" cy="7498800"/>
        </a:xfrm>
      </xdr:grpSpPr>
      <xdr:pic>
        <xdr:nvPicPr>
          <xdr:cNvPr id="3" name="תמונה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rcRect l="13093" t="9992" r="3085"/>
          <a:stretch>
            <a:fillRect/>
          </a:stretch>
        </xdr:blipFill>
        <xdr:spPr>
          <a:xfrm>
            <a:off x="2142464506" y="0"/>
            <a:ext cx="10465199" cy="7498800"/>
          </a:xfrm>
          <a:prstGeom prst="rect">
            <a:avLst/>
          </a:prstGeom>
        </xdr:spPr>
      </xdr:pic>
      <xdr:sp macro="" textlink="" fLocksText="0">
        <xdr:nvSpPr>
          <xdr:cNvPr id="4" name="מלבן 3">
            <a:extLst>
              <a:ext uri="{FF2B5EF4-FFF2-40B4-BE49-F238E27FC236}">
                <a16:creationId xmlns:a16="http://schemas.microsoft.com/office/drawing/2014/main" id="{00000000-0008-0000-1100-000004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1</xdr:col>
      <xdr:colOff>316006</xdr:colOff>
      <xdr:row>25</xdr:row>
      <xdr:rowOff>159870</xdr:rowOff>
    </xdr:from>
    <xdr:to>
      <xdr:col>8</xdr:col>
      <xdr:colOff>504265</xdr:colOff>
      <xdr:row>36</xdr:row>
      <xdr:rowOff>88900</xdr:rowOff>
    </xdr:to>
    <xdr:sp macro="" textlink="">
      <xdr:nvSpPr>
        <xdr:cNvPr id="5" name="תיבת טקסט 4">
          <a:extLst>
            <a:ext uri="{FF2B5EF4-FFF2-40B4-BE49-F238E27FC236}">
              <a16:creationId xmlns:a16="http://schemas.microsoft.com/office/drawing/2014/main" id="{00000000-0008-0000-1100-000005000000}"/>
            </a:ext>
          </a:extLst>
        </xdr:cNvPr>
        <xdr:cNvSpPr txBox="1"/>
      </xdr:nvSpPr>
      <xdr:spPr>
        <a:xfrm>
          <a:off x="933450" y="4448175"/>
          <a:ext cx="4524375" cy="18192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effectLst/>
              <a:latin typeface="Arial" panose="020B0604020202020204" pitchFamily="34" charset="0"/>
              <a:ea typeface="+mn-ea"/>
              <a:cs typeface="+mn-cs"/>
            </a:rPr>
            <a:t>Corporate Governance</a:t>
          </a:r>
        </a:p>
      </xdr:txBody>
    </xdr:sp>
    <xdr:clientData/>
  </xdr:twoCellAnchor>
  <xdr:twoCellAnchor editAs="oneCell">
    <xdr:from>
      <xdr:col>0</xdr:col>
      <xdr:colOff>279400</xdr:colOff>
      <xdr:row>1</xdr:row>
      <xdr:rowOff>25400</xdr:rowOff>
    </xdr:from>
    <xdr:to>
      <xdr:col>5</xdr:col>
      <xdr:colOff>485635</xdr:colOff>
      <xdr:row>2</xdr:row>
      <xdr:rowOff>42360</xdr:rowOff>
    </xdr:to>
    <xdr:pic>
      <xdr:nvPicPr>
        <xdr:cNvPr id="6" name="גרפיקה 2">
          <a:extLst>
            <a:ext uri="{FF2B5EF4-FFF2-40B4-BE49-F238E27FC236}">
              <a16:creationId xmlns:a16="http://schemas.microsoft.com/office/drawing/2014/main" id="{5771DCE1-F7CD-474A-B96C-38D4255602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225" y="200025"/>
          <a:ext cx="3305175" cy="190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25400</xdr:colOff>
      <xdr:row>6</xdr:row>
      <xdr:rowOff>12699</xdr:rowOff>
    </xdr:from>
    <xdr:to>
      <xdr:col>14</xdr:col>
      <xdr:colOff>183751</xdr:colOff>
      <xdr:row>22</xdr:row>
      <xdr:rowOff>165100</xdr:rowOff>
    </xdr:to>
    <xdr:pic>
      <xdr:nvPicPr>
        <xdr:cNvPr id="3" name="תמונה 2">
          <a:extLst>
            <a:ext uri="{FF2B5EF4-FFF2-40B4-BE49-F238E27FC236}">
              <a16:creationId xmlns:a16="http://schemas.microsoft.com/office/drawing/2014/main" id="{319F8EAF-EA49-9A51-1665-3B8BAB007029}"/>
            </a:ext>
          </a:extLst>
        </xdr:cNvPr>
        <xdr:cNvPicPr>
          <a:picLocks noChangeAspect="1"/>
        </xdr:cNvPicPr>
      </xdr:nvPicPr>
      <xdr:blipFill>
        <a:blip xmlns:r="http://schemas.openxmlformats.org/officeDocument/2006/relationships" r:embed="rId1"/>
        <a:stretch>
          <a:fillRect/>
        </a:stretch>
      </xdr:blipFill>
      <xdr:spPr>
        <a:xfrm>
          <a:off x="276225" y="1343025"/>
          <a:ext cx="9163050" cy="4419600"/>
        </a:xfrm>
        <a:prstGeom prst="rect">
          <a:avLst/>
        </a:prstGeom>
      </xdr:spPr>
    </xdr:pic>
    <xdr:clientData/>
  </xdr:twoCellAnchor>
  <xdr:twoCellAnchor editAs="oneCell">
    <xdr:from>
      <xdr:col>1</xdr:col>
      <xdr:colOff>0</xdr:colOff>
      <xdr:row>1</xdr:row>
      <xdr:rowOff>0</xdr:rowOff>
    </xdr:from>
    <xdr:to>
      <xdr:col>5</xdr:col>
      <xdr:colOff>508000</xdr:colOff>
      <xdr:row>2</xdr:row>
      <xdr:rowOff>7803</xdr:rowOff>
    </xdr:to>
    <xdr:pic>
      <xdr:nvPicPr>
        <xdr:cNvPr id="4" name="גרפיקה 7">
          <a:extLst>
            <a:ext uri="{FF2B5EF4-FFF2-40B4-BE49-F238E27FC236}">
              <a16:creationId xmlns:a16="http://schemas.microsoft.com/office/drawing/2014/main" id="{FD381F8E-46F7-4A03-A000-250EEA2FD37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47650" y="190500"/>
          <a:ext cx="3362325" cy="20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1</xdr:row>
      <xdr:rowOff>63500</xdr:rowOff>
    </xdr:from>
    <xdr:to>
      <xdr:col>2</xdr:col>
      <xdr:colOff>393700</xdr:colOff>
      <xdr:row>2</xdr:row>
      <xdr:rowOff>71303</xdr:rowOff>
    </xdr:to>
    <xdr:pic>
      <xdr:nvPicPr>
        <xdr:cNvPr id="3" name="גרפיקה 7">
          <a:extLst>
            <a:ext uri="{FF2B5EF4-FFF2-40B4-BE49-F238E27FC236}">
              <a16:creationId xmlns:a16="http://schemas.microsoft.com/office/drawing/2014/main" id="{000F0853-DCEF-43CD-877B-C1D5134B60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57175"/>
          <a:ext cx="3343275" cy="2000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419100</xdr:colOff>
      <xdr:row>2</xdr:row>
      <xdr:rowOff>7803</xdr:rowOff>
    </xdr:to>
    <xdr:pic>
      <xdr:nvPicPr>
        <xdr:cNvPr id="2" name="גרפיקה 7">
          <a:extLst>
            <a:ext uri="{FF2B5EF4-FFF2-40B4-BE49-F238E27FC236}">
              <a16:creationId xmlns:a16="http://schemas.microsoft.com/office/drawing/2014/main" id="{2A9DFB8A-AB51-4F3F-BEB2-A694815AD5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52800" cy="2000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1371600</xdr:colOff>
      <xdr:row>2</xdr:row>
      <xdr:rowOff>7803</xdr:rowOff>
    </xdr:to>
    <xdr:pic>
      <xdr:nvPicPr>
        <xdr:cNvPr id="2" name="גרפיקה 7">
          <a:extLst>
            <a:ext uri="{FF2B5EF4-FFF2-40B4-BE49-F238E27FC236}">
              <a16:creationId xmlns:a16="http://schemas.microsoft.com/office/drawing/2014/main" id="{624BF971-1990-4BB3-960D-884230FA6D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400425" cy="2000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774700</xdr:colOff>
      <xdr:row>2</xdr:row>
      <xdr:rowOff>7803</xdr:rowOff>
    </xdr:to>
    <xdr:pic>
      <xdr:nvPicPr>
        <xdr:cNvPr id="4" name="גרפיקה 7">
          <a:extLst>
            <a:ext uri="{FF2B5EF4-FFF2-40B4-BE49-F238E27FC236}">
              <a16:creationId xmlns:a16="http://schemas.microsoft.com/office/drawing/2014/main" id="{DDDFCA1B-ECB4-4CB7-B518-10D8D8ABF8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71850" cy="2000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901700</xdr:colOff>
      <xdr:row>2</xdr:row>
      <xdr:rowOff>7803</xdr:rowOff>
    </xdr:to>
    <xdr:pic>
      <xdr:nvPicPr>
        <xdr:cNvPr id="4" name="גרפיקה 7">
          <a:extLst>
            <a:ext uri="{FF2B5EF4-FFF2-40B4-BE49-F238E27FC236}">
              <a16:creationId xmlns:a16="http://schemas.microsoft.com/office/drawing/2014/main" id="{728BA786-A161-4F8C-8B0E-F13A6D67FB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90900" cy="200025"/>
        </a:xfrm>
        <a:prstGeom prst="rect">
          <a:avLst/>
        </a:prstGeom>
      </xdr:spPr>
    </xdr:pic>
    <xdr:clientData/>
  </xdr:twoCellAnchor>
  <xdr:twoCellAnchor>
    <xdr:from>
      <xdr:col>1</xdr:col>
      <xdr:colOff>215900</xdr:colOff>
      <xdr:row>6</xdr:row>
      <xdr:rowOff>44449</xdr:rowOff>
    </xdr:from>
    <xdr:to>
      <xdr:col>9</xdr:col>
      <xdr:colOff>101600</xdr:colOff>
      <xdr:row>39</xdr:row>
      <xdr:rowOff>97468</xdr:rowOff>
    </xdr:to>
    <xdr:pic>
      <xdr:nvPicPr>
        <xdr:cNvPr id="3" name="תמונה 1">
          <a:extLst>
            <a:ext uri="{FF2B5EF4-FFF2-40B4-BE49-F238E27FC236}">
              <a16:creationId xmlns:a16="http://schemas.microsoft.com/office/drawing/2014/main" id="{DA818C67-7567-5A4A-1174-DA82083AA6DB}"/>
            </a:ext>
          </a:extLst>
        </xdr:cNvPr>
        <xdr:cNvPicPr>
          <a:picLocks noChangeAspect="1" noChangeArrowheads="1"/>
        </xdr:cNvPicPr>
      </xdr:nvPicPr>
      <xdr:blipFill>
        <a:blip xmlns:r="http://schemas.openxmlformats.org/officeDocument/2006/relationships" r:embed="rId3"/>
        <a:stretch>
          <a:fillRect/>
        </a:stretch>
      </xdr:blipFill>
      <xdr:spPr bwMode="auto">
        <a:xfrm>
          <a:off x="466725" y="1314450"/>
          <a:ext cx="10182225" cy="571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-185812582</xdr:colOff>
      <xdr:row>0</xdr:row>
      <xdr:rowOff>181155</xdr:rowOff>
    </xdr:from>
    <xdr:to>
      <xdr:col>0</xdr:col>
      <xdr:colOff>-183226215</xdr:colOff>
      <xdr:row>2</xdr:row>
      <xdr:rowOff>29321</xdr:rowOff>
    </xdr:to>
    <xdr:pic>
      <xdr:nvPicPr>
        <xdr:cNvPr id="3" name="גרפיקה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71450"/>
          <a:ext cx="2590800" cy="200025"/>
        </a:xfrm>
        <a:prstGeom prst="rect">
          <a:avLst/>
        </a:prstGeom>
      </xdr:spPr>
    </xdr:pic>
    <xdr:clientData/>
  </xdr:twoCellAnchor>
  <xdr:twoCellAnchor editAs="oneCell">
    <xdr:from>
      <xdr:col>1</xdr:col>
      <xdr:colOff>0</xdr:colOff>
      <xdr:row>1</xdr:row>
      <xdr:rowOff>0</xdr:rowOff>
    </xdr:from>
    <xdr:to>
      <xdr:col>2</xdr:col>
      <xdr:colOff>317500</xdr:colOff>
      <xdr:row>2</xdr:row>
      <xdr:rowOff>20503</xdr:rowOff>
    </xdr:to>
    <xdr:pic>
      <xdr:nvPicPr>
        <xdr:cNvPr id="6" name="גרפיקה 7">
          <a:extLst>
            <a:ext uri="{FF2B5EF4-FFF2-40B4-BE49-F238E27FC236}">
              <a16:creationId xmlns:a16="http://schemas.microsoft.com/office/drawing/2014/main" id="{5E94D0E6-9036-4DA7-AEA1-2E5D902664C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47650" y="171450"/>
          <a:ext cx="3352800" cy="190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178200</xdr:colOff>
      <xdr:row>39</xdr:row>
      <xdr:rowOff>69300</xdr:rowOff>
    </xdr:to>
    <xdr:grpSp>
      <xdr:nvGrpSpPr>
        <xdr:cNvPr id="2" name="קבוצה 1">
          <a:extLst>
            <a:ext uri="{FF2B5EF4-FFF2-40B4-BE49-F238E27FC236}">
              <a16:creationId xmlns:a16="http://schemas.microsoft.com/office/drawing/2014/main" id="{00000000-0008-0000-0300-000002000000}"/>
            </a:ext>
          </a:extLst>
        </xdr:cNvPr>
        <xdr:cNvGrpSpPr>
          <a:grpSpLocks/>
        </xdr:cNvGrpSpPr>
      </xdr:nvGrpSpPr>
      <xdr:grpSpPr>
        <a:xfrm flipH="1">
          <a:off x="0" y="0"/>
          <a:ext cx="11189100" cy="7003500"/>
          <a:chOff x="2142464505" y="0"/>
          <a:chExt cx="10465200" cy="7498800"/>
        </a:xfrm>
      </xdr:grpSpPr>
      <xdr:pic>
        <xdr:nvPicPr>
          <xdr:cNvPr id="4" name="תמונה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rcRect t="2046" b="2046"/>
          <a:stretch>
            <a:fillRect/>
          </a:stretch>
        </xdr:blipFill>
        <xdr:spPr>
          <a:xfrm>
            <a:off x="2142464506" y="0"/>
            <a:ext cx="10465199" cy="7498800"/>
          </a:xfrm>
          <a:prstGeom prst="rect">
            <a:avLst/>
          </a:prstGeom>
        </xdr:spPr>
      </xdr:pic>
      <xdr:sp macro="" textlink="" fLocksText="0">
        <xdr:nvSpPr>
          <xdr:cNvPr id="3" name="מלבן 2">
            <a:extLst>
              <a:ext uri="{FF2B5EF4-FFF2-40B4-BE49-F238E27FC236}">
                <a16:creationId xmlns:a16="http://schemas.microsoft.com/office/drawing/2014/main" id="{00000000-0008-0000-0300-000003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4</xdr:col>
      <xdr:colOff>62006</xdr:colOff>
      <xdr:row>31</xdr:row>
      <xdr:rowOff>96370</xdr:rowOff>
    </xdr:from>
    <xdr:to>
      <xdr:col>11</xdr:col>
      <xdr:colOff>250265</xdr:colOff>
      <xdr:row>39</xdr:row>
      <xdr:rowOff>59246</xdr:rowOff>
    </xdr:to>
    <xdr:sp macro="" textlink="">
      <xdr:nvSpPr>
        <xdr:cNvPr id="5" name="תיבת טקסט 4">
          <a:extLst>
            <a:ext uri="{FF2B5EF4-FFF2-40B4-BE49-F238E27FC236}">
              <a16:creationId xmlns:a16="http://schemas.microsoft.com/office/drawing/2014/main" id="{00000000-0008-0000-0300-000005000000}"/>
            </a:ext>
          </a:extLst>
        </xdr:cNvPr>
        <xdr:cNvSpPr txBox="1"/>
      </xdr:nvSpPr>
      <xdr:spPr>
        <a:xfrm>
          <a:off x="2543175" y="5410200"/>
          <a:ext cx="4524375" cy="1333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effectLst/>
              <a:latin typeface="Arial" panose="020B0604020202020204" pitchFamily="34" charset="0"/>
              <a:ea typeface="+mn-ea"/>
              <a:cs typeface="+mn-cs"/>
            </a:rPr>
            <a:t>Environment</a:t>
          </a:r>
        </a:p>
      </xdr:txBody>
    </xdr:sp>
    <xdr:clientData/>
  </xdr:twoCellAnchor>
  <xdr:twoCellAnchor editAs="oneCell">
    <xdr:from>
      <xdr:col>3</xdr:col>
      <xdr:colOff>635000</xdr:colOff>
      <xdr:row>1</xdr:row>
      <xdr:rowOff>114300</xdr:rowOff>
    </xdr:from>
    <xdr:to>
      <xdr:col>9</xdr:col>
      <xdr:colOff>193535</xdr:colOff>
      <xdr:row>2</xdr:row>
      <xdr:rowOff>131260</xdr:rowOff>
    </xdr:to>
    <xdr:pic>
      <xdr:nvPicPr>
        <xdr:cNvPr id="7" name="גרפיקה 2">
          <a:extLst>
            <a:ext uri="{FF2B5EF4-FFF2-40B4-BE49-F238E27FC236}">
              <a16:creationId xmlns:a16="http://schemas.microsoft.com/office/drawing/2014/main" id="{8A3D8AFE-EE4F-420A-B807-07825B346AE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476500" y="285750"/>
          <a:ext cx="3286125" cy="190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38100</xdr:colOff>
      <xdr:row>2</xdr:row>
      <xdr:rowOff>7803</xdr:rowOff>
    </xdr:to>
    <xdr:pic>
      <xdr:nvPicPr>
        <xdr:cNvPr id="2" name="גרפיקה 7">
          <a:extLst>
            <a:ext uri="{FF2B5EF4-FFF2-40B4-BE49-F238E27FC236}">
              <a16:creationId xmlns:a16="http://schemas.microsoft.com/office/drawing/2014/main" id="{6FA3C8DD-CCCE-4C53-8526-B65567A80B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52800" cy="200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38100</xdr:colOff>
      <xdr:row>3</xdr:row>
      <xdr:rowOff>76200</xdr:rowOff>
    </xdr:from>
    <xdr:to>
      <xdr:col>32</xdr:col>
      <xdr:colOff>866775</xdr:colOff>
      <xdr:row>25</xdr:row>
      <xdr:rowOff>47625</xdr:rowOff>
    </xdr:to>
    <xdr:sp macro="" textlink="">
      <xdr:nvSpPr>
        <xdr:cNvPr id="4" name="מלבן 3">
          <a:extLst>
            <a:ext uri="{FF2B5EF4-FFF2-40B4-BE49-F238E27FC236}">
              <a16:creationId xmlns:a16="http://schemas.microsoft.com/office/drawing/2014/main" id="{E2BF8399-5B70-4C30-9466-6F63DED3FFF8}"/>
            </a:ext>
          </a:extLst>
        </xdr:cNvPr>
        <xdr:cNvSpPr/>
      </xdr:nvSpPr>
      <xdr:spPr>
        <a:xfrm>
          <a:off x="13925550" y="647700"/>
          <a:ext cx="12353925" cy="6553200"/>
        </a:xfrm>
        <a:prstGeom prst="rect">
          <a:avLst/>
        </a:prstGeom>
        <a:ln>
          <a:noFill/>
        </a:ln>
      </xdr:spPr>
      <xdr:style>
        <a:lnRef idx="2">
          <a:schemeClr val="tx1"/>
        </a:lnRef>
        <a:fillRef idx="1">
          <a:schemeClr val="bg1"/>
        </a:fillRef>
        <a:effectRef idx="0">
          <a:schemeClr val="tx1"/>
        </a:effectRef>
        <a:fontRef idx="minor">
          <a:schemeClr val="tx1"/>
        </a:fontRef>
      </xdr:style>
      <xdr:txBody>
        <a:bodyPr vertOverflow="clip" horzOverflow="clip" rtlCol="1" anchor="t"/>
        <a:lstStyle/>
        <a:p>
          <a:pPr algn="r" rtl="1"/>
          <a:endParaRPr lang="he-IL" sz="1100"/>
        </a:p>
      </xdr:txBody>
    </xdr:sp>
    <xdr:clientData/>
  </xdr:twoCellAnchor>
  <xdr:twoCellAnchor editAs="oneCell">
    <xdr:from>
      <xdr:col>1</xdr:col>
      <xdr:colOff>0</xdr:colOff>
      <xdr:row>1</xdr:row>
      <xdr:rowOff>0</xdr:rowOff>
    </xdr:from>
    <xdr:to>
      <xdr:col>4</xdr:col>
      <xdr:colOff>444500</xdr:colOff>
      <xdr:row>2</xdr:row>
      <xdr:rowOff>7803</xdr:rowOff>
    </xdr:to>
    <xdr:pic>
      <xdr:nvPicPr>
        <xdr:cNvPr id="3" name="גרפיקה 7">
          <a:extLst>
            <a:ext uri="{FF2B5EF4-FFF2-40B4-BE49-F238E27FC236}">
              <a16:creationId xmlns:a16="http://schemas.microsoft.com/office/drawing/2014/main" id="{4C1E7B33-066F-4DA1-BC85-881D74EDDE2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71850" cy="200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0</xdr:colOff>
      <xdr:row>2</xdr:row>
      <xdr:rowOff>7803</xdr:rowOff>
    </xdr:to>
    <xdr:pic>
      <xdr:nvPicPr>
        <xdr:cNvPr id="3" name="גרפיקה 7">
          <a:extLst>
            <a:ext uri="{FF2B5EF4-FFF2-40B4-BE49-F238E27FC236}">
              <a16:creationId xmlns:a16="http://schemas.microsoft.com/office/drawing/2014/main" id="{1325C621-42B3-493F-9818-01AB4519DB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81375" cy="200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279400</xdr:colOff>
      <xdr:row>2</xdr:row>
      <xdr:rowOff>7803</xdr:rowOff>
    </xdr:to>
    <xdr:pic>
      <xdr:nvPicPr>
        <xdr:cNvPr id="3" name="גרפיקה 7">
          <a:extLst>
            <a:ext uri="{FF2B5EF4-FFF2-40B4-BE49-F238E27FC236}">
              <a16:creationId xmlns:a16="http://schemas.microsoft.com/office/drawing/2014/main" id="{46D8FAB5-51FC-4150-945E-4021F44EE9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52800" cy="200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723900</xdr:colOff>
      <xdr:row>2</xdr:row>
      <xdr:rowOff>7803</xdr:rowOff>
    </xdr:to>
    <xdr:pic>
      <xdr:nvPicPr>
        <xdr:cNvPr id="3" name="גרפיקה 7">
          <a:extLst>
            <a:ext uri="{FF2B5EF4-FFF2-40B4-BE49-F238E27FC236}">
              <a16:creationId xmlns:a16="http://schemas.microsoft.com/office/drawing/2014/main" id="{4D26C710-B0C2-4F13-8436-291D13BA08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190500"/>
          <a:ext cx="3381375" cy="200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0210485\AppData\Local\Microsoft\Windows\INetCache\Content.Outlook\FIOBQR7C\Bezeq%20ESG%20Metrics%20-%202024%20Report%20-%20Hebrew%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0210485\AppData\Local\Microsoft\Windows\INetCache\Content.Outlook\WZOMNFKQ\&#1502;&#1513;&#1488;&#1489;&#1497;%20&#1488;&#1504;&#1493;&#1513;\&#1504;&#1514;&#1493;&#1504;&#1497;&#1501;%20&#1502;&#1499;&#1493;&#1499;&#1497;\&#1492;&#1513;&#1500;&#1502;&#1493;&#1514;%2018.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פתיח"/>
      <sheetName val="בית"/>
      <sheetName val="יעדי קבוצת בזק"/>
      <sheetName val="סביבה&gt;&gt;&gt;"/>
      <sheetName val="פליטות גזי חממה"/>
      <sheetName val="עצימות"/>
      <sheetName val="צריכת אנרגיה"/>
      <sheetName val="מים"/>
      <sheetName val="פסולת"/>
      <sheetName val="חברה&gt;&gt;&gt; "/>
      <sheetName val="כוח אדם"/>
      <sheetName val="אופי העסקה"/>
      <sheetName val="ותק עובדים"/>
      <sheetName val="תחלופת עובדים"/>
      <sheetName val="גיוון והכללה"/>
      <sheetName val="הדרכות, משוב והערכה"/>
      <sheetName val="בטיחות וגהות"/>
      <sheetName val="ממשל תאגידי&gt;&gt;&gt;"/>
      <sheetName val="מבנה אחזקות"/>
      <sheetName val="חברי הדירקטוריון"/>
      <sheetName val="מענק שנתי לנושאי משרה"/>
      <sheetName val="פניות למבקר החברה"/>
      <sheetName val="ביצועים כספיים"/>
      <sheetName val="Grievances"/>
    </sheetNames>
    <sheetDataSet>
      <sheetData sheetId="0"/>
      <sheetData sheetId="1"/>
      <sheetData sheetId="2"/>
      <sheetData sheetId="3"/>
      <sheetData sheetId="4"/>
      <sheetData sheetId="5"/>
      <sheetData sheetId="6"/>
      <sheetData sheetId="7"/>
      <sheetData sheetId="8"/>
      <sheetData sheetId="9"/>
      <sheetData sheetId="10">
        <row r="36">
          <cell r="E36">
            <v>848</v>
          </cell>
        </row>
        <row r="53">
          <cell r="L53">
            <v>78</v>
          </cell>
          <cell r="N53">
            <v>169</v>
          </cell>
        </row>
        <row r="69">
          <cell r="L69">
            <v>150</v>
          </cell>
          <cell r="N69">
            <v>354</v>
          </cell>
        </row>
        <row r="85">
          <cell r="L85">
            <v>44</v>
          </cell>
          <cell r="N85">
            <v>117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count"/>
      <sheetName val="משוב והערכה"/>
      <sheetName val="כוח אדם"/>
      <sheetName val=" הנהלה"/>
    </sheetNames>
    <sheetDataSet>
      <sheetData sheetId="0" refreshError="1"/>
      <sheetData sheetId="1" refreshError="1"/>
      <sheetData sheetId="2" refreshError="1">
        <row r="15">
          <cell r="C15">
            <v>564</v>
          </cell>
          <cell r="D15">
            <v>707</v>
          </cell>
          <cell r="G15">
            <v>535</v>
          </cell>
          <cell r="H15">
            <v>803</v>
          </cell>
          <cell r="K15">
            <v>578</v>
          </cell>
          <cell r="L15">
            <v>786</v>
          </cell>
        </row>
        <row r="16">
          <cell r="C16">
            <v>993</v>
          </cell>
          <cell r="D16">
            <v>1668</v>
          </cell>
          <cell r="G16">
            <v>965</v>
          </cell>
          <cell r="H16">
            <v>1672</v>
          </cell>
          <cell r="K16">
            <v>949</v>
          </cell>
          <cell r="L16">
            <v>1656</v>
          </cell>
        </row>
        <row r="17">
          <cell r="C17">
            <v>367</v>
          </cell>
          <cell r="D17">
            <v>1109</v>
          </cell>
          <cell r="G17">
            <v>384</v>
          </cell>
          <cell r="H17">
            <v>1116</v>
          </cell>
          <cell r="K17">
            <v>435</v>
          </cell>
          <cell r="L17">
            <v>1194</v>
          </cell>
        </row>
        <row r="21">
          <cell r="L21" t="str">
            <v>2-7, 2-8</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
  <sheetViews>
    <sheetView showGridLines="0" tabSelected="1" topLeftCell="B1" zoomScale="50" zoomScaleNormal="50" workbookViewId="0">
      <selection activeCell="R37" sqref="R37"/>
    </sheetView>
  </sheetViews>
  <sheetFormatPr defaultColWidth="9.26953125" defaultRowHeight="14" x14ac:dyDescent="0.35"/>
  <cols>
    <col min="1" max="17" width="9.26953125" style="10" customWidth="1"/>
    <col min="18" max="18" width="72.81640625" style="10" customWidth="1"/>
    <col min="19" max="19" width="9.26953125" style="10" customWidth="1"/>
    <col min="20" max="16384" width="9.26953125" style="10"/>
  </cols>
  <sheetData/>
  <pageMargins left="0.7" right="0.7" top="0.75" bottom="0.75" header="0.3" footer="0.3"/>
  <pageSetup paperSize="9"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
  <sheetViews>
    <sheetView showGridLines="0" zoomScale="50" zoomScaleNormal="50" workbookViewId="0">
      <selection activeCell="AE25" sqref="AE25"/>
    </sheetView>
  </sheetViews>
  <sheetFormatPr defaultColWidth="9.26953125" defaultRowHeight="14" x14ac:dyDescent="0.35"/>
  <cols>
    <col min="1" max="7" width="9.26953125" style="467" customWidth="1"/>
    <col min="8" max="16384" width="9.26953125" style="467"/>
  </cols>
  <sheetData/>
  <pageMargins left="0.7" right="0.7" top="0.75" bottom="0.75" header="0.3" footer="0.3"/>
  <pageSetup paperSize="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01"/>
  <sheetViews>
    <sheetView showGridLines="0" topLeftCell="A29" zoomScale="50" zoomScaleNormal="50" workbookViewId="0">
      <selection activeCell="L4" sqref="L4"/>
    </sheetView>
  </sheetViews>
  <sheetFormatPr defaultColWidth="9.26953125" defaultRowHeight="14" x14ac:dyDescent="0.35"/>
  <cols>
    <col min="1" max="1" width="3.7265625" style="12" customWidth="1"/>
    <col min="2" max="2" width="24.81640625" style="12" customWidth="1"/>
    <col min="3" max="3" width="10.1796875" style="12" customWidth="1"/>
    <col min="4" max="4" width="12" style="12" customWidth="1"/>
    <col min="5" max="5" width="8.81640625" style="12" customWidth="1"/>
    <col min="6" max="6" width="13.81640625" style="12" customWidth="1"/>
    <col min="7" max="7" width="10.7265625" style="12" customWidth="1"/>
    <col min="8" max="8" width="12" style="12" customWidth="1"/>
    <col min="9" max="9" width="10.7265625" style="12" customWidth="1"/>
    <col min="10" max="10" width="12.7265625" style="12" customWidth="1"/>
    <col min="11" max="11" width="9.81640625" style="12" customWidth="1"/>
    <col min="12" max="12" width="8.54296875" style="12" customWidth="1"/>
    <col min="13" max="13" width="9.1796875" style="12" customWidth="1"/>
    <col min="14" max="14" width="10.7265625" style="12" customWidth="1"/>
    <col min="15" max="15" width="10.453125" style="12" customWidth="1"/>
    <col min="16" max="16" width="9" style="12" customWidth="1"/>
    <col min="17" max="17" width="9.26953125" style="12" customWidth="1"/>
    <col min="18" max="18" width="12" style="12" customWidth="1"/>
    <col min="19" max="19" width="11.26953125" style="12" customWidth="1"/>
    <col min="20" max="20" width="6.81640625" style="12" customWidth="1"/>
    <col min="21" max="21" width="8.453125" style="12" customWidth="1"/>
    <col min="22" max="22" width="14.54296875" style="12" customWidth="1"/>
    <col min="23" max="23" width="14.7265625" style="12" customWidth="1"/>
    <col min="24" max="24" width="9.26953125" style="12" customWidth="1"/>
    <col min="25" max="16384" width="9.26953125" style="12"/>
  </cols>
  <sheetData>
    <row r="1" spans="1:19" ht="15" customHeight="1" x14ac:dyDescent="0.35">
      <c r="B1" s="13"/>
      <c r="C1" s="13"/>
      <c r="D1" s="13"/>
      <c r="E1" s="13"/>
      <c r="F1" s="13"/>
      <c r="G1" s="13"/>
      <c r="H1" s="13"/>
      <c r="I1" s="13"/>
      <c r="J1" s="13"/>
      <c r="K1" s="13"/>
    </row>
    <row r="2" spans="1:19" ht="15" customHeight="1" x14ac:dyDescent="0.35">
      <c r="B2" s="13"/>
      <c r="C2" s="13"/>
      <c r="D2" s="13"/>
      <c r="E2" s="13"/>
      <c r="F2" s="13"/>
      <c r="G2" s="13"/>
      <c r="H2" s="13"/>
      <c r="I2" s="13"/>
      <c r="J2" s="13"/>
      <c r="K2" s="13"/>
    </row>
    <row r="3" spans="1:19" ht="15" customHeight="1" x14ac:dyDescent="0.35">
      <c r="B3" s="13"/>
      <c r="C3" s="13"/>
      <c r="D3" s="13"/>
      <c r="E3" s="13"/>
      <c r="F3" s="13"/>
      <c r="G3" s="13"/>
      <c r="H3" s="13"/>
      <c r="I3" s="13"/>
      <c r="J3" s="13"/>
      <c r="K3" s="13"/>
    </row>
    <row r="4" spans="1:19" ht="15" customHeight="1" x14ac:dyDescent="0.35">
      <c r="B4" s="13"/>
      <c r="C4" s="13"/>
      <c r="D4" s="13"/>
      <c r="E4" s="13"/>
      <c r="F4" s="13"/>
      <c r="G4" s="13"/>
      <c r="H4" s="13"/>
      <c r="I4" s="13"/>
      <c r="J4" s="13"/>
      <c r="K4" s="13"/>
    </row>
    <row r="5" spans="1:19" ht="24" customHeight="1" thickBot="1" x14ac:dyDescent="0.4">
      <c r="B5" s="725" t="s">
        <v>138</v>
      </c>
      <c r="C5" s="11"/>
      <c r="D5" s="11"/>
      <c r="E5" s="11"/>
      <c r="F5" s="11"/>
      <c r="G5" s="11"/>
      <c r="H5" s="11"/>
      <c r="I5" s="11"/>
      <c r="J5" s="11"/>
      <c r="K5" s="11"/>
      <c r="L5" s="11"/>
      <c r="M5" s="11"/>
      <c r="N5" s="11"/>
      <c r="O5" s="11"/>
      <c r="P5" s="11"/>
      <c r="Q5" s="11"/>
      <c r="R5" s="11"/>
      <c r="S5" s="11"/>
    </row>
    <row r="6" spans="1:19" ht="15" customHeight="1" thickTop="1" x14ac:dyDescent="0.35">
      <c r="B6" s="13"/>
      <c r="C6" s="13"/>
      <c r="D6" s="13"/>
      <c r="E6" s="13"/>
      <c r="F6" s="13"/>
      <c r="G6" s="13"/>
      <c r="H6" s="13"/>
      <c r="I6" s="13"/>
      <c r="J6" s="13"/>
      <c r="K6" s="13"/>
    </row>
    <row r="7" spans="1:19" ht="25.15" customHeight="1" x14ac:dyDescent="0.35">
      <c r="B7" s="745" t="s">
        <v>139</v>
      </c>
      <c r="C7" s="369"/>
      <c r="D7" s="369"/>
      <c r="E7" s="369"/>
      <c r="F7" s="369"/>
      <c r="G7" s="369"/>
      <c r="H7" s="369"/>
      <c r="I7" s="369"/>
      <c r="J7" s="369"/>
      <c r="K7" s="369"/>
      <c r="L7" s="369"/>
      <c r="M7" s="369"/>
      <c r="N7" s="369"/>
      <c r="O7" s="369"/>
      <c r="P7" s="369"/>
      <c r="Q7" s="369"/>
      <c r="R7" s="369"/>
      <c r="S7" s="369"/>
    </row>
    <row r="8" spans="1:19" ht="25.15" customHeight="1" x14ac:dyDescent="0.35">
      <c r="A8" s="13"/>
      <c r="B8" s="703" t="s">
        <v>456</v>
      </c>
      <c r="C8" s="703"/>
      <c r="D8" s="703"/>
      <c r="E8" s="703"/>
      <c r="F8" s="704"/>
      <c r="G8" s="704"/>
      <c r="H8" s="704"/>
      <c r="I8" s="704"/>
      <c r="J8" s="704"/>
      <c r="K8" s="704"/>
      <c r="L8" s="704"/>
      <c r="M8" s="704"/>
      <c r="N8" s="13"/>
      <c r="O8" s="13"/>
    </row>
    <row r="9" spans="1:19" ht="30.4" customHeight="1" x14ac:dyDescent="0.35">
      <c r="A9" s="13"/>
      <c r="B9" s="370"/>
      <c r="C9" s="85">
        <v>2020</v>
      </c>
      <c r="D9" s="85">
        <v>2021</v>
      </c>
      <c r="E9" s="85">
        <v>2022</v>
      </c>
      <c r="F9" s="371">
        <v>2023</v>
      </c>
      <c r="G9" s="85">
        <v>2024</v>
      </c>
      <c r="H9" s="278"/>
      <c r="I9" s="278"/>
      <c r="J9" s="278"/>
      <c r="K9" s="278"/>
      <c r="L9" s="278"/>
      <c r="M9" s="278"/>
      <c r="N9" s="278"/>
      <c r="O9" s="278"/>
      <c r="P9" s="278"/>
      <c r="Q9" s="278"/>
      <c r="R9" s="278"/>
      <c r="S9" s="372" t="s">
        <v>23</v>
      </c>
    </row>
    <row r="10" spans="1:19" ht="31.5" customHeight="1" x14ac:dyDescent="0.35">
      <c r="A10" s="13"/>
      <c r="B10" s="692" t="s">
        <v>25</v>
      </c>
      <c r="C10" s="533">
        <v>5408</v>
      </c>
      <c r="D10" s="533">
        <v>5475</v>
      </c>
      <c r="E10" s="533">
        <v>5598</v>
      </c>
      <c r="F10" s="533">
        <v>5432</v>
      </c>
      <c r="G10" s="533">
        <v>5425</v>
      </c>
      <c r="H10" s="303"/>
      <c r="I10" s="303"/>
      <c r="J10" s="97"/>
      <c r="K10" s="97"/>
      <c r="L10" s="97"/>
      <c r="M10" s="97"/>
      <c r="N10" s="97"/>
      <c r="O10" s="97"/>
      <c r="P10" s="97"/>
      <c r="Q10" s="97"/>
      <c r="R10" s="97"/>
      <c r="S10" s="961" t="s">
        <v>140</v>
      </c>
    </row>
    <row r="11" spans="1:19" ht="21.4" customHeight="1" x14ac:dyDescent="0.35">
      <c r="A11" s="13"/>
      <c r="B11" s="693" t="s">
        <v>166</v>
      </c>
      <c r="C11" s="538">
        <v>1229</v>
      </c>
      <c r="D11" s="538">
        <v>1094</v>
      </c>
      <c r="E11" s="538">
        <v>1065</v>
      </c>
      <c r="F11" s="538">
        <v>1155</v>
      </c>
      <c r="G11" s="538" t="s">
        <v>141</v>
      </c>
      <c r="H11" s="105"/>
      <c r="I11" s="105"/>
      <c r="J11" s="105"/>
      <c r="K11" s="105"/>
      <c r="L11" s="105"/>
      <c r="M11" s="105"/>
      <c r="N11" s="105"/>
      <c r="O11" s="105"/>
      <c r="P11" s="105"/>
      <c r="Q11" s="105"/>
      <c r="R11" s="105"/>
      <c r="S11" s="962"/>
    </row>
    <row r="12" spans="1:19" ht="21.4" customHeight="1" x14ac:dyDescent="0.35">
      <c r="A12" s="13"/>
      <c r="B12" s="693" t="s">
        <v>27</v>
      </c>
      <c r="C12" s="538">
        <v>1900</v>
      </c>
      <c r="D12" s="538">
        <v>1768</v>
      </c>
      <c r="E12" s="538">
        <v>1704</v>
      </c>
      <c r="F12" s="538">
        <v>1684</v>
      </c>
      <c r="G12" s="746" t="s">
        <v>142</v>
      </c>
      <c r="H12" s="105"/>
      <c r="I12" s="105"/>
      <c r="J12" s="105"/>
      <c r="K12" s="105"/>
      <c r="L12" s="105"/>
      <c r="M12" s="105"/>
      <c r="N12" s="105"/>
      <c r="O12" s="105"/>
      <c r="P12" s="105"/>
      <c r="Q12" s="105"/>
      <c r="R12" s="105"/>
      <c r="S12" s="962"/>
    </row>
    <row r="13" spans="1:19" ht="21.4" customHeight="1" x14ac:dyDescent="0.35">
      <c r="A13" s="13"/>
      <c r="B13" s="693" t="s">
        <v>74</v>
      </c>
      <c r="C13" s="538">
        <v>1311</v>
      </c>
      <c r="D13" s="538">
        <v>1121</v>
      </c>
      <c r="E13" s="538">
        <v>950</v>
      </c>
      <c r="F13" s="538">
        <v>703</v>
      </c>
      <c r="G13" s="746" t="s">
        <v>143</v>
      </c>
      <c r="H13" s="105"/>
      <c r="I13" s="105"/>
      <c r="J13" s="105"/>
      <c r="K13" s="105"/>
      <c r="L13" s="105"/>
      <c r="M13" s="105"/>
      <c r="N13" s="105"/>
      <c r="O13" s="105"/>
      <c r="P13" s="105"/>
      <c r="Q13" s="105"/>
      <c r="R13" s="105"/>
      <c r="S13" s="962"/>
    </row>
    <row r="14" spans="1:19" ht="21.4" customHeight="1" x14ac:dyDescent="0.35">
      <c r="A14" s="13"/>
      <c r="B14" s="702" t="s">
        <v>49</v>
      </c>
      <c r="C14" s="534">
        <f t="shared" ref="C14" si="0">SUM(C10:C13)</f>
        <v>9848</v>
      </c>
      <c r="D14" s="534">
        <f>SUM(D10:D13)</f>
        <v>9458</v>
      </c>
      <c r="E14" s="534">
        <f>SUM(E10:E13)</f>
        <v>9317</v>
      </c>
      <c r="F14" s="534">
        <f>SUM(F10:F13)</f>
        <v>8974</v>
      </c>
      <c r="G14" s="747" t="s">
        <v>144</v>
      </c>
      <c r="H14" s="284"/>
      <c r="I14" s="284"/>
      <c r="J14" s="284"/>
      <c r="K14" s="284"/>
      <c r="L14" s="284"/>
      <c r="M14" s="284"/>
      <c r="N14" s="284"/>
      <c r="O14" s="284"/>
      <c r="P14" s="284"/>
      <c r="Q14" s="284"/>
      <c r="R14" s="284"/>
      <c r="S14" s="963"/>
    </row>
    <row r="15" spans="1:19" ht="21.4" customHeight="1" x14ac:dyDescent="0.35">
      <c r="A15" s="13"/>
      <c r="B15" s="374"/>
      <c r="C15" s="310"/>
      <c r="D15" s="310"/>
      <c r="E15" s="310"/>
      <c r="F15" s="310"/>
      <c r="G15" s="375"/>
      <c r="H15" s="13"/>
      <c r="I15" s="13"/>
      <c r="J15" s="13"/>
      <c r="K15" s="13"/>
      <c r="L15" s="13"/>
      <c r="M15" s="13"/>
      <c r="N15" s="13"/>
      <c r="O15" s="13"/>
    </row>
    <row r="16" spans="1:19" ht="25.15" customHeight="1" x14ac:dyDescent="0.35">
      <c r="A16" s="13"/>
      <c r="B16" s="703" t="s">
        <v>145</v>
      </c>
      <c r="C16" s="703"/>
      <c r="D16" s="703"/>
      <c r="E16" s="703"/>
      <c r="F16" s="703"/>
      <c r="G16" s="704"/>
      <c r="H16" s="13"/>
      <c r="I16" s="13"/>
      <c r="J16" s="13"/>
      <c r="K16" s="13"/>
      <c r="L16" s="13"/>
      <c r="M16" s="13"/>
      <c r="N16" s="13"/>
      <c r="O16" s="13"/>
    </row>
    <row r="17" spans="1:19" ht="30.4" customHeight="1" x14ac:dyDescent="0.35">
      <c r="A17" s="13"/>
      <c r="B17" s="376"/>
      <c r="C17" s="971">
        <v>2021</v>
      </c>
      <c r="D17" s="967"/>
      <c r="E17" s="967">
        <v>2022</v>
      </c>
      <c r="F17" s="968"/>
      <c r="G17" s="967">
        <v>2023</v>
      </c>
      <c r="H17" s="968"/>
      <c r="I17" s="967">
        <v>2024</v>
      </c>
      <c r="J17" s="968"/>
      <c r="K17" s="376"/>
      <c r="L17" s="376"/>
      <c r="M17" s="376"/>
      <c r="N17" s="376"/>
      <c r="O17" s="129"/>
      <c r="P17" s="129"/>
      <c r="Q17" s="129"/>
      <c r="R17" s="129"/>
      <c r="S17" s="372" t="s">
        <v>23</v>
      </c>
    </row>
    <row r="18" spans="1:19" ht="40.9" customHeight="1" x14ac:dyDescent="0.35">
      <c r="A18" s="13"/>
      <c r="B18" s="144"/>
      <c r="C18" s="748" t="s">
        <v>146</v>
      </c>
      <c r="D18" s="749" t="s">
        <v>147</v>
      </c>
      <c r="E18" s="750" t="s">
        <v>146</v>
      </c>
      <c r="F18" s="751" t="s">
        <v>147</v>
      </c>
      <c r="G18" s="750" t="s">
        <v>146</v>
      </c>
      <c r="H18" s="751" t="s">
        <v>147</v>
      </c>
      <c r="I18" s="750" t="s">
        <v>146</v>
      </c>
      <c r="J18" s="751" t="s">
        <v>147</v>
      </c>
      <c r="K18" s="748"/>
      <c r="L18" s="377"/>
      <c r="M18" s="377"/>
      <c r="N18" s="377"/>
      <c r="O18" s="164"/>
      <c r="P18" s="164"/>
      <c r="Q18" s="164"/>
      <c r="R18" s="164"/>
      <c r="S18" s="966" t="s">
        <v>148</v>
      </c>
    </row>
    <row r="19" spans="1:19" ht="21.4" customHeight="1" x14ac:dyDescent="0.35">
      <c r="A19" s="13"/>
      <c r="B19" s="692" t="s">
        <v>25</v>
      </c>
      <c r="C19" s="286">
        <f>5556*0.92</f>
        <v>5111.5200000000004</v>
      </c>
      <c r="D19" s="378">
        <v>0.92</v>
      </c>
      <c r="E19" s="379">
        <f>5610*0.93</f>
        <v>5217.3</v>
      </c>
      <c r="F19" s="41">
        <v>0.93</v>
      </c>
      <c r="G19" s="379">
        <f>5432*0.93</f>
        <v>5051.76</v>
      </c>
      <c r="H19" s="380">
        <v>0.93</v>
      </c>
      <c r="I19" s="381">
        <v>5034</v>
      </c>
      <c r="J19" s="382">
        <v>0.92792626728110594</v>
      </c>
      <c r="K19" s="97"/>
      <c r="L19" s="97"/>
      <c r="M19" s="97"/>
      <c r="N19" s="383"/>
      <c r="O19" s="150"/>
      <c r="P19" s="150"/>
      <c r="Q19" s="150"/>
      <c r="R19" s="150"/>
      <c r="S19" s="966"/>
    </row>
    <row r="20" spans="1:19" ht="21.4" customHeight="1" x14ac:dyDescent="0.35">
      <c r="A20" s="13"/>
      <c r="B20" s="693" t="s">
        <v>412</v>
      </c>
      <c r="C20" s="116">
        <v>905</v>
      </c>
      <c r="D20" s="384">
        <v>0.79500000000000004</v>
      </c>
      <c r="E20" s="385">
        <v>882</v>
      </c>
      <c r="F20" s="384">
        <v>0.79100000000000004</v>
      </c>
      <c r="G20" s="385">
        <v>904</v>
      </c>
      <c r="H20" s="380">
        <v>0.83299999999999996</v>
      </c>
      <c r="I20" s="386">
        <v>873</v>
      </c>
      <c r="J20" s="387">
        <v>0.83299999999999996</v>
      </c>
      <c r="K20" s="105"/>
      <c r="L20" s="105"/>
      <c r="M20" s="105"/>
      <c r="N20" s="388"/>
      <c r="O20" s="150"/>
      <c r="P20" s="150"/>
      <c r="Q20" s="150"/>
      <c r="R20" s="150"/>
      <c r="S20" s="966"/>
    </row>
    <row r="21" spans="1:19" ht="21.4" customHeight="1" x14ac:dyDescent="0.35">
      <c r="A21" s="13"/>
      <c r="B21" s="693" t="s">
        <v>27</v>
      </c>
      <c r="C21" s="287">
        <v>1658</v>
      </c>
      <c r="D21" s="389">
        <v>0.93700000000000006</v>
      </c>
      <c r="E21" s="390">
        <v>1572</v>
      </c>
      <c r="F21" s="389">
        <v>0.93500000000000005</v>
      </c>
      <c r="G21" s="390">
        <v>1579</v>
      </c>
      <c r="H21" s="391">
        <v>0.93700000000000006</v>
      </c>
      <c r="I21" s="379">
        <v>1565</v>
      </c>
      <c r="J21" s="392">
        <v>0.93600000000000005</v>
      </c>
      <c r="K21" s="105"/>
      <c r="L21" s="105"/>
      <c r="M21" s="105"/>
      <c r="N21" s="388"/>
      <c r="O21" s="150"/>
      <c r="P21" s="150"/>
      <c r="Q21" s="150"/>
      <c r="R21" s="150"/>
      <c r="S21" s="966"/>
    </row>
    <row r="22" spans="1:19" ht="21.4" customHeight="1" x14ac:dyDescent="0.35">
      <c r="A22" s="13"/>
      <c r="B22" s="693" t="s">
        <v>457</v>
      </c>
      <c r="C22" s="287">
        <v>1065</v>
      </c>
      <c r="D22" s="393">
        <v>0.95</v>
      </c>
      <c r="E22" s="385">
        <v>893</v>
      </c>
      <c r="F22" s="43">
        <v>0.94</v>
      </c>
      <c r="G22" s="390">
        <v>663</v>
      </c>
      <c r="H22" s="391">
        <v>0.94</v>
      </c>
      <c r="I22" s="379">
        <v>560</v>
      </c>
      <c r="J22" s="27">
        <v>0.94</v>
      </c>
      <c r="K22" s="105"/>
      <c r="L22" s="105"/>
      <c r="M22" s="105"/>
      <c r="N22" s="388"/>
      <c r="O22" s="150"/>
      <c r="P22" s="150"/>
      <c r="Q22" s="150"/>
      <c r="R22" s="150"/>
      <c r="S22" s="966"/>
    </row>
    <row r="23" spans="1:19" ht="21.4" customHeight="1" x14ac:dyDescent="0.35">
      <c r="A23" s="13"/>
      <c r="B23" s="702" t="s">
        <v>149</v>
      </c>
      <c r="C23" s="972">
        <f>C19+C20+C21+C22</f>
        <v>8739.52</v>
      </c>
      <c r="D23" s="973"/>
      <c r="E23" s="973">
        <f>SUM(E19:E22)</f>
        <v>8564.2999999999993</v>
      </c>
      <c r="F23" s="969"/>
      <c r="G23" s="969">
        <f>SUM(G19:G22)</f>
        <v>8197.76</v>
      </c>
      <c r="H23" s="970"/>
      <c r="I23" s="969">
        <f>SUM(I19:I22)</f>
        <v>8032</v>
      </c>
      <c r="J23" s="970"/>
      <c r="K23" s="284"/>
      <c r="L23" s="284"/>
      <c r="M23" s="284"/>
      <c r="N23" s="394"/>
      <c r="S23" s="961"/>
    </row>
    <row r="24" spans="1:19" ht="21.4" customHeight="1" x14ac:dyDescent="0.35">
      <c r="A24" s="13"/>
      <c r="B24" s="33"/>
      <c r="C24" s="395"/>
      <c r="D24" s="395"/>
      <c r="E24" s="395"/>
      <c r="F24" s="395"/>
      <c r="G24" s="375"/>
      <c r="H24" s="396"/>
      <c r="K24" s="13"/>
      <c r="L24" s="13"/>
      <c r="M24" s="13"/>
      <c r="N24" s="13"/>
      <c r="O24" s="13"/>
    </row>
    <row r="25" spans="1:19" ht="25.15" customHeight="1" x14ac:dyDescent="0.35">
      <c r="A25" s="13"/>
      <c r="B25" s="703" t="s">
        <v>150</v>
      </c>
      <c r="C25" s="703"/>
      <c r="D25" s="703"/>
      <c r="E25" s="703"/>
      <c r="F25" s="53"/>
      <c r="G25" s="53"/>
      <c r="H25" s="53"/>
      <c r="I25" s="53"/>
      <c r="J25" s="53"/>
      <c r="K25" s="53"/>
      <c r="L25" s="13"/>
      <c r="M25" s="13"/>
      <c r="N25" s="13"/>
      <c r="O25" s="13"/>
    </row>
    <row r="26" spans="1:19" ht="46" customHeight="1" x14ac:dyDescent="0.35">
      <c r="A26" s="13"/>
      <c r="B26" s="397"/>
      <c r="C26" s="964" t="s">
        <v>25</v>
      </c>
      <c r="D26" s="965"/>
      <c r="E26" s="965" t="s">
        <v>166</v>
      </c>
      <c r="F26" s="965"/>
      <c r="G26" s="965" t="s">
        <v>27</v>
      </c>
      <c r="H26" s="965"/>
      <c r="I26" s="852" t="s">
        <v>457</v>
      </c>
      <c r="J26" s="853"/>
      <c r="K26" s="398"/>
      <c r="L26" s="398"/>
      <c r="M26" s="398"/>
      <c r="N26" s="398"/>
      <c r="O26" s="129"/>
      <c r="P26" s="129"/>
      <c r="Q26" s="129"/>
      <c r="R26" s="129"/>
      <c r="S26" s="974" t="s">
        <v>23</v>
      </c>
    </row>
    <row r="27" spans="1:19" ht="21.4" customHeight="1" x14ac:dyDescent="0.35">
      <c r="A27" s="13"/>
      <c r="B27" s="399"/>
      <c r="C27" s="849" t="s">
        <v>151</v>
      </c>
      <c r="D27" s="850" t="s">
        <v>152</v>
      </c>
      <c r="E27" s="851" t="s">
        <v>151</v>
      </c>
      <c r="F27" s="850" t="s">
        <v>152</v>
      </c>
      <c r="G27" s="851" t="s">
        <v>151</v>
      </c>
      <c r="H27" s="850" t="s">
        <v>152</v>
      </c>
      <c r="I27" s="851" t="s">
        <v>151</v>
      </c>
      <c r="J27" s="849" t="s">
        <v>152</v>
      </c>
      <c r="K27" s="400"/>
      <c r="L27" s="400"/>
      <c r="M27" s="400"/>
      <c r="N27" s="400"/>
      <c r="O27" s="164"/>
      <c r="P27" s="164"/>
      <c r="Q27" s="164"/>
      <c r="R27" s="164"/>
      <c r="S27" s="975"/>
    </row>
    <row r="28" spans="1:19" ht="26" x14ac:dyDescent="0.35">
      <c r="A28" s="13"/>
      <c r="B28" s="275" t="s">
        <v>153</v>
      </c>
      <c r="C28" s="401">
        <v>120</v>
      </c>
      <c r="D28" s="402">
        <v>1</v>
      </c>
      <c r="E28" s="403">
        <v>35</v>
      </c>
      <c r="F28" s="404">
        <v>2</v>
      </c>
      <c r="G28" s="403">
        <v>76</v>
      </c>
      <c r="H28" s="404">
        <v>3</v>
      </c>
      <c r="I28" s="403">
        <v>14</v>
      </c>
      <c r="J28" s="405">
        <v>1</v>
      </c>
      <c r="K28" s="105"/>
      <c r="L28" s="105"/>
      <c r="M28" s="105"/>
      <c r="N28" s="105"/>
      <c r="O28" s="150"/>
      <c r="P28" s="150"/>
      <c r="Q28" s="150"/>
      <c r="R28" s="150"/>
      <c r="S28" s="961" t="s">
        <v>154</v>
      </c>
    </row>
    <row r="29" spans="1:19" ht="26" x14ac:dyDescent="0.35">
      <c r="A29" s="13"/>
      <c r="B29" s="275" t="s">
        <v>155</v>
      </c>
      <c r="C29" s="401">
        <v>67</v>
      </c>
      <c r="D29" s="402">
        <v>1</v>
      </c>
      <c r="E29" s="403">
        <v>27</v>
      </c>
      <c r="F29" s="404">
        <v>1</v>
      </c>
      <c r="G29" s="403">
        <v>31</v>
      </c>
      <c r="H29" s="404">
        <v>1</v>
      </c>
      <c r="I29" s="403">
        <v>12</v>
      </c>
      <c r="J29" s="405">
        <v>1</v>
      </c>
      <c r="K29" s="105"/>
      <c r="L29" s="105"/>
      <c r="M29" s="105"/>
      <c r="N29" s="105"/>
      <c r="O29" s="150"/>
      <c r="P29" s="150"/>
      <c r="Q29" s="150"/>
      <c r="R29" s="150"/>
      <c r="S29" s="962"/>
    </row>
    <row r="30" spans="1:19" ht="39" x14ac:dyDescent="0.35">
      <c r="A30" s="13"/>
      <c r="B30" s="276" t="s">
        <v>156</v>
      </c>
      <c r="C30" s="406">
        <v>47</v>
      </c>
      <c r="D30" s="407">
        <v>3</v>
      </c>
      <c r="E30" s="408">
        <v>5</v>
      </c>
      <c r="F30" s="409">
        <v>0</v>
      </c>
      <c r="G30" s="408">
        <v>5</v>
      </c>
      <c r="H30" s="410">
        <v>1</v>
      </c>
      <c r="I30" s="411"/>
      <c r="J30" s="412">
        <v>1</v>
      </c>
      <c r="K30" s="284"/>
      <c r="L30" s="284"/>
      <c r="M30" s="284"/>
      <c r="N30" s="284"/>
      <c r="S30" s="962"/>
    </row>
    <row r="31" spans="1:19" ht="21.4" customHeight="1" x14ac:dyDescent="0.35">
      <c r="A31" s="13"/>
      <c r="B31" s="13"/>
      <c r="C31" s="13"/>
      <c r="D31" s="13"/>
      <c r="E31" s="13"/>
      <c r="F31" s="13"/>
      <c r="G31" s="13"/>
      <c r="H31" s="13"/>
      <c r="I31" s="13"/>
      <c r="J31" s="13"/>
      <c r="K31" s="13"/>
      <c r="L31" s="13"/>
      <c r="M31" s="13"/>
      <c r="N31" s="13"/>
    </row>
    <row r="32" spans="1:19" ht="25.15" customHeight="1" x14ac:dyDescent="0.35">
      <c r="A32" s="13"/>
      <c r="B32" s="745" t="s">
        <v>25</v>
      </c>
      <c r="C32" s="745"/>
      <c r="D32" s="745"/>
      <c r="E32" s="369"/>
      <c r="F32" s="369"/>
      <c r="G32" s="369"/>
      <c r="H32" s="369"/>
      <c r="I32" s="369"/>
      <c r="J32" s="369"/>
      <c r="K32" s="369"/>
      <c r="L32" s="369"/>
      <c r="M32" s="369"/>
      <c r="N32" s="369"/>
      <c r="O32" s="369"/>
      <c r="P32" s="369"/>
      <c r="Q32" s="369"/>
      <c r="R32" s="369"/>
      <c r="S32" s="369"/>
    </row>
    <row r="33" spans="1:18" ht="25.15" customHeight="1" x14ac:dyDescent="0.35">
      <c r="A33" s="13"/>
      <c r="B33" s="703" t="s">
        <v>157</v>
      </c>
      <c r="C33" s="703"/>
      <c r="D33" s="703"/>
      <c r="E33" s="53"/>
      <c r="F33" s="53"/>
      <c r="G33" s="53"/>
      <c r="H33" s="53"/>
      <c r="I33" s="53"/>
      <c r="J33" s="53"/>
      <c r="K33" s="53"/>
      <c r="M33" s="13"/>
      <c r="N33" s="13"/>
      <c r="O33" s="13"/>
    </row>
    <row r="34" spans="1:18" s="414" customFormat="1" ht="30.4" customHeight="1" x14ac:dyDescent="0.35">
      <c r="A34" s="413"/>
      <c r="B34" s="130"/>
      <c r="C34" s="959">
        <v>2020</v>
      </c>
      <c r="D34" s="959"/>
      <c r="E34" s="960"/>
      <c r="F34" s="978">
        <v>2021</v>
      </c>
      <c r="G34" s="959"/>
      <c r="H34" s="960"/>
      <c r="I34" s="959">
        <v>2022</v>
      </c>
      <c r="J34" s="959"/>
      <c r="K34" s="959"/>
      <c r="L34" s="959">
        <v>2023</v>
      </c>
      <c r="M34" s="959"/>
      <c r="N34" s="959"/>
      <c r="O34" s="959">
        <v>2024</v>
      </c>
      <c r="P34" s="959"/>
      <c r="Q34" s="959"/>
      <c r="R34" s="87" t="s">
        <v>23</v>
      </c>
    </row>
    <row r="35" spans="1:18" ht="21.4" customHeight="1" x14ac:dyDescent="0.35">
      <c r="A35" s="13"/>
      <c r="B35" s="164"/>
      <c r="C35" s="164" t="s">
        <v>151</v>
      </c>
      <c r="D35" s="164" t="s">
        <v>152</v>
      </c>
      <c r="E35" s="187" t="s">
        <v>49</v>
      </c>
      <c r="F35" s="164" t="s">
        <v>151</v>
      </c>
      <c r="G35" s="164" t="s">
        <v>152</v>
      </c>
      <c r="H35" s="187" t="s">
        <v>49</v>
      </c>
      <c r="I35" s="164" t="s">
        <v>151</v>
      </c>
      <c r="J35" s="164" t="s">
        <v>152</v>
      </c>
      <c r="K35" s="164" t="s">
        <v>49</v>
      </c>
      <c r="L35" s="164" t="s">
        <v>151</v>
      </c>
      <c r="M35" s="164" t="s">
        <v>152</v>
      </c>
      <c r="N35" s="164" t="s">
        <v>49</v>
      </c>
      <c r="O35" s="164" t="s">
        <v>151</v>
      </c>
      <c r="P35" s="164" t="s">
        <v>152</v>
      </c>
      <c r="Q35" s="164" t="s">
        <v>49</v>
      </c>
      <c r="R35" s="966" t="s">
        <v>158</v>
      </c>
    </row>
    <row r="36" spans="1:18" ht="21.4" customHeight="1" x14ac:dyDescent="0.35">
      <c r="A36" s="13"/>
      <c r="B36" s="23" t="s">
        <v>159</v>
      </c>
      <c r="C36" s="415">
        <v>282</v>
      </c>
      <c r="D36" s="415">
        <v>566</v>
      </c>
      <c r="E36" s="416">
        <v>848</v>
      </c>
      <c r="F36" s="415">
        <v>291</v>
      </c>
      <c r="G36" s="415">
        <v>591</v>
      </c>
      <c r="H36" s="416">
        <v>882</v>
      </c>
      <c r="I36" s="415">
        <v>299</v>
      </c>
      <c r="J36" s="415">
        <v>578</v>
      </c>
      <c r="K36" s="150">
        <v>877</v>
      </c>
      <c r="L36" s="417">
        <v>353</v>
      </c>
      <c r="M36" s="417">
        <v>605</v>
      </c>
      <c r="N36" s="150">
        <f>SUM(L36:M36)</f>
        <v>958</v>
      </c>
      <c r="O36" s="418">
        <v>370</v>
      </c>
      <c r="P36" s="418">
        <v>637</v>
      </c>
      <c r="Q36" s="419">
        <f>SUM(O36:P36)</f>
        <v>1007</v>
      </c>
      <c r="R36" s="966"/>
    </row>
    <row r="37" spans="1:18" ht="21.4" customHeight="1" x14ac:dyDescent="0.35">
      <c r="A37" s="13"/>
      <c r="B37" s="26" t="s">
        <v>160</v>
      </c>
      <c r="C37" s="420">
        <v>1642</v>
      </c>
      <c r="D37" s="420">
        <v>2918</v>
      </c>
      <c r="E37" s="421">
        <v>4560</v>
      </c>
      <c r="F37" s="420">
        <v>1593</v>
      </c>
      <c r="G37" s="420">
        <v>3000</v>
      </c>
      <c r="H37" s="421">
        <v>4593</v>
      </c>
      <c r="I37" s="420">
        <v>1663</v>
      </c>
      <c r="J37" s="420">
        <v>3058</v>
      </c>
      <c r="K37" s="293">
        <v>4721</v>
      </c>
      <c r="L37" s="422">
        <v>3001</v>
      </c>
      <c r="M37" s="422">
        <v>1473</v>
      </c>
      <c r="N37" s="150">
        <f t="shared" ref="N37:N39" si="1">SUM(L37:M37)</f>
        <v>4474</v>
      </c>
      <c r="O37" s="423">
        <v>1442</v>
      </c>
      <c r="P37" s="423">
        <v>2976</v>
      </c>
      <c r="Q37" s="419">
        <f t="shared" ref="Q37:Q39" si="2">SUM(O37:P37)</f>
        <v>4418</v>
      </c>
      <c r="R37" s="966"/>
    </row>
    <row r="38" spans="1:18" ht="21.4" customHeight="1" x14ac:dyDescent="0.35">
      <c r="A38" s="13"/>
      <c r="B38" s="26" t="s">
        <v>161</v>
      </c>
      <c r="C38" s="420">
        <v>1924</v>
      </c>
      <c r="D38" s="420">
        <v>3484</v>
      </c>
      <c r="E38" s="421">
        <v>5408</v>
      </c>
      <c r="F38" s="420">
        <v>1884</v>
      </c>
      <c r="G38" s="420">
        <v>3591</v>
      </c>
      <c r="H38" s="421">
        <v>5475</v>
      </c>
      <c r="I38" s="420">
        <v>1962</v>
      </c>
      <c r="J38" s="420">
        <v>3636</v>
      </c>
      <c r="K38" s="293">
        <v>5598</v>
      </c>
      <c r="L38" s="422">
        <v>3606</v>
      </c>
      <c r="M38" s="422">
        <v>1826</v>
      </c>
      <c r="N38" s="150">
        <f t="shared" si="1"/>
        <v>5432</v>
      </c>
      <c r="O38" s="423">
        <v>1812</v>
      </c>
      <c r="P38" s="423">
        <v>3613</v>
      </c>
      <c r="Q38" s="419">
        <f t="shared" si="2"/>
        <v>5425</v>
      </c>
      <c r="R38" s="966"/>
    </row>
    <row r="39" spans="1:18" ht="21.4" customHeight="1" x14ac:dyDescent="0.35">
      <c r="A39" s="13"/>
      <c r="B39" s="28" t="s">
        <v>49</v>
      </c>
      <c r="C39" s="424">
        <v>1924</v>
      </c>
      <c r="D39" s="424">
        <v>3484</v>
      </c>
      <c r="E39" s="425">
        <v>5408</v>
      </c>
      <c r="F39" s="424">
        <v>1884</v>
      </c>
      <c r="G39" s="424">
        <v>3591</v>
      </c>
      <c r="H39" s="425">
        <v>5475</v>
      </c>
      <c r="I39" s="424">
        <v>1962</v>
      </c>
      <c r="J39" s="424">
        <v>3636</v>
      </c>
      <c r="K39" s="424">
        <v>5598</v>
      </c>
      <c r="L39" s="422">
        <v>3606</v>
      </c>
      <c r="M39" s="426">
        <v>1826</v>
      </c>
      <c r="N39" s="150">
        <f t="shared" si="1"/>
        <v>5432</v>
      </c>
      <c r="O39" s="427">
        <v>1812</v>
      </c>
      <c r="P39" s="427">
        <v>3613</v>
      </c>
      <c r="Q39" s="419">
        <f t="shared" si="2"/>
        <v>5425</v>
      </c>
      <c r="R39" s="961"/>
    </row>
    <row r="40" spans="1:18" x14ac:dyDescent="0.35">
      <c r="A40" s="13"/>
      <c r="B40" s="13"/>
      <c r="C40" s="428"/>
      <c r="D40" s="428"/>
      <c r="E40" s="428"/>
      <c r="F40" s="428"/>
      <c r="G40" s="428"/>
      <c r="H40" s="428"/>
      <c r="I40" s="428"/>
      <c r="J40" s="428"/>
      <c r="K40" s="428"/>
      <c r="L40" s="353"/>
      <c r="M40" s="13"/>
      <c r="N40" s="13"/>
      <c r="O40" s="353"/>
    </row>
    <row r="41" spans="1:18" ht="25.15" customHeight="1" x14ac:dyDescent="0.35">
      <c r="A41" s="13"/>
      <c r="B41" s="703" t="s">
        <v>162</v>
      </c>
      <c r="C41" s="703"/>
      <c r="D41" s="703"/>
      <c r="E41" s="703"/>
      <c r="F41" s="703"/>
      <c r="G41" s="703"/>
      <c r="H41" s="703"/>
      <c r="I41" s="53"/>
      <c r="J41" s="53"/>
      <c r="K41" s="53"/>
      <c r="L41" s="53"/>
      <c r="M41" s="53"/>
      <c r="N41" s="53"/>
    </row>
    <row r="42" spans="1:18" ht="30.4" customHeight="1" x14ac:dyDescent="0.35">
      <c r="A42" s="13"/>
      <c r="B42" s="130"/>
      <c r="C42" s="959">
        <v>2020</v>
      </c>
      <c r="D42" s="959"/>
      <c r="E42" s="960"/>
      <c r="F42" s="978">
        <v>2021</v>
      </c>
      <c r="G42" s="959"/>
      <c r="H42" s="960"/>
      <c r="I42" s="978">
        <v>2022</v>
      </c>
      <c r="J42" s="959"/>
      <c r="K42" s="960"/>
      <c r="L42" s="978">
        <v>2023</v>
      </c>
      <c r="M42" s="959"/>
      <c r="N42" s="960"/>
      <c r="O42" s="978">
        <v>2024</v>
      </c>
      <c r="P42" s="959"/>
      <c r="Q42" s="985"/>
      <c r="R42" s="87" t="s">
        <v>23</v>
      </c>
    </row>
    <row r="43" spans="1:18" ht="21.4" customHeight="1" x14ac:dyDescent="0.35">
      <c r="A43" s="13"/>
      <c r="B43" s="164"/>
      <c r="C43" s="164" t="s">
        <v>151</v>
      </c>
      <c r="D43" s="164" t="s">
        <v>152</v>
      </c>
      <c r="E43" s="164" t="s">
        <v>49</v>
      </c>
      <c r="F43" s="164" t="s">
        <v>151</v>
      </c>
      <c r="G43" s="164" t="s">
        <v>152</v>
      </c>
      <c r="H43" s="164" t="s">
        <v>49</v>
      </c>
      <c r="I43" s="164" t="s">
        <v>151</v>
      </c>
      <c r="J43" s="164" t="s">
        <v>152</v>
      </c>
      <c r="K43" s="164" t="s">
        <v>49</v>
      </c>
      <c r="L43" s="164" t="s">
        <v>151</v>
      </c>
      <c r="M43" s="164" t="s">
        <v>152</v>
      </c>
      <c r="N43" s="164" t="s">
        <v>49</v>
      </c>
      <c r="O43" s="164" t="s">
        <v>151</v>
      </c>
      <c r="P43" s="164" t="s">
        <v>152</v>
      </c>
      <c r="Q43" s="164" t="s">
        <v>49</v>
      </c>
      <c r="R43" s="966" t="s">
        <v>158</v>
      </c>
    </row>
    <row r="44" spans="1:18" ht="21.4" customHeight="1" x14ac:dyDescent="0.35">
      <c r="A44" s="13"/>
      <c r="B44" s="23" t="s">
        <v>163</v>
      </c>
      <c r="C44" s="150">
        <f>'[2]כוח אדם'!C15</f>
        <v>564</v>
      </c>
      <c r="D44" s="150">
        <f>'[2]כוח אדם'!D15</f>
        <v>707</v>
      </c>
      <c r="E44" s="150">
        <f>D44+C44</f>
        <v>1271</v>
      </c>
      <c r="F44" s="415">
        <f>'[2]כוח אדם'!G15</f>
        <v>535</v>
      </c>
      <c r="G44" s="415">
        <f>'[2]כוח אדם'!H15</f>
        <v>803</v>
      </c>
      <c r="H44" s="150">
        <f>G44+F44</f>
        <v>1338</v>
      </c>
      <c r="I44" s="415">
        <f>'[2]כוח אדם'!K15</f>
        <v>578</v>
      </c>
      <c r="J44" s="415">
        <f>'[2]כוח אדם'!L15</f>
        <v>786</v>
      </c>
      <c r="K44" s="150">
        <f>J44+I44</f>
        <v>1364</v>
      </c>
      <c r="L44" s="429">
        <v>498</v>
      </c>
      <c r="M44" s="429">
        <v>773</v>
      </c>
      <c r="N44" s="150">
        <f>M44+L44</f>
        <v>1271</v>
      </c>
      <c r="O44" s="430">
        <v>477</v>
      </c>
      <c r="P44" s="430">
        <v>734</v>
      </c>
      <c r="Q44" s="431">
        <f>P44+O44</f>
        <v>1211</v>
      </c>
      <c r="R44" s="966"/>
    </row>
    <row r="45" spans="1:18" ht="21.4" customHeight="1" x14ac:dyDescent="0.35">
      <c r="A45" s="13"/>
      <c r="B45" s="693" t="s">
        <v>164</v>
      </c>
      <c r="C45" s="293">
        <f>'[2]כוח אדם'!C16</f>
        <v>993</v>
      </c>
      <c r="D45" s="293">
        <f>'[2]כוח אדם'!D16</f>
        <v>1668</v>
      </c>
      <c r="E45" s="293">
        <f>D45+C45</f>
        <v>2661</v>
      </c>
      <c r="F45" s="420">
        <f>'[2]כוח אדם'!G16</f>
        <v>965</v>
      </c>
      <c r="G45" s="420">
        <f>'[2]כוח אדם'!H16</f>
        <v>1672</v>
      </c>
      <c r="H45" s="293">
        <f>G45+F45</f>
        <v>2637</v>
      </c>
      <c r="I45" s="420">
        <f>'[2]כוח אדם'!K16</f>
        <v>949</v>
      </c>
      <c r="J45" s="420">
        <f>'[2]כוח אדם'!L16</f>
        <v>1656</v>
      </c>
      <c r="K45" s="293">
        <f>J45+I45</f>
        <v>2605</v>
      </c>
      <c r="L45" s="429">
        <v>906</v>
      </c>
      <c r="M45" s="429">
        <v>1650</v>
      </c>
      <c r="N45" s="293">
        <f>M45+L45</f>
        <v>2556</v>
      </c>
      <c r="O45" s="432">
        <v>884</v>
      </c>
      <c r="P45" s="432">
        <v>1671</v>
      </c>
      <c r="Q45" s="433">
        <f>P45+O45</f>
        <v>2555</v>
      </c>
      <c r="R45" s="966"/>
    </row>
    <row r="46" spans="1:18" ht="21.4" customHeight="1" x14ac:dyDescent="0.35">
      <c r="A46" s="13"/>
      <c r="B46" s="26" t="s">
        <v>165</v>
      </c>
      <c r="C46" s="293">
        <f>'[2]כוח אדם'!C17</f>
        <v>367</v>
      </c>
      <c r="D46" s="293">
        <f>'[2]כוח אדם'!D17</f>
        <v>1109</v>
      </c>
      <c r="E46" s="293">
        <f>C46+D46</f>
        <v>1476</v>
      </c>
      <c r="F46" s="420">
        <f>'[2]כוח אדם'!G17</f>
        <v>384</v>
      </c>
      <c r="G46" s="420">
        <f>'[2]כוח אדם'!H17</f>
        <v>1116</v>
      </c>
      <c r="H46" s="293">
        <f>F46+G46</f>
        <v>1500</v>
      </c>
      <c r="I46" s="420">
        <f>'[2]כוח אדם'!K17</f>
        <v>435</v>
      </c>
      <c r="J46" s="420">
        <f>'[2]כוח אדם'!L17</f>
        <v>1194</v>
      </c>
      <c r="K46" s="293">
        <f>I46+J46</f>
        <v>1629</v>
      </c>
      <c r="L46" s="429">
        <v>422</v>
      </c>
      <c r="M46" s="429">
        <v>1183</v>
      </c>
      <c r="N46" s="293">
        <f>L46+M46</f>
        <v>1605</v>
      </c>
      <c r="O46" s="432">
        <v>451</v>
      </c>
      <c r="P46" s="432">
        <v>1208</v>
      </c>
      <c r="Q46" s="433">
        <f>O46+P46</f>
        <v>1659</v>
      </c>
      <c r="R46" s="966"/>
    </row>
    <row r="47" spans="1:18" ht="21.4" customHeight="1" x14ac:dyDescent="0.35">
      <c r="A47" s="13"/>
      <c r="B47" s="28" t="s">
        <v>49</v>
      </c>
      <c r="C47" s="424">
        <f t="shared" ref="C47:J47" si="3">C44+C45+C46</f>
        <v>1924</v>
      </c>
      <c r="D47" s="424">
        <f t="shared" si="3"/>
        <v>3484</v>
      </c>
      <c r="E47" s="424">
        <f t="shared" si="3"/>
        <v>5408</v>
      </c>
      <c r="F47" s="424">
        <f t="shared" si="3"/>
        <v>1884</v>
      </c>
      <c r="G47" s="424">
        <f t="shared" si="3"/>
        <v>3591</v>
      </c>
      <c r="H47" s="424">
        <f t="shared" si="3"/>
        <v>5475</v>
      </c>
      <c r="I47" s="424">
        <f t="shared" si="3"/>
        <v>1962</v>
      </c>
      <c r="J47" s="424">
        <f t="shared" si="3"/>
        <v>3636</v>
      </c>
      <c r="K47" s="424">
        <f>J47+I47</f>
        <v>5598</v>
      </c>
      <c r="L47" s="429">
        <f>SUM(L44:L46)</f>
        <v>1826</v>
      </c>
      <c r="M47" s="429">
        <f>SUM(M44:M46)</f>
        <v>3606</v>
      </c>
      <c r="N47" s="424">
        <f>M47+L47</f>
        <v>5432</v>
      </c>
      <c r="O47" s="434">
        <f>O44+O45+O46</f>
        <v>1812</v>
      </c>
      <c r="P47" s="434">
        <f>P44+P45+P46</f>
        <v>3613</v>
      </c>
      <c r="Q47" s="434">
        <f>P47+O47</f>
        <v>5425</v>
      </c>
      <c r="R47" s="961"/>
    </row>
    <row r="48" spans="1:18" ht="21.4" customHeight="1" x14ac:dyDescent="0.35">
      <c r="A48" s="13"/>
      <c r="B48" s="13"/>
      <c r="C48" s="13"/>
      <c r="D48" s="13"/>
      <c r="E48" s="13"/>
      <c r="F48" s="13"/>
      <c r="G48" s="13"/>
      <c r="H48" s="13"/>
      <c r="I48" s="13"/>
      <c r="J48" s="13"/>
      <c r="K48" s="13"/>
      <c r="L48" s="13"/>
      <c r="M48" s="13"/>
      <c r="N48" s="13"/>
      <c r="O48" s="13"/>
    </row>
    <row r="49" spans="1:23" ht="25.15" customHeight="1" x14ac:dyDescent="0.35">
      <c r="A49" s="13"/>
      <c r="B49" s="745" t="s">
        <v>166</v>
      </c>
      <c r="C49" s="745"/>
      <c r="D49" s="745"/>
      <c r="E49" s="369"/>
      <c r="F49" s="369"/>
      <c r="G49" s="369"/>
      <c r="H49" s="369"/>
      <c r="I49" s="369"/>
      <c r="J49" s="369"/>
      <c r="K49" s="369"/>
      <c r="L49" s="369"/>
      <c r="M49" s="369"/>
      <c r="N49" s="369"/>
      <c r="O49" s="369"/>
      <c r="P49" s="369"/>
      <c r="Q49" s="369"/>
      <c r="R49" s="369"/>
      <c r="S49" s="369"/>
    </row>
    <row r="50" spans="1:23" ht="25.15" customHeight="1" x14ac:dyDescent="0.35">
      <c r="A50" s="13"/>
      <c r="B50" s="703" t="s">
        <v>167</v>
      </c>
      <c r="C50" s="703"/>
      <c r="D50" s="703"/>
      <c r="E50" s="53"/>
      <c r="F50" s="53"/>
      <c r="G50" s="53"/>
      <c r="H50" s="53"/>
      <c r="I50" s="53"/>
      <c r="J50" s="53"/>
      <c r="K50" s="53"/>
      <c r="N50" s="13"/>
      <c r="O50" s="13"/>
    </row>
    <row r="51" spans="1:23" ht="30.4" customHeight="1" x14ac:dyDescent="0.35">
      <c r="A51" s="13"/>
      <c r="B51" s="435"/>
      <c r="C51" s="959">
        <v>2020</v>
      </c>
      <c r="D51" s="959"/>
      <c r="E51" s="960"/>
      <c r="F51" s="959">
        <v>2021</v>
      </c>
      <c r="G51" s="959"/>
      <c r="H51" s="960"/>
      <c r="I51" s="959">
        <v>2022</v>
      </c>
      <c r="J51" s="959"/>
      <c r="K51" s="960"/>
      <c r="L51" s="959">
        <v>2023</v>
      </c>
      <c r="M51" s="959"/>
      <c r="N51" s="960"/>
      <c r="O51" s="959">
        <v>2024</v>
      </c>
      <c r="P51" s="959"/>
      <c r="Q51" s="960"/>
      <c r="R51" s="130" t="s">
        <v>115</v>
      </c>
      <c r="S51" s="130"/>
      <c r="T51" s="130"/>
      <c r="U51" s="130"/>
      <c r="V51" s="87" t="s">
        <v>23</v>
      </c>
    </row>
    <row r="52" spans="1:23" ht="21.4" customHeight="1" x14ac:dyDescent="0.35">
      <c r="A52" s="13"/>
      <c r="B52" s="436"/>
      <c r="C52" s="437" t="s">
        <v>151</v>
      </c>
      <c r="D52" s="437" t="s">
        <v>152</v>
      </c>
      <c r="E52" s="438" t="s">
        <v>49</v>
      </c>
      <c r="F52" s="437" t="s">
        <v>151</v>
      </c>
      <c r="G52" s="437" t="s">
        <v>152</v>
      </c>
      <c r="H52" s="438" t="s">
        <v>49</v>
      </c>
      <c r="I52" s="437" t="s">
        <v>151</v>
      </c>
      <c r="J52" s="437" t="s">
        <v>152</v>
      </c>
      <c r="K52" s="438" t="s">
        <v>49</v>
      </c>
      <c r="L52" s="437" t="s">
        <v>151</v>
      </c>
      <c r="M52" s="437" t="s">
        <v>152</v>
      </c>
      <c r="N52" s="438" t="s">
        <v>49</v>
      </c>
      <c r="O52" s="437" t="s">
        <v>151</v>
      </c>
      <c r="P52" s="437" t="s">
        <v>152</v>
      </c>
      <c r="Q52" s="438" t="s">
        <v>49</v>
      </c>
      <c r="R52" s="439"/>
      <c r="S52" s="436"/>
      <c r="T52" s="436"/>
      <c r="U52" s="436"/>
      <c r="V52" s="966" t="s">
        <v>158</v>
      </c>
    </row>
    <row r="53" spans="1:23" ht="21.4" customHeight="1" x14ac:dyDescent="0.35">
      <c r="A53" s="13"/>
      <c r="B53" s="23" t="s">
        <v>159</v>
      </c>
      <c r="C53" s="415">
        <v>90</v>
      </c>
      <c r="D53" s="415">
        <v>93</v>
      </c>
      <c r="E53" s="416">
        <f>D53+C53</f>
        <v>183</v>
      </c>
      <c r="F53" s="415">
        <v>81</v>
      </c>
      <c r="G53" s="415">
        <v>93</v>
      </c>
      <c r="H53" s="416">
        <f>G53+F53</f>
        <v>174</v>
      </c>
      <c r="I53" s="415">
        <v>78</v>
      </c>
      <c r="J53" s="415">
        <v>89</v>
      </c>
      <c r="K53" s="416">
        <f>J53+I53</f>
        <v>167</v>
      </c>
      <c r="L53" s="415">
        <v>78</v>
      </c>
      <c r="M53" s="415">
        <v>91</v>
      </c>
      <c r="N53" s="416">
        <v>169</v>
      </c>
      <c r="O53" s="440">
        <v>79</v>
      </c>
      <c r="P53" s="440">
        <v>100</v>
      </c>
      <c r="Q53" s="441">
        <v>179</v>
      </c>
      <c r="R53" s="986" t="s">
        <v>168</v>
      </c>
      <c r="S53" s="13"/>
      <c r="T53" s="13"/>
      <c r="U53" s="13"/>
      <c r="V53" s="966"/>
    </row>
    <row r="54" spans="1:23" ht="21.4" customHeight="1" x14ac:dyDescent="0.35">
      <c r="A54" s="13"/>
      <c r="B54" s="26" t="s">
        <v>160</v>
      </c>
      <c r="C54" s="420">
        <v>546</v>
      </c>
      <c r="D54" s="420">
        <v>561</v>
      </c>
      <c r="E54" s="421">
        <f>D54+C54</f>
        <v>1107</v>
      </c>
      <c r="F54" s="420">
        <v>474</v>
      </c>
      <c r="G54" s="420">
        <v>490</v>
      </c>
      <c r="H54" s="421">
        <f>G54+F54</f>
        <v>964</v>
      </c>
      <c r="I54" s="420">
        <v>448</v>
      </c>
      <c r="J54" s="420">
        <v>500</v>
      </c>
      <c r="K54" s="421">
        <f>J54+I54</f>
        <v>948</v>
      </c>
      <c r="L54" s="420">
        <v>455</v>
      </c>
      <c r="M54" s="420">
        <v>531</v>
      </c>
      <c r="N54" s="421">
        <v>986</v>
      </c>
      <c r="O54" s="442">
        <v>431</v>
      </c>
      <c r="P54" s="442">
        <v>496</v>
      </c>
      <c r="Q54" s="443">
        <v>927</v>
      </c>
      <c r="R54" s="987"/>
      <c r="S54" s="13"/>
      <c r="T54" s="13"/>
      <c r="U54" s="13"/>
      <c r="V54" s="966"/>
    </row>
    <row r="55" spans="1:23" ht="21.4" customHeight="1" x14ac:dyDescent="0.35">
      <c r="A55" s="13"/>
      <c r="B55" s="28" t="s">
        <v>49</v>
      </c>
      <c r="C55" s="424">
        <f t="shared" ref="C55:K55" si="4">C53+C54</f>
        <v>636</v>
      </c>
      <c r="D55" s="424">
        <f t="shared" si="4"/>
        <v>654</v>
      </c>
      <c r="E55" s="425">
        <f t="shared" si="4"/>
        <v>1290</v>
      </c>
      <c r="F55" s="424">
        <f t="shared" si="4"/>
        <v>555</v>
      </c>
      <c r="G55" s="424">
        <f t="shared" si="4"/>
        <v>583</v>
      </c>
      <c r="H55" s="425">
        <f t="shared" si="4"/>
        <v>1138</v>
      </c>
      <c r="I55" s="424">
        <f t="shared" si="4"/>
        <v>526</v>
      </c>
      <c r="J55" s="424">
        <f t="shared" si="4"/>
        <v>589</v>
      </c>
      <c r="K55" s="425">
        <f t="shared" si="4"/>
        <v>1115</v>
      </c>
      <c r="L55" s="424">
        <v>533</v>
      </c>
      <c r="M55" s="424">
        <v>622</v>
      </c>
      <c r="N55" s="425">
        <v>1155</v>
      </c>
      <c r="O55" s="283">
        <v>510</v>
      </c>
      <c r="P55" s="283">
        <v>596</v>
      </c>
      <c r="Q55" s="283">
        <v>1106</v>
      </c>
      <c r="R55" s="988"/>
      <c r="S55" s="13"/>
      <c r="T55" s="13"/>
      <c r="U55" s="13"/>
      <c r="V55" s="966"/>
    </row>
    <row r="56" spans="1:23" ht="21.4" customHeight="1" x14ac:dyDescent="0.35">
      <c r="A56" s="13"/>
      <c r="B56" s="13"/>
      <c r="C56" s="428"/>
      <c r="D56" s="428"/>
      <c r="E56" s="428"/>
      <c r="F56" s="428"/>
      <c r="G56" s="428"/>
      <c r="H56" s="428"/>
      <c r="I56" s="428"/>
      <c r="J56" s="428"/>
      <c r="K56" s="428"/>
      <c r="L56" s="353"/>
      <c r="M56" s="353"/>
      <c r="N56" s="13"/>
      <c r="O56" s="13"/>
    </row>
    <row r="57" spans="1:23" s="277" customFormat="1" ht="25.15" customHeight="1" x14ac:dyDescent="0.35">
      <c r="A57" s="33"/>
      <c r="B57" s="703" t="s">
        <v>169</v>
      </c>
      <c r="C57" s="703"/>
      <c r="D57" s="703"/>
      <c r="E57" s="703"/>
      <c r="F57" s="703"/>
      <c r="G57" s="53"/>
      <c r="H57" s="53"/>
      <c r="I57" s="53"/>
      <c r="J57" s="53"/>
      <c r="K57" s="53"/>
      <c r="L57" s="53"/>
      <c r="M57" s="53"/>
      <c r="N57" s="53"/>
    </row>
    <row r="58" spans="1:23" s="277" customFormat="1" ht="30.4" customHeight="1" x14ac:dyDescent="0.35">
      <c r="A58" s="33"/>
      <c r="B58" s="130"/>
      <c r="C58" s="959">
        <v>2020</v>
      </c>
      <c r="D58" s="959"/>
      <c r="E58" s="959"/>
      <c r="F58" s="960"/>
      <c r="G58" s="959">
        <v>2021</v>
      </c>
      <c r="H58" s="959"/>
      <c r="I58" s="959"/>
      <c r="J58" s="960"/>
      <c r="K58" s="959">
        <v>2022</v>
      </c>
      <c r="L58" s="959"/>
      <c r="M58" s="959"/>
      <c r="N58" s="959"/>
      <c r="O58" s="959">
        <v>2023</v>
      </c>
      <c r="P58" s="959"/>
      <c r="Q58" s="959"/>
      <c r="R58" s="959"/>
      <c r="S58" s="959">
        <v>2024</v>
      </c>
      <c r="T58" s="959"/>
      <c r="U58" s="959"/>
      <c r="V58" s="959"/>
      <c r="W58" s="87" t="s">
        <v>23</v>
      </c>
    </row>
    <row r="59" spans="1:23" s="277" customFormat="1" ht="21.4" customHeight="1" x14ac:dyDescent="0.35">
      <c r="A59" s="33"/>
      <c r="B59" s="164"/>
      <c r="C59" s="164" t="s">
        <v>151</v>
      </c>
      <c r="D59" s="164" t="s">
        <v>152</v>
      </c>
      <c r="E59" s="164" t="s">
        <v>49</v>
      </c>
      <c r="F59" s="187" t="s">
        <v>458</v>
      </c>
      <c r="G59" s="164" t="s">
        <v>151</v>
      </c>
      <c r="H59" s="164" t="s">
        <v>152</v>
      </c>
      <c r="I59" s="164" t="s">
        <v>49</v>
      </c>
      <c r="J59" s="187" t="s">
        <v>458</v>
      </c>
      <c r="K59" s="164" t="s">
        <v>151</v>
      </c>
      <c r="L59" s="164" t="s">
        <v>152</v>
      </c>
      <c r="M59" s="164" t="s">
        <v>49</v>
      </c>
      <c r="N59" s="164" t="s">
        <v>458</v>
      </c>
      <c r="O59" s="164" t="s">
        <v>151</v>
      </c>
      <c r="P59" s="164" t="s">
        <v>152</v>
      </c>
      <c r="Q59" s="164" t="s">
        <v>49</v>
      </c>
      <c r="R59" s="164" t="s">
        <v>458</v>
      </c>
      <c r="S59" s="164" t="s">
        <v>151</v>
      </c>
      <c r="T59" s="164" t="s">
        <v>152</v>
      </c>
      <c r="U59" s="164" t="s">
        <v>49</v>
      </c>
      <c r="V59" s="164" t="s">
        <v>458</v>
      </c>
      <c r="W59" s="966" t="s">
        <v>26</v>
      </c>
    </row>
    <row r="60" spans="1:23" s="277" customFormat="1" ht="21.4" customHeight="1" x14ac:dyDescent="0.35">
      <c r="A60" s="33"/>
      <c r="B60" s="692" t="s">
        <v>163</v>
      </c>
      <c r="C60" s="444">
        <v>288</v>
      </c>
      <c r="D60" s="444">
        <v>230</v>
      </c>
      <c r="E60" s="286">
        <f>D60+C60</f>
        <v>518</v>
      </c>
      <c r="F60" s="979">
        <v>34.83</v>
      </c>
      <c r="G60" s="444">
        <v>223</v>
      </c>
      <c r="H60" s="444">
        <v>184</v>
      </c>
      <c r="I60" s="286">
        <f>H60+G60</f>
        <v>407</v>
      </c>
      <c r="J60" s="991">
        <v>38.5</v>
      </c>
      <c r="K60" s="444">
        <v>192</v>
      </c>
      <c r="L60" s="444">
        <v>189</v>
      </c>
      <c r="M60" s="286">
        <f>L60+K60</f>
        <v>381</v>
      </c>
      <c r="N60" s="982">
        <v>36.5</v>
      </c>
      <c r="O60" s="444">
        <v>183</v>
      </c>
      <c r="P60" s="444">
        <v>196</v>
      </c>
      <c r="Q60" s="286">
        <f>P60+O60</f>
        <v>379</v>
      </c>
      <c r="R60" s="994">
        <v>35.96</v>
      </c>
      <c r="S60" s="445">
        <v>187</v>
      </c>
      <c r="T60" s="445">
        <v>181</v>
      </c>
      <c r="U60" s="446">
        <v>368</v>
      </c>
      <c r="V60" s="1002">
        <v>36.9</v>
      </c>
      <c r="W60" s="966"/>
    </row>
    <row r="61" spans="1:23" s="277" customFormat="1" ht="21.4" customHeight="1" x14ac:dyDescent="0.35">
      <c r="A61" s="33"/>
      <c r="B61" s="693" t="s">
        <v>164</v>
      </c>
      <c r="C61" s="447">
        <v>311</v>
      </c>
      <c r="D61" s="447">
        <v>364</v>
      </c>
      <c r="E61" s="287">
        <f>D61+C61</f>
        <v>675</v>
      </c>
      <c r="F61" s="980"/>
      <c r="G61" s="447">
        <v>290</v>
      </c>
      <c r="H61" s="447">
        <v>337</v>
      </c>
      <c r="I61" s="287">
        <f>H61+G61</f>
        <v>627</v>
      </c>
      <c r="J61" s="992"/>
      <c r="K61" s="447">
        <v>284</v>
      </c>
      <c r="L61" s="447">
        <v>333</v>
      </c>
      <c r="M61" s="287">
        <f>L61+K61</f>
        <v>617</v>
      </c>
      <c r="N61" s="983"/>
      <c r="O61" s="447">
        <v>295</v>
      </c>
      <c r="P61" s="447">
        <v>340</v>
      </c>
      <c r="Q61" s="287">
        <f>O61+P61</f>
        <v>635</v>
      </c>
      <c r="R61" s="995"/>
      <c r="S61" s="448">
        <v>269</v>
      </c>
      <c r="T61" s="448">
        <v>330</v>
      </c>
      <c r="U61" s="446">
        <v>599</v>
      </c>
      <c r="V61" s="1002"/>
      <c r="W61" s="966"/>
    </row>
    <row r="62" spans="1:23" s="277" customFormat="1" ht="21.4" customHeight="1" x14ac:dyDescent="0.35">
      <c r="A62" s="33"/>
      <c r="B62" s="693" t="s">
        <v>165</v>
      </c>
      <c r="C62" s="447">
        <v>37</v>
      </c>
      <c r="D62" s="447">
        <v>60</v>
      </c>
      <c r="E62" s="287">
        <f>C62+D62</f>
        <v>97</v>
      </c>
      <c r="F62" s="980"/>
      <c r="G62" s="447">
        <v>42</v>
      </c>
      <c r="H62" s="447">
        <v>62</v>
      </c>
      <c r="I62" s="287">
        <f>G62+H62</f>
        <v>104</v>
      </c>
      <c r="J62" s="992"/>
      <c r="K62" s="447">
        <v>50</v>
      </c>
      <c r="L62" s="447">
        <v>67</v>
      </c>
      <c r="M62" s="287">
        <f>K62+L62</f>
        <v>117</v>
      </c>
      <c r="N62" s="983"/>
      <c r="O62" s="447">
        <v>55</v>
      </c>
      <c r="P62" s="447">
        <v>86</v>
      </c>
      <c r="Q62" s="287">
        <f>O62+P62</f>
        <v>141</v>
      </c>
      <c r="R62" s="995"/>
      <c r="S62" s="448">
        <v>54</v>
      </c>
      <c r="T62" s="448">
        <v>85</v>
      </c>
      <c r="U62" s="446">
        <v>139</v>
      </c>
      <c r="V62" s="1002"/>
      <c r="W62" s="966"/>
    </row>
    <row r="63" spans="1:23" s="277" customFormat="1" ht="21.4" customHeight="1" x14ac:dyDescent="0.35">
      <c r="A63" s="33"/>
      <c r="B63" s="702" t="s">
        <v>49</v>
      </c>
      <c r="C63" s="449">
        <f>C60+C61+C62</f>
        <v>636</v>
      </c>
      <c r="D63" s="449">
        <f>D60+D61+D62</f>
        <v>654</v>
      </c>
      <c r="E63" s="449">
        <f>E60+E61+E62</f>
        <v>1290</v>
      </c>
      <c r="F63" s="981"/>
      <c r="G63" s="449">
        <f>G60+G61+G62</f>
        <v>555</v>
      </c>
      <c r="H63" s="449">
        <f>H60+H61+H62</f>
        <v>583</v>
      </c>
      <c r="I63" s="449">
        <f>I60+I61+I62</f>
        <v>1138</v>
      </c>
      <c r="J63" s="993"/>
      <c r="K63" s="449">
        <f>K60+K61+K62</f>
        <v>526</v>
      </c>
      <c r="L63" s="449">
        <f>L60+L61+L62</f>
        <v>589</v>
      </c>
      <c r="M63" s="449">
        <f>M60+M61+M62</f>
        <v>1115</v>
      </c>
      <c r="N63" s="984"/>
      <c r="O63" s="449">
        <f>O62+O61+O60</f>
        <v>533</v>
      </c>
      <c r="P63" s="449">
        <f t="shared" ref="P63" si="5">P62+P61+P60</f>
        <v>622</v>
      </c>
      <c r="Q63" s="424">
        <v>1155</v>
      </c>
      <c r="R63" s="996"/>
      <c r="S63" s="451">
        <v>510</v>
      </c>
      <c r="T63" s="451">
        <v>596</v>
      </c>
      <c r="U63" s="446">
        <v>1106</v>
      </c>
      <c r="V63" s="1002"/>
      <c r="W63" s="966"/>
    </row>
    <row r="64" spans="1:23" s="277" customFormat="1" ht="21.4" customHeight="1" x14ac:dyDescent="0.35">
      <c r="A64" s="33"/>
      <c r="B64" s="33"/>
      <c r="C64" s="33"/>
      <c r="D64" s="33"/>
      <c r="E64" s="33"/>
      <c r="F64" s="33"/>
      <c r="G64" s="33"/>
      <c r="H64" s="33"/>
      <c r="I64" s="33"/>
      <c r="J64" s="33"/>
      <c r="K64" s="33"/>
      <c r="L64" s="33"/>
      <c r="M64" s="33"/>
      <c r="N64" s="33"/>
      <c r="O64" s="33"/>
    </row>
    <row r="65" spans="1:23" ht="25.15" customHeight="1" x14ac:dyDescent="0.35">
      <c r="A65" s="13"/>
      <c r="B65" s="745" t="s">
        <v>27</v>
      </c>
      <c r="C65" s="745"/>
      <c r="D65" s="745"/>
      <c r="E65" s="745"/>
      <c r="F65" s="369"/>
      <c r="G65" s="369"/>
      <c r="H65" s="369"/>
      <c r="I65" s="369"/>
      <c r="J65" s="369"/>
      <c r="K65" s="369"/>
      <c r="L65" s="369"/>
      <c r="M65" s="369"/>
      <c r="N65" s="369"/>
      <c r="O65" s="369"/>
      <c r="P65" s="369"/>
      <c r="Q65" s="369"/>
      <c r="R65" s="369"/>
      <c r="S65" s="369"/>
    </row>
    <row r="66" spans="1:23" ht="25.15" customHeight="1" x14ac:dyDescent="0.35">
      <c r="A66" s="13"/>
      <c r="B66" s="703" t="s">
        <v>170</v>
      </c>
      <c r="C66" s="703"/>
      <c r="D66" s="703"/>
      <c r="E66" s="703"/>
      <c r="F66" s="53"/>
      <c r="G66" s="53"/>
      <c r="H66" s="53"/>
      <c r="I66" s="53"/>
      <c r="J66" s="53"/>
      <c r="K66" s="53"/>
      <c r="M66" s="13"/>
      <c r="N66" s="13"/>
      <c r="O66" s="13"/>
    </row>
    <row r="67" spans="1:23" ht="30.4" customHeight="1" x14ac:dyDescent="0.35">
      <c r="A67" s="13"/>
      <c r="B67" s="130"/>
      <c r="C67" s="959">
        <v>2020</v>
      </c>
      <c r="D67" s="959"/>
      <c r="E67" s="960"/>
      <c r="F67" s="959">
        <v>2021</v>
      </c>
      <c r="G67" s="959"/>
      <c r="H67" s="960"/>
      <c r="I67" s="959">
        <v>2022</v>
      </c>
      <c r="J67" s="959"/>
      <c r="K67" s="959"/>
      <c r="L67" s="959">
        <v>2023</v>
      </c>
      <c r="M67" s="959"/>
      <c r="N67" s="959"/>
      <c r="O67" s="959">
        <v>2024</v>
      </c>
      <c r="P67" s="959"/>
      <c r="Q67" s="959"/>
      <c r="R67" s="87" t="s">
        <v>23</v>
      </c>
    </row>
    <row r="68" spans="1:23" ht="21.4" customHeight="1" x14ac:dyDescent="0.35">
      <c r="A68" s="13"/>
      <c r="B68" s="437"/>
      <c r="C68" s="164" t="s">
        <v>151</v>
      </c>
      <c r="D68" s="164" t="s">
        <v>152</v>
      </c>
      <c r="E68" s="164" t="s">
        <v>49</v>
      </c>
      <c r="F68" s="164" t="s">
        <v>151</v>
      </c>
      <c r="G68" s="164" t="s">
        <v>152</v>
      </c>
      <c r="H68" s="164" t="s">
        <v>49</v>
      </c>
      <c r="I68" s="164" t="s">
        <v>151</v>
      </c>
      <c r="J68" s="164" t="s">
        <v>152</v>
      </c>
      <c r="K68" s="164" t="s">
        <v>49</v>
      </c>
      <c r="L68" s="164" t="s">
        <v>151</v>
      </c>
      <c r="M68" s="164" t="s">
        <v>152</v>
      </c>
      <c r="N68" s="164" t="s">
        <v>49</v>
      </c>
      <c r="O68" s="164" t="s">
        <v>151</v>
      </c>
      <c r="P68" s="164" t="s">
        <v>152</v>
      </c>
      <c r="Q68" s="164" t="s">
        <v>49</v>
      </c>
      <c r="R68" s="966" t="s">
        <v>158</v>
      </c>
    </row>
    <row r="69" spans="1:23" ht="21.4" customHeight="1" x14ac:dyDescent="0.35">
      <c r="A69" s="13"/>
      <c r="B69" s="23" t="s">
        <v>159</v>
      </c>
      <c r="C69" s="415">
        <v>161</v>
      </c>
      <c r="D69" s="415">
        <v>214</v>
      </c>
      <c r="E69" s="416">
        <f>D69+C69</f>
        <v>375</v>
      </c>
      <c r="F69" s="415">
        <v>154</v>
      </c>
      <c r="G69" s="415">
        <v>212</v>
      </c>
      <c r="H69" s="416">
        <f>G69+F69</f>
        <v>366</v>
      </c>
      <c r="I69" s="415">
        <v>148</v>
      </c>
      <c r="J69" s="415">
        <v>208</v>
      </c>
      <c r="K69" s="416">
        <f>J69+I69</f>
        <v>356</v>
      </c>
      <c r="L69" s="415">
        <v>150</v>
      </c>
      <c r="M69" s="415">
        <v>204</v>
      </c>
      <c r="N69" s="150">
        <v>354</v>
      </c>
      <c r="O69" s="147">
        <v>156</v>
      </c>
      <c r="P69" s="147">
        <v>201</v>
      </c>
      <c r="Q69" s="147">
        <f>P69+O69</f>
        <v>357</v>
      </c>
      <c r="R69" s="966"/>
    </row>
    <row r="70" spans="1:23" ht="21.4" customHeight="1" x14ac:dyDescent="0.35">
      <c r="A70" s="13"/>
      <c r="B70" s="26" t="s">
        <v>160</v>
      </c>
      <c r="C70" s="420">
        <v>768</v>
      </c>
      <c r="D70" s="420">
        <v>757</v>
      </c>
      <c r="E70" s="421">
        <f>D70+C70</f>
        <v>1525</v>
      </c>
      <c r="F70" s="420">
        <v>704</v>
      </c>
      <c r="G70" s="420">
        <v>699</v>
      </c>
      <c r="H70" s="421">
        <f>G70+F70</f>
        <v>1403</v>
      </c>
      <c r="I70" s="420">
        <v>671</v>
      </c>
      <c r="J70" s="420">
        <v>654</v>
      </c>
      <c r="K70" s="421">
        <f>J70+I70</f>
        <v>1325</v>
      </c>
      <c r="L70" s="420">
        <v>660</v>
      </c>
      <c r="M70" s="420">
        <v>672</v>
      </c>
      <c r="N70" s="293">
        <v>1332</v>
      </c>
      <c r="O70" s="452">
        <v>631</v>
      </c>
      <c r="P70" s="452">
        <v>684</v>
      </c>
      <c r="Q70" s="452">
        <f>P70+O70</f>
        <v>1315</v>
      </c>
      <c r="R70" s="966"/>
    </row>
    <row r="71" spans="1:23" ht="21.4" customHeight="1" x14ac:dyDescent="0.35">
      <c r="A71" s="13"/>
      <c r="B71" s="28" t="s">
        <v>49</v>
      </c>
      <c r="C71" s="424">
        <f t="shared" ref="C71:K71" si="6">C69+C70</f>
        <v>929</v>
      </c>
      <c r="D71" s="424">
        <f t="shared" si="6"/>
        <v>971</v>
      </c>
      <c r="E71" s="425">
        <f t="shared" si="6"/>
        <v>1900</v>
      </c>
      <c r="F71" s="424">
        <f t="shared" si="6"/>
        <v>858</v>
      </c>
      <c r="G71" s="424">
        <f t="shared" si="6"/>
        <v>911</v>
      </c>
      <c r="H71" s="425">
        <f t="shared" si="6"/>
        <v>1769</v>
      </c>
      <c r="I71" s="424">
        <f t="shared" si="6"/>
        <v>819</v>
      </c>
      <c r="J71" s="424">
        <f t="shared" si="6"/>
        <v>862</v>
      </c>
      <c r="K71" s="425">
        <f t="shared" si="6"/>
        <v>1681</v>
      </c>
      <c r="L71" s="424">
        <v>810</v>
      </c>
      <c r="M71" s="424">
        <v>876</v>
      </c>
      <c r="N71" s="424">
        <v>1684</v>
      </c>
      <c r="O71" s="155">
        <f>SUM(O69:O70)</f>
        <v>787</v>
      </c>
      <c r="P71" s="155">
        <f t="shared" ref="P71:Q71" si="7">SUM(P69:P70)</f>
        <v>885</v>
      </c>
      <c r="Q71" s="155">
        <f t="shared" si="7"/>
        <v>1672</v>
      </c>
      <c r="R71" s="966"/>
    </row>
    <row r="72" spans="1:23" ht="21.4" customHeight="1" x14ac:dyDescent="0.25">
      <c r="A72" s="13"/>
      <c r="B72" s="34"/>
      <c r="C72" s="453"/>
      <c r="D72" s="453"/>
      <c r="E72" s="453"/>
      <c r="F72" s="453"/>
      <c r="G72" s="453"/>
      <c r="H72" s="453"/>
      <c r="I72" s="453"/>
      <c r="J72" s="453"/>
      <c r="K72" s="453"/>
      <c r="L72" s="454"/>
      <c r="M72" s="13"/>
      <c r="N72" s="13"/>
      <c r="O72" s="13"/>
    </row>
    <row r="73" spans="1:23" ht="25.15" customHeight="1" x14ac:dyDescent="0.35">
      <c r="A73" s="13"/>
      <c r="B73" s="703" t="s">
        <v>171</v>
      </c>
      <c r="C73" s="703"/>
      <c r="D73" s="703"/>
      <c r="E73" s="703"/>
      <c r="F73" s="703"/>
      <c r="G73" s="53"/>
      <c r="H73" s="53"/>
      <c r="I73" s="53"/>
      <c r="J73" s="53"/>
      <c r="K73" s="53"/>
      <c r="L73" s="53"/>
      <c r="M73" s="53"/>
      <c r="N73" s="53"/>
    </row>
    <row r="74" spans="1:23" ht="30.4" customHeight="1" x14ac:dyDescent="0.35">
      <c r="A74" s="13"/>
      <c r="B74" s="130"/>
      <c r="C74" s="959">
        <v>2020</v>
      </c>
      <c r="D74" s="959"/>
      <c r="E74" s="959"/>
      <c r="F74" s="960"/>
      <c r="G74" s="978">
        <v>2021</v>
      </c>
      <c r="H74" s="959"/>
      <c r="I74" s="959"/>
      <c r="J74" s="960"/>
      <c r="K74" s="959">
        <v>2022</v>
      </c>
      <c r="L74" s="959"/>
      <c r="M74" s="959"/>
      <c r="N74" s="959"/>
      <c r="O74" s="959">
        <v>2023</v>
      </c>
      <c r="P74" s="959"/>
      <c r="Q74" s="959"/>
      <c r="R74" s="959"/>
      <c r="S74" s="959">
        <v>2024</v>
      </c>
      <c r="T74" s="959"/>
      <c r="U74" s="959"/>
      <c r="V74" s="959"/>
      <c r="W74" s="87" t="s">
        <v>23</v>
      </c>
    </row>
    <row r="75" spans="1:23" ht="21.4" customHeight="1" x14ac:dyDescent="0.35">
      <c r="A75" s="13"/>
      <c r="B75" s="164"/>
      <c r="C75" s="164" t="s">
        <v>151</v>
      </c>
      <c r="D75" s="164" t="s">
        <v>152</v>
      </c>
      <c r="E75" s="164" t="s">
        <v>49</v>
      </c>
      <c r="F75" s="164" t="s">
        <v>458</v>
      </c>
      <c r="G75" s="164" t="s">
        <v>151</v>
      </c>
      <c r="H75" s="164" t="s">
        <v>152</v>
      </c>
      <c r="I75" s="164" t="s">
        <v>49</v>
      </c>
      <c r="J75" s="164" t="s">
        <v>458</v>
      </c>
      <c r="K75" s="164" t="s">
        <v>151</v>
      </c>
      <c r="L75" s="164" t="s">
        <v>152</v>
      </c>
      <c r="M75" s="164" t="s">
        <v>49</v>
      </c>
      <c r="N75" s="164" t="s">
        <v>458</v>
      </c>
      <c r="O75" s="164" t="s">
        <v>151</v>
      </c>
      <c r="P75" s="164" t="s">
        <v>152</v>
      </c>
      <c r="Q75" s="164" t="s">
        <v>49</v>
      </c>
      <c r="R75" s="164" t="s">
        <v>458</v>
      </c>
      <c r="S75" s="164" t="s">
        <v>151</v>
      </c>
      <c r="T75" s="164" t="s">
        <v>152</v>
      </c>
      <c r="U75" s="164" t="s">
        <v>49</v>
      </c>
      <c r="V75" s="164" t="s">
        <v>458</v>
      </c>
      <c r="W75" s="966" t="s">
        <v>26</v>
      </c>
    </row>
    <row r="76" spans="1:23" ht="21.4" customHeight="1" x14ac:dyDescent="0.35">
      <c r="A76" s="13" t="s">
        <v>466</v>
      </c>
      <c r="B76" s="692" t="s">
        <v>163</v>
      </c>
      <c r="C76" s="449">
        <v>295</v>
      </c>
      <c r="D76" s="449">
        <v>212</v>
      </c>
      <c r="E76" s="449">
        <f>D76+C76</f>
        <v>507</v>
      </c>
      <c r="F76" s="976">
        <v>37.5</v>
      </c>
      <c r="G76" s="449">
        <v>270</v>
      </c>
      <c r="H76" s="449">
        <v>198</v>
      </c>
      <c r="I76" s="449">
        <f>H76+G76</f>
        <v>468</v>
      </c>
      <c r="J76" s="976">
        <v>38.200000000000003</v>
      </c>
      <c r="K76" s="449">
        <v>229</v>
      </c>
      <c r="L76" s="449">
        <v>172</v>
      </c>
      <c r="M76" s="449">
        <f>L76+K76</f>
        <v>401</v>
      </c>
      <c r="N76" s="989">
        <v>39</v>
      </c>
      <c r="O76" s="449">
        <v>208</v>
      </c>
      <c r="P76" s="449">
        <v>174</v>
      </c>
      <c r="Q76" s="449">
        <f>SUM(O76:P76)</f>
        <v>382</v>
      </c>
      <c r="R76" s="1000">
        <v>39.5</v>
      </c>
      <c r="S76" s="455">
        <v>201</v>
      </c>
      <c r="T76" s="455">
        <v>195</v>
      </c>
      <c r="U76" s="456">
        <f>SUM(S76:T76)</f>
        <v>396</v>
      </c>
      <c r="V76" s="1003">
        <v>40</v>
      </c>
      <c r="W76" s="966"/>
    </row>
    <row r="77" spans="1:23" ht="21.4" customHeight="1" x14ac:dyDescent="0.35">
      <c r="A77" s="13"/>
      <c r="B77" s="692" t="s">
        <v>164</v>
      </c>
      <c r="C77" s="449">
        <v>583</v>
      </c>
      <c r="D77" s="449">
        <v>629</v>
      </c>
      <c r="E77" s="449">
        <f>D77+C77</f>
        <v>1212</v>
      </c>
      <c r="F77" s="977"/>
      <c r="G77" s="449">
        <v>539</v>
      </c>
      <c r="H77" s="449">
        <v>567</v>
      </c>
      <c r="I77" s="449">
        <f>H77+G77</f>
        <v>1106</v>
      </c>
      <c r="J77" s="977"/>
      <c r="K77" s="449">
        <v>540</v>
      </c>
      <c r="L77" s="449">
        <v>530</v>
      </c>
      <c r="M77" s="449">
        <f>L77+K77</f>
        <v>1070</v>
      </c>
      <c r="N77" s="990"/>
      <c r="O77" s="449">
        <v>530</v>
      </c>
      <c r="P77" s="449">
        <v>507</v>
      </c>
      <c r="Q77" s="449">
        <f t="shared" ref="Q77:Q78" si="8">SUM(O77:P77)</f>
        <v>1037</v>
      </c>
      <c r="R77" s="1001"/>
      <c r="S77" s="457">
        <v>497</v>
      </c>
      <c r="T77" s="457">
        <v>474</v>
      </c>
      <c r="U77" s="458">
        <f>SUM(S77:T77)</f>
        <v>971</v>
      </c>
      <c r="V77" s="1003"/>
      <c r="W77" s="966"/>
    </row>
    <row r="78" spans="1:23" ht="21.4" customHeight="1" x14ac:dyDescent="0.35">
      <c r="A78" s="13"/>
      <c r="B78" s="692" t="s">
        <v>165</v>
      </c>
      <c r="C78" s="449">
        <v>51</v>
      </c>
      <c r="D78" s="449">
        <v>130</v>
      </c>
      <c r="E78" s="449">
        <f>C78+D78</f>
        <v>181</v>
      </c>
      <c r="F78" s="977"/>
      <c r="G78" s="449">
        <v>48</v>
      </c>
      <c r="H78" s="449">
        <v>146</v>
      </c>
      <c r="I78" s="449">
        <f>G78+H78</f>
        <v>194</v>
      </c>
      <c r="J78" s="977"/>
      <c r="K78" s="449">
        <v>63</v>
      </c>
      <c r="L78" s="449">
        <v>170</v>
      </c>
      <c r="M78" s="449">
        <f>K78+L78</f>
        <v>233</v>
      </c>
      <c r="N78" s="990"/>
      <c r="O78" s="449">
        <v>70</v>
      </c>
      <c r="P78" s="449">
        <v>195</v>
      </c>
      <c r="Q78" s="449">
        <f t="shared" si="8"/>
        <v>265</v>
      </c>
      <c r="R78" s="1001"/>
      <c r="S78" s="457">
        <v>89</v>
      </c>
      <c r="T78" s="457">
        <v>216</v>
      </c>
      <c r="U78" s="458">
        <f>SUM(S78:T78)</f>
        <v>305</v>
      </c>
      <c r="V78" s="1003"/>
      <c r="W78" s="966"/>
    </row>
    <row r="79" spans="1:23" ht="21.4" customHeight="1" x14ac:dyDescent="0.35">
      <c r="A79" s="13"/>
      <c r="B79" s="692" t="s">
        <v>49</v>
      </c>
      <c r="C79" s="449">
        <f>C76+C77+C78</f>
        <v>929</v>
      </c>
      <c r="D79" s="449">
        <f>D76+D77+D78</f>
        <v>971</v>
      </c>
      <c r="E79" s="449">
        <f>E76+E77+E78</f>
        <v>1900</v>
      </c>
      <c r="F79" s="977"/>
      <c r="G79" s="449">
        <f>G76+G77+G78</f>
        <v>857</v>
      </c>
      <c r="H79" s="449">
        <f>H76+H77+H78</f>
        <v>911</v>
      </c>
      <c r="I79" s="449">
        <f>I76+I77+I78</f>
        <v>1768</v>
      </c>
      <c r="J79" s="977"/>
      <c r="K79" s="449">
        <f>K76+K77+K78</f>
        <v>832</v>
      </c>
      <c r="L79" s="449">
        <f>L76+L77+L78</f>
        <v>872</v>
      </c>
      <c r="M79" s="449">
        <f>SUM(M76:M78)</f>
        <v>1704</v>
      </c>
      <c r="N79" s="990"/>
      <c r="O79" s="449">
        <f>SUM(O76:O78)</f>
        <v>808</v>
      </c>
      <c r="P79" s="449">
        <f>SUM(P76:P78)</f>
        <v>876</v>
      </c>
      <c r="Q79" s="449">
        <f>SUM(Q76:Q78)</f>
        <v>1684</v>
      </c>
      <c r="R79" s="1001"/>
      <c r="S79" s="459">
        <f>SUM(S76:S78)</f>
        <v>787</v>
      </c>
      <c r="T79" s="459">
        <f>SUM(T76:T78)</f>
        <v>885</v>
      </c>
      <c r="U79" s="459">
        <f>SUM(U76:U78)</f>
        <v>1672</v>
      </c>
      <c r="V79" s="1003"/>
      <c r="W79" s="966"/>
    </row>
    <row r="80" spans="1:23" ht="21.4" customHeight="1" x14ac:dyDescent="0.35">
      <c r="A80" s="13"/>
      <c r="B80" s="13"/>
      <c r="C80" s="13"/>
      <c r="D80" s="13"/>
      <c r="E80" s="13"/>
      <c r="F80" s="13"/>
      <c r="G80" s="13"/>
      <c r="H80" s="13"/>
      <c r="I80" s="13"/>
      <c r="J80" s="13"/>
      <c r="K80" s="13"/>
      <c r="L80" s="13"/>
      <c r="M80" s="13"/>
      <c r="N80" s="13"/>
      <c r="O80" s="13"/>
    </row>
    <row r="81" spans="1:23" ht="25.15" customHeight="1" x14ac:dyDescent="0.35">
      <c r="A81" s="13"/>
      <c r="B81" s="1004" t="s">
        <v>28</v>
      </c>
      <c r="C81" s="1004"/>
      <c r="D81" s="1004"/>
      <c r="E81" s="745"/>
      <c r="F81" s="745"/>
      <c r="G81" s="745"/>
      <c r="H81" s="369"/>
      <c r="I81" s="369"/>
      <c r="J81" s="369"/>
      <c r="K81" s="369"/>
      <c r="L81" s="369"/>
      <c r="M81" s="369"/>
      <c r="N81" s="369"/>
      <c r="O81" s="369"/>
      <c r="P81" s="369"/>
      <c r="Q81" s="369"/>
      <c r="R81" s="369"/>
      <c r="S81" s="867"/>
      <c r="T81" s="867"/>
      <c r="U81" s="867"/>
      <c r="V81" s="867"/>
      <c r="W81" s="867"/>
    </row>
    <row r="82" spans="1:23" ht="25.15" customHeight="1" x14ac:dyDescent="0.35">
      <c r="A82" s="13"/>
      <c r="B82" s="703" t="s">
        <v>172</v>
      </c>
      <c r="C82" s="703"/>
      <c r="D82" s="703"/>
      <c r="E82" s="703"/>
      <c r="F82" s="703"/>
      <c r="G82" s="703"/>
      <c r="H82" s="53"/>
      <c r="I82" s="53"/>
      <c r="J82" s="53"/>
      <c r="K82" s="53"/>
      <c r="M82" s="13"/>
      <c r="N82" s="13"/>
      <c r="O82" s="13"/>
    </row>
    <row r="83" spans="1:23" ht="30.4" customHeight="1" x14ac:dyDescent="0.35">
      <c r="A83" s="13"/>
      <c r="B83" s="174"/>
      <c r="C83" s="959">
        <v>2020</v>
      </c>
      <c r="D83" s="959"/>
      <c r="E83" s="960"/>
      <c r="F83" s="978">
        <v>2021</v>
      </c>
      <c r="G83" s="959"/>
      <c r="H83" s="960"/>
      <c r="I83" s="959">
        <v>2022</v>
      </c>
      <c r="J83" s="959"/>
      <c r="K83" s="959"/>
      <c r="L83" s="959">
        <v>2023</v>
      </c>
      <c r="M83" s="959"/>
      <c r="N83" s="959"/>
      <c r="O83" s="959">
        <v>2024</v>
      </c>
      <c r="P83" s="959"/>
      <c r="Q83" s="959"/>
      <c r="R83" s="87" t="s">
        <v>23</v>
      </c>
    </row>
    <row r="84" spans="1:23" ht="21.4" customHeight="1" x14ac:dyDescent="0.35">
      <c r="A84" s="13"/>
      <c r="B84" s="164"/>
      <c r="C84" s="164" t="s">
        <v>151</v>
      </c>
      <c r="D84" s="164" t="s">
        <v>152</v>
      </c>
      <c r="E84" s="164" t="s">
        <v>49</v>
      </c>
      <c r="F84" s="164" t="s">
        <v>151</v>
      </c>
      <c r="G84" s="164" t="s">
        <v>152</v>
      </c>
      <c r="H84" s="164" t="s">
        <v>49</v>
      </c>
      <c r="I84" s="164" t="s">
        <v>151</v>
      </c>
      <c r="J84" s="164" t="s">
        <v>152</v>
      </c>
      <c r="K84" s="164" t="s">
        <v>49</v>
      </c>
      <c r="L84" s="164" t="s">
        <v>151</v>
      </c>
      <c r="M84" s="164" t="s">
        <v>152</v>
      </c>
      <c r="N84" s="164" t="s">
        <v>49</v>
      </c>
      <c r="O84" s="164" t="s">
        <v>151</v>
      </c>
      <c r="P84" s="164" t="s">
        <v>152</v>
      </c>
      <c r="Q84" s="164" t="s">
        <v>49</v>
      </c>
      <c r="R84" s="966" t="s">
        <v>158</v>
      </c>
    </row>
    <row r="85" spans="1:23" ht="21.4" customHeight="1" x14ac:dyDescent="0.35">
      <c r="A85" s="13"/>
      <c r="B85" s="692" t="s">
        <v>159</v>
      </c>
      <c r="C85" s="449">
        <v>71</v>
      </c>
      <c r="D85" s="449">
        <v>103</v>
      </c>
      <c r="E85" s="449">
        <f>D85+C85</f>
        <v>174</v>
      </c>
      <c r="F85" s="449">
        <v>67</v>
      </c>
      <c r="G85" s="449">
        <v>91</v>
      </c>
      <c r="H85" s="449">
        <f>G85+F85</f>
        <v>158</v>
      </c>
      <c r="I85" s="449">
        <v>61</v>
      </c>
      <c r="J85" s="449">
        <v>85</v>
      </c>
      <c r="K85" s="449">
        <f>J85+I85</f>
        <v>146</v>
      </c>
      <c r="L85" s="449">
        <v>44</v>
      </c>
      <c r="M85" s="449">
        <v>73</v>
      </c>
      <c r="N85" s="449">
        <v>117</v>
      </c>
      <c r="O85" s="215">
        <v>42</v>
      </c>
      <c r="P85" s="215">
        <v>67</v>
      </c>
      <c r="Q85" s="460">
        <v>109</v>
      </c>
      <c r="R85" s="966"/>
    </row>
    <row r="86" spans="1:23" ht="21.4" customHeight="1" x14ac:dyDescent="0.35">
      <c r="A86" s="13"/>
      <c r="B86" s="692" t="s">
        <v>160</v>
      </c>
      <c r="C86" s="449">
        <v>483</v>
      </c>
      <c r="D86" s="449">
        <v>654</v>
      </c>
      <c r="E86" s="449">
        <f>D86+C86</f>
        <v>1137</v>
      </c>
      <c r="F86" s="449">
        <v>411</v>
      </c>
      <c r="G86" s="449">
        <v>552</v>
      </c>
      <c r="H86" s="449">
        <f>G86+F86</f>
        <v>963</v>
      </c>
      <c r="I86" s="449">
        <v>326</v>
      </c>
      <c r="J86" s="449">
        <v>478</v>
      </c>
      <c r="K86" s="449">
        <f>J86+I86</f>
        <v>804</v>
      </c>
      <c r="L86" s="449">
        <v>213</v>
      </c>
      <c r="M86" s="449">
        <v>373</v>
      </c>
      <c r="N86" s="449">
        <v>586</v>
      </c>
      <c r="O86" s="216">
        <v>178</v>
      </c>
      <c r="P86" s="216">
        <v>310</v>
      </c>
      <c r="Q86" s="215">
        <v>488</v>
      </c>
      <c r="R86" s="966"/>
    </row>
    <row r="87" spans="1:23" ht="21.4" customHeight="1" x14ac:dyDescent="0.35">
      <c r="A87" s="13"/>
      <c r="B87" s="692" t="s">
        <v>49</v>
      </c>
      <c r="C87" s="449">
        <f t="shared" ref="C87:K87" si="9">C85+C86</f>
        <v>554</v>
      </c>
      <c r="D87" s="449">
        <f t="shared" si="9"/>
        <v>757</v>
      </c>
      <c r="E87" s="449">
        <f t="shared" si="9"/>
        <v>1311</v>
      </c>
      <c r="F87" s="449">
        <f t="shared" si="9"/>
        <v>478</v>
      </c>
      <c r="G87" s="449">
        <f t="shared" si="9"/>
        <v>643</v>
      </c>
      <c r="H87" s="449">
        <f t="shared" si="9"/>
        <v>1121</v>
      </c>
      <c r="I87" s="449">
        <f>I86+I85</f>
        <v>387</v>
      </c>
      <c r="J87" s="449">
        <f>J86+J85</f>
        <v>563</v>
      </c>
      <c r="K87" s="449">
        <f t="shared" si="9"/>
        <v>950</v>
      </c>
      <c r="L87" s="449">
        <v>257</v>
      </c>
      <c r="M87" s="449">
        <v>446</v>
      </c>
      <c r="N87" s="449">
        <v>703</v>
      </c>
      <c r="O87" s="461">
        <v>220</v>
      </c>
      <c r="P87" s="461">
        <v>377</v>
      </c>
      <c r="Q87" s="462">
        <v>597</v>
      </c>
      <c r="R87" s="966"/>
      <c r="T87" s="463"/>
    </row>
    <row r="88" spans="1:23" ht="21.4" customHeight="1" x14ac:dyDescent="0.35">
      <c r="A88" s="13"/>
      <c r="B88" s="13"/>
      <c r="C88" s="13"/>
      <c r="D88" s="13"/>
      <c r="E88" s="13"/>
      <c r="F88" s="13"/>
      <c r="G88" s="13"/>
      <c r="H88" s="13"/>
      <c r="I88" s="13"/>
      <c r="J88" s="13"/>
      <c r="K88" s="13"/>
      <c r="L88" s="13"/>
      <c r="M88" s="13"/>
      <c r="N88" s="13"/>
      <c r="O88" s="13"/>
    </row>
    <row r="89" spans="1:23" ht="25.15" customHeight="1" x14ac:dyDescent="0.35">
      <c r="A89" s="13"/>
      <c r="B89" s="703" t="s">
        <v>173</v>
      </c>
      <c r="C89" s="703"/>
      <c r="D89" s="703"/>
      <c r="E89" s="703"/>
      <c r="F89" s="703"/>
      <c r="G89" s="703"/>
      <c r="H89" s="703"/>
      <c r="I89" s="703"/>
      <c r="J89" s="53"/>
      <c r="K89" s="53"/>
      <c r="L89" s="53"/>
      <c r="M89" s="53"/>
      <c r="N89" s="53"/>
    </row>
    <row r="90" spans="1:23" ht="30.4" customHeight="1" x14ac:dyDescent="0.35">
      <c r="A90" s="13"/>
      <c r="B90" s="129"/>
      <c r="C90" s="959">
        <v>2020</v>
      </c>
      <c r="D90" s="959"/>
      <c r="E90" s="959"/>
      <c r="F90" s="960"/>
      <c r="G90" s="959">
        <v>2021</v>
      </c>
      <c r="H90" s="959"/>
      <c r="I90" s="959"/>
      <c r="J90" s="960"/>
      <c r="K90" s="959">
        <v>2022</v>
      </c>
      <c r="L90" s="959"/>
      <c r="M90" s="959"/>
      <c r="N90" s="959"/>
      <c r="O90" s="959">
        <v>2023</v>
      </c>
      <c r="P90" s="959"/>
      <c r="Q90" s="959"/>
      <c r="R90" s="959"/>
      <c r="S90" s="959">
        <v>2024</v>
      </c>
      <c r="T90" s="959"/>
      <c r="U90" s="959"/>
      <c r="V90" s="959"/>
      <c r="W90" s="87" t="s">
        <v>23</v>
      </c>
    </row>
    <row r="91" spans="1:23" ht="21.4" customHeight="1" x14ac:dyDescent="0.35">
      <c r="A91" s="13"/>
      <c r="B91" s="437"/>
      <c r="C91" s="164" t="s">
        <v>151</v>
      </c>
      <c r="D91" s="164" t="s">
        <v>152</v>
      </c>
      <c r="E91" s="164" t="s">
        <v>49</v>
      </c>
      <c r="F91" s="164" t="s">
        <v>458</v>
      </c>
      <c r="G91" s="164" t="s">
        <v>151</v>
      </c>
      <c r="H91" s="164" t="s">
        <v>152</v>
      </c>
      <c r="I91" s="164" t="s">
        <v>49</v>
      </c>
      <c r="J91" s="164" t="s">
        <v>458</v>
      </c>
      <c r="K91" s="164" t="s">
        <v>151</v>
      </c>
      <c r="L91" s="164" t="s">
        <v>152</v>
      </c>
      <c r="M91" s="164" t="s">
        <v>49</v>
      </c>
      <c r="N91" s="164" t="s">
        <v>458</v>
      </c>
      <c r="O91" s="164" t="s">
        <v>151</v>
      </c>
      <c r="P91" s="164" t="s">
        <v>152</v>
      </c>
      <c r="Q91" s="164" t="s">
        <v>49</v>
      </c>
      <c r="R91" s="164" t="s">
        <v>458</v>
      </c>
      <c r="S91" s="164" t="s">
        <v>151</v>
      </c>
      <c r="T91" s="164" t="s">
        <v>152</v>
      </c>
      <c r="U91" s="164" t="s">
        <v>49</v>
      </c>
      <c r="V91" s="164" t="s">
        <v>458</v>
      </c>
      <c r="W91" s="966" t="s">
        <v>26</v>
      </c>
    </row>
    <row r="92" spans="1:23" ht="21.4" customHeight="1" x14ac:dyDescent="0.35">
      <c r="A92" s="13"/>
      <c r="B92" s="692" t="s">
        <v>163</v>
      </c>
      <c r="C92" s="424">
        <v>243</v>
      </c>
      <c r="D92" s="424">
        <v>240</v>
      </c>
      <c r="E92" s="424">
        <f>D92+C92</f>
        <v>483</v>
      </c>
      <c r="F92" s="1007">
        <v>35</v>
      </c>
      <c r="G92" s="424">
        <v>176</v>
      </c>
      <c r="H92" s="424">
        <v>153</v>
      </c>
      <c r="I92" s="424">
        <f>H92+G92</f>
        <v>329</v>
      </c>
      <c r="J92" s="1007">
        <v>37</v>
      </c>
      <c r="K92" s="424">
        <v>101</v>
      </c>
      <c r="L92" s="424">
        <v>108</v>
      </c>
      <c r="M92" s="424">
        <f>L92+K92</f>
        <v>209</v>
      </c>
      <c r="N92" s="1005">
        <v>39</v>
      </c>
      <c r="O92" s="424">
        <v>42</v>
      </c>
      <c r="P92" s="424">
        <v>73</v>
      </c>
      <c r="Q92" s="424">
        <v>115</v>
      </c>
      <c r="R92" s="1005">
        <v>41</v>
      </c>
      <c r="S92" s="440">
        <v>28</v>
      </c>
      <c r="T92" s="440">
        <v>47</v>
      </c>
      <c r="U92" s="149">
        <f>SUM(S92:T92)</f>
        <v>75</v>
      </c>
      <c r="V92" s="997">
        <v>42</v>
      </c>
      <c r="W92" s="966"/>
    </row>
    <row r="93" spans="1:23" ht="21.4" customHeight="1" x14ac:dyDescent="0.35">
      <c r="A93" s="13"/>
      <c r="B93" s="692" t="s">
        <v>164</v>
      </c>
      <c r="C93" s="424">
        <v>284</v>
      </c>
      <c r="D93" s="424">
        <v>439</v>
      </c>
      <c r="E93" s="424">
        <f>D93+C93</f>
        <v>723</v>
      </c>
      <c r="F93" s="1008"/>
      <c r="G93" s="424">
        <v>271</v>
      </c>
      <c r="H93" s="424">
        <v>412</v>
      </c>
      <c r="I93" s="424">
        <f>H93+G93</f>
        <v>683</v>
      </c>
      <c r="J93" s="1008"/>
      <c r="K93" s="424">
        <v>251</v>
      </c>
      <c r="L93" s="424">
        <v>370</v>
      </c>
      <c r="M93" s="424">
        <f t="shared" ref="M93:M94" si="10">L93+K93</f>
        <v>621</v>
      </c>
      <c r="N93" s="1006"/>
      <c r="O93" s="424">
        <v>184</v>
      </c>
      <c r="P93" s="424">
        <v>277</v>
      </c>
      <c r="Q93" s="424">
        <v>461</v>
      </c>
      <c r="R93" s="1006"/>
      <c r="S93" s="442">
        <v>158</v>
      </c>
      <c r="T93" s="442">
        <v>227</v>
      </c>
      <c r="U93" s="149">
        <f t="shared" ref="U93:U94" si="11">SUM(S93:T93)</f>
        <v>385</v>
      </c>
      <c r="V93" s="998"/>
      <c r="W93" s="966"/>
    </row>
    <row r="94" spans="1:23" ht="21.4" customHeight="1" x14ac:dyDescent="0.35">
      <c r="A94" s="13"/>
      <c r="B94" s="692" t="s">
        <v>165</v>
      </c>
      <c r="C94" s="424">
        <v>27</v>
      </c>
      <c r="D94" s="424">
        <v>78</v>
      </c>
      <c r="E94" s="424">
        <f>C94+D94</f>
        <v>105</v>
      </c>
      <c r="F94" s="1008"/>
      <c r="G94" s="424">
        <v>31</v>
      </c>
      <c r="H94" s="424">
        <v>78</v>
      </c>
      <c r="I94" s="424">
        <f>G94+H94</f>
        <v>109</v>
      </c>
      <c r="J94" s="1008"/>
      <c r="K94" s="424">
        <v>35</v>
      </c>
      <c r="L94" s="424">
        <v>85</v>
      </c>
      <c r="M94" s="424">
        <f t="shared" si="10"/>
        <v>120</v>
      </c>
      <c r="N94" s="1006"/>
      <c r="O94" s="424">
        <v>31</v>
      </c>
      <c r="P94" s="424">
        <v>96</v>
      </c>
      <c r="Q94" s="424">
        <v>127</v>
      </c>
      <c r="R94" s="1006"/>
      <c r="S94" s="442">
        <v>34</v>
      </c>
      <c r="T94" s="442">
        <v>103</v>
      </c>
      <c r="U94" s="149">
        <f t="shared" si="11"/>
        <v>137</v>
      </c>
      <c r="V94" s="998"/>
      <c r="W94" s="966"/>
    </row>
    <row r="95" spans="1:23" ht="21.4" customHeight="1" x14ac:dyDescent="0.35">
      <c r="A95" s="13"/>
      <c r="B95" s="692" t="s">
        <v>49</v>
      </c>
      <c r="C95" s="424">
        <f>C92+C93+C94</f>
        <v>554</v>
      </c>
      <c r="D95" s="424">
        <f>D92+D93+D94</f>
        <v>757</v>
      </c>
      <c r="E95" s="424">
        <f>E92+E93+E94</f>
        <v>1311</v>
      </c>
      <c r="F95" s="1008"/>
      <c r="G95" s="424">
        <f>G92+G93+G94</f>
        <v>478</v>
      </c>
      <c r="H95" s="424">
        <f>H92+H93+H94</f>
        <v>643</v>
      </c>
      <c r="I95" s="424">
        <f>I92+I93+I94</f>
        <v>1121</v>
      </c>
      <c r="J95" s="1008"/>
      <c r="K95" s="424">
        <f>SUM(K92:K94)</f>
        <v>387</v>
      </c>
      <c r="L95" s="424">
        <f t="shared" ref="L95:M95" si="12">SUM(L92:L94)</f>
        <v>563</v>
      </c>
      <c r="M95" s="424">
        <f t="shared" si="12"/>
        <v>950</v>
      </c>
      <c r="N95" s="1006"/>
      <c r="O95" s="424">
        <v>257</v>
      </c>
      <c r="P95" s="424">
        <v>446</v>
      </c>
      <c r="Q95" s="424">
        <v>703</v>
      </c>
      <c r="R95" s="1006"/>
      <c r="S95" s="283">
        <f>SUM(S92:S94)</f>
        <v>220</v>
      </c>
      <c r="T95" s="283">
        <f>SUM(T92:T94)</f>
        <v>377</v>
      </c>
      <c r="U95" s="283">
        <f t="shared" ref="U95" si="13">SUM(U92:U94)</f>
        <v>597</v>
      </c>
      <c r="V95" s="999"/>
      <c r="W95" s="966"/>
    </row>
    <row r="101" ht="28.5" customHeight="1" x14ac:dyDescent="0.35"/>
  </sheetData>
  <mergeCells count="81">
    <mergeCell ref="B81:D81"/>
    <mergeCell ref="S81:W81"/>
    <mergeCell ref="O90:R90"/>
    <mergeCell ref="W91:W95"/>
    <mergeCell ref="R92:R95"/>
    <mergeCell ref="L83:N83"/>
    <mergeCell ref="F92:F95"/>
    <mergeCell ref="J92:J95"/>
    <mergeCell ref="N92:N95"/>
    <mergeCell ref="C90:F90"/>
    <mergeCell ref="G90:J90"/>
    <mergeCell ref="K90:N90"/>
    <mergeCell ref="F83:H83"/>
    <mergeCell ref="I83:K83"/>
    <mergeCell ref="R84:R87"/>
    <mergeCell ref="O83:Q83"/>
    <mergeCell ref="S90:V90"/>
    <mergeCell ref="V92:V95"/>
    <mergeCell ref="W75:W79"/>
    <mergeCell ref="R76:R79"/>
    <mergeCell ref="W59:W63"/>
    <mergeCell ref="V60:V63"/>
    <mergeCell ref="S74:V74"/>
    <mergeCell ref="V76:V79"/>
    <mergeCell ref="N76:N79"/>
    <mergeCell ref="J76:J79"/>
    <mergeCell ref="J60:J63"/>
    <mergeCell ref="I67:K67"/>
    <mergeCell ref="R68:R71"/>
    <mergeCell ref="L67:N67"/>
    <mergeCell ref="O74:R74"/>
    <mergeCell ref="O67:Q67"/>
    <mergeCell ref="R60:R63"/>
    <mergeCell ref="S58:V58"/>
    <mergeCell ref="L42:N42"/>
    <mergeCell ref="O42:Q42"/>
    <mergeCell ref="K58:N58"/>
    <mergeCell ref="R43:R47"/>
    <mergeCell ref="V52:V55"/>
    <mergeCell ref="R53:R55"/>
    <mergeCell ref="L51:N51"/>
    <mergeCell ref="I51:K51"/>
    <mergeCell ref="O51:Q51"/>
    <mergeCell ref="F67:H67"/>
    <mergeCell ref="N60:N63"/>
    <mergeCell ref="K74:N74"/>
    <mergeCell ref="C74:F74"/>
    <mergeCell ref="G74:J74"/>
    <mergeCell ref="C67:E67"/>
    <mergeCell ref="L34:N34"/>
    <mergeCell ref="I17:J17"/>
    <mergeCell ref="F76:F79"/>
    <mergeCell ref="O34:Q34"/>
    <mergeCell ref="I23:J23"/>
    <mergeCell ref="C58:F58"/>
    <mergeCell ref="G58:J58"/>
    <mergeCell ref="F42:H42"/>
    <mergeCell ref="I42:K42"/>
    <mergeCell ref="C42:E42"/>
    <mergeCell ref="O58:R58"/>
    <mergeCell ref="C51:E51"/>
    <mergeCell ref="F51:H51"/>
    <mergeCell ref="I34:K34"/>
    <mergeCell ref="F34:H34"/>
    <mergeCell ref="F60:F63"/>
    <mergeCell ref="C83:E83"/>
    <mergeCell ref="S10:S14"/>
    <mergeCell ref="C26:D26"/>
    <mergeCell ref="E26:F26"/>
    <mergeCell ref="G26:H26"/>
    <mergeCell ref="S18:S23"/>
    <mergeCell ref="G17:H17"/>
    <mergeCell ref="G23:H23"/>
    <mergeCell ref="C17:D17"/>
    <mergeCell ref="C23:D23"/>
    <mergeCell ref="S26:S27"/>
    <mergeCell ref="E23:F23"/>
    <mergeCell ref="S28:S30"/>
    <mergeCell ref="R35:R39"/>
    <mergeCell ref="E17:F17"/>
    <mergeCell ref="C34:E34"/>
  </mergeCells>
  <pageMargins left="0.7" right="0.7" top="0.75" bottom="0.75" header="0.3" footer="0.3"/>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T59"/>
  <sheetViews>
    <sheetView showGridLines="0" zoomScale="50" zoomScaleNormal="50" workbookViewId="0">
      <selection activeCell="B7" sqref="B7"/>
    </sheetView>
  </sheetViews>
  <sheetFormatPr defaultColWidth="9.26953125" defaultRowHeight="14" x14ac:dyDescent="0.35"/>
  <cols>
    <col min="1" max="1" width="3.7265625" style="12" customWidth="1"/>
    <col min="2" max="2" width="42" style="12" customWidth="1"/>
    <col min="3" max="15" width="10.7265625" style="12" customWidth="1"/>
    <col min="16" max="17" width="9.26953125" style="12" customWidth="1"/>
    <col min="18" max="18" width="14.54296875" style="12" customWidth="1"/>
    <col min="19" max="19" width="9.26953125" style="12" customWidth="1"/>
    <col min="20" max="16384" width="9.26953125" style="12"/>
  </cols>
  <sheetData>
    <row r="1" spans="2:17" ht="15" customHeight="1" x14ac:dyDescent="0.35">
      <c r="B1" s="13"/>
      <c r="C1" s="13"/>
      <c r="D1" s="13"/>
      <c r="E1" s="13"/>
      <c r="F1" s="13"/>
      <c r="G1" s="13"/>
      <c r="H1" s="13"/>
      <c r="I1" s="13"/>
      <c r="J1" s="13"/>
      <c r="K1" s="13"/>
      <c r="L1" s="13"/>
      <c r="M1" s="13"/>
    </row>
    <row r="2" spans="2:17" ht="15" customHeight="1" x14ac:dyDescent="0.35">
      <c r="B2" s="13"/>
      <c r="C2" s="13"/>
      <c r="D2" s="13"/>
      <c r="E2" s="13"/>
      <c r="F2" s="13"/>
      <c r="G2" s="13"/>
      <c r="H2" s="13"/>
      <c r="I2" s="13"/>
      <c r="J2" s="13"/>
      <c r="K2" s="13"/>
      <c r="L2" s="13"/>
      <c r="M2" s="13"/>
    </row>
    <row r="3" spans="2:17" ht="15" customHeight="1" x14ac:dyDescent="0.35">
      <c r="B3" s="13"/>
      <c r="C3" s="13"/>
      <c r="D3" s="13"/>
      <c r="E3" s="13"/>
      <c r="F3" s="13"/>
      <c r="G3" s="13"/>
      <c r="H3" s="13"/>
      <c r="I3" s="13"/>
      <c r="J3" s="13"/>
      <c r="K3" s="13"/>
      <c r="L3" s="13"/>
      <c r="M3" s="13"/>
    </row>
    <row r="4" spans="2:17" ht="15" customHeight="1" x14ac:dyDescent="0.35">
      <c r="B4" s="13"/>
      <c r="C4" s="13"/>
      <c r="D4" s="13"/>
      <c r="E4" s="13"/>
      <c r="F4" s="13"/>
      <c r="G4" s="13"/>
      <c r="H4" s="13"/>
      <c r="I4" s="13"/>
      <c r="J4" s="13"/>
      <c r="K4" s="13"/>
      <c r="L4" s="13"/>
      <c r="M4" s="13"/>
      <c r="P4" s="18"/>
      <c r="Q4" s="18"/>
    </row>
    <row r="5" spans="2:17" ht="24" customHeight="1" thickBot="1" x14ac:dyDescent="0.4">
      <c r="B5" s="725" t="s">
        <v>174</v>
      </c>
      <c r="C5" s="768"/>
      <c r="D5" s="768"/>
      <c r="E5" s="11"/>
      <c r="F5" s="11"/>
      <c r="G5" s="11"/>
      <c r="H5" s="11"/>
      <c r="I5" s="11"/>
      <c r="J5" s="11"/>
      <c r="K5" s="11"/>
      <c r="L5" s="11"/>
      <c r="M5" s="11"/>
      <c r="N5" s="11"/>
      <c r="O5" s="11"/>
      <c r="P5" s="18"/>
      <c r="Q5" s="18"/>
    </row>
    <row r="6" spans="2:17" ht="15" customHeight="1" thickTop="1" x14ac:dyDescent="0.35">
      <c r="B6" s="856"/>
      <c r="C6" s="856"/>
      <c r="D6" s="856"/>
      <c r="E6" s="253"/>
      <c r="F6" s="253"/>
      <c r="G6" s="253"/>
      <c r="H6" s="253"/>
      <c r="I6" s="300"/>
      <c r="J6" s="253"/>
      <c r="K6" s="253"/>
      <c r="L6" s="253"/>
      <c r="M6" s="253"/>
      <c r="N6" s="253"/>
      <c r="O6" s="253"/>
      <c r="P6" s="18"/>
      <c r="Q6" s="18"/>
    </row>
    <row r="7" spans="2:17" ht="25.15" customHeight="1" x14ac:dyDescent="0.35">
      <c r="B7" s="53" t="s">
        <v>175</v>
      </c>
      <c r="C7" s="18"/>
      <c r="D7" s="53"/>
      <c r="E7" s="53"/>
      <c r="F7" s="53"/>
      <c r="G7" s="53"/>
      <c r="H7" s="53"/>
      <c r="I7" s="53"/>
      <c r="J7" s="53"/>
      <c r="K7" s="53"/>
      <c r="L7" s="53"/>
      <c r="M7" s="53"/>
      <c r="N7" s="53"/>
      <c r="O7" s="253"/>
    </row>
    <row r="8" spans="2:17" ht="21.4" customHeight="1" x14ac:dyDescent="0.35">
      <c r="B8" s="85"/>
      <c r="C8" s="873">
        <v>2020</v>
      </c>
      <c r="D8" s="873"/>
      <c r="E8" s="1017"/>
      <c r="F8" s="873">
        <v>2021</v>
      </c>
      <c r="G8" s="873"/>
      <c r="H8" s="1017"/>
      <c r="I8" s="873">
        <v>2022</v>
      </c>
      <c r="J8" s="873"/>
      <c r="K8" s="1017"/>
      <c r="L8" s="873">
        <v>2023</v>
      </c>
      <c r="M8" s="873"/>
      <c r="N8" s="1014"/>
      <c r="O8" s="1012" t="s">
        <v>23</v>
      </c>
    </row>
    <row r="9" spans="2:17" ht="21.4" customHeight="1" x14ac:dyDescent="0.35">
      <c r="B9" s="143"/>
      <c r="C9" s="162" t="s">
        <v>152</v>
      </c>
      <c r="D9" s="162" t="s">
        <v>176</v>
      </c>
      <c r="E9" s="302" t="s">
        <v>49</v>
      </c>
      <c r="F9" s="162" t="s">
        <v>152</v>
      </c>
      <c r="G9" s="162" t="s">
        <v>176</v>
      </c>
      <c r="H9" s="302" t="s">
        <v>49</v>
      </c>
      <c r="I9" s="162" t="s">
        <v>152</v>
      </c>
      <c r="J9" s="162" t="s">
        <v>151</v>
      </c>
      <c r="K9" s="302" t="s">
        <v>49</v>
      </c>
      <c r="L9" s="162" t="s">
        <v>152</v>
      </c>
      <c r="M9" s="162" t="s">
        <v>151</v>
      </c>
      <c r="N9" s="162" t="s">
        <v>49</v>
      </c>
      <c r="O9" s="1012"/>
    </row>
    <row r="10" spans="2:17" ht="27" customHeight="1" x14ac:dyDescent="0.35">
      <c r="B10" s="347" t="s">
        <v>179</v>
      </c>
      <c r="C10" s="303">
        <v>455</v>
      </c>
      <c r="D10" s="303">
        <v>350</v>
      </c>
      <c r="E10" s="304">
        <v>805</v>
      </c>
      <c r="F10" s="303">
        <v>520</v>
      </c>
      <c r="G10" s="303">
        <v>445</v>
      </c>
      <c r="H10" s="304">
        <v>965</v>
      </c>
      <c r="I10" s="303">
        <v>331</v>
      </c>
      <c r="J10" s="303">
        <v>354</v>
      </c>
      <c r="K10" s="304">
        <v>685</v>
      </c>
      <c r="L10" s="303">
        <v>266</v>
      </c>
      <c r="M10" s="305">
        <v>278</v>
      </c>
      <c r="N10" s="306">
        <f>SUM(L10:M10)</f>
        <v>544</v>
      </c>
      <c r="O10" s="1011" t="str">
        <f>'[2]כוח אדם'!L21</f>
        <v>2-7, 2-8</v>
      </c>
    </row>
    <row r="11" spans="2:17" ht="21.4" customHeight="1" x14ac:dyDescent="0.35">
      <c r="B11" s="275" t="s">
        <v>182</v>
      </c>
      <c r="C11" s="307">
        <v>345</v>
      </c>
      <c r="D11" s="307">
        <v>233</v>
      </c>
      <c r="E11" s="304">
        <v>578</v>
      </c>
      <c r="F11" s="303">
        <v>477</v>
      </c>
      <c r="G11" s="307">
        <v>327</v>
      </c>
      <c r="H11" s="308">
        <v>804</v>
      </c>
      <c r="I11" s="307">
        <v>345</v>
      </c>
      <c r="J11" s="307">
        <v>201</v>
      </c>
      <c r="K11" s="304">
        <v>546</v>
      </c>
      <c r="L11" s="303">
        <v>162</v>
      </c>
      <c r="M11" s="309">
        <v>242</v>
      </c>
      <c r="N11" s="306">
        <f t="shared" ref="N11:N14" si="0">SUM(L11:M11)</f>
        <v>404</v>
      </c>
      <c r="O11" s="1011"/>
    </row>
    <row r="12" spans="2:17" ht="21.4" customHeight="1" x14ac:dyDescent="0.35">
      <c r="B12" s="275" t="s">
        <v>184</v>
      </c>
      <c r="C12" s="307">
        <v>1522</v>
      </c>
      <c r="D12" s="307">
        <v>3273</v>
      </c>
      <c r="E12" s="304">
        <v>4795</v>
      </c>
      <c r="F12" s="303">
        <v>1474</v>
      </c>
      <c r="G12" s="307">
        <v>3406</v>
      </c>
      <c r="H12" s="308">
        <v>4880</v>
      </c>
      <c r="I12" s="307">
        <v>1494</v>
      </c>
      <c r="J12" s="307">
        <v>3430</v>
      </c>
      <c r="K12" s="304">
        <v>4924</v>
      </c>
      <c r="L12" s="303">
        <v>3446</v>
      </c>
      <c r="M12" s="309">
        <v>1435</v>
      </c>
      <c r="N12" s="306">
        <f t="shared" si="0"/>
        <v>4881</v>
      </c>
      <c r="O12" s="1011"/>
    </row>
    <row r="13" spans="2:17" ht="21.4" customHeight="1" x14ac:dyDescent="0.35">
      <c r="B13" s="275" t="s">
        <v>186</v>
      </c>
      <c r="C13" s="307">
        <v>402</v>
      </c>
      <c r="D13" s="307">
        <v>211</v>
      </c>
      <c r="E13" s="304">
        <v>613</v>
      </c>
      <c r="F13" s="303">
        <v>410</v>
      </c>
      <c r="G13" s="307">
        <v>185</v>
      </c>
      <c r="H13" s="308">
        <v>595</v>
      </c>
      <c r="I13" s="307">
        <v>468</v>
      </c>
      <c r="J13" s="307">
        <v>206</v>
      </c>
      <c r="K13" s="304">
        <v>674</v>
      </c>
      <c r="L13" s="303">
        <v>160</v>
      </c>
      <c r="M13" s="309">
        <v>391</v>
      </c>
      <c r="N13" s="306">
        <f t="shared" si="0"/>
        <v>551</v>
      </c>
      <c r="O13" s="1011"/>
    </row>
    <row r="14" spans="2:17" ht="21.4" customHeight="1" x14ac:dyDescent="0.35">
      <c r="B14" s="275" t="s">
        <v>188</v>
      </c>
      <c r="C14" s="307">
        <v>1924</v>
      </c>
      <c r="D14" s="307">
        <v>3484</v>
      </c>
      <c r="E14" s="304">
        <v>5408</v>
      </c>
      <c r="F14" s="303">
        <v>1884</v>
      </c>
      <c r="G14" s="307">
        <v>3591</v>
      </c>
      <c r="H14" s="308">
        <v>5475</v>
      </c>
      <c r="I14" s="307">
        <v>1962</v>
      </c>
      <c r="J14" s="307">
        <v>3636</v>
      </c>
      <c r="K14" s="304">
        <v>5598</v>
      </c>
      <c r="L14" s="303">
        <f>L13+L12</f>
        <v>3606</v>
      </c>
      <c r="M14" s="309">
        <f>M13+M12</f>
        <v>1826</v>
      </c>
      <c r="N14" s="306">
        <f t="shared" si="0"/>
        <v>5432</v>
      </c>
      <c r="O14" s="1011"/>
    </row>
    <row r="15" spans="2:17" ht="28" customHeight="1" x14ac:dyDescent="0.35">
      <c r="B15" s="275" t="s">
        <v>464</v>
      </c>
      <c r="C15" s="1018">
        <v>4978</v>
      </c>
      <c r="D15" s="1018"/>
      <c r="E15" s="1019"/>
      <c r="F15" s="1020">
        <v>5112</v>
      </c>
      <c r="G15" s="1021"/>
      <c r="H15" s="1022"/>
      <c r="I15" s="1023">
        <v>5217</v>
      </c>
      <c r="J15" s="1023"/>
      <c r="K15" s="1024"/>
      <c r="L15" s="1023">
        <v>5049</v>
      </c>
      <c r="M15" s="1023"/>
      <c r="N15" s="1031"/>
      <c r="O15" s="1011" t="s">
        <v>177</v>
      </c>
    </row>
    <row r="16" spans="2:17" s="18" customFormat="1" ht="31" customHeight="1" x14ac:dyDescent="0.25">
      <c r="B16" s="275" t="s">
        <v>465</v>
      </c>
      <c r="C16" s="1025">
        <v>0.9092237442922374</v>
      </c>
      <c r="D16" s="1025"/>
      <c r="E16" s="1025"/>
      <c r="F16" s="1026">
        <v>0.93369863013698629</v>
      </c>
      <c r="G16" s="1025"/>
      <c r="H16" s="1027"/>
      <c r="I16" s="1028">
        <v>0.93193997856377275</v>
      </c>
      <c r="J16" s="1029"/>
      <c r="K16" s="1030"/>
      <c r="L16" s="1028">
        <f>L15/N14</f>
        <v>0.92949189985272462</v>
      </c>
      <c r="M16" s="1029"/>
      <c r="N16" s="1032"/>
      <c r="O16" s="1011"/>
    </row>
    <row r="17" spans="2:18" ht="21.4" customHeight="1" x14ac:dyDescent="0.35">
      <c r="B17" s="253"/>
      <c r="C17" s="303"/>
      <c r="D17" s="310"/>
      <c r="E17" s="310"/>
      <c r="F17" s="253"/>
      <c r="G17" s="253"/>
      <c r="H17" s="253"/>
      <c r="I17" s="253"/>
      <c r="J17" s="253"/>
      <c r="K17" s="253"/>
      <c r="L17" s="253"/>
      <c r="M17" s="253"/>
      <c r="N17" s="253"/>
      <c r="O17" s="253"/>
    </row>
    <row r="18" spans="2:18" ht="25.15" customHeight="1" x14ac:dyDescent="0.35">
      <c r="B18" s="703" t="s">
        <v>178</v>
      </c>
      <c r="C18" s="53"/>
      <c r="D18" s="53"/>
      <c r="E18" s="53"/>
      <c r="F18" s="53"/>
      <c r="G18" s="53"/>
      <c r="H18" s="53"/>
      <c r="I18" s="53"/>
      <c r="J18" s="53"/>
      <c r="K18" s="53"/>
      <c r="L18" s="53"/>
      <c r="M18" s="53"/>
      <c r="N18" s="53"/>
    </row>
    <row r="19" spans="2:18" ht="21.4" customHeight="1" x14ac:dyDescent="0.35">
      <c r="B19" s="5"/>
      <c r="C19" s="873">
        <v>2020</v>
      </c>
      <c r="D19" s="873"/>
      <c r="E19" s="971"/>
      <c r="F19" s="873">
        <v>2021</v>
      </c>
      <c r="G19" s="873"/>
      <c r="H19" s="971"/>
      <c r="I19" s="968">
        <v>2022</v>
      </c>
      <c r="J19" s="873"/>
      <c r="K19" s="971"/>
      <c r="L19" s="873">
        <v>2023</v>
      </c>
      <c r="M19" s="873"/>
      <c r="N19" s="1014"/>
      <c r="O19" s="873">
        <v>2024</v>
      </c>
      <c r="P19" s="873"/>
      <c r="Q19" s="1014"/>
      <c r="R19" s="1012" t="s">
        <v>23</v>
      </c>
    </row>
    <row r="20" spans="2:18" ht="21.4" customHeight="1" x14ac:dyDescent="0.35">
      <c r="B20" s="311"/>
      <c r="C20" s="162" t="s">
        <v>151</v>
      </c>
      <c r="D20" s="162" t="s">
        <v>152</v>
      </c>
      <c r="E20" s="186" t="s">
        <v>49</v>
      </c>
      <c r="F20" s="162" t="s">
        <v>151</v>
      </c>
      <c r="G20" s="162" t="s">
        <v>152</v>
      </c>
      <c r="H20" s="186" t="s">
        <v>49</v>
      </c>
      <c r="I20" s="162" t="s">
        <v>151</v>
      </c>
      <c r="J20" s="162" t="s">
        <v>152</v>
      </c>
      <c r="K20" s="312" t="s">
        <v>49</v>
      </c>
      <c r="L20" s="311" t="s">
        <v>151</v>
      </c>
      <c r="M20" s="311" t="s">
        <v>152</v>
      </c>
      <c r="N20" s="311" t="s">
        <v>49</v>
      </c>
      <c r="O20" s="311" t="s">
        <v>151</v>
      </c>
      <c r="P20" s="311" t="s">
        <v>152</v>
      </c>
      <c r="Q20" s="311" t="s">
        <v>49</v>
      </c>
      <c r="R20" s="1012"/>
    </row>
    <row r="21" spans="2:18" ht="35" customHeight="1" x14ac:dyDescent="0.35">
      <c r="B21" s="722" t="s">
        <v>179</v>
      </c>
      <c r="C21" s="289">
        <v>20</v>
      </c>
      <c r="D21" s="289">
        <v>26</v>
      </c>
      <c r="E21" s="313">
        <v>46</v>
      </c>
      <c r="F21" s="314">
        <v>23</v>
      </c>
      <c r="G21" s="314">
        <v>22</v>
      </c>
      <c r="H21" s="315">
        <v>45</v>
      </c>
      <c r="I21" s="316">
        <v>25</v>
      </c>
      <c r="J21" s="316">
        <v>25</v>
      </c>
      <c r="K21" s="315">
        <v>50</v>
      </c>
      <c r="L21" s="316">
        <v>30</v>
      </c>
      <c r="M21" s="316">
        <v>29</v>
      </c>
      <c r="N21" s="315">
        <v>59</v>
      </c>
      <c r="O21" s="317">
        <v>27</v>
      </c>
      <c r="P21" s="317">
        <v>28</v>
      </c>
      <c r="Q21" s="318">
        <v>55</v>
      </c>
      <c r="R21" s="1009" t="s">
        <v>180</v>
      </c>
    </row>
    <row r="22" spans="2:18" ht="28" customHeight="1" x14ac:dyDescent="0.35">
      <c r="B22" s="694" t="s">
        <v>181</v>
      </c>
      <c r="C22" s="319">
        <v>3.1399999999999997E-2</v>
      </c>
      <c r="D22" s="319">
        <v>3.9699999999999999E-2</v>
      </c>
      <c r="E22" s="320">
        <v>3.56E-2</v>
      </c>
      <c r="F22" s="43">
        <v>4.1441441441441441E-2</v>
      </c>
      <c r="G22" s="43">
        <v>3.7735849056603772E-2</v>
      </c>
      <c r="H22" s="321">
        <v>3.9543057996485061E-2</v>
      </c>
      <c r="I22" s="322">
        <v>4.7528517110266157E-2</v>
      </c>
      <c r="J22" s="322">
        <v>4.2444821731748725E-2</v>
      </c>
      <c r="K22" s="323">
        <v>4.4843049327354258E-2</v>
      </c>
      <c r="L22" s="322">
        <v>5.6285178236397747E-2</v>
      </c>
      <c r="M22" s="322">
        <v>4.6623794212218649E-2</v>
      </c>
      <c r="N22" s="323">
        <v>5.1082251082251083E-2</v>
      </c>
      <c r="O22" s="324">
        <v>5.2941176470588235E-2</v>
      </c>
      <c r="P22" s="324">
        <v>4.6979865771812082E-2</v>
      </c>
      <c r="Q22" s="324">
        <v>4.9728752260397829E-2</v>
      </c>
      <c r="R22" s="1009"/>
    </row>
    <row r="23" spans="2:18" ht="21.4" customHeight="1" x14ac:dyDescent="0.35">
      <c r="B23" s="694" t="s">
        <v>182</v>
      </c>
      <c r="C23" s="291">
        <v>16</v>
      </c>
      <c r="D23" s="291">
        <v>14</v>
      </c>
      <c r="E23" s="325">
        <v>30</v>
      </c>
      <c r="F23" s="326">
        <v>23</v>
      </c>
      <c r="G23" s="326">
        <v>2</v>
      </c>
      <c r="H23" s="327">
        <v>0</v>
      </c>
      <c r="I23" s="328">
        <v>12</v>
      </c>
      <c r="J23" s="328">
        <v>11</v>
      </c>
      <c r="K23" s="327">
        <v>23</v>
      </c>
      <c r="L23" s="328">
        <v>11</v>
      </c>
      <c r="M23" s="328">
        <v>13</v>
      </c>
      <c r="N23" s="327">
        <v>24</v>
      </c>
      <c r="O23" s="329">
        <v>3</v>
      </c>
      <c r="P23" s="329">
        <v>6</v>
      </c>
      <c r="Q23" s="330">
        <v>9</v>
      </c>
      <c r="R23" s="1009"/>
    </row>
    <row r="24" spans="2:18" ht="21.4" customHeight="1" x14ac:dyDescent="0.35">
      <c r="B24" s="694" t="s">
        <v>183</v>
      </c>
      <c r="C24" s="322">
        <v>0.8</v>
      </c>
      <c r="D24" s="322">
        <v>0.53846153846153844</v>
      </c>
      <c r="E24" s="323">
        <v>0.65217391304347827</v>
      </c>
      <c r="F24" s="322">
        <v>1</v>
      </c>
      <c r="G24" s="322">
        <v>9.0909090909090912E-2</v>
      </c>
      <c r="H24" s="323">
        <v>0</v>
      </c>
      <c r="I24" s="322">
        <v>0.48</v>
      </c>
      <c r="J24" s="322">
        <v>0.44</v>
      </c>
      <c r="K24" s="323">
        <v>0.46</v>
      </c>
      <c r="L24" s="322">
        <v>0.36666666666666664</v>
      </c>
      <c r="M24" s="322">
        <v>0.44827586206896552</v>
      </c>
      <c r="N24" s="323">
        <v>0.40677966101694918</v>
      </c>
      <c r="O24" s="324">
        <v>0.1111111111111111</v>
      </c>
      <c r="P24" s="324">
        <v>0.21428571428571427</v>
      </c>
      <c r="Q24" s="324">
        <v>0.16363636363636364</v>
      </c>
      <c r="R24" s="1009"/>
    </row>
    <row r="25" spans="2:18" ht="21.4" customHeight="1" x14ac:dyDescent="0.35">
      <c r="B25" s="694" t="s">
        <v>184</v>
      </c>
      <c r="C25" s="328">
        <v>636</v>
      </c>
      <c r="D25" s="328">
        <v>654</v>
      </c>
      <c r="E25" s="327">
        <v>1290</v>
      </c>
      <c r="F25" s="326">
        <v>555</v>
      </c>
      <c r="G25" s="326">
        <v>583</v>
      </c>
      <c r="H25" s="327">
        <v>1138</v>
      </c>
      <c r="I25" s="328">
        <v>526</v>
      </c>
      <c r="J25" s="328">
        <v>589</v>
      </c>
      <c r="K25" s="327">
        <v>1115</v>
      </c>
      <c r="L25" s="328">
        <v>533</v>
      </c>
      <c r="M25" s="328">
        <v>622</v>
      </c>
      <c r="N25" s="327">
        <v>1155</v>
      </c>
      <c r="O25" s="329">
        <v>510</v>
      </c>
      <c r="P25" s="329">
        <v>596</v>
      </c>
      <c r="Q25" s="331">
        <v>1106</v>
      </c>
      <c r="R25" s="1009"/>
    </row>
    <row r="26" spans="2:18" ht="21.4" customHeight="1" x14ac:dyDescent="0.35">
      <c r="B26" s="694" t="s">
        <v>185</v>
      </c>
      <c r="C26" s="43">
        <v>1</v>
      </c>
      <c r="D26" s="43">
        <v>1</v>
      </c>
      <c r="E26" s="321">
        <v>1</v>
      </c>
      <c r="F26" s="43">
        <v>1</v>
      </c>
      <c r="G26" s="43">
        <v>1</v>
      </c>
      <c r="H26" s="321">
        <v>1</v>
      </c>
      <c r="I26" s="322">
        <v>1</v>
      </c>
      <c r="J26" s="322">
        <v>1</v>
      </c>
      <c r="K26" s="323">
        <v>1</v>
      </c>
      <c r="L26" s="322">
        <v>1</v>
      </c>
      <c r="M26" s="322">
        <v>1</v>
      </c>
      <c r="N26" s="323">
        <v>1</v>
      </c>
      <c r="O26" s="324">
        <v>1</v>
      </c>
      <c r="P26" s="324">
        <v>1</v>
      </c>
      <c r="Q26" s="324">
        <v>1</v>
      </c>
      <c r="R26" s="1009"/>
    </row>
    <row r="27" spans="2:18" ht="22" customHeight="1" x14ac:dyDescent="0.35">
      <c r="B27" s="694" t="s">
        <v>186</v>
      </c>
      <c r="C27" s="326">
        <v>0</v>
      </c>
      <c r="D27" s="326">
        <v>0</v>
      </c>
      <c r="E27" s="332">
        <v>0</v>
      </c>
      <c r="F27" s="326">
        <v>0</v>
      </c>
      <c r="G27" s="326">
        <v>0</v>
      </c>
      <c r="H27" s="327">
        <v>0</v>
      </c>
      <c r="I27" s="328">
        <v>0</v>
      </c>
      <c r="J27" s="328">
        <v>0</v>
      </c>
      <c r="K27" s="327">
        <v>0</v>
      </c>
      <c r="L27" s="328">
        <v>0</v>
      </c>
      <c r="M27" s="328">
        <v>0</v>
      </c>
      <c r="N27" s="327">
        <v>0</v>
      </c>
      <c r="O27" s="329">
        <v>0</v>
      </c>
      <c r="P27" s="329">
        <v>0</v>
      </c>
      <c r="Q27" s="333">
        <v>0</v>
      </c>
      <c r="R27" s="1009"/>
    </row>
    <row r="28" spans="2:18" ht="21.4" customHeight="1" x14ac:dyDescent="0.35">
      <c r="B28" s="694" t="s">
        <v>187</v>
      </c>
      <c r="C28" s="43">
        <v>0</v>
      </c>
      <c r="D28" s="43">
        <v>0</v>
      </c>
      <c r="E28" s="321">
        <v>0</v>
      </c>
      <c r="F28" s="43">
        <v>0</v>
      </c>
      <c r="G28" s="43">
        <v>0</v>
      </c>
      <c r="H28" s="321">
        <v>0</v>
      </c>
      <c r="I28" s="322">
        <v>0</v>
      </c>
      <c r="J28" s="322">
        <v>0</v>
      </c>
      <c r="K28" s="323">
        <v>0</v>
      </c>
      <c r="L28" s="322">
        <v>0</v>
      </c>
      <c r="M28" s="322">
        <v>0</v>
      </c>
      <c r="N28" s="323">
        <v>0</v>
      </c>
      <c r="O28" s="324">
        <v>0</v>
      </c>
      <c r="P28" s="324">
        <v>0</v>
      </c>
      <c r="Q28" s="331">
        <v>0</v>
      </c>
      <c r="R28" s="1009"/>
    </row>
    <row r="29" spans="2:18" ht="21.4" customHeight="1" x14ac:dyDescent="0.35">
      <c r="B29" s="694" t="s">
        <v>188</v>
      </c>
      <c r="C29" s="328">
        <v>636</v>
      </c>
      <c r="D29" s="328">
        <v>654</v>
      </c>
      <c r="E29" s="327">
        <v>1290</v>
      </c>
      <c r="F29" s="326">
        <v>555</v>
      </c>
      <c r="G29" s="326">
        <v>583</v>
      </c>
      <c r="H29" s="332">
        <v>1138</v>
      </c>
      <c r="I29" s="328">
        <v>526</v>
      </c>
      <c r="J29" s="328">
        <v>589</v>
      </c>
      <c r="K29" s="327">
        <v>1115</v>
      </c>
      <c r="L29" s="328">
        <v>533</v>
      </c>
      <c r="M29" s="328">
        <v>622</v>
      </c>
      <c r="N29" s="327">
        <v>1155</v>
      </c>
      <c r="O29" s="329">
        <v>510</v>
      </c>
      <c r="P29" s="329">
        <v>596</v>
      </c>
      <c r="Q29" s="331">
        <v>1106</v>
      </c>
      <c r="R29" s="1009"/>
    </row>
    <row r="30" spans="2:18" ht="21.4" customHeight="1" x14ac:dyDescent="0.35">
      <c r="B30" s="695" t="s">
        <v>189</v>
      </c>
      <c r="C30" s="334">
        <v>1</v>
      </c>
      <c r="D30" s="334">
        <v>1</v>
      </c>
      <c r="E30" s="335">
        <v>1</v>
      </c>
      <c r="F30" s="336">
        <v>1</v>
      </c>
      <c r="G30" s="336">
        <v>1</v>
      </c>
      <c r="H30" s="337">
        <v>1</v>
      </c>
      <c r="I30" s="338">
        <v>1</v>
      </c>
      <c r="J30" s="338">
        <v>1</v>
      </c>
      <c r="K30" s="339">
        <v>1</v>
      </c>
      <c r="L30" s="338">
        <v>1</v>
      </c>
      <c r="M30" s="338">
        <v>1</v>
      </c>
      <c r="N30" s="339">
        <v>1</v>
      </c>
      <c r="O30" s="340">
        <v>1</v>
      </c>
      <c r="P30" s="340">
        <v>1</v>
      </c>
      <c r="Q30" s="341">
        <v>1</v>
      </c>
      <c r="R30" s="1009"/>
    </row>
    <row r="31" spans="2:18" ht="21.4" customHeight="1" x14ac:dyDescent="0.35">
      <c r="B31" s="253"/>
      <c r="C31" s="342"/>
      <c r="D31" s="342"/>
      <c r="E31" s="342"/>
      <c r="F31" s="343"/>
      <c r="G31" s="343"/>
      <c r="H31" s="343"/>
      <c r="I31" s="344"/>
      <c r="J31" s="344"/>
      <c r="K31" s="344"/>
      <c r="L31" s="344"/>
      <c r="M31" s="344"/>
      <c r="N31" s="345"/>
      <c r="O31" s="253"/>
    </row>
    <row r="32" spans="2:18" ht="25.15" customHeight="1" x14ac:dyDescent="0.35">
      <c r="B32" s="703" t="s">
        <v>190</v>
      </c>
      <c r="C32" s="53"/>
      <c r="D32" s="53"/>
      <c r="E32" s="53"/>
      <c r="F32" s="53"/>
      <c r="G32" s="53"/>
      <c r="H32" s="53"/>
      <c r="I32" s="53"/>
      <c r="J32" s="53"/>
      <c r="K32" s="53"/>
      <c r="L32" s="53"/>
      <c r="M32" s="53"/>
      <c r="O32" s="253"/>
    </row>
    <row r="33" spans="2:20" ht="21.4" customHeight="1" x14ac:dyDescent="0.35">
      <c r="B33" s="5"/>
      <c r="C33" s="873">
        <v>2020</v>
      </c>
      <c r="D33" s="873"/>
      <c r="E33" s="971"/>
      <c r="F33" s="968">
        <v>2021</v>
      </c>
      <c r="G33" s="873"/>
      <c r="H33" s="971"/>
      <c r="I33" s="873">
        <v>2022</v>
      </c>
      <c r="J33" s="873"/>
      <c r="K33" s="873"/>
      <c r="L33" s="873">
        <v>2023</v>
      </c>
      <c r="M33" s="873"/>
      <c r="N33" s="1014"/>
      <c r="O33" s="873">
        <v>2024</v>
      </c>
      <c r="P33" s="873"/>
      <c r="Q33" s="1014"/>
      <c r="R33" s="1012" t="s">
        <v>23</v>
      </c>
    </row>
    <row r="34" spans="2:20" ht="21.4" customHeight="1" x14ac:dyDescent="0.35">
      <c r="B34" s="311"/>
      <c r="C34" s="311" t="s">
        <v>151</v>
      </c>
      <c r="D34" s="311" t="s">
        <v>152</v>
      </c>
      <c r="E34" s="346" t="s">
        <v>49</v>
      </c>
      <c r="F34" s="311" t="s">
        <v>151</v>
      </c>
      <c r="G34" s="311" t="s">
        <v>152</v>
      </c>
      <c r="H34" s="346" t="s">
        <v>49</v>
      </c>
      <c r="I34" s="311" t="s">
        <v>151</v>
      </c>
      <c r="J34" s="311" t="s">
        <v>152</v>
      </c>
      <c r="K34" s="311" t="s">
        <v>49</v>
      </c>
      <c r="L34" s="311" t="s">
        <v>151</v>
      </c>
      <c r="M34" s="311" t="s">
        <v>152</v>
      </c>
      <c r="N34" s="311" t="s">
        <v>49</v>
      </c>
      <c r="O34" s="311" t="s">
        <v>151</v>
      </c>
      <c r="P34" s="311" t="s">
        <v>152</v>
      </c>
      <c r="Q34" s="311" t="s">
        <v>49</v>
      </c>
      <c r="R34" s="1012"/>
    </row>
    <row r="35" spans="2:20" ht="26" customHeight="1" x14ac:dyDescent="0.35">
      <c r="B35" s="347" t="s">
        <v>179</v>
      </c>
      <c r="C35" s="314">
        <v>17</v>
      </c>
      <c r="D35" s="314">
        <v>40</v>
      </c>
      <c r="E35" s="315">
        <v>57</v>
      </c>
      <c r="F35" s="314">
        <v>17</v>
      </c>
      <c r="G35" s="314">
        <v>36</v>
      </c>
      <c r="H35" s="315">
        <v>53</v>
      </c>
      <c r="I35" s="314">
        <v>23</v>
      </c>
      <c r="J35" s="314">
        <v>27</v>
      </c>
      <c r="K35" s="315">
        <v>50</v>
      </c>
      <c r="L35" s="314">
        <v>17</v>
      </c>
      <c r="M35" s="314">
        <v>30</v>
      </c>
      <c r="N35" s="315">
        <v>47</v>
      </c>
      <c r="O35" s="348">
        <v>20</v>
      </c>
      <c r="P35" s="348">
        <v>32</v>
      </c>
      <c r="Q35" s="348">
        <v>52</v>
      </c>
      <c r="R35" s="1011" t="s">
        <v>180</v>
      </c>
    </row>
    <row r="36" spans="2:20" ht="29" customHeight="1" x14ac:dyDescent="0.35">
      <c r="B36" s="275" t="s">
        <v>181</v>
      </c>
      <c r="C36" s="43">
        <v>1.829924650161464E-2</v>
      </c>
      <c r="D36" s="43">
        <v>4.1194644696189497E-2</v>
      </c>
      <c r="E36" s="321">
        <v>0.03</v>
      </c>
      <c r="F36" s="43">
        <v>1.9813519813519812E-2</v>
      </c>
      <c r="G36" s="43">
        <v>3.951701427003293E-2</v>
      </c>
      <c r="H36" s="321">
        <v>2.9960429621254947E-2</v>
      </c>
      <c r="I36" s="43">
        <v>2.8083028083028084E-2</v>
      </c>
      <c r="J36" s="43">
        <v>3.1322505800464036E-2</v>
      </c>
      <c r="K36" s="321">
        <v>2.9744199881023201E-2</v>
      </c>
      <c r="L36" s="43">
        <v>2.0987654320987655E-2</v>
      </c>
      <c r="M36" s="43">
        <v>3.4246575342465752E-2</v>
      </c>
      <c r="N36" s="321">
        <v>2.7876631079478055E-2</v>
      </c>
      <c r="O36" s="324">
        <v>2.5412960609911054E-2</v>
      </c>
      <c r="P36" s="324">
        <v>3.6158192090395481E-2</v>
      </c>
      <c r="Q36" s="324">
        <v>3.1100478468899521E-2</v>
      </c>
      <c r="R36" s="1011"/>
    </row>
    <row r="37" spans="2:20" ht="21.4" customHeight="1" x14ac:dyDescent="0.35">
      <c r="B37" s="275" t="s">
        <v>182</v>
      </c>
      <c r="C37" s="326">
        <v>0</v>
      </c>
      <c r="D37" s="326">
        <v>0</v>
      </c>
      <c r="E37" s="332">
        <v>0</v>
      </c>
      <c r="F37" s="326">
        <v>0</v>
      </c>
      <c r="G37" s="326">
        <v>0</v>
      </c>
      <c r="H37" s="327">
        <v>0</v>
      </c>
      <c r="I37" s="326">
        <v>0</v>
      </c>
      <c r="J37" s="326">
        <v>0</v>
      </c>
      <c r="K37" s="327">
        <v>0</v>
      </c>
      <c r="L37" s="326">
        <v>1</v>
      </c>
      <c r="M37" s="326">
        <v>4</v>
      </c>
      <c r="N37" s="327">
        <v>5</v>
      </c>
      <c r="O37" s="349">
        <v>7</v>
      </c>
      <c r="P37" s="349">
        <v>9</v>
      </c>
      <c r="Q37" s="349">
        <v>16</v>
      </c>
      <c r="R37" s="1011"/>
    </row>
    <row r="38" spans="2:20" ht="21.4" customHeight="1" x14ac:dyDescent="0.35">
      <c r="B38" s="275" t="s">
        <v>183</v>
      </c>
      <c r="C38" s="322">
        <v>0</v>
      </c>
      <c r="D38" s="322">
        <v>0</v>
      </c>
      <c r="E38" s="323">
        <v>0</v>
      </c>
      <c r="F38" s="322">
        <v>0</v>
      </c>
      <c r="G38" s="322">
        <v>0</v>
      </c>
      <c r="H38" s="323">
        <v>0</v>
      </c>
      <c r="I38" s="322">
        <v>0</v>
      </c>
      <c r="J38" s="322">
        <v>0</v>
      </c>
      <c r="K38" s="323">
        <v>0</v>
      </c>
      <c r="L38" s="322">
        <v>5.8823529411764705E-2</v>
      </c>
      <c r="M38" s="322">
        <v>0.13333333333333333</v>
      </c>
      <c r="N38" s="323">
        <v>0.10638297872340426</v>
      </c>
      <c r="O38" s="324">
        <v>0.35</v>
      </c>
      <c r="P38" s="324">
        <v>0.28125</v>
      </c>
      <c r="Q38" s="324">
        <v>0.30769230769230771</v>
      </c>
      <c r="R38" s="1011"/>
    </row>
    <row r="39" spans="2:20" ht="21.4" customHeight="1" x14ac:dyDescent="0.35">
      <c r="B39" s="275" t="s">
        <v>184</v>
      </c>
      <c r="C39" s="326">
        <v>476</v>
      </c>
      <c r="D39" s="326">
        <v>710</v>
      </c>
      <c r="E39" s="327">
        <v>1186</v>
      </c>
      <c r="F39" s="326">
        <v>450</v>
      </c>
      <c r="G39" s="326">
        <v>685</v>
      </c>
      <c r="H39" s="327">
        <f>G39+F39</f>
        <v>1135</v>
      </c>
      <c r="I39" s="326">
        <v>453</v>
      </c>
      <c r="J39" s="326">
        <v>664</v>
      </c>
      <c r="K39" s="327">
        <f>J39+I39</f>
        <v>1117</v>
      </c>
      <c r="L39" s="326">
        <v>455</v>
      </c>
      <c r="M39" s="326">
        <v>641</v>
      </c>
      <c r="N39" s="327">
        <f>M39+L39</f>
        <v>1096</v>
      </c>
      <c r="O39" s="329">
        <v>463</v>
      </c>
      <c r="P39" s="329">
        <v>629</v>
      </c>
      <c r="Q39" s="349">
        <v>1092</v>
      </c>
      <c r="R39" s="1011"/>
    </row>
    <row r="40" spans="2:20" ht="21.4" customHeight="1" x14ac:dyDescent="0.35">
      <c r="B40" s="275" t="s">
        <v>185</v>
      </c>
      <c r="C40" s="43">
        <v>0.51237890204520986</v>
      </c>
      <c r="D40" s="43">
        <v>0.73120494335736352</v>
      </c>
      <c r="E40" s="321">
        <v>0.62421052631578944</v>
      </c>
      <c r="F40" s="43">
        <v>0.52447552447552448</v>
      </c>
      <c r="G40" s="43">
        <v>0.75192096597145996</v>
      </c>
      <c r="H40" s="321">
        <v>0.64160542679479937</v>
      </c>
      <c r="I40" s="43">
        <f t="shared" ref="I40:N40" si="1">I39/I43</f>
        <v>0.54447115384615385</v>
      </c>
      <c r="J40" s="43">
        <f t="shared" si="1"/>
        <v>0.76146788990825687</v>
      </c>
      <c r="K40" s="321">
        <f t="shared" si="1"/>
        <v>0.65551643192488263</v>
      </c>
      <c r="L40" s="43">
        <f t="shared" si="1"/>
        <v>0.56311881188118806</v>
      </c>
      <c r="M40" s="43">
        <f t="shared" si="1"/>
        <v>0.7317351598173516</v>
      </c>
      <c r="N40" s="321">
        <f t="shared" si="1"/>
        <v>0.65083135391923985</v>
      </c>
      <c r="O40" s="324">
        <v>0.58831003811944094</v>
      </c>
      <c r="P40" s="324">
        <v>0.7107344632768362</v>
      </c>
      <c r="Q40" s="324">
        <v>0.65311004784688997</v>
      </c>
      <c r="R40" s="1011"/>
    </row>
    <row r="41" spans="2:20" ht="21.4" customHeight="1" x14ac:dyDescent="0.35">
      <c r="B41" s="275" t="s">
        <v>186</v>
      </c>
      <c r="C41" s="326">
        <v>453</v>
      </c>
      <c r="D41" s="326">
        <v>261</v>
      </c>
      <c r="E41" s="327">
        <v>714</v>
      </c>
      <c r="F41" s="326">
        <v>408</v>
      </c>
      <c r="G41" s="326">
        <v>225</v>
      </c>
      <c r="H41" s="327">
        <f>G41+F41</f>
        <v>633</v>
      </c>
      <c r="I41" s="326">
        <v>379</v>
      </c>
      <c r="J41" s="326">
        <v>208</v>
      </c>
      <c r="K41" s="327">
        <f>J41+I41</f>
        <v>587</v>
      </c>
      <c r="L41" s="326">
        <v>353</v>
      </c>
      <c r="M41" s="326">
        <v>235</v>
      </c>
      <c r="N41" s="327">
        <f>M41+L41</f>
        <v>588</v>
      </c>
      <c r="O41" s="329">
        <v>324</v>
      </c>
      <c r="P41" s="329">
        <v>256</v>
      </c>
      <c r="Q41" s="329">
        <v>580</v>
      </c>
      <c r="R41" s="1011"/>
    </row>
    <row r="42" spans="2:20" ht="21.4" customHeight="1" x14ac:dyDescent="0.35">
      <c r="B42" s="275" t="s">
        <v>187</v>
      </c>
      <c r="C42" s="43">
        <v>0.48762109795479008</v>
      </c>
      <c r="D42" s="43">
        <v>0.26879505664263648</v>
      </c>
      <c r="E42" s="321">
        <v>0.37578947368421051</v>
      </c>
      <c r="F42" s="43">
        <v>0.4766899766899767</v>
      </c>
      <c r="G42" s="43">
        <v>0.24698133918770582</v>
      </c>
      <c r="H42" s="321">
        <v>0.35839457320520068</v>
      </c>
      <c r="I42" s="43">
        <f t="shared" ref="I42:N42" si="2">I41/I43</f>
        <v>0.45552884615384615</v>
      </c>
      <c r="J42" s="43">
        <f t="shared" si="2"/>
        <v>0.23853211009174313</v>
      </c>
      <c r="K42" s="321">
        <f t="shared" si="2"/>
        <v>0.34448356807511737</v>
      </c>
      <c r="L42" s="43">
        <f t="shared" si="2"/>
        <v>0.43688118811881188</v>
      </c>
      <c r="M42" s="43">
        <f t="shared" si="2"/>
        <v>0.2682648401826484</v>
      </c>
      <c r="N42" s="321">
        <f t="shared" si="2"/>
        <v>0.34916864608076009</v>
      </c>
      <c r="O42" s="324">
        <v>0.41168996188055906</v>
      </c>
      <c r="P42" s="324">
        <v>0.28926553672316385</v>
      </c>
      <c r="Q42" s="324">
        <v>0.34688995215311003</v>
      </c>
      <c r="R42" s="1011"/>
    </row>
    <row r="43" spans="2:20" ht="21.4" customHeight="1" x14ac:dyDescent="0.35">
      <c r="B43" s="275" t="s">
        <v>188</v>
      </c>
      <c r="C43" s="326">
        <v>929</v>
      </c>
      <c r="D43" s="326">
        <v>971</v>
      </c>
      <c r="E43" s="332">
        <v>1900</v>
      </c>
      <c r="F43" s="326">
        <f t="shared" ref="F43:N43" si="3">F41+F39</f>
        <v>858</v>
      </c>
      <c r="G43" s="326">
        <f t="shared" si="3"/>
        <v>910</v>
      </c>
      <c r="H43" s="332">
        <f t="shared" si="3"/>
        <v>1768</v>
      </c>
      <c r="I43" s="326">
        <f t="shared" si="3"/>
        <v>832</v>
      </c>
      <c r="J43" s="326">
        <f t="shared" si="3"/>
        <v>872</v>
      </c>
      <c r="K43" s="332">
        <f t="shared" si="3"/>
        <v>1704</v>
      </c>
      <c r="L43" s="326">
        <f t="shared" si="3"/>
        <v>808</v>
      </c>
      <c r="M43" s="326">
        <f t="shared" si="3"/>
        <v>876</v>
      </c>
      <c r="N43" s="332">
        <f t="shared" si="3"/>
        <v>1684</v>
      </c>
      <c r="O43" s="350">
        <v>787</v>
      </c>
      <c r="P43" s="350">
        <v>885</v>
      </c>
      <c r="Q43" s="329">
        <v>1672</v>
      </c>
      <c r="R43" s="1011"/>
    </row>
    <row r="44" spans="2:20" ht="21.4" customHeight="1" x14ac:dyDescent="0.35">
      <c r="B44" s="276" t="s">
        <v>191</v>
      </c>
      <c r="C44" s="336">
        <v>1</v>
      </c>
      <c r="D44" s="336">
        <v>1</v>
      </c>
      <c r="E44" s="337">
        <v>1</v>
      </c>
      <c r="F44" s="336">
        <v>1.0011655011655012</v>
      </c>
      <c r="G44" s="336">
        <v>0.99890230515916578</v>
      </c>
      <c r="H44" s="337">
        <v>1</v>
      </c>
      <c r="I44" s="336">
        <f>(I41+I39)/I43</f>
        <v>1</v>
      </c>
      <c r="J44" s="336">
        <f>(J41+J39)/J43</f>
        <v>1</v>
      </c>
      <c r="K44" s="336">
        <f t="shared" ref="K44:M44" si="4">(K41+K39)/K43</f>
        <v>1</v>
      </c>
      <c r="L44" s="336">
        <f t="shared" si="4"/>
        <v>1</v>
      </c>
      <c r="M44" s="336">
        <f t="shared" si="4"/>
        <v>1</v>
      </c>
      <c r="N44" s="336">
        <f>(N41+N39)/N43</f>
        <v>1</v>
      </c>
      <c r="O44" s="340">
        <v>1</v>
      </c>
      <c r="P44" s="340">
        <v>1</v>
      </c>
      <c r="Q44" s="340">
        <v>1</v>
      </c>
      <c r="R44" s="1011"/>
    </row>
    <row r="45" spans="2:20" ht="21.4" customHeight="1" x14ac:dyDescent="0.35">
      <c r="B45" s="204"/>
      <c r="C45" s="351"/>
      <c r="D45" s="351"/>
      <c r="E45" s="351"/>
      <c r="F45" s="351"/>
      <c r="G45" s="351"/>
      <c r="H45" s="351"/>
      <c r="I45" s="352"/>
      <c r="J45" s="352"/>
      <c r="K45" s="352"/>
      <c r="L45" s="352"/>
      <c r="M45" s="352"/>
      <c r="N45" s="353"/>
      <c r="O45" s="353"/>
    </row>
    <row r="46" spans="2:20" ht="25.15" customHeight="1" x14ac:dyDescent="0.35">
      <c r="B46" s="703" t="s">
        <v>192</v>
      </c>
      <c r="C46" s="53"/>
      <c r="D46" s="53"/>
      <c r="E46" s="53"/>
      <c r="F46" s="53"/>
      <c r="G46" s="53"/>
      <c r="H46" s="53"/>
      <c r="I46" s="53"/>
      <c r="J46" s="53"/>
      <c r="K46" s="53"/>
      <c r="L46" s="53"/>
      <c r="M46" s="53"/>
      <c r="O46" s="353"/>
    </row>
    <row r="47" spans="2:20" ht="21.4" customHeight="1" x14ac:dyDescent="0.35">
      <c r="B47" s="2"/>
      <c r="C47" s="873">
        <v>2020</v>
      </c>
      <c r="D47" s="873"/>
      <c r="E47" s="971"/>
      <c r="F47" s="873">
        <v>2021</v>
      </c>
      <c r="G47" s="873"/>
      <c r="H47" s="873"/>
      <c r="I47" s="968">
        <v>2022</v>
      </c>
      <c r="J47" s="873"/>
      <c r="K47" s="971"/>
      <c r="L47" s="873">
        <v>2023</v>
      </c>
      <c r="M47" s="873"/>
      <c r="N47" s="1014"/>
      <c r="O47" s="873">
        <v>2024</v>
      </c>
      <c r="P47" s="873"/>
      <c r="Q47" s="1014"/>
      <c r="R47" s="1012" t="s">
        <v>23</v>
      </c>
      <c r="T47" s="161"/>
    </row>
    <row r="48" spans="2:20" ht="21.4" customHeight="1" x14ac:dyDescent="0.35">
      <c r="B48" s="311"/>
      <c r="C48" s="311" t="s">
        <v>151</v>
      </c>
      <c r="D48" s="311" t="s">
        <v>152</v>
      </c>
      <c r="E48" s="346" t="s">
        <v>49</v>
      </c>
      <c r="F48" s="311" t="s">
        <v>151</v>
      </c>
      <c r="G48" s="311" t="s">
        <v>152</v>
      </c>
      <c r="H48" s="346" t="s">
        <v>49</v>
      </c>
      <c r="I48" s="311" t="s">
        <v>151</v>
      </c>
      <c r="J48" s="311" t="s">
        <v>152</v>
      </c>
      <c r="K48" s="354" t="s">
        <v>49</v>
      </c>
      <c r="L48" s="311" t="s">
        <v>151</v>
      </c>
      <c r="M48" s="311" t="s">
        <v>152</v>
      </c>
      <c r="N48" s="311" t="s">
        <v>49</v>
      </c>
      <c r="O48" s="162" t="s">
        <v>152</v>
      </c>
      <c r="P48" s="162" t="s">
        <v>151</v>
      </c>
      <c r="Q48" s="162" t="s">
        <v>49</v>
      </c>
      <c r="R48" s="1012"/>
      <c r="T48" s="1013"/>
    </row>
    <row r="49" spans="2:20" ht="29" customHeight="1" x14ac:dyDescent="0.35">
      <c r="B49" s="722" t="s">
        <v>179</v>
      </c>
      <c r="C49" s="289">
        <v>0</v>
      </c>
      <c r="D49" s="289">
        <v>0</v>
      </c>
      <c r="E49" s="313">
        <v>0</v>
      </c>
      <c r="F49" s="289">
        <v>0</v>
      </c>
      <c r="G49" s="289">
        <v>0</v>
      </c>
      <c r="H49" s="313">
        <v>0</v>
      </c>
      <c r="I49" s="289">
        <v>0</v>
      </c>
      <c r="J49" s="289">
        <v>0</v>
      </c>
      <c r="K49" s="355">
        <v>0</v>
      </c>
      <c r="L49" s="289">
        <v>0</v>
      </c>
      <c r="M49" s="289">
        <v>0</v>
      </c>
      <c r="N49" s="313">
        <v>0</v>
      </c>
      <c r="O49" s="356">
        <v>267</v>
      </c>
      <c r="P49" s="356">
        <v>288</v>
      </c>
      <c r="Q49" s="152">
        <v>555</v>
      </c>
      <c r="R49" s="1015" t="s">
        <v>180</v>
      </c>
      <c r="T49" s="1013"/>
    </row>
    <row r="50" spans="2:20" ht="27" customHeight="1" x14ac:dyDescent="0.35">
      <c r="B50" s="694" t="s">
        <v>181</v>
      </c>
      <c r="C50" s="291">
        <v>0</v>
      </c>
      <c r="D50" s="291">
        <v>0</v>
      </c>
      <c r="E50" s="325">
        <v>0</v>
      </c>
      <c r="F50" s="291">
        <v>0</v>
      </c>
      <c r="G50" s="291">
        <v>0</v>
      </c>
      <c r="H50" s="325">
        <v>0</v>
      </c>
      <c r="I50" s="291">
        <v>0</v>
      </c>
      <c r="J50" s="291">
        <v>0</v>
      </c>
      <c r="K50" s="357">
        <v>0</v>
      </c>
      <c r="L50" s="291">
        <v>0</v>
      </c>
      <c r="M50" s="291">
        <v>0</v>
      </c>
      <c r="N50" s="325">
        <v>0</v>
      </c>
      <c r="O50" s="358"/>
      <c r="P50" s="358"/>
      <c r="Q50" s="358"/>
      <c r="R50" s="1015"/>
      <c r="T50" s="1010"/>
    </row>
    <row r="51" spans="2:20" ht="21.4" customHeight="1" x14ac:dyDescent="0.35">
      <c r="B51" s="694" t="s">
        <v>182</v>
      </c>
      <c r="C51" s="291">
        <v>0</v>
      </c>
      <c r="D51" s="291">
        <v>0</v>
      </c>
      <c r="E51" s="325">
        <v>0</v>
      </c>
      <c r="F51" s="291">
        <v>0</v>
      </c>
      <c r="G51" s="291">
        <v>0</v>
      </c>
      <c r="H51" s="325">
        <v>0</v>
      </c>
      <c r="I51" s="291">
        <v>0</v>
      </c>
      <c r="J51" s="291">
        <v>0</v>
      </c>
      <c r="K51" s="357">
        <v>0</v>
      </c>
      <c r="L51" s="291">
        <v>0</v>
      </c>
      <c r="M51" s="291">
        <v>0</v>
      </c>
      <c r="N51" s="325">
        <v>0</v>
      </c>
      <c r="O51" s="359">
        <v>193</v>
      </c>
      <c r="P51" s="359">
        <v>289</v>
      </c>
      <c r="Q51" s="360">
        <f>SUM(O51:P51)</f>
        <v>482</v>
      </c>
      <c r="R51" s="1015"/>
      <c r="T51" s="1010"/>
    </row>
    <row r="52" spans="2:20" ht="21.4" customHeight="1" x14ac:dyDescent="0.35">
      <c r="B52" s="694" t="s">
        <v>183</v>
      </c>
      <c r="C52" s="291">
        <v>0</v>
      </c>
      <c r="D52" s="291">
        <v>0</v>
      </c>
      <c r="E52" s="325">
        <v>0</v>
      </c>
      <c r="F52" s="291">
        <v>0</v>
      </c>
      <c r="G52" s="291">
        <v>0</v>
      </c>
      <c r="H52" s="325">
        <v>0</v>
      </c>
      <c r="I52" s="291">
        <v>0</v>
      </c>
      <c r="J52" s="291">
        <v>0</v>
      </c>
      <c r="K52" s="357">
        <v>0</v>
      </c>
      <c r="L52" s="291">
        <v>0</v>
      </c>
      <c r="M52" s="291">
        <v>0</v>
      </c>
      <c r="N52" s="325">
        <v>0</v>
      </c>
      <c r="O52" s="361"/>
      <c r="P52" s="361"/>
      <c r="Q52" s="358"/>
      <c r="R52" s="1015"/>
      <c r="T52" s="1010"/>
    </row>
    <row r="53" spans="2:20" ht="21.4" customHeight="1" x14ac:dyDescent="0.35">
      <c r="B53" s="694" t="s">
        <v>184</v>
      </c>
      <c r="C53" s="350">
        <v>306</v>
      </c>
      <c r="D53" s="350">
        <v>498</v>
      </c>
      <c r="E53" s="362">
        <f>D53+C53</f>
        <v>804</v>
      </c>
      <c r="F53" s="350">
        <v>286</v>
      </c>
      <c r="G53" s="350">
        <v>445</v>
      </c>
      <c r="H53" s="362">
        <f>G53+F53</f>
        <v>731</v>
      </c>
      <c r="I53" s="326">
        <v>266</v>
      </c>
      <c r="J53" s="326">
        <v>427</v>
      </c>
      <c r="K53" s="363">
        <f>SUM(I53:J53)</f>
        <v>693</v>
      </c>
      <c r="L53" s="326">
        <v>273</v>
      </c>
      <c r="M53" s="326">
        <v>441</v>
      </c>
      <c r="N53" s="328">
        <v>714</v>
      </c>
      <c r="O53" s="359">
        <v>3499</v>
      </c>
      <c r="P53" s="359">
        <v>1543</v>
      </c>
      <c r="Q53" s="364">
        <v>5042</v>
      </c>
      <c r="R53" s="1015"/>
      <c r="T53" s="1010"/>
    </row>
    <row r="54" spans="2:20" ht="21.4" customHeight="1" x14ac:dyDescent="0.35">
      <c r="B54" s="694" t="s">
        <v>185</v>
      </c>
      <c r="C54" s="322">
        <f>C53/E57</f>
        <v>0.23340961098398169</v>
      </c>
      <c r="D54" s="322">
        <f>D53/E57</f>
        <v>0.37986270022883295</v>
      </c>
      <c r="E54" s="323">
        <f>E53/E57</f>
        <v>0.61327231121281467</v>
      </c>
      <c r="F54" s="322">
        <f>F53/H57</f>
        <v>0.25512934879571814</v>
      </c>
      <c r="G54" s="322">
        <f>G53/H57</f>
        <v>0.39696699375557537</v>
      </c>
      <c r="H54" s="323">
        <f>H53/H57</f>
        <v>0.65209634255129345</v>
      </c>
      <c r="I54" s="322">
        <f>I53/K57</f>
        <v>0.28000000000000003</v>
      </c>
      <c r="J54" s="322">
        <f>J53/K57</f>
        <v>0.4494736842105263</v>
      </c>
      <c r="K54" s="365">
        <f>K53/K57</f>
        <v>0.72947368421052627</v>
      </c>
      <c r="L54" s="322">
        <v>0.8</v>
      </c>
      <c r="M54" s="322">
        <v>0.8</v>
      </c>
      <c r="N54" s="322">
        <v>0.8</v>
      </c>
      <c r="O54" s="361">
        <f>O53/Q53</f>
        <v>0.6939706465688219</v>
      </c>
      <c r="P54" s="361">
        <f>P53/Q53</f>
        <v>0.3060293534311781</v>
      </c>
      <c r="Q54" s="358"/>
      <c r="R54" s="1015"/>
      <c r="T54" s="1010"/>
    </row>
    <row r="55" spans="2:20" ht="21.4" customHeight="1" x14ac:dyDescent="0.35">
      <c r="B55" s="694" t="s">
        <v>186</v>
      </c>
      <c r="C55" s="350">
        <v>248</v>
      </c>
      <c r="D55" s="350">
        <v>259</v>
      </c>
      <c r="E55" s="362">
        <f>D55+C55</f>
        <v>507</v>
      </c>
      <c r="F55" s="350">
        <v>192</v>
      </c>
      <c r="G55" s="350">
        <v>198</v>
      </c>
      <c r="H55" s="362">
        <f>G55+F55</f>
        <v>390</v>
      </c>
      <c r="I55" s="326">
        <v>121</v>
      </c>
      <c r="J55" s="326">
        <v>136</v>
      </c>
      <c r="K55" s="363">
        <f>SUM(I55:J55)</f>
        <v>257</v>
      </c>
      <c r="L55" s="326">
        <v>80</v>
      </c>
      <c r="M55" s="326">
        <v>113</v>
      </c>
      <c r="N55" s="328">
        <v>193</v>
      </c>
      <c r="O55" s="359">
        <v>114</v>
      </c>
      <c r="P55" s="359">
        <v>269</v>
      </c>
      <c r="Q55" s="364">
        <v>383</v>
      </c>
      <c r="R55" s="1015"/>
      <c r="T55" s="1010"/>
    </row>
    <row r="56" spans="2:20" ht="21.4" customHeight="1" x14ac:dyDescent="0.35">
      <c r="B56" s="694" t="s">
        <v>187</v>
      </c>
      <c r="C56" s="322">
        <f>C55/E57</f>
        <v>0.18916857360793288</v>
      </c>
      <c r="D56" s="322">
        <f>D55/E57</f>
        <v>0.19755911517925248</v>
      </c>
      <c r="E56" s="323">
        <f>E55/E57</f>
        <v>0.38672768878718533</v>
      </c>
      <c r="F56" s="322">
        <f>F55/H57</f>
        <v>0.17127564674397858</v>
      </c>
      <c r="G56" s="322">
        <f>G55/H57</f>
        <v>0.17662801070472792</v>
      </c>
      <c r="H56" s="323">
        <f>H55/H57</f>
        <v>0.34790365744870649</v>
      </c>
      <c r="I56" s="322">
        <f>I55/K57</f>
        <v>0.12736842105263158</v>
      </c>
      <c r="J56" s="322">
        <f>J55/K57</f>
        <v>0.1431578947368421</v>
      </c>
      <c r="K56" s="365">
        <f>K55/K57</f>
        <v>0.27052631578947367</v>
      </c>
      <c r="L56" s="322">
        <v>0.2</v>
      </c>
      <c r="M56" s="322">
        <v>0.2</v>
      </c>
      <c r="N56" s="322">
        <v>0.2</v>
      </c>
      <c r="O56" s="361">
        <f>O55/Q55</f>
        <v>0.29765013054830286</v>
      </c>
      <c r="P56" s="361">
        <f>P55/Q55</f>
        <v>0.70234986945169708</v>
      </c>
      <c r="Q56" s="358"/>
      <c r="R56" s="1015"/>
      <c r="T56" s="1010"/>
    </row>
    <row r="57" spans="2:20" ht="21.4" customHeight="1" x14ac:dyDescent="0.35">
      <c r="B57" s="694" t="s">
        <v>188</v>
      </c>
      <c r="C57" s="350">
        <f t="shared" ref="C57:I57" si="5">SUM(C53,C55)</f>
        <v>554</v>
      </c>
      <c r="D57" s="350">
        <f t="shared" si="5"/>
        <v>757</v>
      </c>
      <c r="E57" s="366">
        <f t="shared" si="5"/>
        <v>1311</v>
      </c>
      <c r="F57" s="350">
        <f t="shared" si="5"/>
        <v>478</v>
      </c>
      <c r="G57" s="350">
        <f t="shared" si="5"/>
        <v>643</v>
      </c>
      <c r="H57" s="366">
        <f t="shared" si="5"/>
        <v>1121</v>
      </c>
      <c r="I57" s="326">
        <f t="shared" si="5"/>
        <v>387</v>
      </c>
      <c r="J57" s="326">
        <f>SUM(J53,J55)</f>
        <v>563</v>
      </c>
      <c r="K57" s="367">
        <f>SUM(K53,K55)</f>
        <v>950</v>
      </c>
      <c r="L57" s="326">
        <v>353</v>
      </c>
      <c r="M57" s="326">
        <v>554</v>
      </c>
      <c r="N57" s="326">
        <v>907</v>
      </c>
      <c r="O57" s="359">
        <v>3613</v>
      </c>
      <c r="P57" s="359">
        <v>1812</v>
      </c>
      <c r="Q57" s="360">
        <f>O57+P57</f>
        <v>5425</v>
      </c>
      <c r="R57" s="1015"/>
      <c r="T57" s="1010"/>
    </row>
    <row r="58" spans="2:20" ht="21.4" customHeight="1" x14ac:dyDescent="0.35">
      <c r="B58" s="695" t="s">
        <v>191</v>
      </c>
      <c r="C58" s="336">
        <v>1</v>
      </c>
      <c r="D58" s="336">
        <v>1</v>
      </c>
      <c r="E58" s="337">
        <v>1</v>
      </c>
      <c r="F58" s="336">
        <v>1.0011655011655012</v>
      </c>
      <c r="G58" s="336">
        <v>0.99890230515916578</v>
      </c>
      <c r="H58" s="337">
        <v>1</v>
      </c>
      <c r="I58" s="338">
        <v>0.99755799755799757</v>
      </c>
      <c r="J58" s="338">
        <v>1</v>
      </c>
      <c r="K58" s="368">
        <v>0.9952409280190363</v>
      </c>
      <c r="L58" s="338">
        <v>0.4</v>
      </c>
      <c r="M58" s="338">
        <v>0.6</v>
      </c>
      <c r="N58" s="338">
        <v>1</v>
      </c>
      <c r="O58" s="361">
        <f>O57/Q57</f>
        <v>0.66599078341013829</v>
      </c>
      <c r="P58" s="361">
        <f>P57/Q57</f>
        <v>0.33400921658986177</v>
      </c>
      <c r="Q58" s="358"/>
      <c r="R58" s="1016"/>
      <c r="T58" s="1010"/>
    </row>
    <row r="59" spans="2:20" x14ac:dyDescent="0.35">
      <c r="T59" s="1010"/>
    </row>
  </sheetData>
  <mergeCells count="38">
    <mergeCell ref="R19:R20"/>
    <mergeCell ref="O15:O16"/>
    <mergeCell ref="O8:O9"/>
    <mergeCell ref="O10:O14"/>
    <mergeCell ref="L8:N8"/>
    <mergeCell ref="L19:N19"/>
    <mergeCell ref="L15:N15"/>
    <mergeCell ref="L16:N16"/>
    <mergeCell ref="O19:Q19"/>
    <mergeCell ref="C8:E8"/>
    <mergeCell ref="C47:E47"/>
    <mergeCell ref="F47:H47"/>
    <mergeCell ref="I47:K47"/>
    <mergeCell ref="F8:H8"/>
    <mergeCell ref="F19:H19"/>
    <mergeCell ref="C19:E19"/>
    <mergeCell ref="C15:E15"/>
    <mergeCell ref="F15:H15"/>
    <mergeCell ref="I15:K15"/>
    <mergeCell ref="C16:E16"/>
    <mergeCell ref="F16:H16"/>
    <mergeCell ref="I16:K16"/>
    <mergeCell ref="I8:K8"/>
    <mergeCell ref="I19:K19"/>
    <mergeCell ref="R21:R30"/>
    <mergeCell ref="T50:T59"/>
    <mergeCell ref="C33:E33"/>
    <mergeCell ref="F33:H33"/>
    <mergeCell ref="I33:K33"/>
    <mergeCell ref="R35:R44"/>
    <mergeCell ref="R33:R34"/>
    <mergeCell ref="T48:T49"/>
    <mergeCell ref="L47:N47"/>
    <mergeCell ref="L33:N33"/>
    <mergeCell ref="O33:Q33"/>
    <mergeCell ref="O47:Q47"/>
    <mergeCell ref="R47:R48"/>
    <mergeCell ref="R49:R58"/>
  </mergeCells>
  <pageMargins left="0.7" right="0.7" top="0.75" bottom="0.75" header="0.3" footer="0.3"/>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5"/>
  <sheetViews>
    <sheetView showGridLines="0" zoomScale="50" zoomScaleNormal="50" workbookViewId="0">
      <selection activeCell="B5" sqref="B5"/>
    </sheetView>
  </sheetViews>
  <sheetFormatPr defaultColWidth="9.26953125" defaultRowHeight="14" x14ac:dyDescent="0.35"/>
  <cols>
    <col min="1" max="1" width="3.7265625" style="12" customWidth="1"/>
    <col min="2" max="2" width="15.54296875" style="13" customWidth="1"/>
    <col min="3" max="3" width="10.7265625" style="13" customWidth="1"/>
    <col min="4" max="4" width="13.1796875" style="13" customWidth="1"/>
    <col min="5" max="5" width="9.453125" style="13" customWidth="1"/>
    <col min="6" max="6" width="13.54296875" style="13" customWidth="1"/>
    <col min="7" max="7" width="10.1796875" style="13" customWidth="1"/>
    <col min="8" max="8" width="13.26953125" style="13" customWidth="1"/>
    <col min="9" max="9" width="9.1796875" style="13" customWidth="1"/>
    <col min="10" max="10" width="13.1796875" style="13" customWidth="1"/>
    <col min="11" max="11" width="10.7265625" style="13" customWidth="1"/>
    <col min="12" max="12" width="13.453125" style="13" customWidth="1"/>
    <col min="13" max="13" width="10.7265625" style="13" customWidth="1"/>
    <col min="14" max="14" width="13.26953125" style="13" customWidth="1"/>
    <col min="15" max="15" width="10.7265625" style="13" customWidth="1"/>
    <col min="16" max="17" width="9.26953125" style="12" customWidth="1"/>
    <col min="18" max="18" width="13.453125" style="12" customWidth="1"/>
    <col min="19" max="19" width="10.453125" style="12" customWidth="1"/>
    <col min="20" max="21" width="9.26953125" style="12" customWidth="1"/>
    <col min="22" max="22" width="13.453125" style="12" customWidth="1"/>
    <col min="23" max="23" width="11.1796875" style="12" customWidth="1"/>
    <col min="24" max="24" width="9.26953125" style="12" customWidth="1"/>
    <col min="25" max="16384" width="9.26953125" style="12"/>
  </cols>
  <sheetData>
    <row r="1" spans="1:19" ht="15" customHeight="1" x14ac:dyDescent="0.35">
      <c r="L1" s="12"/>
      <c r="M1" s="12"/>
      <c r="N1" s="12"/>
      <c r="O1" s="12"/>
    </row>
    <row r="2" spans="1:19" ht="15" customHeight="1" x14ac:dyDescent="0.35">
      <c r="L2" s="12"/>
      <c r="M2" s="12"/>
      <c r="N2" s="12"/>
      <c r="O2" s="12"/>
    </row>
    <row r="3" spans="1:19" ht="15" customHeight="1" x14ac:dyDescent="0.35">
      <c r="L3" s="12"/>
      <c r="M3" s="12"/>
      <c r="N3" s="12"/>
      <c r="O3" s="12"/>
    </row>
    <row r="4" spans="1:19" ht="15" customHeight="1" x14ac:dyDescent="0.35">
      <c r="L4" s="12"/>
      <c r="M4" s="12"/>
      <c r="N4" s="18"/>
      <c r="O4" s="18"/>
    </row>
    <row r="5" spans="1:19" ht="25.15" customHeight="1" thickBot="1" x14ac:dyDescent="0.4">
      <c r="B5" s="725" t="s">
        <v>13</v>
      </c>
      <c r="C5" s="11"/>
      <c r="D5" s="11"/>
      <c r="E5" s="11"/>
      <c r="F5" s="11"/>
      <c r="G5" s="11"/>
      <c r="H5" s="11"/>
      <c r="I5" s="11"/>
      <c r="J5" s="11"/>
      <c r="K5" s="11"/>
      <c r="L5" s="11"/>
      <c r="M5" s="11"/>
      <c r="N5" s="11"/>
      <c r="O5" s="11"/>
      <c r="P5" s="11"/>
      <c r="Q5" s="11"/>
      <c r="R5" s="11"/>
      <c r="S5" s="11"/>
    </row>
    <row r="6" spans="1:19" ht="15" customHeight="1" thickTop="1" x14ac:dyDescent="0.35">
      <c r="B6" s="21"/>
    </row>
    <row r="7" spans="1:19" ht="25.15" customHeight="1" x14ac:dyDescent="0.35">
      <c r="A7" s="277"/>
      <c r="B7" s="703" t="s">
        <v>193</v>
      </c>
      <c r="C7" s="53"/>
      <c r="D7" s="53"/>
      <c r="E7" s="53"/>
      <c r="F7" s="53"/>
      <c r="G7" s="53"/>
      <c r="H7" s="53"/>
      <c r="I7" s="53"/>
      <c r="J7" s="53"/>
      <c r="K7" s="53"/>
      <c r="L7" s="33"/>
      <c r="M7" s="33"/>
      <c r="N7" s="33"/>
      <c r="O7" s="33"/>
    </row>
    <row r="8" spans="1:19" ht="21.4" customHeight="1" x14ac:dyDescent="0.35">
      <c r="A8" s="277"/>
      <c r="B8" s="85"/>
      <c r="C8" s="959">
        <v>2019</v>
      </c>
      <c r="D8" s="960"/>
      <c r="E8" s="959">
        <v>2020</v>
      </c>
      <c r="F8" s="959"/>
      <c r="G8" s="978">
        <v>2021</v>
      </c>
      <c r="H8" s="960"/>
      <c r="I8" s="978">
        <v>2022</v>
      </c>
      <c r="J8" s="960"/>
      <c r="K8" s="959">
        <v>2023</v>
      </c>
      <c r="L8" s="959"/>
      <c r="M8" s="959">
        <v>2024</v>
      </c>
      <c r="N8" s="959"/>
      <c r="O8" s="278"/>
      <c r="P8" s="278"/>
      <c r="Q8" s="278"/>
      <c r="R8" s="278"/>
      <c r="S8" s="873" t="s">
        <v>23</v>
      </c>
    </row>
    <row r="9" spans="1:19" ht="54" customHeight="1" x14ac:dyDescent="0.35">
      <c r="A9" s="277"/>
      <c r="B9" s="279"/>
      <c r="C9" s="164" t="s">
        <v>49</v>
      </c>
      <c r="D9" s="847" t="s">
        <v>194</v>
      </c>
      <c r="E9" s="847" t="s">
        <v>49</v>
      </c>
      <c r="F9" s="847" t="s">
        <v>194</v>
      </c>
      <c r="G9" s="847" t="s">
        <v>49</v>
      </c>
      <c r="H9" s="847" t="s">
        <v>194</v>
      </c>
      <c r="I9" s="847" t="s">
        <v>49</v>
      </c>
      <c r="J9" s="847" t="s">
        <v>194</v>
      </c>
      <c r="K9" s="847" t="s">
        <v>49</v>
      </c>
      <c r="L9" s="847" t="s">
        <v>194</v>
      </c>
      <c r="M9" s="847" t="s">
        <v>49</v>
      </c>
      <c r="N9" s="847" t="s">
        <v>194</v>
      </c>
      <c r="O9" s="164"/>
      <c r="P9" s="164"/>
      <c r="Q9" s="164"/>
      <c r="R9" s="164"/>
      <c r="S9" s="873"/>
    </row>
    <row r="10" spans="1:19" ht="29" customHeight="1" x14ac:dyDescent="0.35">
      <c r="A10" s="277"/>
      <c r="B10" s="815" t="s">
        <v>195</v>
      </c>
      <c r="C10" s="280">
        <v>411</v>
      </c>
      <c r="D10" s="1057">
        <v>20.100000000000001</v>
      </c>
      <c r="E10" s="281">
        <v>1069</v>
      </c>
      <c r="F10" s="1065">
        <v>13.5</v>
      </c>
      <c r="G10" s="149">
        <v>1946</v>
      </c>
      <c r="H10" s="1064">
        <v>14.6</v>
      </c>
      <c r="I10" s="149">
        <v>1999</v>
      </c>
      <c r="J10" s="1064">
        <v>13.99</v>
      </c>
      <c r="K10" s="280">
        <v>1940</v>
      </c>
      <c r="L10" s="1066">
        <v>15.4</v>
      </c>
      <c r="M10" s="165">
        <v>1306</v>
      </c>
      <c r="N10" s="1067">
        <v>15.35</v>
      </c>
      <c r="O10" s="105"/>
      <c r="P10" s="105"/>
      <c r="Q10" s="105"/>
      <c r="R10" s="105"/>
      <c r="S10" s="948" t="s">
        <v>196</v>
      </c>
    </row>
    <row r="11" spans="1:19" ht="27" customHeight="1" x14ac:dyDescent="0.35">
      <c r="A11" s="277"/>
      <c r="B11" s="845" t="s">
        <v>197</v>
      </c>
      <c r="C11" s="280">
        <v>374</v>
      </c>
      <c r="D11" s="1057"/>
      <c r="E11" s="282">
        <v>351</v>
      </c>
      <c r="F11" s="1065"/>
      <c r="G11" s="280">
        <v>476</v>
      </c>
      <c r="H11" s="1064"/>
      <c r="I11" s="280">
        <v>459</v>
      </c>
      <c r="J11" s="1064"/>
      <c r="K11" s="280">
        <v>434</v>
      </c>
      <c r="L11" s="1066"/>
      <c r="M11" s="165">
        <v>493</v>
      </c>
      <c r="N11" s="1067"/>
      <c r="O11" s="105"/>
      <c r="P11" s="105"/>
      <c r="Q11" s="105"/>
      <c r="R11" s="105"/>
      <c r="S11" s="948"/>
    </row>
    <row r="12" spans="1:19" ht="31" customHeight="1" x14ac:dyDescent="0.35">
      <c r="A12" s="277"/>
      <c r="B12" s="845" t="s">
        <v>198</v>
      </c>
      <c r="C12" s="280">
        <v>1107</v>
      </c>
      <c r="D12" s="1057"/>
      <c r="E12" s="281">
        <v>856</v>
      </c>
      <c r="F12" s="1065"/>
      <c r="G12" s="280">
        <v>1031</v>
      </c>
      <c r="H12" s="1064"/>
      <c r="I12" s="280">
        <v>989</v>
      </c>
      <c r="J12" s="1064"/>
      <c r="K12" s="280">
        <v>943</v>
      </c>
      <c r="L12" s="1066"/>
      <c r="M12" s="165">
        <v>863</v>
      </c>
      <c r="N12" s="1067"/>
      <c r="O12" s="105"/>
      <c r="P12" s="105"/>
      <c r="Q12" s="105"/>
      <c r="R12" s="105"/>
      <c r="S12" s="948"/>
    </row>
    <row r="13" spans="1:19" ht="31" customHeight="1" x14ac:dyDescent="0.35">
      <c r="A13" s="277"/>
      <c r="B13" s="846" t="s">
        <v>199</v>
      </c>
      <c r="C13" s="280">
        <v>1583</v>
      </c>
      <c r="D13" s="1057"/>
      <c r="E13" s="281">
        <v>1213</v>
      </c>
      <c r="F13" s="1065"/>
      <c r="G13" s="283">
        <v>2103</v>
      </c>
      <c r="H13" s="1064"/>
      <c r="I13" s="283">
        <v>2163</v>
      </c>
      <c r="J13" s="1064"/>
      <c r="K13" s="280">
        <v>2115</v>
      </c>
      <c r="L13" s="1066"/>
      <c r="M13" s="165">
        <v>2058</v>
      </c>
      <c r="N13" s="1067"/>
      <c r="O13" s="284"/>
      <c r="P13" s="284"/>
      <c r="Q13" s="284"/>
      <c r="R13" s="284"/>
      <c r="S13" s="948"/>
    </row>
    <row r="14" spans="1:19" ht="21.4" customHeight="1" x14ac:dyDescent="0.35">
      <c r="A14" s="277"/>
      <c r="B14" s="845" t="s">
        <v>49</v>
      </c>
      <c r="C14" s="280">
        <f>SUM(C10:C13)</f>
        <v>3475</v>
      </c>
      <c r="D14" s="1057"/>
      <c r="E14" s="281">
        <f>SUM(E10:E13)</f>
        <v>3489</v>
      </c>
      <c r="F14" s="1065"/>
      <c r="G14" s="280">
        <f>SUM(G10:G13)</f>
        <v>5556</v>
      </c>
      <c r="H14" s="1064"/>
      <c r="I14" s="280">
        <f>SUM(I10:I13)</f>
        <v>5610</v>
      </c>
      <c r="J14" s="1064"/>
      <c r="K14" s="280">
        <f>SUM(K10:K13)</f>
        <v>5432</v>
      </c>
      <c r="L14" s="1066"/>
      <c r="M14" s="155">
        <f>(M10+M11+M12+M13+M15)</f>
        <v>4720</v>
      </c>
      <c r="N14" s="155"/>
      <c r="O14" s="284"/>
      <c r="P14" s="284"/>
      <c r="Q14" s="284"/>
      <c r="R14" s="284"/>
      <c r="S14" s="42"/>
    </row>
    <row r="15" spans="1:19" ht="21.4" customHeight="1" x14ac:dyDescent="0.35">
      <c r="A15" s="277"/>
      <c r="B15" s="33"/>
      <c r="C15" s="33"/>
      <c r="D15" s="33"/>
      <c r="E15" s="33"/>
      <c r="F15" s="33"/>
      <c r="G15" s="33"/>
      <c r="H15" s="33"/>
      <c r="I15" s="33"/>
      <c r="J15" s="33"/>
      <c r="K15" s="33"/>
      <c r="L15" s="33"/>
      <c r="M15" s="33"/>
      <c r="N15" s="285"/>
      <c r="O15" s="33"/>
    </row>
    <row r="16" spans="1:19" ht="25.15" customHeight="1" x14ac:dyDescent="0.35">
      <c r="A16" s="277"/>
      <c r="B16" s="703" t="s">
        <v>200</v>
      </c>
      <c r="C16" s="53"/>
      <c r="D16" s="53"/>
      <c r="E16" s="53"/>
      <c r="F16" s="53"/>
      <c r="G16" s="53"/>
      <c r="H16" s="53"/>
      <c r="I16" s="53"/>
      <c r="J16" s="53"/>
      <c r="K16" s="53"/>
      <c r="L16" s="53"/>
      <c r="M16" s="53"/>
      <c r="N16" s="53"/>
      <c r="O16" s="53"/>
    </row>
    <row r="17" spans="1:23" ht="21.4" customHeight="1" x14ac:dyDescent="0.35">
      <c r="A17" s="277"/>
      <c r="B17" s="85"/>
      <c r="C17" s="959">
        <v>2020</v>
      </c>
      <c r="D17" s="959"/>
      <c r="E17" s="959"/>
      <c r="F17" s="959"/>
      <c r="G17" s="1045">
        <v>2021</v>
      </c>
      <c r="H17" s="959"/>
      <c r="I17" s="959"/>
      <c r="J17" s="1046"/>
      <c r="K17" s="1045">
        <v>2022</v>
      </c>
      <c r="L17" s="959"/>
      <c r="M17" s="959"/>
      <c r="N17" s="1046"/>
      <c r="O17" s="1045">
        <v>2023</v>
      </c>
      <c r="P17" s="959"/>
      <c r="Q17" s="959"/>
      <c r="R17" s="985"/>
      <c r="S17" s="959">
        <v>2024</v>
      </c>
      <c r="T17" s="959"/>
      <c r="U17" s="959"/>
      <c r="V17" s="985"/>
      <c r="W17" s="1012" t="s">
        <v>23</v>
      </c>
    </row>
    <row r="18" spans="1:23" ht="53" customHeight="1" x14ac:dyDescent="0.35">
      <c r="A18" s="277"/>
      <c r="B18" s="279"/>
      <c r="C18" s="752" t="s">
        <v>151</v>
      </c>
      <c r="D18" s="752" t="s">
        <v>152</v>
      </c>
      <c r="E18" s="752" t="s">
        <v>49</v>
      </c>
      <c r="F18" s="847" t="s">
        <v>194</v>
      </c>
      <c r="G18" s="752" t="s">
        <v>151</v>
      </c>
      <c r="H18" s="752" t="s">
        <v>152</v>
      </c>
      <c r="I18" s="752" t="s">
        <v>49</v>
      </c>
      <c r="J18" s="847" t="s">
        <v>194</v>
      </c>
      <c r="K18" s="752" t="s">
        <v>151</v>
      </c>
      <c r="L18" s="752" t="s">
        <v>152</v>
      </c>
      <c r="M18" s="752" t="s">
        <v>49</v>
      </c>
      <c r="N18" s="847" t="s">
        <v>194</v>
      </c>
      <c r="O18" s="752" t="s">
        <v>151</v>
      </c>
      <c r="P18" s="752" t="s">
        <v>152</v>
      </c>
      <c r="Q18" s="752" t="s">
        <v>49</v>
      </c>
      <c r="R18" s="847" t="s">
        <v>194</v>
      </c>
      <c r="S18" s="752" t="s">
        <v>151</v>
      </c>
      <c r="T18" s="752" t="s">
        <v>152</v>
      </c>
      <c r="U18" s="752" t="s">
        <v>49</v>
      </c>
      <c r="V18" s="847" t="s">
        <v>194</v>
      </c>
      <c r="W18" s="1012"/>
    </row>
    <row r="19" spans="1:23" ht="28" customHeight="1" x14ac:dyDescent="0.35">
      <c r="A19" s="277"/>
      <c r="B19" s="722" t="s">
        <v>195</v>
      </c>
      <c r="C19" s="271">
        <v>307</v>
      </c>
      <c r="D19" s="271">
        <v>295</v>
      </c>
      <c r="E19" s="286">
        <v>602</v>
      </c>
      <c r="F19" s="1042">
        <v>8.59</v>
      </c>
      <c r="G19" s="271">
        <v>340</v>
      </c>
      <c r="H19" s="271">
        <v>304</v>
      </c>
      <c r="I19" s="286">
        <v>644</v>
      </c>
      <c r="J19" s="1042">
        <v>6.83</v>
      </c>
      <c r="K19" s="271">
        <v>306</v>
      </c>
      <c r="L19" s="271">
        <v>326</v>
      </c>
      <c r="M19" s="286">
        <v>632</v>
      </c>
      <c r="N19" s="1061">
        <v>7</v>
      </c>
      <c r="O19" s="271">
        <v>287</v>
      </c>
      <c r="P19" s="271">
        <v>322</v>
      </c>
      <c r="Q19" s="286">
        <f>P19+O19</f>
        <v>609</v>
      </c>
      <c r="R19" s="1071">
        <v>6.45</v>
      </c>
      <c r="S19" s="165">
        <v>280</v>
      </c>
      <c r="T19" s="165">
        <v>315</v>
      </c>
      <c r="U19" s="165">
        <v>595</v>
      </c>
      <c r="V19" s="161"/>
      <c r="W19" s="948" t="s">
        <v>196</v>
      </c>
    </row>
    <row r="20" spans="1:23" ht="28" customHeight="1" x14ac:dyDescent="0.35">
      <c r="A20" s="277"/>
      <c r="B20" s="694" t="s">
        <v>197</v>
      </c>
      <c r="C20" s="272">
        <v>173</v>
      </c>
      <c r="D20" s="272">
        <v>142</v>
      </c>
      <c r="E20" s="287">
        <v>315</v>
      </c>
      <c r="F20" s="1043"/>
      <c r="G20" s="272">
        <v>115</v>
      </c>
      <c r="H20" s="272">
        <v>108</v>
      </c>
      <c r="I20" s="287">
        <v>223</v>
      </c>
      <c r="J20" s="1043"/>
      <c r="K20" s="272">
        <v>115</v>
      </c>
      <c r="L20" s="272">
        <v>89</v>
      </c>
      <c r="M20" s="287">
        <v>204</v>
      </c>
      <c r="N20" s="1062"/>
      <c r="O20" s="272">
        <v>121</v>
      </c>
      <c r="P20" s="272">
        <v>102</v>
      </c>
      <c r="Q20" s="287">
        <f>P20+O20</f>
        <v>223</v>
      </c>
      <c r="R20" s="1072"/>
      <c r="S20" s="165">
        <v>109</v>
      </c>
      <c r="T20" s="165">
        <v>89</v>
      </c>
      <c r="U20" s="165">
        <v>198</v>
      </c>
      <c r="V20" s="161"/>
      <c r="W20" s="948"/>
    </row>
    <row r="21" spans="1:23" ht="26" customHeight="1" x14ac:dyDescent="0.35">
      <c r="A21" s="277"/>
      <c r="B21" s="694" t="s">
        <v>198</v>
      </c>
      <c r="C21" s="272">
        <v>121</v>
      </c>
      <c r="D21" s="272">
        <v>172</v>
      </c>
      <c r="E21" s="287">
        <v>293</v>
      </c>
      <c r="F21" s="1043"/>
      <c r="G21" s="272">
        <v>86</v>
      </c>
      <c r="H21" s="272">
        <v>157</v>
      </c>
      <c r="I21" s="287">
        <v>243</v>
      </c>
      <c r="J21" s="1043"/>
      <c r="K21" s="272">
        <v>80</v>
      </c>
      <c r="L21" s="272">
        <v>142</v>
      </c>
      <c r="M21" s="287">
        <v>222</v>
      </c>
      <c r="N21" s="1062"/>
      <c r="O21" s="272">
        <v>95</v>
      </c>
      <c r="P21" s="272">
        <v>154</v>
      </c>
      <c r="Q21" s="287">
        <f>P21+O21</f>
        <v>249</v>
      </c>
      <c r="R21" s="1072"/>
      <c r="S21" s="165">
        <v>91</v>
      </c>
      <c r="T21" s="165">
        <v>145</v>
      </c>
      <c r="U21" s="165">
        <v>236</v>
      </c>
      <c r="V21" s="165">
        <v>7.11</v>
      </c>
      <c r="W21" s="948"/>
    </row>
    <row r="22" spans="1:23" ht="26" customHeight="1" x14ac:dyDescent="0.35">
      <c r="A22" s="277"/>
      <c r="B22" s="694" t="s">
        <v>199</v>
      </c>
      <c r="C22" s="272">
        <v>35</v>
      </c>
      <c r="D22" s="272">
        <v>45</v>
      </c>
      <c r="E22" s="287">
        <v>80</v>
      </c>
      <c r="F22" s="1043"/>
      <c r="G22" s="272">
        <v>14</v>
      </c>
      <c r="H22" s="272">
        <v>14</v>
      </c>
      <c r="I22" s="287">
        <v>28</v>
      </c>
      <c r="J22" s="1043"/>
      <c r="K22" s="272">
        <v>25</v>
      </c>
      <c r="L22" s="272">
        <v>32</v>
      </c>
      <c r="M22" s="287">
        <v>57</v>
      </c>
      <c r="N22" s="1062"/>
      <c r="O22" s="272">
        <v>30</v>
      </c>
      <c r="P22" s="272">
        <v>44</v>
      </c>
      <c r="Q22" s="287">
        <f>P22+O22</f>
        <v>74</v>
      </c>
      <c r="R22" s="1072"/>
      <c r="S22" s="165">
        <v>30</v>
      </c>
      <c r="T22" s="165">
        <v>47</v>
      </c>
      <c r="U22" s="165">
        <v>77</v>
      </c>
      <c r="V22" s="161"/>
      <c r="W22" s="948"/>
    </row>
    <row r="23" spans="1:23" ht="21.4" customHeight="1" x14ac:dyDescent="0.35">
      <c r="A23" s="277"/>
      <c r="B23" s="695" t="s">
        <v>49</v>
      </c>
      <c r="C23" s="288">
        <v>636</v>
      </c>
      <c r="D23" s="288">
        <v>654</v>
      </c>
      <c r="E23" s="288">
        <v>1290</v>
      </c>
      <c r="F23" s="1044"/>
      <c r="G23" s="288">
        <f>SUM(G19:G22)</f>
        <v>555</v>
      </c>
      <c r="H23" s="288">
        <f>SUM(H19:H22)</f>
        <v>583</v>
      </c>
      <c r="I23" s="288">
        <f>SUM(I19:I22)</f>
        <v>1138</v>
      </c>
      <c r="J23" s="1044"/>
      <c r="K23" s="288">
        <f>SUM(K19:K22)</f>
        <v>526</v>
      </c>
      <c r="L23" s="288">
        <f>SUM(L19:L22)</f>
        <v>589</v>
      </c>
      <c r="M23" s="288">
        <f>SUM(M19:M22)</f>
        <v>1115</v>
      </c>
      <c r="N23" s="1063"/>
      <c r="O23" s="288">
        <f>SUM(O19:O22)</f>
        <v>533</v>
      </c>
      <c r="P23" s="288">
        <f>SUM(P19:P22)</f>
        <v>622</v>
      </c>
      <c r="Q23" s="288">
        <f>SUM(Q19:Q22)</f>
        <v>1155</v>
      </c>
      <c r="R23" s="1073"/>
      <c r="S23" s="165"/>
      <c r="T23" s="161"/>
      <c r="U23" s="161"/>
      <c r="V23" s="161"/>
      <c r="W23" s="42"/>
    </row>
    <row r="24" spans="1:23" ht="21.4" customHeight="1" x14ac:dyDescent="0.35">
      <c r="A24" s="277"/>
      <c r="B24" s="33"/>
      <c r="C24" s="33"/>
      <c r="D24" s="33"/>
      <c r="E24" s="33"/>
      <c r="F24" s="33"/>
      <c r="G24" s="33"/>
      <c r="H24" s="33"/>
      <c r="I24" s="33"/>
      <c r="J24" s="33"/>
      <c r="K24" s="33"/>
      <c r="L24" s="33"/>
      <c r="M24" s="33"/>
      <c r="N24" s="33"/>
      <c r="O24" s="33"/>
    </row>
    <row r="25" spans="1:23" ht="25.15" customHeight="1" x14ac:dyDescent="0.35">
      <c r="A25" s="277"/>
      <c r="B25" s="703" t="s">
        <v>201</v>
      </c>
      <c r="C25" s="53"/>
      <c r="D25" s="53"/>
      <c r="E25" s="53"/>
      <c r="F25" s="53"/>
      <c r="G25" s="53"/>
      <c r="H25" s="53"/>
      <c r="I25" s="53"/>
      <c r="J25" s="53"/>
      <c r="K25" s="53"/>
      <c r="L25" s="53"/>
      <c r="M25" s="53"/>
      <c r="N25" s="53"/>
      <c r="O25" s="53"/>
    </row>
    <row r="26" spans="1:23" ht="21.4" customHeight="1" x14ac:dyDescent="0.35">
      <c r="A26" s="277"/>
      <c r="B26" s="85"/>
      <c r="C26" s="959">
        <v>2020</v>
      </c>
      <c r="D26" s="959"/>
      <c r="E26" s="959"/>
      <c r="F26" s="960"/>
      <c r="G26" s="959">
        <v>2021</v>
      </c>
      <c r="H26" s="959"/>
      <c r="I26" s="959"/>
      <c r="J26" s="960"/>
      <c r="K26" s="959">
        <v>2022</v>
      </c>
      <c r="L26" s="959"/>
      <c r="M26" s="959"/>
      <c r="N26" s="1046"/>
      <c r="O26" s="959">
        <v>2023</v>
      </c>
      <c r="P26" s="959"/>
      <c r="Q26" s="959"/>
      <c r="R26" s="985"/>
      <c r="S26" s="959">
        <v>2024</v>
      </c>
      <c r="T26" s="959"/>
      <c r="U26" s="959"/>
      <c r="V26" s="985"/>
      <c r="W26" s="873" t="s">
        <v>23</v>
      </c>
    </row>
    <row r="27" spans="1:23" ht="58" customHeight="1" x14ac:dyDescent="0.35">
      <c r="A27" s="277"/>
      <c r="B27" s="279"/>
      <c r="C27" s="752" t="s">
        <v>151</v>
      </c>
      <c r="D27" s="752" t="s">
        <v>152</v>
      </c>
      <c r="E27" s="752" t="s">
        <v>49</v>
      </c>
      <c r="F27" s="847" t="s">
        <v>194</v>
      </c>
      <c r="G27" s="752" t="s">
        <v>151</v>
      </c>
      <c r="H27" s="752" t="s">
        <v>152</v>
      </c>
      <c r="I27" s="752" t="s">
        <v>49</v>
      </c>
      <c r="J27" s="847" t="s">
        <v>194</v>
      </c>
      <c r="K27" s="752" t="s">
        <v>151</v>
      </c>
      <c r="L27" s="752" t="s">
        <v>152</v>
      </c>
      <c r="M27" s="847" t="s">
        <v>49</v>
      </c>
      <c r="N27" s="847" t="s">
        <v>194</v>
      </c>
      <c r="O27" s="752" t="s">
        <v>151</v>
      </c>
      <c r="P27" s="752" t="s">
        <v>152</v>
      </c>
      <c r="Q27" s="752" t="s">
        <v>49</v>
      </c>
      <c r="R27" s="847" t="s">
        <v>194</v>
      </c>
      <c r="S27" s="752" t="s">
        <v>151</v>
      </c>
      <c r="T27" s="752" t="s">
        <v>152</v>
      </c>
      <c r="U27" s="752" t="s">
        <v>49</v>
      </c>
      <c r="V27" s="847" t="s">
        <v>194</v>
      </c>
      <c r="W27" s="873"/>
    </row>
    <row r="28" spans="1:23" ht="26" customHeight="1" x14ac:dyDescent="0.35">
      <c r="A28" s="277"/>
      <c r="B28" s="722" t="s">
        <v>195</v>
      </c>
      <c r="C28" s="289">
        <v>294</v>
      </c>
      <c r="D28" s="289">
        <v>318</v>
      </c>
      <c r="E28" s="289">
        <f>D28+C28</f>
        <v>612</v>
      </c>
      <c r="F28" s="1036">
        <v>10.4</v>
      </c>
      <c r="G28" s="290">
        <v>277</v>
      </c>
      <c r="H28" s="290">
        <v>290</v>
      </c>
      <c r="I28" s="150">
        <f>G28+H28</f>
        <v>567</v>
      </c>
      <c r="J28" s="1039">
        <v>11</v>
      </c>
      <c r="K28" s="290">
        <v>271</v>
      </c>
      <c r="L28" s="290">
        <v>279</v>
      </c>
      <c r="M28" s="150">
        <f>SUM(K28:L28)</f>
        <v>550</v>
      </c>
      <c r="N28" s="1033">
        <v>11.4</v>
      </c>
      <c r="O28" s="290">
        <v>265</v>
      </c>
      <c r="P28" s="290">
        <v>285</v>
      </c>
      <c r="Q28" s="150">
        <f>P28+O28</f>
        <v>550</v>
      </c>
      <c r="R28" s="1068">
        <v>11.6</v>
      </c>
      <c r="S28" s="165">
        <v>271</v>
      </c>
      <c r="T28" s="165">
        <v>307</v>
      </c>
      <c r="U28" s="165">
        <f>T28+S28</f>
        <v>578</v>
      </c>
      <c r="V28" s="1050">
        <v>11.9</v>
      </c>
      <c r="W28" s="948" t="s">
        <v>196</v>
      </c>
    </row>
    <row r="29" spans="1:23" ht="31" customHeight="1" x14ac:dyDescent="0.35">
      <c r="A29" s="277"/>
      <c r="B29" s="694" t="s">
        <v>197</v>
      </c>
      <c r="C29" s="291">
        <v>227</v>
      </c>
      <c r="D29" s="291">
        <v>156</v>
      </c>
      <c r="E29" s="291">
        <f>D29+C29</f>
        <v>383</v>
      </c>
      <c r="F29" s="1037"/>
      <c r="G29" s="292">
        <v>194</v>
      </c>
      <c r="H29" s="292">
        <v>135</v>
      </c>
      <c r="I29" s="293">
        <f>G29+H29</f>
        <v>329</v>
      </c>
      <c r="J29" s="1040"/>
      <c r="K29" s="292">
        <v>168</v>
      </c>
      <c r="L29" s="292">
        <v>108</v>
      </c>
      <c r="M29" s="293">
        <f>SUM(K29:L29)</f>
        <v>276</v>
      </c>
      <c r="N29" s="1034"/>
      <c r="O29" s="292">
        <v>145</v>
      </c>
      <c r="P29" s="292">
        <v>115</v>
      </c>
      <c r="Q29" s="150">
        <f t="shared" ref="Q29:Q31" si="0">P29+O29</f>
        <v>260</v>
      </c>
      <c r="R29" s="1069"/>
      <c r="S29" s="165">
        <v>119</v>
      </c>
      <c r="T29" s="165">
        <v>105</v>
      </c>
      <c r="U29" s="165">
        <f>SUM(S29:T29)</f>
        <v>224</v>
      </c>
      <c r="V29" s="1051"/>
      <c r="W29" s="948"/>
    </row>
    <row r="30" spans="1:23" ht="28" customHeight="1" x14ac:dyDescent="0.35">
      <c r="A30" s="277"/>
      <c r="B30" s="694" t="s">
        <v>198</v>
      </c>
      <c r="C30" s="291">
        <v>336</v>
      </c>
      <c r="D30" s="291">
        <v>382</v>
      </c>
      <c r="E30" s="291">
        <f>D30+C30</f>
        <v>718</v>
      </c>
      <c r="F30" s="1037"/>
      <c r="G30" s="292">
        <v>306</v>
      </c>
      <c r="H30" s="292">
        <v>357</v>
      </c>
      <c r="I30" s="293">
        <f>G30+H30</f>
        <v>663</v>
      </c>
      <c r="J30" s="1040"/>
      <c r="K30" s="292">
        <v>298</v>
      </c>
      <c r="L30" s="292">
        <v>333</v>
      </c>
      <c r="M30" s="293">
        <f>SUM(K30:L30)</f>
        <v>631</v>
      </c>
      <c r="N30" s="1034"/>
      <c r="O30" s="292">
        <v>284</v>
      </c>
      <c r="P30" s="292">
        <v>267</v>
      </c>
      <c r="Q30" s="150">
        <f t="shared" si="0"/>
        <v>551</v>
      </c>
      <c r="R30" s="1069"/>
      <c r="S30" s="165">
        <v>272</v>
      </c>
      <c r="T30" s="165">
        <v>250</v>
      </c>
      <c r="U30" s="165">
        <f>T30+S30</f>
        <v>522</v>
      </c>
      <c r="V30" s="1051"/>
      <c r="W30" s="948"/>
    </row>
    <row r="31" spans="1:23" ht="24" customHeight="1" x14ac:dyDescent="0.35">
      <c r="A31" s="277"/>
      <c r="B31" s="694" t="s">
        <v>199</v>
      </c>
      <c r="C31" s="291">
        <v>72</v>
      </c>
      <c r="D31" s="291">
        <v>115</v>
      </c>
      <c r="E31" s="291">
        <f>D31+C31</f>
        <v>187</v>
      </c>
      <c r="F31" s="1037"/>
      <c r="G31" s="292">
        <v>80</v>
      </c>
      <c r="H31" s="292">
        <v>129</v>
      </c>
      <c r="I31" s="293">
        <f>G31+H31</f>
        <v>209</v>
      </c>
      <c r="J31" s="1040"/>
      <c r="K31" s="292">
        <v>95</v>
      </c>
      <c r="L31" s="292">
        <v>152</v>
      </c>
      <c r="M31" s="293">
        <f>SUM(K31:L31)</f>
        <v>247</v>
      </c>
      <c r="N31" s="1034"/>
      <c r="O31" s="292">
        <v>114</v>
      </c>
      <c r="P31" s="292">
        <v>209</v>
      </c>
      <c r="Q31" s="150">
        <f t="shared" si="0"/>
        <v>323</v>
      </c>
      <c r="R31" s="1069"/>
      <c r="S31" s="165">
        <v>125</v>
      </c>
      <c r="T31" s="165">
        <v>223</v>
      </c>
      <c r="U31" s="165">
        <f>T31+S31</f>
        <v>348</v>
      </c>
      <c r="V31" s="1051"/>
      <c r="W31" s="948"/>
    </row>
    <row r="32" spans="1:23" ht="21.4" customHeight="1" x14ac:dyDescent="0.35">
      <c r="A32" s="277"/>
      <c r="B32" s="695" t="s">
        <v>49</v>
      </c>
      <c r="C32" s="294">
        <f>C28+C29+C30+C31</f>
        <v>929</v>
      </c>
      <c r="D32" s="294">
        <f>D28+D29+D30+D31</f>
        <v>971</v>
      </c>
      <c r="E32" s="295">
        <f>D32+C32</f>
        <v>1900</v>
      </c>
      <c r="F32" s="1038"/>
      <c r="G32" s="296">
        <f>SUM(G28:G31)</f>
        <v>857</v>
      </c>
      <c r="H32" s="296">
        <f>SUM(H28:H31)</f>
        <v>911</v>
      </c>
      <c r="I32" s="296">
        <f>SUM(I28:I31)</f>
        <v>1768</v>
      </c>
      <c r="J32" s="1041"/>
      <c r="K32" s="296">
        <f>SUM(K28:K31)</f>
        <v>832</v>
      </c>
      <c r="L32" s="296">
        <f>SUM(L28:L31)</f>
        <v>872</v>
      </c>
      <c r="M32" s="296">
        <f>SUM(M28:M31)</f>
        <v>1704</v>
      </c>
      <c r="N32" s="1035"/>
      <c r="O32" s="296">
        <f>SUM(O28:O31)</f>
        <v>808</v>
      </c>
      <c r="P32" s="296">
        <f>SUM(P28:P31)</f>
        <v>876</v>
      </c>
      <c r="Q32" s="150">
        <f>P32+O32</f>
        <v>1684</v>
      </c>
      <c r="R32" s="1070"/>
      <c r="S32" s="165">
        <f>SUM(S28:S31)</f>
        <v>787</v>
      </c>
      <c r="T32" s="165">
        <f>SUM(T28:T31)</f>
        <v>885</v>
      </c>
      <c r="U32" s="165">
        <f>SUM(U28:U31)</f>
        <v>1672</v>
      </c>
      <c r="V32" s="1052"/>
      <c r="W32" s="42"/>
    </row>
    <row r="33" spans="1:23" ht="21.4" customHeight="1" x14ac:dyDescent="0.35">
      <c r="A33" s="277"/>
      <c r="B33" s="33"/>
      <c r="C33" s="33"/>
      <c r="D33" s="33"/>
      <c r="E33" s="33"/>
      <c r="F33" s="33"/>
      <c r="G33" s="33"/>
      <c r="H33" s="33"/>
      <c r="I33" s="33"/>
      <c r="J33" s="33"/>
      <c r="K33" s="33"/>
      <c r="L33" s="33"/>
      <c r="M33" s="33"/>
      <c r="N33" s="33"/>
      <c r="O33" s="33"/>
    </row>
    <row r="34" spans="1:23" ht="25.15" customHeight="1" x14ac:dyDescent="0.35">
      <c r="A34" s="277"/>
      <c r="B34" s="703" t="s">
        <v>202</v>
      </c>
      <c r="C34" s="53"/>
      <c r="D34" s="53"/>
      <c r="E34" s="53"/>
      <c r="F34" s="297"/>
      <c r="G34" s="297"/>
      <c r="H34" s="297"/>
      <c r="I34" s="297"/>
      <c r="J34" s="297"/>
      <c r="K34" s="297"/>
      <c r="L34" s="297"/>
      <c r="M34" s="53"/>
      <c r="N34" s="297"/>
      <c r="O34" s="12"/>
    </row>
    <row r="35" spans="1:23" ht="21.4" customHeight="1" x14ac:dyDescent="0.35">
      <c r="A35" s="277"/>
      <c r="B35" s="85"/>
      <c r="C35" s="959">
        <v>2020</v>
      </c>
      <c r="D35" s="959"/>
      <c r="E35" s="959"/>
      <c r="F35" s="959"/>
      <c r="G35" s="978">
        <v>2021</v>
      </c>
      <c r="H35" s="959"/>
      <c r="I35" s="959"/>
      <c r="J35" s="960"/>
      <c r="K35" s="959">
        <v>2022</v>
      </c>
      <c r="L35" s="959"/>
      <c r="M35" s="959"/>
      <c r="N35" s="1046"/>
      <c r="O35" s="959">
        <v>2023</v>
      </c>
      <c r="P35" s="959"/>
      <c r="Q35" s="959"/>
      <c r="R35" s="959"/>
      <c r="S35" s="1053">
        <v>2024</v>
      </c>
      <c r="T35" s="959"/>
      <c r="U35" s="959"/>
      <c r="V35" s="985"/>
      <c r="W35" s="873" t="s">
        <v>23</v>
      </c>
    </row>
    <row r="36" spans="1:23" ht="59" customHeight="1" x14ac:dyDescent="0.35">
      <c r="A36" s="277"/>
      <c r="B36" s="143"/>
      <c r="C36" s="752" t="s">
        <v>151</v>
      </c>
      <c r="D36" s="752" t="s">
        <v>152</v>
      </c>
      <c r="E36" s="752" t="s">
        <v>49</v>
      </c>
      <c r="F36" s="847" t="s">
        <v>194</v>
      </c>
      <c r="G36" s="752" t="s">
        <v>151</v>
      </c>
      <c r="H36" s="752" t="s">
        <v>152</v>
      </c>
      <c r="I36" s="752" t="s">
        <v>49</v>
      </c>
      <c r="J36" s="847" t="s">
        <v>194</v>
      </c>
      <c r="K36" s="752" t="s">
        <v>151</v>
      </c>
      <c r="L36" s="752" t="s">
        <v>152</v>
      </c>
      <c r="M36" s="752" t="s">
        <v>49</v>
      </c>
      <c r="N36" s="847" t="s">
        <v>194</v>
      </c>
      <c r="O36" s="752" t="s">
        <v>151</v>
      </c>
      <c r="P36" s="752" t="s">
        <v>152</v>
      </c>
      <c r="Q36" s="752" t="s">
        <v>49</v>
      </c>
      <c r="R36" s="847" t="s">
        <v>194</v>
      </c>
      <c r="S36" s="848" t="s">
        <v>151</v>
      </c>
      <c r="T36" s="752" t="s">
        <v>152</v>
      </c>
      <c r="U36" s="752" t="s">
        <v>49</v>
      </c>
      <c r="V36" s="186" t="s">
        <v>194</v>
      </c>
      <c r="W36" s="873"/>
    </row>
    <row r="37" spans="1:23" ht="28" customHeight="1" x14ac:dyDescent="0.35">
      <c r="A37" s="277"/>
      <c r="B37" s="722" t="s">
        <v>195</v>
      </c>
      <c r="C37" s="286" t="s">
        <v>42</v>
      </c>
      <c r="D37" s="286" t="s">
        <v>42</v>
      </c>
      <c r="E37" s="286" t="s">
        <v>42</v>
      </c>
      <c r="F37" s="1054" t="s">
        <v>42</v>
      </c>
      <c r="G37" s="286" t="s">
        <v>42</v>
      </c>
      <c r="H37" s="286" t="s">
        <v>42</v>
      </c>
      <c r="I37" s="286" t="s">
        <v>42</v>
      </c>
      <c r="J37" s="1054" t="s">
        <v>42</v>
      </c>
      <c r="K37" s="271">
        <v>142</v>
      </c>
      <c r="L37" s="271">
        <v>210</v>
      </c>
      <c r="M37" s="286">
        <v>352</v>
      </c>
      <c r="N37" s="1058" t="s">
        <v>42</v>
      </c>
      <c r="O37" s="271">
        <v>84</v>
      </c>
      <c r="P37" s="271">
        <v>164</v>
      </c>
      <c r="Q37" s="286">
        <v>248</v>
      </c>
      <c r="R37" s="1047">
        <v>10.5</v>
      </c>
      <c r="S37" s="298">
        <v>65</v>
      </c>
      <c r="T37" s="161">
        <v>109</v>
      </c>
      <c r="U37" s="161">
        <f>SUM(S37:T37)</f>
        <v>174</v>
      </c>
      <c r="V37" s="299">
        <f>U37/U41</f>
        <v>0.29145728643216079</v>
      </c>
      <c r="W37" s="948" t="s">
        <v>196</v>
      </c>
    </row>
    <row r="38" spans="1:23" ht="33" customHeight="1" x14ac:dyDescent="0.35">
      <c r="A38" s="277"/>
      <c r="B38" s="694" t="s">
        <v>197</v>
      </c>
      <c r="C38" s="286" t="s">
        <v>42</v>
      </c>
      <c r="D38" s="286" t="s">
        <v>42</v>
      </c>
      <c r="E38" s="286" t="s">
        <v>42</v>
      </c>
      <c r="F38" s="1055"/>
      <c r="G38" s="286" t="s">
        <v>42</v>
      </c>
      <c r="H38" s="286" t="s">
        <v>42</v>
      </c>
      <c r="I38" s="286" t="s">
        <v>42</v>
      </c>
      <c r="J38" s="1055"/>
      <c r="K38" s="272">
        <v>95</v>
      </c>
      <c r="L38" s="272">
        <v>120</v>
      </c>
      <c r="M38" s="287">
        <v>215</v>
      </c>
      <c r="N38" s="1059"/>
      <c r="O38" s="272">
        <v>50</v>
      </c>
      <c r="P38" s="272">
        <v>101</v>
      </c>
      <c r="Q38" s="287">
        <v>151</v>
      </c>
      <c r="R38" s="1048"/>
      <c r="S38" s="298">
        <v>40</v>
      </c>
      <c r="T38" s="161">
        <v>56</v>
      </c>
      <c r="U38" s="161">
        <f t="shared" ref="U38:U40" si="1">SUM(S38:T38)</f>
        <v>96</v>
      </c>
      <c r="V38" s="299">
        <f>U38/U41</f>
        <v>0.16080402010050251</v>
      </c>
      <c r="W38" s="948"/>
    </row>
    <row r="39" spans="1:23" ht="28" customHeight="1" x14ac:dyDescent="0.35">
      <c r="A39" s="277"/>
      <c r="B39" s="694" t="s">
        <v>198</v>
      </c>
      <c r="C39" s="286" t="s">
        <v>42</v>
      </c>
      <c r="D39" s="286" t="s">
        <v>42</v>
      </c>
      <c r="E39" s="286" t="s">
        <v>42</v>
      </c>
      <c r="F39" s="1055"/>
      <c r="G39" s="286" t="s">
        <v>42</v>
      </c>
      <c r="H39" s="286" t="s">
        <v>42</v>
      </c>
      <c r="I39" s="286" t="s">
        <v>42</v>
      </c>
      <c r="J39" s="1055"/>
      <c r="K39" s="272">
        <v>123</v>
      </c>
      <c r="L39" s="272">
        <v>173</v>
      </c>
      <c r="M39" s="287">
        <v>296</v>
      </c>
      <c r="N39" s="1059"/>
      <c r="O39" s="272">
        <v>93</v>
      </c>
      <c r="P39" s="272">
        <v>119</v>
      </c>
      <c r="Q39" s="287">
        <v>212</v>
      </c>
      <c r="R39" s="1048"/>
      <c r="S39" s="298">
        <v>32</v>
      </c>
      <c r="T39" s="161">
        <v>96</v>
      </c>
      <c r="U39" s="161">
        <f t="shared" si="1"/>
        <v>128</v>
      </c>
      <c r="V39" s="299">
        <f>U39/U41</f>
        <v>0.21440536013400335</v>
      </c>
      <c r="W39" s="948"/>
    </row>
    <row r="40" spans="1:23" ht="28" customHeight="1" x14ac:dyDescent="0.35">
      <c r="A40" s="277"/>
      <c r="B40" s="694" t="s">
        <v>199</v>
      </c>
      <c r="C40" s="286" t="s">
        <v>42</v>
      </c>
      <c r="D40" s="286" t="s">
        <v>42</v>
      </c>
      <c r="E40" s="286" t="s">
        <v>42</v>
      </c>
      <c r="F40" s="1055"/>
      <c r="G40" s="286" t="s">
        <v>42</v>
      </c>
      <c r="H40" s="286" t="s">
        <v>42</v>
      </c>
      <c r="I40" s="286" t="s">
        <v>42</v>
      </c>
      <c r="J40" s="1055"/>
      <c r="K40" s="272">
        <v>29</v>
      </c>
      <c r="L40" s="272">
        <v>58</v>
      </c>
      <c r="M40" s="287">
        <v>87</v>
      </c>
      <c r="N40" s="1059"/>
      <c r="O40" s="272">
        <v>30</v>
      </c>
      <c r="P40" s="272">
        <v>62</v>
      </c>
      <c r="Q40" s="287">
        <v>92</v>
      </c>
      <c r="R40" s="1048"/>
      <c r="S40" s="298">
        <v>83</v>
      </c>
      <c r="T40" s="161">
        <v>116</v>
      </c>
      <c r="U40" s="161">
        <f t="shared" si="1"/>
        <v>199</v>
      </c>
      <c r="V40" s="299">
        <f>U40/U41</f>
        <v>0.33333333333333331</v>
      </c>
      <c r="W40" s="948"/>
    </row>
    <row r="41" spans="1:23" ht="21.4" customHeight="1" x14ac:dyDescent="0.35">
      <c r="A41" s="277"/>
      <c r="B41" s="695" t="s">
        <v>49</v>
      </c>
      <c r="C41" s="286" t="s">
        <v>42</v>
      </c>
      <c r="D41" s="286" t="s">
        <v>42</v>
      </c>
      <c r="E41" s="286" t="s">
        <v>42</v>
      </c>
      <c r="F41" s="1056"/>
      <c r="G41" s="286" t="s">
        <v>42</v>
      </c>
      <c r="H41" s="286" t="s">
        <v>42</v>
      </c>
      <c r="I41" s="286" t="s">
        <v>42</v>
      </c>
      <c r="J41" s="1056"/>
      <c r="K41" s="288">
        <v>389</v>
      </c>
      <c r="L41" s="288">
        <v>561</v>
      </c>
      <c r="M41" s="288">
        <v>950</v>
      </c>
      <c r="N41" s="1060"/>
      <c r="O41" s="288">
        <v>257</v>
      </c>
      <c r="P41" s="288">
        <v>446</v>
      </c>
      <c r="Q41" s="288">
        <v>703</v>
      </c>
      <c r="R41" s="1049"/>
      <c r="S41" s="298">
        <f>SUM(S37:S40)</f>
        <v>220</v>
      </c>
      <c r="T41" s="161">
        <f>SUM(T37:T40)</f>
        <v>377</v>
      </c>
      <c r="U41" s="161">
        <f>SUM(U37:U40)</f>
        <v>597</v>
      </c>
      <c r="V41" s="299">
        <f>SUM(V37:V40)</f>
        <v>1</v>
      </c>
      <c r="W41" s="42"/>
    </row>
    <row r="42" spans="1:23" x14ac:dyDescent="0.35">
      <c r="B42" s="754"/>
      <c r="C42" s="286" t="s">
        <v>42</v>
      </c>
      <c r="D42" s="286" t="s">
        <v>42</v>
      </c>
      <c r="E42" s="286" t="s">
        <v>42</v>
      </c>
      <c r="G42" s="286" t="s">
        <v>42</v>
      </c>
      <c r="H42" s="286" t="s">
        <v>42</v>
      </c>
      <c r="I42" s="286" t="s">
        <v>42</v>
      </c>
    </row>
    <row r="44" spans="1:23" x14ac:dyDescent="0.35">
      <c r="M44" s="12"/>
      <c r="N44" s="12"/>
      <c r="O44" s="12"/>
    </row>
    <row r="45" spans="1:23" x14ac:dyDescent="0.35">
      <c r="M45" s="12"/>
      <c r="N45" s="12"/>
      <c r="O45" s="12"/>
    </row>
  </sheetData>
  <mergeCells count="48">
    <mergeCell ref="W17:W18"/>
    <mergeCell ref="W19:W22"/>
    <mergeCell ref="M8:N8"/>
    <mergeCell ref="N10:N13"/>
    <mergeCell ref="C35:F35"/>
    <mergeCell ref="W28:W31"/>
    <mergeCell ref="O35:R35"/>
    <mergeCell ref="R28:R32"/>
    <mergeCell ref="W26:W27"/>
    <mergeCell ref="R19:R23"/>
    <mergeCell ref="O17:R17"/>
    <mergeCell ref="S17:V17"/>
    <mergeCell ref="S8:S9"/>
    <mergeCell ref="S10:S13"/>
    <mergeCell ref="I8:J8"/>
    <mergeCell ref="K8:L8"/>
    <mergeCell ref="F37:F41"/>
    <mergeCell ref="G35:J35"/>
    <mergeCell ref="D10:D14"/>
    <mergeCell ref="K35:N35"/>
    <mergeCell ref="J37:J41"/>
    <mergeCell ref="N37:N41"/>
    <mergeCell ref="N19:N23"/>
    <mergeCell ref="H10:H14"/>
    <mergeCell ref="J10:J14"/>
    <mergeCell ref="F10:F14"/>
    <mergeCell ref="L10:L14"/>
    <mergeCell ref="R37:R41"/>
    <mergeCell ref="W35:W36"/>
    <mergeCell ref="W37:W40"/>
    <mergeCell ref="V28:V32"/>
    <mergeCell ref="O26:R26"/>
    <mergeCell ref="S26:V26"/>
    <mergeCell ref="S35:V35"/>
    <mergeCell ref="E8:F8"/>
    <mergeCell ref="C8:D8"/>
    <mergeCell ref="C17:F17"/>
    <mergeCell ref="N28:N32"/>
    <mergeCell ref="C26:F26"/>
    <mergeCell ref="G26:J26"/>
    <mergeCell ref="F28:F32"/>
    <mergeCell ref="J28:J32"/>
    <mergeCell ref="G8:H8"/>
    <mergeCell ref="F19:F23"/>
    <mergeCell ref="K17:N17"/>
    <mergeCell ref="K26:N26"/>
    <mergeCell ref="J19:J23"/>
    <mergeCell ref="G17:J17"/>
  </mergeCells>
  <pageMargins left="0.7" right="0.7" top="0.75" bottom="0.75" header="0.3" footer="0.3"/>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65"/>
  <sheetViews>
    <sheetView showGridLines="0" topLeftCell="A43" zoomScale="50" zoomScaleNormal="50" workbookViewId="0">
      <selection activeCell="H17" sqref="H17"/>
    </sheetView>
  </sheetViews>
  <sheetFormatPr defaultColWidth="9.26953125" defaultRowHeight="14" x14ac:dyDescent="0.35"/>
  <cols>
    <col min="1" max="1" width="3.7265625" style="12" customWidth="1"/>
    <col min="2" max="2" width="17.81640625" style="12" customWidth="1"/>
    <col min="3" max="4" width="12.7265625" style="12" customWidth="1"/>
    <col min="5" max="5" width="18.26953125" style="12" customWidth="1"/>
    <col min="6" max="7" width="12.7265625" style="12" customWidth="1"/>
    <col min="8" max="8" width="14.453125" style="12" customWidth="1"/>
    <col min="9" max="10" width="12.7265625" style="12" customWidth="1"/>
    <col min="11" max="11" width="14.7265625" style="12" customWidth="1"/>
    <col min="12" max="13" width="12.7265625" style="12" customWidth="1"/>
    <col min="14" max="14" width="14" style="12" customWidth="1"/>
    <col min="15" max="16" width="12.7265625" style="12" customWidth="1"/>
    <col min="17" max="17" width="14.453125" style="12" customWidth="1"/>
    <col min="18" max="18" width="14.26953125" style="12" customWidth="1"/>
    <col min="19" max="19" width="13.54296875" style="12" customWidth="1"/>
    <col min="20" max="20" width="11.81640625" style="12" customWidth="1"/>
    <col min="21" max="21" width="9.26953125" style="12" customWidth="1"/>
    <col min="22" max="22" width="18.54296875" style="12" customWidth="1"/>
    <col min="23" max="23" width="9.26953125" style="12" customWidth="1"/>
    <col min="24" max="24" width="12" style="12" customWidth="1"/>
    <col min="25" max="25" width="12.1796875" style="12" customWidth="1"/>
    <col min="26" max="26" width="9.26953125" style="12" customWidth="1"/>
    <col min="27" max="16384" width="9.26953125" style="12"/>
  </cols>
  <sheetData>
    <row r="1" spans="2:26" ht="15" customHeight="1" x14ac:dyDescent="0.35">
      <c r="B1" s="13"/>
      <c r="C1" s="13"/>
      <c r="D1" s="13"/>
      <c r="E1" s="13"/>
      <c r="F1" s="13"/>
      <c r="G1" s="13"/>
      <c r="H1" s="13"/>
      <c r="I1" s="13"/>
      <c r="J1" s="13"/>
      <c r="K1" s="13"/>
    </row>
    <row r="2" spans="2:26" ht="15" customHeight="1" x14ac:dyDescent="0.35">
      <c r="B2" s="13"/>
      <c r="C2" s="13"/>
      <c r="D2" s="13"/>
      <c r="E2" s="13"/>
      <c r="F2" s="13"/>
      <c r="G2" s="13"/>
      <c r="H2" s="13"/>
      <c r="I2" s="13"/>
      <c r="J2" s="13"/>
      <c r="K2" s="13"/>
    </row>
    <row r="3" spans="2:26" ht="15" customHeight="1" x14ac:dyDescent="0.35">
      <c r="B3" s="13"/>
      <c r="C3" s="13"/>
      <c r="D3" s="13"/>
      <c r="E3" s="13"/>
      <c r="F3" s="13"/>
      <c r="G3" s="13"/>
      <c r="H3" s="13"/>
      <c r="I3" s="13"/>
      <c r="J3" s="13"/>
      <c r="K3" s="13"/>
    </row>
    <row r="4" spans="2:26" ht="15" customHeight="1" x14ac:dyDescent="0.35">
      <c r="B4" s="13"/>
      <c r="C4" s="13"/>
      <c r="D4" s="13"/>
      <c r="E4" s="13"/>
      <c r="F4" s="13"/>
      <c r="G4" s="13"/>
      <c r="H4" s="13"/>
      <c r="I4" s="13"/>
      <c r="J4" s="13"/>
      <c r="K4" s="13"/>
      <c r="N4" s="18"/>
      <c r="O4" s="18"/>
    </row>
    <row r="5" spans="2:26" ht="25.15" customHeight="1" thickBot="1" x14ac:dyDescent="0.4">
      <c r="B5" s="725" t="s">
        <v>12</v>
      </c>
      <c r="C5" s="11"/>
      <c r="D5" s="11"/>
      <c r="E5" s="11"/>
      <c r="F5" s="11"/>
      <c r="G5" s="11"/>
      <c r="H5" s="11"/>
      <c r="I5" s="11"/>
      <c r="J5" s="11"/>
      <c r="K5" s="11"/>
      <c r="L5" s="11"/>
      <c r="M5" s="11"/>
      <c r="N5" s="11"/>
      <c r="O5" s="11"/>
      <c r="P5" s="11"/>
    </row>
    <row r="6" spans="2:26" ht="15" customHeight="1" thickTop="1" x14ac:dyDescent="0.35">
      <c r="B6" s="21"/>
      <c r="C6" s="13"/>
      <c r="D6" s="13"/>
      <c r="E6" s="13"/>
      <c r="F6" s="13"/>
      <c r="G6" s="13"/>
      <c r="H6" s="13"/>
      <c r="I6" s="13"/>
      <c r="J6" s="13"/>
      <c r="K6" s="13"/>
      <c r="L6" s="13"/>
      <c r="M6" s="13"/>
      <c r="N6" s="13"/>
      <c r="O6" s="13"/>
      <c r="P6" s="13"/>
    </row>
    <row r="7" spans="2:26" ht="25.15" customHeight="1" x14ac:dyDescent="0.35">
      <c r="B7" s="703" t="s">
        <v>203</v>
      </c>
      <c r="C7" s="53"/>
      <c r="D7" s="53"/>
      <c r="E7" s="53"/>
      <c r="F7" s="53"/>
      <c r="G7" s="53"/>
      <c r="H7" s="53"/>
      <c r="I7" s="53"/>
      <c r="J7" s="53"/>
      <c r="K7" s="53"/>
      <c r="L7" s="53"/>
      <c r="M7" s="53"/>
      <c r="N7" s="53"/>
      <c r="O7" s="53"/>
      <c r="P7" s="53"/>
    </row>
    <row r="8" spans="2:26" s="13" customFormat="1" ht="22.9" customHeight="1" x14ac:dyDescent="0.35">
      <c r="B8" s="255"/>
      <c r="C8" s="130">
        <v>2021</v>
      </c>
      <c r="D8" s="130"/>
      <c r="E8" s="131"/>
      <c r="F8" s="1017" t="s">
        <v>204</v>
      </c>
      <c r="G8" s="130">
        <v>2022</v>
      </c>
      <c r="H8" s="130"/>
      <c r="I8" s="131"/>
      <c r="J8" s="1017" t="s">
        <v>204</v>
      </c>
      <c r="K8" s="959">
        <v>2023</v>
      </c>
      <c r="L8" s="959"/>
      <c r="M8" s="960"/>
      <c r="N8" s="873" t="s">
        <v>204</v>
      </c>
      <c r="O8" s="873"/>
      <c r="P8" s="959">
        <v>2024</v>
      </c>
      <c r="Q8" s="959"/>
      <c r="R8" s="960"/>
      <c r="S8" s="873" t="s">
        <v>204</v>
      </c>
      <c r="T8" s="1012" t="s">
        <v>205</v>
      </c>
      <c r="V8" s="256" t="s">
        <v>206</v>
      </c>
      <c r="W8" s="256">
        <v>2023</v>
      </c>
      <c r="X8" s="256">
        <v>2024</v>
      </c>
      <c r="Y8" s="256" t="s">
        <v>207</v>
      </c>
      <c r="Z8" s="12"/>
    </row>
    <row r="9" spans="2:26" s="13" customFormat="1" ht="31.5" customHeight="1" x14ac:dyDescent="0.35">
      <c r="B9" s="837"/>
      <c r="C9" s="257" t="s">
        <v>152</v>
      </c>
      <c r="D9" s="843" t="s">
        <v>176</v>
      </c>
      <c r="E9" s="844" t="s">
        <v>49</v>
      </c>
      <c r="F9" s="1017"/>
      <c r="G9" s="843" t="s">
        <v>152</v>
      </c>
      <c r="H9" s="843" t="s">
        <v>151</v>
      </c>
      <c r="I9" s="844" t="s">
        <v>49</v>
      </c>
      <c r="J9" s="1017"/>
      <c r="K9" s="843" t="s">
        <v>152</v>
      </c>
      <c r="L9" s="843" t="s">
        <v>151</v>
      </c>
      <c r="M9" s="844" t="s">
        <v>49</v>
      </c>
      <c r="N9" s="873"/>
      <c r="O9" s="873"/>
      <c r="P9" s="843" t="s">
        <v>152</v>
      </c>
      <c r="Q9" s="843" t="s">
        <v>151</v>
      </c>
      <c r="R9" s="844" t="s">
        <v>49</v>
      </c>
      <c r="S9" s="873"/>
      <c r="T9" s="1012"/>
      <c r="V9" s="258" t="s">
        <v>208</v>
      </c>
      <c r="W9" s="258">
        <v>500</v>
      </c>
      <c r="X9" s="258">
        <v>600</v>
      </c>
      <c r="Y9" s="258">
        <f>AVERAGE(W9:X9)</f>
        <v>550</v>
      </c>
      <c r="Z9" s="12"/>
    </row>
    <row r="10" spans="2:26" ht="38.15" customHeight="1" x14ac:dyDescent="0.35">
      <c r="B10" s="838" t="s">
        <v>209</v>
      </c>
      <c r="C10" s="44">
        <v>857</v>
      </c>
      <c r="D10" s="44">
        <v>525</v>
      </c>
      <c r="E10" s="44">
        <f>SUM(C10:D10)</f>
        <v>1382</v>
      </c>
      <c r="F10" s="1077">
        <f>(E10)/(('Human resources'!H37+'Human resources'!E37)/2)</f>
        <v>0.30197749371790672</v>
      </c>
      <c r="G10" s="40">
        <v>773</v>
      </c>
      <c r="H10" s="40">
        <v>662</v>
      </c>
      <c r="I10" s="40">
        <v>1435</v>
      </c>
      <c r="J10" s="1077">
        <f>(I10)/(('Human resources'!K37+'Human resources'!H37)/2)</f>
        <v>0.30813828645050462</v>
      </c>
      <c r="K10" s="40">
        <v>494</v>
      </c>
      <c r="L10" s="40">
        <v>306</v>
      </c>
      <c r="M10" s="40">
        <v>800</v>
      </c>
      <c r="N10" s="1074">
        <f>(M11)/(('Human resources'!N37+'Human resources'!K37)/2)</f>
        <v>0.20358890701468188</v>
      </c>
      <c r="O10" s="1074"/>
      <c r="P10" s="161">
        <v>574</v>
      </c>
      <c r="Q10" s="161">
        <v>429</v>
      </c>
      <c r="R10" s="161">
        <v>1003</v>
      </c>
      <c r="S10" s="1081">
        <f>(R11)/(('Human resources'!S36+'Human resources'!P36)/2)</f>
        <v>3.453689167974882E-2</v>
      </c>
      <c r="T10" s="1105" t="s">
        <v>210</v>
      </c>
      <c r="V10" s="258" t="s">
        <v>211</v>
      </c>
      <c r="W10" s="258"/>
      <c r="X10" s="258">
        <v>100</v>
      </c>
      <c r="Y10" s="258"/>
    </row>
    <row r="11" spans="2:26" ht="38.15" customHeight="1" x14ac:dyDescent="0.35">
      <c r="B11" s="839" t="s">
        <v>212</v>
      </c>
      <c r="C11" s="36">
        <v>722</v>
      </c>
      <c r="D11" s="36">
        <v>568</v>
      </c>
      <c r="E11" s="36">
        <f>SUM(C11:D11)</f>
        <v>1290</v>
      </c>
      <c r="F11" s="1078"/>
      <c r="G11" s="116">
        <v>716</v>
      </c>
      <c r="H11" s="116">
        <v>557</v>
      </c>
      <c r="I11" s="116">
        <v>1273</v>
      </c>
      <c r="J11" s="1078"/>
      <c r="K11" s="116">
        <v>516</v>
      </c>
      <c r="L11" s="116">
        <v>420</v>
      </c>
      <c r="M11" s="116">
        <v>936</v>
      </c>
      <c r="N11" s="1075"/>
      <c r="O11" s="1075"/>
      <c r="P11" s="161">
        <v>5</v>
      </c>
      <c r="Q11" s="161">
        <v>6</v>
      </c>
      <c r="R11" s="161">
        <v>11</v>
      </c>
      <c r="S11" s="1107"/>
      <c r="T11" s="1106"/>
      <c r="V11" s="259" t="s">
        <v>213</v>
      </c>
      <c r="W11" s="259"/>
      <c r="X11" s="260">
        <f>X10/Y9</f>
        <v>0.18181818181818182</v>
      </c>
      <c r="Y11" s="258"/>
    </row>
    <row r="12" spans="2:26" ht="38.15" customHeight="1" x14ac:dyDescent="0.35">
      <c r="B12" s="839" t="s">
        <v>214</v>
      </c>
      <c r="C12" s="36">
        <v>3</v>
      </c>
      <c r="D12" s="36">
        <v>4</v>
      </c>
      <c r="E12" s="36">
        <v>7</v>
      </c>
      <c r="F12" s="1076">
        <f>(E12)/(('Human resources'!H36+'Human resources'!E36)/2)</f>
        <v>8.0924855491329474E-3</v>
      </c>
      <c r="G12" s="116">
        <v>3</v>
      </c>
      <c r="H12" s="116">
        <v>8</v>
      </c>
      <c r="I12" s="116">
        <v>11</v>
      </c>
      <c r="J12" s="1076">
        <f>(I13)/(('Human resources'!H36+'Human resources'!K36)/2)</f>
        <v>7.3905628197839676E-2</v>
      </c>
      <c r="K12" s="116">
        <v>6</v>
      </c>
      <c r="L12" s="116">
        <v>8</v>
      </c>
      <c r="M12" s="116">
        <v>14</v>
      </c>
      <c r="N12" s="1074">
        <f>(M13)/(('Human resources'!N36+'Human resources'!K36)/2)</f>
        <v>4.5776566757493191E-2</v>
      </c>
      <c r="O12" s="1074"/>
      <c r="P12" s="161">
        <v>553</v>
      </c>
      <c r="Q12" s="161">
        <v>422</v>
      </c>
      <c r="R12" s="161">
        <v>975</v>
      </c>
      <c r="S12" s="1108">
        <f>(R13)/(('Human resources'!N36+'Human resources'!P36)/2)</f>
        <v>4.6394984326018809E-2</v>
      </c>
      <c r="T12" s="1106"/>
      <c r="V12" s="261" t="s">
        <v>215</v>
      </c>
      <c r="W12" s="258"/>
      <c r="X12" s="262">
        <f>X10/((X9+W9)/2)</f>
        <v>0.18181818181818182</v>
      </c>
      <c r="Y12" s="258"/>
    </row>
    <row r="13" spans="2:26" ht="45" customHeight="1" x14ac:dyDescent="0.35">
      <c r="B13" s="840" t="s">
        <v>216</v>
      </c>
      <c r="C13" s="37">
        <v>49</v>
      </c>
      <c r="D13" s="37">
        <v>22</v>
      </c>
      <c r="E13" s="37">
        <f>SUM(C13:D13)</f>
        <v>71</v>
      </c>
      <c r="F13" s="1077"/>
      <c r="G13" s="263">
        <v>39</v>
      </c>
      <c r="H13" s="263">
        <v>26</v>
      </c>
      <c r="I13" s="263">
        <v>65</v>
      </c>
      <c r="J13" s="1077"/>
      <c r="K13" s="263">
        <v>16</v>
      </c>
      <c r="L13" s="263">
        <v>26</v>
      </c>
      <c r="M13" s="263">
        <v>42</v>
      </c>
      <c r="N13" s="1074"/>
      <c r="O13" s="1074"/>
      <c r="P13" s="161">
        <v>16</v>
      </c>
      <c r="Q13" s="161">
        <v>21</v>
      </c>
      <c r="R13" s="161">
        <v>37</v>
      </c>
      <c r="S13" s="1081"/>
      <c r="T13" s="1106"/>
      <c r="V13" s="261" t="s">
        <v>217</v>
      </c>
      <c r="W13" s="258"/>
      <c r="X13" s="262">
        <f>X10/(X9+W9)/2</f>
        <v>4.5454545454545456E-2</v>
      </c>
      <c r="Y13" s="258"/>
    </row>
    <row r="14" spans="2:26" ht="21.4" customHeight="1" x14ac:dyDescent="0.35"/>
    <row r="15" spans="2:26" ht="25.15" customHeight="1" x14ac:dyDescent="0.35">
      <c r="B15" s="703" t="s">
        <v>218</v>
      </c>
      <c r="C15" s="53"/>
      <c r="D15" s="53"/>
      <c r="E15" s="53"/>
      <c r="F15" s="53"/>
      <c r="G15" s="53"/>
      <c r="H15" s="53"/>
      <c r="I15" s="53"/>
      <c r="J15" s="53"/>
      <c r="K15" s="53"/>
      <c r="L15" s="53"/>
    </row>
    <row r="16" spans="2:26" ht="30.4" customHeight="1" x14ac:dyDescent="0.35">
      <c r="B16" s="129"/>
      <c r="C16" s="264" t="s">
        <v>219</v>
      </c>
      <c r="D16" s="959">
        <v>2020</v>
      </c>
      <c r="E16" s="959"/>
      <c r="F16" s="960"/>
      <c r="G16" s="978">
        <v>2021</v>
      </c>
      <c r="H16" s="959"/>
      <c r="I16" s="960"/>
      <c r="J16" s="959">
        <v>2022</v>
      </c>
      <c r="K16" s="959"/>
      <c r="L16" s="959"/>
      <c r="M16" s="959">
        <v>2023</v>
      </c>
      <c r="N16" s="959"/>
      <c r="O16" s="959"/>
      <c r="P16" s="959">
        <v>2024</v>
      </c>
      <c r="Q16" s="959"/>
      <c r="R16" s="959"/>
      <c r="S16" s="87" t="s">
        <v>23</v>
      </c>
    </row>
    <row r="17" spans="2:20" ht="53.65" customHeight="1" x14ac:dyDescent="0.35">
      <c r="B17" s="144"/>
      <c r="C17" s="265"/>
      <c r="D17" s="266" t="s">
        <v>220</v>
      </c>
      <c r="E17" s="266" t="s">
        <v>221</v>
      </c>
      <c r="F17" s="267" t="s">
        <v>204</v>
      </c>
      <c r="G17" s="266" t="s">
        <v>220</v>
      </c>
      <c r="H17" s="266" t="s">
        <v>221</v>
      </c>
      <c r="I17" s="267" t="s">
        <v>204</v>
      </c>
      <c r="J17" s="266" t="s">
        <v>220</v>
      </c>
      <c r="K17" s="266" t="s">
        <v>221</v>
      </c>
      <c r="L17" s="266" t="s">
        <v>204</v>
      </c>
      <c r="M17" s="266" t="s">
        <v>220</v>
      </c>
      <c r="N17" s="266" t="s">
        <v>221</v>
      </c>
      <c r="O17" s="266" t="s">
        <v>204</v>
      </c>
      <c r="P17" s="266" t="s">
        <v>220</v>
      </c>
      <c r="Q17" s="266" t="s">
        <v>221</v>
      </c>
      <c r="R17" s="266" t="s">
        <v>204</v>
      </c>
      <c r="S17" s="966" t="s">
        <v>210</v>
      </c>
    </row>
    <row r="18" spans="2:20" ht="30" customHeight="1" x14ac:dyDescent="0.35">
      <c r="B18" s="1091" t="s">
        <v>152</v>
      </c>
      <c r="C18" s="841" t="s">
        <v>163</v>
      </c>
      <c r="D18" s="40">
        <v>166</v>
      </c>
      <c r="E18" s="40">
        <v>188</v>
      </c>
      <c r="F18" s="1097" t="s">
        <v>42</v>
      </c>
      <c r="G18" s="40">
        <v>120</v>
      </c>
      <c r="H18" s="40">
        <v>140</v>
      </c>
      <c r="I18" s="1098">
        <f>(H29)/(('Human resources'!C11+'Human resources'!D11)/2)</f>
        <v>0.40292724924666379</v>
      </c>
      <c r="J18" s="40">
        <v>164</v>
      </c>
      <c r="K18" s="40">
        <v>140</v>
      </c>
      <c r="L18" s="1098">
        <f>(K29)/(('Human resources'!D11+'Human resources'!E11)/2)</f>
        <v>0.41408059286706811</v>
      </c>
      <c r="M18" s="40">
        <v>249</v>
      </c>
      <c r="N18" s="40">
        <v>209</v>
      </c>
      <c r="O18" s="1103">
        <f>(N29)/(('Human resources'!E11+'Human resources'!F11)/2)</f>
        <v>0.55135135135135138</v>
      </c>
      <c r="P18" s="165">
        <v>218</v>
      </c>
      <c r="Q18" s="165">
        <v>238</v>
      </c>
      <c r="R18" s="1080">
        <f>(Q29)/(('Human resources'!F11+'Human resources'!G11)/2)</f>
        <v>0.55550641309155246</v>
      </c>
      <c r="S18" s="966"/>
    </row>
    <row r="19" spans="2:20" ht="28" customHeight="1" x14ac:dyDescent="0.35">
      <c r="B19" s="1092"/>
      <c r="C19" s="842" t="s">
        <v>164</v>
      </c>
      <c r="D19" s="116">
        <v>38</v>
      </c>
      <c r="E19" s="116">
        <v>71</v>
      </c>
      <c r="F19" s="1097"/>
      <c r="G19" s="116">
        <v>43</v>
      </c>
      <c r="H19" s="116">
        <v>76</v>
      </c>
      <c r="I19" s="1098"/>
      <c r="J19" s="116">
        <v>63</v>
      </c>
      <c r="K19" s="116">
        <v>76</v>
      </c>
      <c r="L19" s="1098"/>
      <c r="M19" s="116">
        <v>73</v>
      </c>
      <c r="N19" s="116">
        <v>75</v>
      </c>
      <c r="O19" s="1103"/>
      <c r="P19" s="165">
        <v>66</v>
      </c>
      <c r="Q19" s="165">
        <v>71</v>
      </c>
      <c r="R19" s="1080"/>
      <c r="S19" s="966"/>
    </row>
    <row r="20" spans="2:20" ht="21.4" customHeight="1" x14ac:dyDescent="0.35">
      <c r="B20" s="1092"/>
      <c r="C20" s="842" t="s">
        <v>222</v>
      </c>
      <c r="D20" s="116">
        <v>7</v>
      </c>
      <c r="E20" s="116">
        <v>8</v>
      </c>
      <c r="F20" s="1097"/>
      <c r="G20" s="116">
        <v>2</v>
      </c>
      <c r="H20" s="116">
        <v>6</v>
      </c>
      <c r="I20" s="1098"/>
      <c r="J20" s="116">
        <v>5</v>
      </c>
      <c r="K20" s="116">
        <v>6</v>
      </c>
      <c r="L20" s="1098"/>
      <c r="M20" s="116">
        <v>3</v>
      </c>
      <c r="N20" s="116">
        <v>11</v>
      </c>
      <c r="O20" s="1103"/>
      <c r="P20" s="165">
        <v>4</v>
      </c>
      <c r="Q20" s="165">
        <v>6</v>
      </c>
      <c r="R20" s="1080"/>
      <c r="S20" s="966"/>
    </row>
    <row r="21" spans="2:20" ht="21.4" customHeight="1" x14ac:dyDescent="0.35">
      <c r="B21" s="1093" t="s">
        <v>223</v>
      </c>
      <c r="C21" s="1094"/>
      <c r="D21" s="268">
        <v>211</v>
      </c>
      <c r="E21" s="268">
        <v>267</v>
      </c>
      <c r="F21" s="1097"/>
      <c r="G21" s="268">
        <v>165</v>
      </c>
      <c r="H21" s="268">
        <v>222</v>
      </c>
      <c r="I21" s="1098"/>
      <c r="J21" s="268">
        <v>232</v>
      </c>
      <c r="K21" s="268">
        <v>222</v>
      </c>
      <c r="L21" s="1098"/>
      <c r="M21" s="268">
        <v>325</v>
      </c>
      <c r="N21" s="268">
        <v>295</v>
      </c>
      <c r="O21" s="1103"/>
      <c r="P21" s="269">
        <v>288</v>
      </c>
      <c r="Q21" s="269">
        <v>315</v>
      </c>
      <c r="R21" s="1080"/>
      <c r="S21" s="966"/>
    </row>
    <row r="22" spans="2:20" ht="25" customHeight="1" x14ac:dyDescent="0.35">
      <c r="B22" s="1091" t="s">
        <v>151</v>
      </c>
      <c r="C22" s="841" t="s">
        <v>163</v>
      </c>
      <c r="D22" s="40">
        <v>172</v>
      </c>
      <c r="E22" s="40">
        <v>187</v>
      </c>
      <c r="F22" s="1097"/>
      <c r="G22" s="40">
        <v>129</v>
      </c>
      <c r="H22" s="40">
        <v>164</v>
      </c>
      <c r="I22" s="1098"/>
      <c r="J22" s="40">
        <v>143</v>
      </c>
      <c r="K22" s="40">
        <v>140</v>
      </c>
      <c r="L22" s="1098"/>
      <c r="M22" s="40">
        <v>261</v>
      </c>
      <c r="N22" s="40">
        <v>220</v>
      </c>
      <c r="O22" s="1103"/>
      <c r="P22" s="165">
        <v>239</v>
      </c>
      <c r="Q22" s="165">
        <v>242</v>
      </c>
      <c r="R22" s="1080"/>
      <c r="S22" s="966"/>
    </row>
    <row r="23" spans="2:20" ht="27" customHeight="1" x14ac:dyDescent="0.35">
      <c r="B23" s="1092"/>
      <c r="C23" s="842" t="s">
        <v>164</v>
      </c>
      <c r="D23" s="116">
        <v>46</v>
      </c>
      <c r="E23" s="116">
        <v>66</v>
      </c>
      <c r="F23" s="1097"/>
      <c r="G23" s="116">
        <v>36</v>
      </c>
      <c r="H23" s="116">
        <v>75</v>
      </c>
      <c r="I23" s="1098"/>
      <c r="J23" s="116">
        <v>61</v>
      </c>
      <c r="K23" s="116">
        <v>77</v>
      </c>
      <c r="L23" s="1098"/>
      <c r="M23" s="116">
        <v>56</v>
      </c>
      <c r="N23" s="116">
        <v>88</v>
      </c>
      <c r="O23" s="1103"/>
      <c r="P23" s="165">
        <v>47</v>
      </c>
      <c r="Q23" s="165">
        <v>64</v>
      </c>
      <c r="R23" s="1080"/>
      <c r="S23" s="966"/>
    </row>
    <row r="24" spans="2:20" ht="21.4" customHeight="1" x14ac:dyDescent="0.35">
      <c r="B24" s="1092"/>
      <c r="C24" s="842" t="s">
        <v>222</v>
      </c>
      <c r="D24" s="116">
        <v>3</v>
      </c>
      <c r="E24" s="116">
        <v>4</v>
      </c>
      <c r="F24" s="1097"/>
      <c r="G24" s="116">
        <v>2</v>
      </c>
      <c r="H24" s="116">
        <v>7</v>
      </c>
      <c r="I24" s="1098"/>
      <c r="J24" s="116">
        <v>7</v>
      </c>
      <c r="K24" s="116">
        <v>8</v>
      </c>
      <c r="L24" s="1098"/>
      <c r="M24" s="116">
        <v>3</v>
      </c>
      <c r="N24" s="116">
        <v>9</v>
      </c>
      <c r="O24" s="1103"/>
      <c r="P24" s="165">
        <v>5</v>
      </c>
      <c r="Q24" s="165">
        <v>7</v>
      </c>
      <c r="R24" s="1080"/>
      <c r="S24" s="966"/>
    </row>
    <row r="25" spans="2:20" ht="21.4" customHeight="1" x14ac:dyDescent="0.35">
      <c r="B25" s="1093" t="s">
        <v>224</v>
      </c>
      <c r="C25" s="1094"/>
      <c r="D25" s="268">
        <v>221</v>
      </c>
      <c r="E25" s="268">
        <v>257</v>
      </c>
      <c r="F25" s="1097"/>
      <c r="G25" s="268">
        <v>167</v>
      </c>
      <c r="H25" s="268">
        <v>246</v>
      </c>
      <c r="I25" s="1098"/>
      <c r="J25" s="268">
        <v>211</v>
      </c>
      <c r="K25" s="268">
        <v>225</v>
      </c>
      <c r="L25" s="1098"/>
      <c r="M25" s="268">
        <v>320</v>
      </c>
      <c r="N25" s="268">
        <v>317</v>
      </c>
      <c r="O25" s="1103"/>
      <c r="P25" s="269">
        <v>291</v>
      </c>
      <c r="Q25" s="269">
        <v>313</v>
      </c>
      <c r="R25" s="1080"/>
      <c r="S25" s="966"/>
    </row>
    <row r="26" spans="2:20" ht="21.4" customHeight="1" x14ac:dyDescent="0.35">
      <c r="B26" s="1095" t="s">
        <v>163</v>
      </c>
      <c r="C26" s="1096"/>
      <c r="D26" s="40">
        <v>338</v>
      </c>
      <c r="E26" s="40">
        <v>375</v>
      </c>
      <c r="F26" s="1097"/>
      <c r="G26" s="40">
        <v>249</v>
      </c>
      <c r="H26" s="40">
        <v>304</v>
      </c>
      <c r="I26" s="1098"/>
      <c r="J26" s="40">
        <v>307</v>
      </c>
      <c r="K26" s="40">
        <v>280</v>
      </c>
      <c r="L26" s="1098"/>
      <c r="M26" s="40">
        <v>510</v>
      </c>
      <c r="N26" s="40">
        <v>429</v>
      </c>
      <c r="O26" s="1103"/>
      <c r="P26" s="165">
        <v>457</v>
      </c>
      <c r="Q26" s="165">
        <v>480</v>
      </c>
      <c r="R26" s="1080"/>
      <c r="S26" s="966"/>
    </row>
    <row r="27" spans="2:20" ht="21.4" customHeight="1" x14ac:dyDescent="0.35">
      <c r="B27" s="1101" t="s">
        <v>225</v>
      </c>
      <c r="C27" s="1102"/>
      <c r="D27" s="116">
        <v>84</v>
      </c>
      <c r="E27" s="116">
        <v>137</v>
      </c>
      <c r="F27" s="1097"/>
      <c r="G27" s="116">
        <v>79</v>
      </c>
      <c r="H27" s="116">
        <v>151</v>
      </c>
      <c r="I27" s="1098"/>
      <c r="J27" s="116">
        <v>124</v>
      </c>
      <c r="K27" s="116">
        <v>153</v>
      </c>
      <c r="L27" s="1098"/>
      <c r="M27" s="116">
        <v>129</v>
      </c>
      <c r="N27" s="116">
        <v>163</v>
      </c>
      <c r="O27" s="1103"/>
      <c r="P27" s="165">
        <v>113</v>
      </c>
      <c r="Q27" s="165">
        <v>135</v>
      </c>
      <c r="R27" s="1080"/>
      <c r="S27" s="966"/>
    </row>
    <row r="28" spans="2:20" ht="21.4" customHeight="1" x14ac:dyDescent="0.35">
      <c r="B28" s="1101" t="s">
        <v>226</v>
      </c>
      <c r="C28" s="1102"/>
      <c r="D28" s="116">
        <v>10</v>
      </c>
      <c r="E28" s="116">
        <v>12</v>
      </c>
      <c r="F28" s="1097"/>
      <c r="G28" s="116">
        <v>4</v>
      </c>
      <c r="H28" s="116">
        <v>13</v>
      </c>
      <c r="I28" s="1098"/>
      <c r="J28" s="116">
        <v>12</v>
      </c>
      <c r="K28" s="116">
        <v>14</v>
      </c>
      <c r="L28" s="1098"/>
      <c r="M28" s="116">
        <v>6</v>
      </c>
      <c r="N28" s="116">
        <v>20</v>
      </c>
      <c r="O28" s="1103"/>
      <c r="P28" s="165">
        <v>9</v>
      </c>
      <c r="Q28" s="165">
        <v>13</v>
      </c>
      <c r="R28" s="1080"/>
      <c r="S28" s="966"/>
    </row>
    <row r="29" spans="2:20" ht="21.4" customHeight="1" x14ac:dyDescent="0.35">
      <c r="B29" s="1099" t="s">
        <v>49</v>
      </c>
      <c r="C29" s="1100"/>
      <c r="D29" s="263">
        <v>432</v>
      </c>
      <c r="E29" s="263">
        <v>524</v>
      </c>
      <c r="F29" s="1097"/>
      <c r="G29" s="263">
        <v>332</v>
      </c>
      <c r="H29" s="263">
        <v>468</v>
      </c>
      <c r="I29" s="1098"/>
      <c r="J29" s="263">
        <v>443</v>
      </c>
      <c r="K29" s="263">
        <v>447</v>
      </c>
      <c r="L29" s="1098"/>
      <c r="M29" s="263">
        <v>645</v>
      </c>
      <c r="N29" s="263">
        <v>612</v>
      </c>
      <c r="O29" s="1103"/>
      <c r="P29" s="165">
        <v>579</v>
      </c>
      <c r="Q29" s="165">
        <v>628</v>
      </c>
      <c r="R29" s="1080"/>
      <c r="S29" s="961"/>
      <c r="T29" s="18"/>
    </row>
    <row r="30" spans="2:20" ht="21.4" customHeight="1" x14ac:dyDescent="0.35"/>
    <row r="31" spans="2:20" ht="25.15" customHeight="1" x14ac:dyDescent="0.35">
      <c r="B31" s="703" t="s">
        <v>227</v>
      </c>
      <c r="C31" s="53"/>
      <c r="D31" s="53"/>
      <c r="E31" s="53"/>
      <c r="F31" s="53"/>
      <c r="G31" s="53"/>
      <c r="H31" s="53"/>
      <c r="I31" s="53"/>
      <c r="J31" s="53"/>
      <c r="K31" s="53"/>
      <c r="L31" s="53"/>
    </row>
    <row r="32" spans="2:20" ht="30.4" customHeight="1" x14ac:dyDescent="0.35">
      <c r="B32" s="129" t="s">
        <v>228</v>
      </c>
      <c r="C32" s="264" t="s">
        <v>219</v>
      </c>
      <c r="D32" s="959">
        <v>2020</v>
      </c>
      <c r="E32" s="959"/>
      <c r="F32" s="960"/>
      <c r="G32" s="978">
        <v>2021</v>
      </c>
      <c r="H32" s="959"/>
      <c r="I32" s="960"/>
      <c r="J32" s="959">
        <v>2022</v>
      </c>
      <c r="K32" s="959"/>
      <c r="L32" s="959"/>
      <c r="M32" s="959">
        <v>2023</v>
      </c>
      <c r="N32" s="959"/>
      <c r="O32" s="959"/>
      <c r="P32" s="959">
        <v>2024</v>
      </c>
      <c r="Q32" s="959"/>
      <c r="R32" s="959"/>
      <c r="S32" s="87" t="s">
        <v>23</v>
      </c>
    </row>
    <row r="33" spans="2:20" ht="53.65" customHeight="1" x14ac:dyDescent="0.35">
      <c r="B33" s="144"/>
      <c r="C33" s="265"/>
      <c r="D33" s="266" t="s">
        <v>220</v>
      </c>
      <c r="E33" s="266" t="s">
        <v>221</v>
      </c>
      <c r="F33" s="267" t="s">
        <v>204</v>
      </c>
      <c r="G33" s="266" t="s">
        <v>220</v>
      </c>
      <c r="H33" s="266" t="s">
        <v>221</v>
      </c>
      <c r="I33" s="267" t="s">
        <v>204</v>
      </c>
      <c r="J33" s="266" t="s">
        <v>220</v>
      </c>
      <c r="K33" s="266" t="s">
        <v>221</v>
      </c>
      <c r="L33" s="266" t="s">
        <v>204</v>
      </c>
      <c r="M33" s="266" t="s">
        <v>220</v>
      </c>
      <c r="N33" s="266" t="s">
        <v>221</v>
      </c>
      <c r="O33" s="266" t="s">
        <v>204</v>
      </c>
      <c r="P33" s="266" t="s">
        <v>220</v>
      </c>
      <c r="Q33" s="266" t="s">
        <v>221</v>
      </c>
      <c r="R33" s="266" t="s">
        <v>204</v>
      </c>
      <c r="S33" s="966" t="s">
        <v>210</v>
      </c>
    </row>
    <row r="34" spans="2:20" ht="27" customHeight="1" x14ac:dyDescent="0.35">
      <c r="B34" s="1091" t="s">
        <v>152</v>
      </c>
      <c r="C34" s="841" t="s">
        <v>163</v>
      </c>
      <c r="D34" s="271">
        <v>169</v>
      </c>
      <c r="E34" s="271">
        <v>214</v>
      </c>
      <c r="F34" s="1090" t="s">
        <v>42</v>
      </c>
      <c r="G34" s="271">
        <v>196</v>
      </c>
      <c r="H34" s="271">
        <v>160</v>
      </c>
      <c r="I34" s="1090">
        <f>(H45)/(('Human resources'!C12+'Human resources'!D12)/2)</f>
        <v>0.1826608505997819</v>
      </c>
      <c r="J34" s="271">
        <v>209</v>
      </c>
      <c r="K34" s="271">
        <v>134</v>
      </c>
      <c r="L34" s="1104">
        <f>(K45)/(('Human resources'!D12+'Human resources'!E12)/2)</f>
        <v>0.18548387096774194</v>
      </c>
      <c r="M34" s="271">
        <v>216</v>
      </c>
      <c r="N34" s="271">
        <v>192</v>
      </c>
      <c r="O34" s="1074">
        <f>(N45)/(('Human resources'!E12+'Human resources'!F12)/2)</f>
        <v>0.31404958677685951</v>
      </c>
      <c r="P34" s="165">
        <v>293</v>
      </c>
      <c r="Q34" s="165">
        <v>246</v>
      </c>
      <c r="R34" s="1081">
        <f>Q45/(('Human resources'!G12+'Human resources'!F12)/2)</f>
        <v>0.35935637663885578</v>
      </c>
      <c r="S34" s="966"/>
    </row>
    <row r="35" spans="2:20" ht="24" customHeight="1" x14ac:dyDescent="0.35">
      <c r="B35" s="1092"/>
      <c r="C35" s="842" t="s">
        <v>164</v>
      </c>
      <c r="D35" s="272">
        <v>35</v>
      </c>
      <c r="E35" s="272">
        <v>87</v>
      </c>
      <c r="F35" s="1090"/>
      <c r="G35" s="272">
        <v>25</v>
      </c>
      <c r="H35" s="272">
        <v>17</v>
      </c>
      <c r="I35" s="1090"/>
      <c r="J35" s="272">
        <v>41</v>
      </c>
      <c r="K35" s="272">
        <v>14</v>
      </c>
      <c r="L35" s="1104"/>
      <c r="M35" s="272">
        <v>47</v>
      </c>
      <c r="N35" s="272">
        <v>57</v>
      </c>
      <c r="O35" s="1074"/>
      <c r="P35" s="165">
        <v>48</v>
      </c>
      <c r="Q35" s="165">
        <v>69</v>
      </c>
      <c r="R35" s="1081"/>
      <c r="S35" s="966"/>
    </row>
    <row r="36" spans="2:20" ht="21.4" customHeight="1" x14ac:dyDescent="0.35">
      <c r="B36" s="1092"/>
      <c r="C36" s="842" t="s">
        <v>222</v>
      </c>
      <c r="D36" s="272">
        <v>2</v>
      </c>
      <c r="E36" s="272">
        <v>23</v>
      </c>
      <c r="F36" s="1090"/>
      <c r="G36" s="272">
        <v>3</v>
      </c>
      <c r="H36" s="272">
        <v>1</v>
      </c>
      <c r="I36" s="1090"/>
      <c r="J36" s="272">
        <v>3</v>
      </c>
      <c r="K36" s="272">
        <v>0</v>
      </c>
      <c r="L36" s="1104"/>
      <c r="M36" s="272">
        <v>6</v>
      </c>
      <c r="N36" s="272">
        <v>5</v>
      </c>
      <c r="O36" s="1074"/>
      <c r="P36" s="165">
        <v>1</v>
      </c>
      <c r="Q36" s="165">
        <v>8</v>
      </c>
      <c r="R36" s="1081"/>
      <c r="S36" s="966"/>
    </row>
    <row r="37" spans="2:20" ht="21.4" customHeight="1" x14ac:dyDescent="0.35">
      <c r="B37" s="1093" t="s">
        <v>223</v>
      </c>
      <c r="C37" s="1094"/>
      <c r="D37" s="268">
        <f>SUM(D34:D36)</f>
        <v>206</v>
      </c>
      <c r="E37" s="268">
        <f>SUM(E34:E36)</f>
        <v>324</v>
      </c>
      <c r="F37" s="1090"/>
      <c r="G37" s="268">
        <f>SUM(G34:G36)</f>
        <v>224</v>
      </c>
      <c r="H37" s="268">
        <f>SUM(H34:H36)</f>
        <v>178</v>
      </c>
      <c r="I37" s="1090"/>
      <c r="J37" s="268">
        <f>SUM(J34:J36)</f>
        <v>253</v>
      </c>
      <c r="K37" s="268">
        <f>SUM(K34:K36)</f>
        <v>148</v>
      </c>
      <c r="L37" s="1104"/>
      <c r="M37" s="268">
        <v>269</v>
      </c>
      <c r="N37" s="268">
        <v>254</v>
      </c>
      <c r="O37" s="1074"/>
      <c r="P37" s="269">
        <f>SUM(P34:P36)</f>
        <v>342</v>
      </c>
      <c r="Q37" s="269">
        <f>SUM(Q34:Q36)</f>
        <v>323</v>
      </c>
      <c r="R37" s="1081"/>
      <c r="S37" s="966"/>
    </row>
    <row r="38" spans="2:20" ht="26" customHeight="1" x14ac:dyDescent="0.35">
      <c r="B38" s="1091" t="s">
        <v>151</v>
      </c>
      <c r="C38" s="841" t="s">
        <v>163</v>
      </c>
      <c r="D38" s="271">
        <v>158</v>
      </c>
      <c r="E38" s="271">
        <v>192</v>
      </c>
      <c r="F38" s="1090"/>
      <c r="G38" s="271">
        <v>175</v>
      </c>
      <c r="H38" s="271">
        <v>141</v>
      </c>
      <c r="I38" s="1090"/>
      <c r="J38" s="271">
        <v>235</v>
      </c>
      <c r="K38" s="271">
        <v>153</v>
      </c>
      <c r="L38" s="1104"/>
      <c r="M38" s="271">
        <v>214</v>
      </c>
      <c r="N38" s="271">
        <v>197</v>
      </c>
      <c r="O38" s="1074"/>
      <c r="P38" s="165">
        <v>212</v>
      </c>
      <c r="Q38" s="165">
        <v>194</v>
      </c>
      <c r="R38" s="1081"/>
      <c r="S38" s="966"/>
    </row>
    <row r="39" spans="2:20" ht="26" customHeight="1" x14ac:dyDescent="0.35">
      <c r="B39" s="1092"/>
      <c r="C39" s="842" t="s">
        <v>164</v>
      </c>
      <c r="D39" s="272">
        <v>12</v>
      </c>
      <c r="E39" s="272">
        <v>103</v>
      </c>
      <c r="F39" s="1090"/>
      <c r="G39" s="272">
        <v>27</v>
      </c>
      <c r="H39" s="272">
        <v>16</v>
      </c>
      <c r="I39" s="1090"/>
      <c r="J39" s="272">
        <v>46</v>
      </c>
      <c r="K39" s="272">
        <v>20</v>
      </c>
      <c r="L39" s="1104"/>
      <c r="M39" s="272">
        <v>49</v>
      </c>
      <c r="N39" s="272">
        <v>76</v>
      </c>
      <c r="O39" s="1074"/>
      <c r="P39" s="165">
        <v>51</v>
      </c>
      <c r="Q39" s="165">
        <v>81</v>
      </c>
      <c r="R39" s="1081"/>
      <c r="S39" s="966"/>
    </row>
    <row r="40" spans="2:20" ht="21.4" customHeight="1" x14ac:dyDescent="0.35">
      <c r="B40" s="1092"/>
      <c r="C40" s="842" t="s">
        <v>222</v>
      </c>
      <c r="D40" s="272">
        <v>2</v>
      </c>
      <c r="E40" s="272">
        <v>11</v>
      </c>
      <c r="F40" s="1090"/>
      <c r="G40" s="272">
        <v>0</v>
      </c>
      <c r="H40" s="272">
        <v>0</v>
      </c>
      <c r="I40" s="1090"/>
      <c r="J40" s="272">
        <v>6</v>
      </c>
      <c r="K40" s="272">
        <v>1</v>
      </c>
      <c r="L40" s="1104"/>
      <c r="M40" s="272">
        <v>3</v>
      </c>
      <c r="N40" s="272">
        <v>5</v>
      </c>
      <c r="O40" s="1074"/>
      <c r="P40" s="165">
        <v>5</v>
      </c>
      <c r="Q40" s="165">
        <v>5</v>
      </c>
      <c r="R40" s="1081"/>
      <c r="S40" s="966"/>
    </row>
    <row r="41" spans="2:20" ht="21.4" customHeight="1" x14ac:dyDescent="0.35">
      <c r="B41" s="1093" t="s">
        <v>224</v>
      </c>
      <c r="C41" s="1094"/>
      <c r="D41" s="268">
        <f>SUM(D38:D40)</f>
        <v>172</v>
      </c>
      <c r="E41" s="268">
        <f>SUM(E38:E40)</f>
        <v>306</v>
      </c>
      <c r="F41" s="1090"/>
      <c r="G41" s="268">
        <f>SUM(G38:G40)</f>
        <v>202</v>
      </c>
      <c r="H41" s="268">
        <f>SUM(H38:H40)</f>
        <v>157</v>
      </c>
      <c r="I41" s="1090"/>
      <c r="J41" s="268">
        <f>SUM(J38:J40)</f>
        <v>287</v>
      </c>
      <c r="K41" s="268">
        <f>SUM(K38:K40)</f>
        <v>174</v>
      </c>
      <c r="L41" s="1104"/>
      <c r="M41" s="268">
        <v>266</v>
      </c>
      <c r="N41" s="268">
        <v>278</v>
      </c>
      <c r="O41" s="1074"/>
      <c r="P41" s="269">
        <f>SUM(P38:P40)</f>
        <v>268</v>
      </c>
      <c r="Q41" s="269">
        <f>SUM(Q38:Q40)</f>
        <v>280</v>
      </c>
      <c r="R41" s="1081"/>
      <c r="S41" s="966"/>
    </row>
    <row r="42" spans="2:20" ht="21.4" customHeight="1" x14ac:dyDescent="0.35">
      <c r="B42" s="1095" t="s">
        <v>163</v>
      </c>
      <c r="C42" s="1096"/>
      <c r="D42" s="40">
        <f>D34+D38</f>
        <v>327</v>
      </c>
      <c r="E42" s="40">
        <f>E38+E34</f>
        <v>406</v>
      </c>
      <c r="F42" s="1090"/>
      <c r="G42" s="40">
        <f t="shared" ref="G42:H45" si="0">SUM(G34,G38)</f>
        <v>371</v>
      </c>
      <c r="H42" s="40">
        <f t="shared" si="0"/>
        <v>301</v>
      </c>
      <c r="I42" s="1090"/>
      <c r="J42" s="40">
        <f t="shared" ref="J42:K44" si="1">SUM(J34,J38)</f>
        <v>444</v>
      </c>
      <c r="K42" s="40">
        <f t="shared" si="1"/>
        <v>287</v>
      </c>
      <c r="L42" s="1104"/>
      <c r="M42" s="40">
        <v>430</v>
      </c>
      <c r="N42" s="40">
        <v>389</v>
      </c>
      <c r="O42" s="1074"/>
      <c r="P42" s="165">
        <f t="shared" ref="P42:Q44" si="2">P38+P34</f>
        <v>505</v>
      </c>
      <c r="Q42" s="165">
        <f t="shared" si="2"/>
        <v>440</v>
      </c>
      <c r="R42" s="1081"/>
      <c r="S42" s="966"/>
    </row>
    <row r="43" spans="2:20" ht="21.4" customHeight="1" x14ac:dyDescent="0.35">
      <c r="B43" s="1101" t="s">
        <v>225</v>
      </c>
      <c r="C43" s="1102"/>
      <c r="D43" s="116">
        <f>D35+D39</f>
        <v>47</v>
      </c>
      <c r="E43" s="116">
        <f>E39+E35</f>
        <v>190</v>
      </c>
      <c r="F43" s="1090"/>
      <c r="G43" s="116">
        <f t="shared" si="0"/>
        <v>52</v>
      </c>
      <c r="H43" s="116">
        <f t="shared" si="0"/>
        <v>33</v>
      </c>
      <c r="I43" s="1090"/>
      <c r="J43" s="116">
        <f t="shared" si="1"/>
        <v>87</v>
      </c>
      <c r="K43" s="116">
        <f t="shared" si="1"/>
        <v>34</v>
      </c>
      <c r="L43" s="1104"/>
      <c r="M43" s="116">
        <v>96</v>
      </c>
      <c r="N43" s="116">
        <v>133</v>
      </c>
      <c r="O43" s="1074"/>
      <c r="P43" s="165">
        <f t="shared" si="2"/>
        <v>99</v>
      </c>
      <c r="Q43" s="165">
        <f t="shared" si="2"/>
        <v>150</v>
      </c>
      <c r="R43" s="1081"/>
      <c r="S43" s="966"/>
    </row>
    <row r="44" spans="2:20" ht="21.4" customHeight="1" x14ac:dyDescent="0.35">
      <c r="B44" s="1101" t="s">
        <v>226</v>
      </c>
      <c r="C44" s="1102"/>
      <c r="D44" s="116">
        <f>D40+D36</f>
        <v>4</v>
      </c>
      <c r="E44" s="116">
        <f>E40+E36</f>
        <v>34</v>
      </c>
      <c r="F44" s="1090"/>
      <c r="G44" s="116">
        <f t="shared" si="0"/>
        <v>3</v>
      </c>
      <c r="H44" s="116">
        <f t="shared" si="0"/>
        <v>1</v>
      </c>
      <c r="I44" s="1090"/>
      <c r="J44" s="116">
        <f t="shared" si="1"/>
        <v>9</v>
      </c>
      <c r="K44" s="116">
        <f t="shared" si="1"/>
        <v>1</v>
      </c>
      <c r="L44" s="1104"/>
      <c r="M44" s="116">
        <v>9</v>
      </c>
      <c r="N44" s="116">
        <v>10</v>
      </c>
      <c r="O44" s="1074"/>
      <c r="P44" s="165">
        <f t="shared" si="2"/>
        <v>6</v>
      </c>
      <c r="Q44" s="165">
        <f t="shared" si="2"/>
        <v>13</v>
      </c>
      <c r="R44" s="1081"/>
      <c r="S44" s="966"/>
    </row>
    <row r="45" spans="2:20" ht="21.4" customHeight="1" x14ac:dyDescent="0.35">
      <c r="B45" s="1099" t="s">
        <v>49</v>
      </c>
      <c r="C45" s="1100"/>
      <c r="D45" s="263">
        <f>D44+D43+D42</f>
        <v>378</v>
      </c>
      <c r="E45" s="263">
        <f>SUM(E42:E44)</f>
        <v>630</v>
      </c>
      <c r="F45" s="1090"/>
      <c r="G45" s="263">
        <f t="shared" si="0"/>
        <v>426</v>
      </c>
      <c r="H45" s="263">
        <f t="shared" si="0"/>
        <v>335</v>
      </c>
      <c r="I45" s="1090"/>
      <c r="J45" s="263">
        <f>SUM(J42:J44)</f>
        <v>540</v>
      </c>
      <c r="K45" s="263">
        <f>SUM(K42:K44)</f>
        <v>322</v>
      </c>
      <c r="L45" s="1104"/>
      <c r="M45" s="13">
        <v>535</v>
      </c>
      <c r="N45" s="13">
        <v>532</v>
      </c>
      <c r="O45" s="1074"/>
      <c r="P45" s="165">
        <f>SUM(P42:P44)</f>
        <v>610</v>
      </c>
      <c r="Q45" s="165">
        <f>SUM(Q42:Q44)</f>
        <v>603</v>
      </c>
      <c r="R45" s="1081"/>
      <c r="S45" s="961"/>
    </row>
    <row r="46" spans="2:20" ht="21.4" customHeight="1" x14ac:dyDescent="0.35">
      <c r="P46" s="161"/>
      <c r="Q46" s="161"/>
      <c r="R46" s="161"/>
    </row>
    <row r="47" spans="2:20" ht="25.15" customHeight="1" x14ac:dyDescent="0.35">
      <c r="B47" s="703" t="s">
        <v>463</v>
      </c>
      <c r="C47" s="53"/>
      <c r="D47" s="53"/>
      <c r="E47" s="53"/>
      <c r="F47" s="53"/>
      <c r="G47" s="53"/>
      <c r="H47" s="53"/>
      <c r="I47" s="53"/>
      <c r="J47" s="53"/>
      <c r="K47" s="53"/>
      <c r="L47" s="53"/>
    </row>
    <row r="48" spans="2:20" ht="30.4" customHeight="1" x14ac:dyDescent="0.35">
      <c r="B48" s="129"/>
      <c r="C48" s="264" t="s">
        <v>219</v>
      </c>
      <c r="D48" s="978">
        <v>2020</v>
      </c>
      <c r="E48" s="959"/>
      <c r="F48" s="960"/>
      <c r="G48" s="978">
        <v>2021</v>
      </c>
      <c r="H48" s="959"/>
      <c r="I48" s="960"/>
      <c r="J48" s="978">
        <v>2022</v>
      </c>
      <c r="K48" s="959"/>
      <c r="L48" s="960"/>
      <c r="M48" s="959">
        <v>2023</v>
      </c>
      <c r="N48" s="959"/>
      <c r="O48" s="959"/>
      <c r="P48" s="959">
        <v>2024</v>
      </c>
      <c r="Q48" s="959"/>
      <c r="R48" s="959"/>
      <c r="S48" s="87" t="s">
        <v>23</v>
      </c>
      <c r="T48" s="87"/>
    </row>
    <row r="49" spans="2:20" ht="68.25" customHeight="1" x14ac:dyDescent="0.35">
      <c r="B49" s="144"/>
      <c r="C49" s="265"/>
      <c r="D49" s="266" t="s">
        <v>220</v>
      </c>
      <c r="E49" s="266" t="s">
        <v>221</v>
      </c>
      <c r="F49" s="267" t="s">
        <v>204</v>
      </c>
      <c r="G49" s="266" t="s">
        <v>220</v>
      </c>
      <c r="H49" s="266" t="s">
        <v>221</v>
      </c>
      <c r="I49" s="267" t="s">
        <v>204</v>
      </c>
      <c r="J49" s="266" t="s">
        <v>220</v>
      </c>
      <c r="K49" s="266" t="s">
        <v>221</v>
      </c>
      <c r="L49" s="267" t="s">
        <v>204</v>
      </c>
      <c r="M49" s="266" t="s">
        <v>220</v>
      </c>
      <c r="N49" s="266" t="s">
        <v>221</v>
      </c>
      <c r="O49" s="266" t="s">
        <v>204</v>
      </c>
      <c r="P49" s="266" t="s">
        <v>220</v>
      </c>
      <c r="Q49" s="266" t="s">
        <v>221</v>
      </c>
      <c r="R49" s="266" t="s">
        <v>204</v>
      </c>
      <c r="S49" s="966" t="s">
        <v>210</v>
      </c>
      <c r="T49" s="966"/>
    </row>
    <row r="50" spans="2:20" ht="31" customHeight="1" x14ac:dyDescent="0.35">
      <c r="B50" s="1091" t="s">
        <v>152</v>
      </c>
      <c r="C50" s="841" t="s">
        <v>163</v>
      </c>
      <c r="D50" s="44">
        <v>116</v>
      </c>
      <c r="E50" s="44">
        <v>151</v>
      </c>
      <c r="F50" s="1090" t="s">
        <v>42</v>
      </c>
      <c r="G50" s="44">
        <v>133</v>
      </c>
      <c r="H50" s="44">
        <v>173</v>
      </c>
      <c r="I50" s="1090">
        <f>(H61)/(('Human resources'!C13+'Human resources'!D13)/2)</f>
        <v>0.42927631578947367</v>
      </c>
      <c r="J50" s="271">
        <v>93</v>
      </c>
      <c r="K50" s="271">
        <v>129</v>
      </c>
      <c r="L50" s="1090">
        <f>(K61)/(('Human resources'!D13+'Human resources'!E13)/2)</f>
        <v>0.47513278609367454</v>
      </c>
      <c r="M50" s="271">
        <v>29</v>
      </c>
      <c r="N50" s="271">
        <v>41</v>
      </c>
      <c r="O50" s="1079">
        <f>(N61)/(('Human resources'!E13+'Human resources'!F13)/2)</f>
        <v>0.26618269812462192</v>
      </c>
      <c r="P50" s="273">
        <v>6</v>
      </c>
      <c r="Q50" s="273">
        <v>24</v>
      </c>
      <c r="R50" s="1082">
        <f>(Q61)/(('Human resources'!G13+'Human resources'!F13)/2)</f>
        <v>0.18307692307692308</v>
      </c>
      <c r="S50" s="966"/>
      <c r="T50" s="966"/>
    </row>
    <row r="51" spans="2:20" ht="26" customHeight="1" x14ac:dyDescent="0.35">
      <c r="B51" s="1092"/>
      <c r="C51" s="842" t="s">
        <v>164</v>
      </c>
      <c r="D51" s="36">
        <v>34</v>
      </c>
      <c r="E51" s="36">
        <v>71</v>
      </c>
      <c r="F51" s="1090"/>
      <c r="G51" s="36">
        <v>38</v>
      </c>
      <c r="H51" s="36">
        <v>101</v>
      </c>
      <c r="I51" s="1090"/>
      <c r="J51" s="272">
        <v>32</v>
      </c>
      <c r="K51" s="272">
        <v>120</v>
      </c>
      <c r="L51" s="1090"/>
      <c r="M51" s="272">
        <v>17</v>
      </c>
      <c r="N51" s="272">
        <v>63</v>
      </c>
      <c r="O51" s="1079"/>
      <c r="P51" s="273">
        <v>3</v>
      </c>
      <c r="Q51" s="273">
        <v>39</v>
      </c>
      <c r="R51" s="1083"/>
      <c r="S51" s="966"/>
      <c r="T51" s="966"/>
    </row>
    <row r="52" spans="2:20" ht="21.4" customHeight="1" x14ac:dyDescent="0.35">
      <c r="B52" s="1092"/>
      <c r="C52" s="842" t="s">
        <v>222</v>
      </c>
      <c r="D52" s="36">
        <v>4</v>
      </c>
      <c r="E52" s="36">
        <v>10</v>
      </c>
      <c r="F52" s="1090"/>
      <c r="G52" s="36">
        <v>5</v>
      </c>
      <c r="H52" s="36">
        <v>14</v>
      </c>
      <c r="I52" s="1090"/>
      <c r="J52" s="272">
        <v>5</v>
      </c>
      <c r="K52" s="272">
        <v>15</v>
      </c>
      <c r="L52" s="1090"/>
      <c r="M52" s="272">
        <v>5</v>
      </c>
      <c r="N52" s="272">
        <v>14</v>
      </c>
      <c r="O52" s="1079"/>
      <c r="P52" s="273">
        <v>5</v>
      </c>
      <c r="Q52" s="273">
        <v>14</v>
      </c>
      <c r="R52" s="1083"/>
      <c r="S52" s="966"/>
      <c r="T52" s="966"/>
    </row>
    <row r="53" spans="2:20" ht="21.4" customHeight="1" x14ac:dyDescent="0.35">
      <c r="B53" s="1093" t="s">
        <v>223</v>
      </c>
      <c r="C53" s="1094"/>
      <c r="D53" s="274">
        <f>D52+D51+D50</f>
        <v>154</v>
      </c>
      <c r="E53" s="274">
        <f>E52+E51+E50</f>
        <v>232</v>
      </c>
      <c r="F53" s="1090"/>
      <c r="G53" s="274">
        <f>G52+G51+G50</f>
        <v>176</v>
      </c>
      <c r="H53" s="274">
        <f>H52+H51+H50</f>
        <v>288</v>
      </c>
      <c r="I53" s="1090"/>
      <c r="J53" s="268">
        <f>SUM(J50:J52)</f>
        <v>130</v>
      </c>
      <c r="K53" s="268">
        <f>SUM(K50:K52)</f>
        <v>264</v>
      </c>
      <c r="L53" s="1090"/>
      <c r="M53" s="268">
        <v>51</v>
      </c>
      <c r="N53" s="268">
        <v>118</v>
      </c>
      <c r="O53" s="1079"/>
      <c r="P53" s="273">
        <f>SUM(P50:P52)</f>
        <v>14</v>
      </c>
      <c r="Q53" s="273">
        <f>Q52+Q51+Q50</f>
        <v>77</v>
      </c>
      <c r="R53" s="1083"/>
      <c r="S53" s="966"/>
      <c r="T53" s="966"/>
    </row>
    <row r="54" spans="2:20" ht="24" customHeight="1" x14ac:dyDescent="0.35">
      <c r="B54" s="1091" t="s">
        <v>151</v>
      </c>
      <c r="C54" s="841" t="s">
        <v>163</v>
      </c>
      <c r="D54" s="44">
        <v>145</v>
      </c>
      <c r="E54" s="44">
        <v>148</v>
      </c>
      <c r="F54" s="1090"/>
      <c r="G54" s="44">
        <v>120</v>
      </c>
      <c r="H54" s="44">
        <v>171</v>
      </c>
      <c r="I54" s="1090"/>
      <c r="J54" s="271">
        <v>66</v>
      </c>
      <c r="K54" s="271">
        <v>151</v>
      </c>
      <c r="L54" s="1090"/>
      <c r="M54" s="271">
        <v>16</v>
      </c>
      <c r="N54" s="271">
        <v>28</v>
      </c>
      <c r="O54" s="1079"/>
      <c r="P54" s="273">
        <v>4</v>
      </c>
      <c r="Q54" s="273">
        <v>15</v>
      </c>
      <c r="R54" s="1083"/>
      <c r="S54" s="966"/>
      <c r="T54" s="966"/>
    </row>
    <row r="55" spans="2:20" ht="29" customHeight="1" x14ac:dyDescent="0.35">
      <c r="B55" s="1092"/>
      <c r="C55" s="842" t="s">
        <v>164</v>
      </c>
      <c r="D55" s="36">
        <v>27</v>
      </c>
      <c r="E55" s="36">
        <v>44</v>
      </c>
      <c r="F55" s="1090"/>
      <c r="G55" s="36">
        <v>35</v>
      </c>
      <c r="H55" s="36">
        <v>60</v>
      </c>
      <c r="I55" s="1090"/>
      <c r="J55" s="272">
        <v>13</v>
      </c>
      <c r="K55" s="272">
        <v>73</v>
      </c>
      <c r="L55" s="1090"/>
      <c r="M55" s="272">
        <v>13</v>
      </c>
      <c r="N55" s="272">
        <v>66</v>
      </c>
      <c r="O55" s="1079"/>
      <c r="P55" s="273">
        <v>5</v>
      </c>
      <c r="Q55" s="273">
        <v>23</v>
      </c>
      <c r="R55" s="1083"/>
      <c r="S55" s="966"/>
      <c r="T55" s="966"/>
    </row>
    <row r="56" spans="2:20" ht="21.4" customHeight="1" x14ac:dyDescent="0.35">
      <c r="B56" s="1092"/>
      <c r="C56" s="842" t="s">
        <v>222</v>
      </c>
      <c r="D56" s="36">
        <v>0</v>
      </c>
      <c r="E56" s="36">
        <v>7</v>
      </c>
      <c r="F56" s="1090"/>
      <c r="G56" s="36">
        <v>0</v>
      </c>
      <c r="H56" s="36">
        <v>3</v>
      </c>
      <c r="I56" s="1090"/>
      <c r="J56" s="272">
        <v>0</v>
      </c>
      <c r="K56" s="272">
        <v>4</v>
      </c>
      <c r="L56" s="1090"/>
      <c r="M56" s="272">
        <v>2</v>
      </c>
      <c r="N56" s="272">
        <v>8</v>
      </c>
      <c r="O56" s="1079"/>
      <c r="P56" s="273">
        <v>1</v>
      </c>
      <c r="Q56" s="273">
        <v>4</v>
      </c>
      <c r="R56" s="1083"/>
      <c r="S56" s="966"/>
      <c r="T56" s="966"/>
    </row>
    <row r="57" spans="2:20" ht="21.4" customHeight="1" x14ac:dyDescent="0.35">
      <c r="B57" s="1093" t="s">
        <v>224</v>
      </c>
      <c r="C57" s="1094"/>
      <c r="D57" s="274">
        <f>D56+D55+D54</f>
        <v>172</v>
      </c>
      <c r="E57" s="274">
        <f>E56+E55+E54</f>
        <v>199</v>
      </c>
      <c r="F57" s="1090"/>
      <c r="G57" s="274">
        <f>G56+G55+G54</f>
        <v>155</v>
      </c>
      <c r="H57" s="274">
        <f>H56+H55+H54</f>
        <v>234</v>
      </c>
      <c r="I57" s="1090"/>
      <c r="J57" s="268">
        <f>SUM(J54:J56)</f>
        <v>79</v>
      </c>
      <c r="K57" s="268">
        <f>SUM(K54:K56)</f>
        <v>228</v>
      </c>
      <c r="L57" s="1090"/>
      <c r="M57" s="268">
        <v>31</v>
      </c>
      <c r="N57" s="268">
        <v>102</v>
      </c>
      <c r="O57" s="1079"/>
      <c r="P57" s="273">
        <f>SUM(P54:P56)</f>
        <v>10</v>
      </c>
      <c r="Q57" s="273">
        <f>Q56+Q55+Q54</f>
        <v>42</v>
      </c>
      <c r="R57" s="1083"/>
      <c r="S57" s="966"/>
      <c r="T57" s="966"/>
    </row>
    <row r="58" spans="2:20" ht="21.4" customHeight="1" x14ac:dyDescent="0.35">
      <c r="B58" s="1086" t="s">
        <v>163</v>
      </c>
      <c r="C58" s="1087"/>
      <c r="D58" s="44">
        <f t="shared" ref="D58:E60" si="3">D54+D50</f>
        <v>261</v>
      </c>
      <c r="E58" s="44">
        <f t="shared" si="3"/>
        <v>299</v>
      </c>
      <c r="F58" s="1090"/>
      <c r="G58" s="44">
        <f>G54+G50</f>
        <v>253</v>
      </c>
      <c r="H58" s="44">
        <f>H50+H54</f>
        <v>344</v>
      </c>
      <c r="I58" s="1090"/>
      <c r="J58" s="40">
        <f t="shared" ref="J58:K60" si="4">SUM(J50,J54)</f>
        <v>159</v>
      </c>
      <c r="K58" s="40">
        <f t="shared" si="4"/>
        <v>280</v>
      </c>
      <c r="L58" s="1090"/>
      <c r="M58" s="40">
        <v>45</v>
      </c>
      <c r="N58" s="40">
        <v>69</v>
      </c>
      <c r="O58" s="1079"/>
      <c r="P58" s="273">
        <f>P54+P50</f>
        <v>10</v>
      </c>
      <c r="Q58" s="273">
        <f>Q54+Q50</f>
        <v>39</v>
      </c>
      <c r="R58" s="1083"/>
      <c r="S58" s="966"/>
      <c r="T58" s="966"/>
    </row>
    <row r="59" spans="2:20" ht="21.4" customHeight="1" x14ac:dyDescent="0.35">
      <c r="B59" s="1088" t="s">
        <v>225</v>
      </c>
      <c r="C59" s="1089"/>
      <c r="D59" s="36">
        <f t="shared" si="3"/>
        <v>61</v>
      </c>
      <c r="E59" s="36">
        <f t="shared" si="3"/>
        <v>115</v>
      </c>
      <c r="F59" s="1090"/>
      <c r="G59" s="36">
        <f>G55+G51</f>
        <v>73</v>
      </c>
      <c r="H59" s="36">
        <f>H55+H51</f>
        <v>161</v>
      </c>
      <c r="I59" s="1090"/>
      <c r="J59" s="116">
        <f>SUM(J51,J55)</f>
        <v>45</v>
      </c>
      <c r="K59" s="116">
        <f t="shared" si="4"/>
        <v>193</v>
      </c>
      <c r="L59" s="1090"/>
      <c r="M59" s="116">
        <v>30</v>
      </c>
      <c r="N59" s="116">
        <v>129</v>
      </c>
      <c r="O59" s="1079"/>
      <c r="P59" s="273">
        <f>P55+P51</f>
        <v>8</v>
      </c>
      <c r="Q59" s="273">
        <f>Q51+Q55</f>
        <v>62</v>
      </c>
      <c r="R59" s="1083"/>
      <c r="S59" s="966"/>
      <c r="T59" s="966"/>
    </row>
    <row r="60" spans="2:20" ht="21.4" customHeight="1" x14ac:dyDescent="0.35">
      <c r="B60" s="1088" t="s">
        <v>226</v>
      </c>
      <c r="C60" s="1089"/>
      <c r="D60" s="36">
        <f t="shared" si="3"/>
        <v>4</v>
      </c>
      <c r="E60" s="36">
        <f t="shared" si="3"/>
        <v>17</v>
      </c>
      <c r="F60" s="1090"/>
      <c r="G60" s="36">
        <f>G56+G52</f>
        <v>5</v>
      </c>
      <c r="H60" s="36">
        <f>H56+H52</f>
        <v>17</v>
      </c>
      <c r="I60" s="1090"/>
      <c r="J60" s="116">
        <f t="shared" si="4"/>
        <v>5</v>
      </c>
      <c r="K60" s="116">
        <f t="shared" si="4"/>
        <v>19</v>
      </c>
      <c r="L60" s="1090"/>
      <c r="M60" s="116">
        <v>7</v>
      </c>
      <c r="N60" s="116">
        <v>22</v>
      </c>
      <c r="O60" s="1079"/>
      <c r="P60" s="273">
        <f>P52+P56</f>
        <v>6</v>
      </c>
      <c r="Q60" s="273">
        <f>Q52+Q56</f>
        <v>18</v>
      </c>
      <c r="R60" s="1083"/>
      <c r="S60" s="966"/>
      <c r="T60" s="966"/>
    </row>
    <row r="61" spans="2:20" ht="21.4" customHeight="1" x14ac:dyDescent="0.35">
      <c r="B61" s="1084" t="s">
        <v>49</v>
      </c>
      <c r="C61" s="1085"/>
      <c r="D61" s="37">
        <v>326</v>
      </c>
      <c r="E61" s="37">
        <v>431</v>
      </c>
      <c r="F61" s="1090"/>
      <c r="G61" s="37">
        <v>331</v>
      </c>
      <c r="H61" s="37">
        <v>522</v>
      </c>
      <c r="I61" s="1090"/>
      <c r="J61" s="263">
        <v>209</v>
      </c>
      <c r="K61" s="263">
        <v>492</v>
      </c>
      <c r="L61" s="1090"/>
      <c r="M61" s="263">
        <v>82</v>
      </c>
      <c r="N61" s="263">
        <v>220</v>
      </c>
      <c r="O61" s="1079"/>
      <c r="P61" s="273">
        <f>P60+P59+P58</f>
        <v>24</v>
      </c>
      <c r="Q61" s="273">
        <f>Q60+Q59+Q58</f>
        <v>119</v>
      </c>
      <c r="R61" s="1083"/>
      <c r="S61" s="961"/>
      <c r="T61" s="961"/>
    </row>
    <row r="62" spans="2:20" ht="21.4" customHeight="1" x14ac:dyDescent="0.35"/>
    <row r="64" spans="2:20" ht="14.65" customHeight="1" x14ac:dyDescent="0.35"/>
    <row r="65" spans="3:4" x14ac:dyDescent="0.3">
      <c r="C65" s="22"/>
      <c r="D65" s="22"/>
    </row>
  </sheetData>
  <mergeCells count="77">
    <mergeCell ref="S8:S9"/>
    <mergeCell ref="T8:T9"/>
    <mergeCell ref="T10:T13"/>
    <mergeCell ref="S10:S11"/>
    <mergeCell ref="S12:S13"/>
    <mergeCell ref="J48:L48"/>
    <mergeCell ref="O18:O29"/>
    <mergeCell ref="F34:F45"/>
    <mergeCell ref="I34:I45"/>
    <mergeCell ref="L34:L45"/>
    <mergeCell ref="O34:O45"/>
    <mergeCell ref="L18:L29"/>
    <mergeCell ref="M48:O48"/>
    <mergeCell ref="B42:C42"/>
    <mergeCell ref="B45:C45"/>
    <mergeCell ref="D16:F16"/>
    <mergeCell ref="G16:I16"/>
    <mergeCell ref="J16:L16"/>
    <mergeCell ref="B37:C37"/>
    <mergeCell ref="J32:L32"/>
    <mergeCell ref="B27:C27"/>
    <mergeCell ref="B18:B20"/>
    <mergeCell ref="B21:C21"/>
    <mergeCell ref="B28:C28"/>
    <mergeCell ref="B29:C29"/>
    <mergeCell ref="B43:C43"/>
    <mergeCell ref="B44:C44"/>
    <mergeCell ref="B38:B40"/>
    <mergeCell ref="B41:C41"/>
    <mergeCell ref="I50:I61"/>
    <mergeCell ref="L50:L61"/>
    <mergeCell ref="S33:S45"/>
    <mergeCell ref="S17:S29"/>
    <mergeCell ref="B50:B52"/>
    <mergeCell ref="B53:C53"/>
    <mergeCell ref="D32:F32"/>
    <mergeCell ref="B34:B36"/>
    <mergeCell ref="D48:F48"/>
    <mergeCell ref="G48:I48"/>
    <mergeCell ref="B22:B24"/>
    <mergeCell ref="B25:C25"/>
    <mergeCell ref="B26:C26"/>
    <mergeCell ref="F18:F29"/>
    <mergeCell ref="I18:I29"/>
    <mergeCell ref="G32:I32"/>
    <mergeCell ref="B61:C61"/>
    <mergeCell ref="B58:C58"/>
    <mergeCell ref="B59:C59"/>
    <mergeCell ref="B60:C60"/>
    <mergeCell ref="F50:F61"/>
    <mergeCell ref="B54:B56"/>
    <mergeCell ref="B57:C57"/>
    <mergeCell ref="T49:T61"/>
    <mergeCell ref="O50:O61"/>
    <mergeCell ref="P32:R32"/>
    <mergeCell ref="P16:R16"/>
    <mergeCell ref="P48:R48"/>
    <mergeCell ref="S49:S61"/>
    <mergeCell ref="R18:R29"/>
    <mergeCell ref="R34:R45"/>
    <mergeCell ref="R50:R61"/>
    <mergeCell ref="F8:F9"/>
    <mergeCell ref="N8:N9"/>
    <mergeCell ref="K8:M8"/>
    <mergeCell ref="F12:F13"/>
    <mergeCell ref="F10:F11"/>
    <mergeCell ref="J10:J11"/>
    <mergeCell ref="J8:J9"/>
    <mergeCell ref="J12:J13"/>
    <mergeCell ref="N10:N11"/>
    <mergeCell ref="N12:N13"/>
    <mergeCell ref="O8:O9"/>
    <mergeCell ref="O10:O11"/>
    <mergeCell ref="O12:O13"/>
    <mergeCell ref="M32:O32"/>
    <mergeCell ref="P8:R8"/>
    <mergeCell ref="M16:O16"/>
  </mergeCells>
  <pageMargins left="0.7" right="0.7" top="0.75" bottom="0.75" header="0.3" footer="0.3"/>
  <pageSetup paperSize="9" orientation="portrait" r:id="rId1"/>
  <headerFooter scaleWithDoc="0"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I24"/>
  <sheetViews>
    <sheetView showGridLines="0" zoomScale="50" zoomScaleNormal="50" workbookViewId="0">
      <selection activeCell="H22" sqref="H22"/>
    </sheetView>
  </sheetViews>
  <sheetFormatPr defaultColWidth="9.26953125" defaultRowHeight="14" x14ac:dyDescent="0.35"/>
  <cols>
    <col min="1" max="1" width="3.7265625" style="12" customWidth="1"/>
    <col min="2" max="2" width="20.81640625" style="12" customWidth="1"/>
    <col min="3" max="3" width="7.81640625" style="12" customWidth="1"/>
    <col min="4" max="4" width="13.54296875" style="12" customWidth="1"/>
    <col min="5" max="5" width="6.1796875" style="12" customWidth="1"/>
    <col min="6" max="6" width="13.54296875" style="12" customWidth="1"/>
    <col min="7" max="7" width="7.54296875" style="12" customWidth="1"/>
    <col min="8" max="8" width="12.7265625" style="12" customWidth="1"/>
    <col min="9" max="9" width="7.1796875" style="12" customWidth="1"/>
    <col min="10" max="10" width="12.81640625" style="12" customWidth="1"/>
    <col min="11" max="11" width="8.1796875" style="12" customWidth="1"/>
    <col min="12" max="12" width="12.453125" style="12" customWidth="1"/>
    <col min="13" max="13" width="8.54296875" style="12" customWidth="1"/>
    <col min="14" max="14" width="13.26953125" style="12" customWidth="1"/>
    <col min="15" max="15" width="7.1796875" style="12" customWidth="1"/>
    <col min="16" max="16" width="10.7265625" style="12" customWidth="1"/>
    <col min="17" max="17" width="8.54296875" style="12" customWidth="1"/>
    <col min="18" max="18" width="12.81640625" style="12" customWidth="1"/>
    <col min="19" max="19" width="8.453125" style="12" customWidth="1"/>
    <col min="20" max="20" width="13.54296875" style="12" customWidth="1"/>
    <col min="21" max="21" width="8" style="12" customWidth="1"/>
    <col min="22" max="22" width="13.1796875" style="12" customWidth="1"/>
    <col min="23" max="23" width="7.1796875" style="12" customWidth="1"/>
    <col min="24" max="24" width="11.81640625" style="12" customWidth="1"/>
    <col min="25" max="25" width="7.81640625" style="12" customWidth="1"/>
    <col min="26" max="26" width="12" style="12" customWidth="1"/>
    <col min="27" max="27" width="7.453125" style="12" customWidth="1"/>
    <col min="28" max="28" width="13.1796875" style="12" customWidth="1"/>
    <col min="29" max="29" width="5.54296875" style="12" customWidth="1"/>
    <col min="30" max="30" width="12.1796875" style="12" customWidth="1"/>
    <col min="31" max="31" width="5.81640625" style="12" customWidth="1"/>
    <col min="32" max="32" width="12" style="12" customWidth="1"/>
    <col min="33" max="33" width="7.26953125" style="12" customWidth="1"/>
    <col min="34" max="34" width="11.81640625" style="12" customWidth="1"/>
    <col min="35" max="35" width="13.1796875" style="12" customWidth="1"/>
    <col min="36" max="36" width="9.26953125" style="12" customWidth="1"/>
    <col min="37" max="16384" width="9.26953125" style="12"/>
  </cols>
  <sheetData>
    <row r="1" spans="2:35" ht="15" customHeight="1" x14ac:dyDescent="0.35">
      <c r="B1" s="13"/>
      <c r="C1" s="13"/>
      <c r="D1" s="13"/>
      <c r="E1" s="13"/>
      <c r="F1" s="13"/>
      <c r="G1" s="13"/>
      <c r="H1" s="13"/>
      <c r="I1" s="13"/>
      <c r="J1" s="13"/>
      <c r="K1" s="13"/>
      <c r="L1" s="13"/>
      <c r="M1" s="13"/>
      <c r="N1" s="13"/>
      <c r="O1" s="13"/>
    </row>
    <row r="2" spans="2:35" ht="15" customHeight="1" x14ac:dyDescent="0.35">
      <c r="B2" s="13"/>
      <c r="C2" s="13"/>
      <c r="D2" s="13"/>
      <c r="E2" s="13"/>
      <c r="F2" s="13"/>
      <c r="G2" s="13"/>
      <c r="H2" s="13"/>
      <c r="I2" s="13"/>
      <c r="J2" s="13"/>
      <c r="K2" s="13"/>
      <c r="L2" s="13"/>
      <c r="M2" s="13"/>
      <c r="N2" s="13"/>
      <c r="O2" s="13"/>
    </row>
    <row r="3" spans="2:35" ht="15" customHeight="1" x14ac:dyDescent="0.35">
      <c r="B3" s="13"/>
      <c r="C3" s="13"/>
      <c r="D3" s="13"/>
      <c r="E3" s="13"/>
      <c r="F3" s="13"/>
      <c r="G3" s="13"/>
      <c r="H3" s="13"/>
      <c r="I3" s="13"/>
      <c r="J3" s="13"/>
      <c r="K3" s="13"/>
      <c r="L3" s="13"/>
      <c r="M3" s="13"/>
      <c r="N3" s="13"/>
      <c r="O3" s="13"/>
    </row>
    <row r="4" spans="2:35" ht="15" customHeight="1" x14ac:dyDescent="0.35">
      <c r="B4" s="13"/>
      <c r="C4" s="13"/>
      <c r="D4" s="13"/>
      <c r="E4" s="13"/>
      <c r="F4" s="13"/>
      <c r="G4" s="13"/>
      <c r="H4" s="13"/>
      <c r="I4" s="13"/>
      <c r="J4" s="13"/>
      <c r="K4" s="13"/>
      <c r="L4" s="13"/>
      <c r="M4" s="13"/>
      <c r="N4" s="13"/>
      <c r="O4" s="13"/>
      <c r="R4" s="18"/>
      <c r="S4" s="18"/>
      <c r="T4" s="18"/>
      <c r="U4" s="18"/>
    </row>
    <row r="5" spans="2:35" ht="25.15" customHeight="1" thickBot="1" x14ac:dyDescent="0.4">
      <c r="B5" s="725" t="s">
        <v>14</v>
      </c>
      <c r="C5" s="768"/>
      <c r="D5" s="768"/>
      <c r="E5" s="11"/>
      <c r="F5" s="11"/>
      <c r="G5" s="11"/>
      <c r="H5" s="11"/>
      <c r="I5" s="11"/>
      <c r="J5" s="11"/>
      <c r="K5" s="11"/>
      <c r="L5" s="11"/>
      <c r="M5" s="11"/>
      <c r="N5" s="11"/>
      <c r="O5" s="11"/>
      <c r="P5" s="11"/>
      <c r="Q5" s="11"/>
      <c r="R5" s="11"/>
      <c r="S5" s="11"/>
      <c r="T5" s="11"/>
      <c r="U5" s="11"/>
      <c r="V5" s="11"/>
      <c r="W5" s="11"/>
      <c r="X5" s="11"/>
      <c r="Y5" s="11"/>
      <c r="Z5" s="11"/>
      <c r="AA5" s="11"/>
    </row>
    <row r="6" spans="2:35" ht="15" customHeight="1" thickTop="1" x14ac:dyDescent="0.35">
      <c r="B6" s="21"/>
      <c r="C6" s="13"/>
      <c r="D6" s="13"/>
      <c r="E6" s="13"/>
      <c r="F6" s="13"/>
      <c r="G6" s="13"/>
      <c r="H6" s="13"/>
      <c r="I6" s="13"/>
      <c r="J6" s="13"/>
      <c r="K6" s="13"/>
      <c r="L6" s="13"/>
      <c r="M6" s="13"/>
      <c r="N6" s="13"/>
      <c r="O6" s="13"/>
      <c r="P6" s="13"/>
      <c r="Q6" s="13"/>
      <c r="R6" s="13"/>
      <c r="S6" s="13"/>
      <c r="T6" s="13"/>
      <c r="U6" s="13"/>
    </row>
    <row r="7" spans="2:35" s="13" customFormat="1" ht="21.4" customHeight="1" x14ac:dyDescent="0.35">
      <c r="B7" s="703" t="s">
        <v>229</v>
      </c>
      <c r="C7" s="703"/>
      <c r="D7" s="703"/>
      <c r="E7" s="703"/>
      <c r="F7" s="703"/>
      <c r="G7" s="53"/>
      <c r="H7" s="53"/>
      <c r="I7" s="53"/>
      <c r="J7" s="53"/>
      <c r="K7" s="53"/>
      <c r="L7" s="53"/>
      <c r="M7" s="53"/>
      <c r="N7" s="53"/>
      <c r="O7" s="53"/>
      <c r="P7" s="53"/>
      <c r="Q7" s="53"/>
      <c r="R7" s="53"/>
      <c r="S7" s="53"/>
      <c r="T7" s="53"/>
      <c r="U7" s="53"/>
      <c r="V7" s="53"/>
      <c r="W7" s="53"/>
      <c r="X7" s="53"/>
    </row>
    <row r="8" spans="2:35" s="13" customFormat="1" ht="30.4" customHeight="1" thickBot="1" x14ac:dyDescent="0.4">
      <c r="B8" s="130"/>
      <c r="C8" s="873" t="s">
        <v>38</v>
      </c>
      <c r="D8" s="873"/>
      <c r="E8" s="873"/>
      <c r="F8" s="873"/>
      <c r="G8" s="873"/>
      <c r="H8" s="873"/>
      <c r="I8" s="873"/>
      <c r="J8" s="1114"/>
      <c r="K8" s="1116" t="s">
        <v>39</v>
      </c>
      <c r="L8" s="873"/>
      <c r="M8" s="873"/>
      <c r="N8" s="873"/>
      <c r="O8" s="873"/>
      <c r="P8" s="873"/>
      <c r="Q8" s="873"/>
      <c r="R8" s="873"/>
      <c r="S8" s="873" t="s">
        <v>40</v>
      </c>
      <c r="T8" s="873"/>
      <c r="U8" s="873"/>
      <c r="V8" s="873"/>
      <c r="W8" s="873"/>
      <c r="X8" s="873"/>
      <c r="Y8" s="873"/>
      <c r="Z8" s="1114"/>
      <c r="AA8" s="1116" t="s">
        <v>41</v>
      </c>
      <c r="AB8" s="873"/>
      <c r="AC8" s="873"/>
      <c r="AD8" s="873"/>
      <c r="AE8" s="873"/>
      <c r="AF8" s="873"/>
      <c r="AG8" s="873"/>
      <c r="AH8" s="873"/>
      <c r="AI8" s="873" t="s">
        <v>23</v>
      </c>
    </row>
    <row r="9" spans="2:35" s="13" customFormat="1" ht="21.4" customHeight="1" x14ac:dyDescent="0.35">
      <c r="B9" s="164"/>
      <c r="C9" s="1117">
        <v>2021</v>
      </c>
      <c r="D9" s="1110"/>
      <c r="E9" s="1109">
        <v>2022</v>
      </c>
      <c r="F9" s="1110"/>
      <c r="G9" s="1109">
        <v>2023</v>
      </c>
      <c r="H9" s="1110"/>
      <c r="I9" s="1109">
        <v>2024</v>
      </c>
      <c r="J9" s="1113"/>
      <c r="K9" s="1117">
        <v>2021</v>
      </c>
      <c r="L9" s="1110"/>
      <c r="M9" s="1115">
        <v>2022</v>
      </c>
      <c r="N9" s="1110"/>
      <c r="O9" s="1115">
        <v>2023</v>
      </c>
      <c r="P9" s="1110"/>
      <c r="Q9" s="1115">
        <v>2024</v>
      </c>
      <c r="R9" s="1113"/>
      <c r="S9" s="1117">
        <v>2021</v>
      </c>
      <c r="T9" s="1110"/>
      <c r="U9" s="1115">
        <v>2022</v>
      </c>
      <c r="V9" s="1110"/>
      <c r="W9" s="1109">
        <v>2023</v>
      </c>
      <c r="X9" s="1110"/>
      <c r="Y9" s="1109">
        <v>2024</v>
      </c>
      <c r="Z9" s="1113"/>
      <c r="AA9" s="220">
        <v>2021</v>
      </c>
      <c r="AB9" s="221"/>
      <c r="AC9" s="1111">
        <v>2022</v>
      </c>
      <c r="AD9" s="1112"/>
      <c r="AE9" s="1111">
        <v>2023</v>
      </c>
      <c r="AF9" s="1112"/>
      <c r="AG9" s="1111">
        <v>2024</v>
      </c>
      <c r="AH9" s="1112"/>
      <c r="AI9" s="873"/>
    </row>
    <row r="10" spans="2:35" s="13" customFormat="1" ht="46" customHeight="1" x14ac:dyDescent="0.35">
      <c r="B10" s="222"/>
      <c r="C10" s="821" t="s">
        <v>146</v>
      </c>
      <c r="D10" s="822" t="s">
        <v>147</v>
      </c>
      <c r="E10" s="823" t="s">
        <v>146</v>
      </c>
      <c r="F10" s="822" t="s">
        <v>147</v>
      </c>
      <c r="G10" s="823" t="s">
        <v>146</v>
      </c>
      <c r="H10" s="822" t="s">
        <v>147</v>
      </c>
      <c r="I10" s="823" t="s">
        <v>146</v>
      </c>
      <c r="J10" s="824" t="s">
        <v>147</v>
      </c>
      <c r="K10" s="821" t="s">
        <v>146</v>
      </c>
      <c r="L10" s="822" t="s">
        <v>147</v>
      </c>
      <c r="M10" s="823" t="s">
        <v>146</v>
      </c>
      <c r="N10" s="822" t="s">
        <v>147</v>
      </c>
      <c r="O10" s="823" t="s">
        <v>146</v>
      </c>
      <c r="P10" s="822" t="s">
        <v>147</v>
      </c>
      <c r="Q10" s="823" t="s">
        <v>146</v>
      </c>
      <c r="R10" s="824" t="s">
        <v>147</v>
      </c>
      <c r="S10" s="821" t="s">
        <v>146</v>
      </c>
      <c r="T10" s="822" t="s">
        <v>147</v>
      </c>
      <c r="U10" s="823" t="s">
        <v>146</v>
      </c>
      <c r="V10" s="822" t="s">
        <v>147</v>
      </c>
      <c r="W10" s="823" t="s">
        <v>146</v>
      </c>
      <c r="X10" s="822" t="s">
        <v>147</v>
      </c>
      <c r="Y10" s="823" t="s">
        <v>146</v>
      </c>
      <c r="Z10" s="824" t="s">
        <v>147</v>
      </c>
      <c r="AA10" s="823" t="s">
        <v>146</v>
      </c>
      <c r="AB10" s="822" t="s">
        <v>147</v>
      </c>
      <c r="AC10" s="823" t="s">
        <v>146</v>
      </c>
      <c r="AD10" s="822" t="s">
        <v>147</v>
      </c>
      <c r="AE10" s="823" t="s">
        <v>146</v>
      </c>
      <c r="AF10" s="822" t="s">
        <v>147</v>
      </c>
      <c r="AG10" s="823" t="s">
        <v>146</v>
      </c>
      <c r="AH10" s="223" t="s">
        <v>147</v>
      </c>
      <c r="AI10" s="1118" t="s">
        <v>26</v>
      </c>
    </row>
    <row r="11" spans="2:35" s="13" customFormat="1" ht="21.4" customHeight="1" x14ac:dyDescent="0.35">
      <c r="B11" s="692" t="s">
        <v>25</v>
      </c>
      <c r="C11" s="224">
        <v>278</v>
      </c>
      <c r="D11" s="225">
        <f>278/5556</f>
        <v>5.003599712023038E-2</v>
      </c>
      <c r="E11" s="226">
        <v>282</v>
      </c>
      <c r="F11" s="225">
        <f>282/5610</f>
        <v>5.0267379679144387E-2</v>
      </c>
      <c r="G11" s="227">
        <f>5432*H11</f>
        <v>255.304</v>
      </c>
      <c r="H11" s="225">
        <v>4.7E-2</v>
      </c>
      <c r="I11" s="227">
        <v>247</v>
      </c>
      <c r="J11" s="228">
        <v>4.5499999999999999E-2</v>
      </c>
      <c r="K11" s="224">
        <v>61</v>
      </c>
      <c r="L11" s="225">
        <f>61/5556</f>
        <v>1.0979121670266379E-2</v>
      </c>
      <c r="M11" s="226">
        <v>62</v>
      </c>
      <c r="N11" s="225">
        <f>62/5610</f>
        <v>1.1051693404634581E-2</v>
      </c>
      <c r="O11" s="227">
        <f>P11*5432</f>
        <v>54.32</v>
      </c>
      <c r="P11" s="225">
        <v>0.01</v>
      </c>
      <c r="Q11" s="229">
        <v>100</v>
      </c>
      <c r="R11" s="230">
        <v>1.84E-2</v>
      </c>
      <c r="S11" s="231" t="s">
        <v>42</v>
      </c>
      <c r="T11" s="232" t="s">
        <v>42</v>
      </c>
      <c r="U11" s="233" t="s">
        <v>42</v>
      </c>
      <c r="V11" s="232" t="s">
        <v>42</v>
      </c>
      <c r="W11" s="234">
        <f>5432*X11</f>
        <v>81.48</v>
      </c>
      <c r="X11" s="235">
        <v>1.4999999999999999E-2</v>
      </c>
      <c r="Y11" s="229">
        <v>275</v>
      </c>
      <c r="Z11" s="230">
        <v>5.0700000000000002E-2</v>
      </c>
      <c r="AA11" s="233">
        <v>241</v>
      </c>
      <c r="AB11" s="236">
        <f>241/5556</f>
        <v>4.3376529877609794E-2</v>
      </c>
      <c r="AC11" s="233">
        <v>282</v>
      </c>
      <c r="AD11" s="236">
        <v>5.1999999999999998E-2</v>
      </c>
      <c r="AE11" s="234">
        <f>5432*AF11</f>
        <v>450.85600000000005</v>
      </c>
      <c r="AF11" s="236">
        <v>8.3000000000000004E-2</v>
      </c>
      <c r="AG11" s="229">
        <v>451</v>
      </c>
      <c r="AH11" s="237">
        <v>8.3099999999999993E-2</v>
      </c>
      <c r="AI11" s="1118"/>
    </row>
    <row r="12" spans="2:35" s="13" customFormat="1" ht="21.4" customHeight="1" x14ac:dyDescent="0.35">
      <c r="B12" s="693" t="s">
        <v>412</v>
      </c>
      <c r="C12" s="238" t="s">
        <v>42</v>
      </c>
      <c r="D12" s="239" t="s">
        <v>42</v>
      </c>
      <c r="E12" s="116">
        <v>28</v>
      </c>
      <c r="F12" s="239">
        <v>2.5000000000000001E-2</v>
      </c>
      <c r="G12" s="116">
        <v>20</v>
      </c>
      <c r="H12" s="225">
        <f>G12/5432</f>
        <v>3.6818851251840942E-3</v>
      </c>
      <c r="I12" s="116">
        <v>21</v>
      </c>
      <c r="J12" s="228">
        <v>1.9E-2</v>
      </c>
      <c r="K12" s="238" t="s">
        <v>42</v>
      </c>
      <c r="L12" s="240" t="s">
        <v>42</v>
      </c>
      <c r="M12" s="116" t="s">
        <v>42</v>
      </c>
      <c r="N12" s="240" t="s">
        <v>42</v>
      </c>
      <c r="O12" s="116">
        <v>19</v>
      </c>
      <c r="P12" s="225">
        <v>1.6E-2</v>
      </c>
      <c r="Q12" s="116">
        <v>18</v>
      </c>
      <c r="R12" s="228">
        <v>1.6299999999999999E-2</v>
      </c>
      <c r="S12" s="238" t="s">
        <v>42</v>
      </c>
      <c r="T12" s="240" t="s">
        <v>42</v>
      </c>
      <c r="U12" s="116" t="s">
        <v>42</v>
      </c>
      <c r="V12" s="240" t="s">
        <v>42</v>
      </c>
      <c r="W12" s="116">
        <v>8</v>
      </c>
      <c r="X12" s="239">
        <v>6.8999999999999999E-3</v>
      </c>
      <c r="Y12" s="116">
        <v>11</v>
      </c>
      <c r="Z12" s="241">
        <v>0.01</v>
      </c>
      <c r="AA12" s="116">
        <v>85</v>
      </c>
      <c r="AB12" s="239">
        <v>7.4999999999999997E-2</v>
      </c>
      <c r="AC12" s="116">
        <v>97</v>
      </c>
      <c r="AD12" s="242">
        <f>97/1115</f>
        <v>8.6995515695067263E-2</v>
      </c>
      <c r="AE12" s="116">
        <v>158</v>
      </c>
      <c r="AF12" s="243">
        <v>0.15</v>
      </c>
      <c r="AG12" s="116">
        <v>133</v>
      </c>
      <c r="AH12" s="243">
        <v>0.12</v>
      </c>
      <c r="AI12" s="1118"/>
    </row>
    <row r="13" spans="2:35" s="13" customFormat="1" ht="21.4" customHeight="1" x14ac:dyDescent="0.35">
      <c r="B13" s="693" t="s">
        <v>27</v>
      </c>
      <c r="C13" s="238" t="s">
        <v>42</v>
      </c>
      <c r="D13" s="240" t="s">
        <v>42</v>
      </c>
      <c r="E13" s="116" t="s">
        <v>42</v>
      </c>
      <c r="F13" s="240" t="s">
        <v>42</v>
      </c>
      <c r="G13" s="116">
        <v>68</v>
      </c>
      <c r="H13" s="225">
        <v>4.0332147093712932E-2</v>
      </c>
      <c r="I13" s="36">
        <v>70</v>
      </c>
      <c r="J13" s="244">
        <v>0.04</v>
      </c>
      <c r="K13" s="238" t="s">
        <v>42</v>
      </c>
      <c r="L13" s="240" t="s">
        <v>42</v>
      </c>
      <c r="M13" s="116" t="s">
        <v>42</v>
      </c>
      <c r="N13" s="240" t="s">
        <v>42</v>
      </c>
      <c r="O13" s="116">
        <v>21</v>
      </c>
      <c r="P13" s="243">
        <v>0.01</v>
      </c>
      <c r="Q13" s="116">
        <v>22</v>
      </c>
      <c r="R13" s="245">
        <v>0.01</v>
      </c>
      <c r="S13" s="238" t="s">
        <v>42</v>
      </c>
      <c r="T13" s="240" t="s">
        <v>42</v>
      </c>
      <c r="U13" s="116" t="s">
        <v>42</v>
      </c>
      <c r="V13" s="240" t="s">
        <v>42</v>
      </c>
      <c r="W13" s="116">
        <v>107</v>
      </c>
      <c r="X13" s="243">
        <v>0.06</v>
      </c>
      <c r="Y13" s="116">
        <v>101</v>
      </c>
      <c r="Z13" s="245">
        <v>0.06</v>
      </c>
      <c r="AA13" s="116" t="s">
        <v>42</v>
      </c>
      <c r="AB13" s="240" t="s">
        <v>42</v>
      </c>
      <c r="AC13" s="116" t="s">
        <v>42</v>
      </c>
      <c r="AD13" s="240" t="s">
        <v>42</v>
      </c>
      <c r="AE13" s="116">
        <v>41</v>
      </c>
      <c r="AF13" s="243">
        <v>0.02</v>
      </c>
      <c r="AG13" s="116">
        <v>52</v>
      </c>
      <c r="AH13" s="243">
        <v>0.03</v>
      </c>
      <c r="AI13" s="1118"/>
    </row>
    <row r="14" spans="2:35" s="13" customFormat="1" ht="21.4" customHeight="1" x14ac:dyDescent="0.35">
      <c r="B14" s="693" t="s">
        <v>457</v>
      </c>
      <c r="C14" s="238" t="s">
        <v>42</v>
      </c>
      <c r="D14" s="240" t="s">
        <v>42</v>
      </c>
      <c r="E14" s="116">
        <v>30</v>
      </c>
      <c r="F14" s="239">
        <v>3.2000000000000001E-2</v>
      </c>
      <c r="G14" s="116">
        <v>18</v>
      </c>
      <c r="H14" s="225">
        <v>2.5600000000000001E-2</v>
      </c>
      <c r="I14" s="116">
        <v>17</v>
      </c>
      <c r="J14" s="228">
        <v>2.8500000000000001E-2</v>
      </c>
      <c r="K14" s="246" t="s">
        <v>42</v>
      </c>
      <c r="L14" s="240" t="s">
        <v>42</v>
      </c>
      <c r="M14" s="116" t="s">
        <v>42</v>
      </c>
      <c r="N14" s="240" t="s">
        <v>42</v>
      </c>
      <c r="O14" s="116">
        <v>10</v>
      </c>
      <c r="P14" s="239">
        <v>1.4200000000000001E-2</v>
      </c>
      <c r="Q14" s="247" t="s">
        <v>42</v>
      </c>
      <c r="R14" s="248" t="s">
        <v>42</v>
      </c>
      <c r="S14" s="238" t="s">
        <v>42</v>
      </c>
      <c r="T14" s="240" t="s">
        <v>42</v>
      </c>
      <c r="U14" s="116" t="s">
        <v>42</v>
      </c>
      <c r="V14" s="240" t="s">
        <v>42</v>
      </c>
      <c r="W14" s="116">
        <v>10</v>
      </c>
      <c r="X14" s="239">
        <v>1.4200000000000001E-2</v>
      </c>
      <c r="Y14" s="116" t="s">
        <v>42</v>
      </c>
      <c r="Z14" s="248" t="s">
        <v>42</v>
      </c>
      <c r="AA14" s="116" t="s">
        <v>42</v>
      </c>
      <c r="AB14" s="240" t="s">
        <v>42</v>
      </c>
      <c r="AC14" s="116" t="s">
        <v>42</v>
      </c>
      <c r="AD14" s="240" t="s">
        <v>42</v>
      </c>
      <c r="AE14" s="116">
        <v>21</v>
      </c>
      <c r="AF14" s="243">
        <v>2.9989999999999999E-2</v>
      </c>
      <c r="AG14" s="116" t="s">
        <v>42</v>
      </c>
      <c r="AH14" s="240" t="s">
        <v>42</v>
      </c>
      <c r="AI14" s="1118"/>
    </row>
    <row r="15" spans="2:35" ht="14.5" thickBot="1" x14ac:dyDescent="0.35">
      <c r="B15" s="820" t="s">
        <v>230</v>
      </c>
      <c r="C15" s="825">
        <f>C11</f>
        <v>278</v>
      </c>
      <c r="D15" s="826">
        <f>C15/9458</f>
        <v>2.9393106364982026E-2</v>
      </c>
      <c r="E15" s="827">
        <f>E11+E12+E14</f>
        <v>340</v>
      </c>
      <c r="F15" s="826">
        <f>E15/9317</f>
        <v>3.6492433186648063E-2</v>
      </c>
      <c r="G15" s="828">
        <f>G11+G12+G13+G14</f>
        <v>361.30399999999997</v>
      </c>
      <c r="H15" s="826">
        <f>G15/8974</f>
        <v>4.0261199019389342E-2</v>
      </c>
      <c r="I15" s="828">
        <f>I11+I12+I13+I14</f>
        <v>355</v>
      </c>
      <c r="J15" s="829">
        <f>I15/8800</f>
        <v>4.0340909090909094E-2</v>
      </c>
      <c r="K15" s="830">
        <f>K11</f>
        <v>61</v>
      </c>
      <c r="L15" s="829">
        <f>K15/9458</f>
        <v>6.4495665045464154E-3</v>
      </c>
      <c r="M15" s="831">
        <f>M11</f>
        <v>62</v>
      </c>
      <c r="N15" s="826">
        <f>M15/9317</f>
        <v>6.6545025222711175E-3</v>
      </c>
      <c r="O15" s="828">
        <f>O11+O12+O13+O14</f>
        <v>104.32</v>
      </c>
      <c r="P15" s="826">
        <f>O15/8974</f>
        <v>1.1624693559170937E-2</v>
      </c>
      <c r="Q15" s="832">
        <f>Q11+Q12+Q13</f>
        <v>140</v>
      </c>
      <c r="R15" s="829">
        <f>Q15/8800</f>
        <v>1.5909090909090907E-2</v>
      </c>
      <c r="S15" s="249" t="s">
        <v>42</v>
      </c>
      <c r="T15" s="250" t="s">
        <v>42</v>
      </c>
      <c r="U15" s="250" t="s">
        <v>42</v>
      </c>
      <c r="V15" s="250" t="s">
        <v>42</v>
      </c>
      <c r="W15" s="828">
        <f>W11+W12+W13+W14</f>
        <v>206.48000000000002</v>
      </c>
      <c r="X15" s="826">
        <f>206/8974</f>
        <v>2.2955203922442612E-2</v>
      </c>
      <c r="Y15" s="832">
        <f>Y11+Y12+Y13</f>
        <v>387</v>
      </c>
      <c r="Z15" s="829">
        <f>Y15/8800</f>
        <v>4.3977272727272726E-2</v>
      </c>
      <c r="AA15" s="833">
        <f>AA11+AA12</f>
        <v>326</v>
      </c>
      <c r="AB15" s="829">
        <f>AA15/9458</f>
        <v>3.446817508987101E-2</v>
      </c>
      <c r="AC15" s="833">
        <f>AC11+AC12</f>
        <v>379</v>
      </c>
      <c r="AD15" s="834">
        <f>AC15/9317</f>
        <v>4.067832993452828E-2</v>
      </c>
      <c r="AE15" s="835">
        <f>AE11+AE12+AE13+AE14</f>
        <v>670.85599999999999</v>
      </c>
      <c r="AF15" s="834">
        <f>AE15/8974</f>
        <v>7.4755515934923106E-2</v>
      </c>
      <c r="AG15" s="836">
        <f>AG11+AG12+AG13</f>
        <v>636</v>
      </c>
      <c r="AH15" s="834">
        <v>7.1999999999999995E-2</v>
      </c>
      <c r="AI15" s="251"/>
    </row>
    <row r="16" spans="2:35" x14ac:dyDescent="0.35">
      <c r="AF16" s="252"/>
    </row>
    <row r="17" spans="2:9" x14ac:dyDescent="0.35">
      <c r="D17" s="253"/>
      <c r="E17" s="253"/>
    </row>
    <row r="19" spans="2:9" ht="15.5" x14ac:dyDescent="0.35">
      <c r="B19" s="703" t="s">
        <v>231</v>
      </c>
      <c r="C19" s="704"/>
      <c r="D19" s="704"/>
      <c r="E19" s="704"/>
      <c r="F19" s="704"/>
      <c r="G19" s="704"/>
      <c r="H19" s="704"/>
      <c r="I19" s="704"/>
    </row>
    <row r="21" spans="2:9" x14ac:dyDescent="0.35">
      <c r="B21" s="819">
        <v>2021</v>
      </c>
      <c r="C21" s="254">
        <f>D15+L15+AB15</f>
        <v>7.0310847959399458E-2</v>
      </c>
    </row>
    <row r="22" spans="2:9" x14ac:dyDescent="0.35">
      <c r="B22" s="819">
        <v>2022</v>
      </c>
      <c r="C22" s="254">
        <f>AD15+N15+F15</f>
        <v>8.3825265643447458E-2</v>
      </c>
    </row>
    <row r="23" spans="2:9" x14ac:dyDescent="0.35">
      <c r="B23" s="819">
        <v>2023</v>
      </c>
      <c r="C23" s="254">
        <f>H15+P15+X15+AF15</f>
        <v>0.14959661243592598</v>
      </c>
    </row>
    <row r="24" spans="2:9" x14ac:dyDescent="0.35">
      <c r="B24" s="819">
        <v>2024</v>
      </c>
      <c r="C24" s="254">
        <v>0.17</v>
      </c>
    </row>
  </sheetData>
  <mergeCells count="21">
    <mergeCell ref="AG9:AH9"/>
    <mergeCell ref="AA8:AH8"/>
    <mergeCell ref="AI8:AI9"/>
    <mergeCell ref="AI10:AI14"/>
    <mergeCell ref="AE9:AF9"/>
    <mergeCell ref="W9:X9"/>
    <mergeCell ref="AC9:AD9"/>
    <mergeCell ref="Y9:Z9"/>
    <mergeCell ref="S8:Z8"/>
    <mergeCell ref="G9:H9"/>
    <mergeCell ref="O9:P9"/>
    <mergeCell ref="U9:V9"/>
    <mergeCell ref="C8:J8"/>
    <mergeCell ref="K8:R8"/>
    <mergeCell ref="C9:D9"/>
    <mergeCell ref="E9:F9"/>
    <mergeCell ref="K9:L9"/>
    <mergeCell ref="M9:N9"/>
    <mergeCell ref="S9:T9"/>
    <mergeCell ref="I9:J9"/>
    <mergeCell ref="Q9:R9"/>
  </mergeCells>
  <pageMargins left="0.7" right="0.7" top="0.75" bottom="0.75" header="0.3" footer="0.3"/>
  <pageSetup paperSize="9"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57"/>
  <sheetViews>
    <sheetView showGridLines="0" topLeftCell="A44" zoomScale="50" zoomScaleNormal="50" workbookViewId="0">
      <selection activeCell="H71" sqref="H71"/>
    </sheetView>
  </sheetViews>
  <sheetFormatPr defaultColWidth="9.26953125" defaultRowHeight="14" x14ac:dyDescent="0.35"/>
  <cols>
    <col min="1" max="1" width="3.7265625" style="12" customWidth="1"/>
    <col min="2" max="2" width="32.453125" style="13" customWidth="1"/>
    <col min="3" max="3" width="12" style="13" customWidth="1"/>
    <col min="4" max="6" width="10.7265625" style="13" customWidth="1"/>
    <col min="7" max="7" width="12" style="13" customWidth="1"/>
    <col min="8" max="15" width="10.7265625" style="13" customWidth="1"/>
    <col min="16" max="16" width="9.26953125" style="12" customWidth="1"/>
    <col min="17" max="17" width="11.453125" style="12" customWidth="1"/>
    <col min="18" max="18" width="12.81640625" style="12" customWidth="1"/>
    <col min="19" max="19" width="10.453125" style="12" customWidth="1"/>
    <col min="20" max="20" width="9.26953125" style="12" customWidth="1"/>
    <col min="21" max="21" width="11.26953125" style="12" customWidth="1"/>
    <col min="22" max="22" width="11.81640625" style="12" customWidth="1"/>
    <col min="23" max="23" width="10.54296875" style="12" customWidth="1"/>
    <col min="24" max="24" width="9.26953125" style="12" customWidth="1"/>
    <col min="25" max="16384" width="9.26953125" style="12"/>
  </cols>
  <sheetData>
    <row r="1" spans="2:23" ht="15" customHeight="1" x14ac:dyDescent="0.35">
      <c r="L1" s="12"/>
      <c r="M1" s="12"/>
      <c r="N1" s="12"/>
      <c r="O1" s="12"/>
    </row>
    <row r="2" spans="2:23" ht="15" customHeight="1" x14ac:dyDescent="0.35">
      <c r="L2" s="12"/>
      <c r="M2" s="12"/>
      <c r="N2" s="12"/>
      <c r="O2" s="12"/>
    </row>
    <row r="3" spans="2:23" ht="15" customHeight="1" x14ac:dyDescent="0.35">
      <c r="L3" s="12"/>
      <c r="M3" s="12"/>
      <c r="N3" s="12"/>
      <c r="O3" s="12"/>
    </row>
    <row r="4" spans="2:23" ht="15" customHeight="1" x14ac:dyDescent="0.35">
      <c r="L4" s="12"/>
      <c r="M4" s="12"/>
      <c r="N4" s="18"/>
      <c r="O4" s="18"/>
    </row>
    <row r="5" spans="2:23" ht="25.15" customHeight="1" thickBot="1" x14ac:dyDescent="0.4">
      <c r="B5" s="725" t="s">
        <v>16</v>
      </c>
      <c r="C5" s="11"/>
      <c r="D5" s="11"/>
      <c r="E5" s="11"/>
      <c r="F5" s="11"/>
      <c r="G5" s="11"/>
      <c r="H5" s="11"/>
      <c r="I5" s="11"/>
      <c r="J5" s="11"/>
      <c r="K5" s="11"/>
      <c r="L5" s="11"/>
      <c r="M5" s="11"/>
      <c r="N5" s="11"/>
      <c r="O5" s="11"/>
      <c r="P5" s="11"/>
      <c r="Q5" s="11"/>
      <c r="R5" s="11"/>
      <c r="S5" s="11"/>
    </row>
    <row r="6" spans="2:23" ht="15" customHeight="1" thickTop="1" x14ac:dyDescent="0.35">
      <c r="B6" s="21"/>
    </row>
    <row r="7" spans="2:23" ht="25.15" customHeight="1" x14ac:dyDescent="0.35">
      <c r="B7" s="53" t="s">
        <v>232</v>
      </c>
      <c r="C7" s="53"/>
      <c r="D7" s="53"/>
      <c r="E7" s="53"/>
      <c r="F7" s="53"/>
      <c r="G7" s="53"/>
      <c r="H7" s="53"/>
      <c r="I7" s="53"/>
      <c r="J7" s="53"/>
      <c r="K7" s="53"/>
      <c r="L7" s="53"/>
      <c r="M7" s="53"/>
      <c r="N7" s="53"/>
      <c r="O7" s="53"/>
    </row>
    <row r="8" spans="2:23" ht="21.4" customHeight="1" x14ac:dyDescent="0.35">
      <c r="B8" s="85"/>
      <c r="C8" s="959">
        <v>2020</v>
      </c>
      <c r="D8" s="959"/>
      <c r="E8" s="959"/>
      <c r="F8" s="960"/>
      <c r="G8" s="978">
        <v>2021</v>
      </c>
      <c r="H8" s="959"/>
      <c r="I8" s="959"/>
      <c r="J8" s="960"/>
      <c r="K8" s="978">
        <v>2022</v>
      </c>
      <c r="L8" s="959"/>
      <c r="M8" s="959"/>
      <c r="N8" s="1046"/>
      <c r="O8" s="1045">
        <v>2023</v>
      </c>
      <c r="P8" s="959"/>
      <c r="Q8" s="959"/>
      <c r="R8" s="985"/>
      <c r="S8" s="1131">
        <v>2024</v>
      </c>
      <c r="T8" s="959"/>
      <c r="U8" s="959"/>
      <c r="V8" s="985"/>
      <c r="W8" s="1012" t="s">
        <v>23</v>
      </c>
    </row>
    <row r="9" spans="2:23" ht="29" customHeight="1" x14ac:dyDescent="0.35">
      <c r="B9" s="143"/>
      <c r="C9" s="752" t="s">
        <v>25</v>
      </c>
      <c r="D9" s="752" t="s">
        <v>166</v>
      </c>
      <c r="E9" s="752" t="s">
        <v>27</v>
      </c>
      <c r="F9" s="847" t="s">
        <v>457</v>
      </c>
      <c r="G9" s="752" t="s">
        <v>25</v>
      </c>
      <c r="H9" s="752" t="s">
        <v>412</v>
      </c>
      <c r="I9" s="752" t="s">
        <v>27</v>
      </c>
      <c r="J9" s="847" t="s">
        <v>457</v>
      </c>
      <c r="K9" s="752" t="s">
        <v>25</v>
      </c>
      <c r="L9" s="752" t="s">
        <v>412</v>
      </c>
      <c r="M9" s="752" t="s">
        <v>27</v>
      </c>
      <c r="N9" s="857" t="s">
        <v>457</v>
      </c>
      <c r="O9" s="752" t="s">
        <v>25</v>
      </c>
      <c r="P9" s="752" t="s">
        <v>412</v>
      </c>
      <c r="Q9" s="752" t="s">
        <v>27</v>
      </c>
      <c r="R9" s="220" t="s">
        <v>457</v>
      </c>
      <c r="S9" s="752" t="s">
        <v>25</v>
      </c>
      <c r="T9" s="752" t="s">
        <v>412</v>
      </c>
      <c r="U9" s="752" t="s">
        <v>27</v>
      </c>
      <c r="V9" s="220" t="s">
        <v>457</v>
      </c>
      <c r="W9" s="1012"/>
    </row>
    <row r="10" spans="2:23" ht="40.15" customHeight="1" x14ac:dyDescent="0.35">
      <c r="B10" s="146" t="s">
        <v>233</v>
      </c>
      <c r="C10" s="464" t="s">
        <v>42</v>
      </c>
      <c r="D10" s="147">
        <v>548</v>
      </c>
      <c r="E10" s="147">
        <v>27</v>
      </c>
      <c r="F10" s="148">
        <v>1074</v>
      </c>
      <c r="G10" s="149">
        <v>5556</v>
      </c>
      <c r="H10" s="149">
        <v>1123</v>
      </c>
      <c r="I10" s="147">
        <v>102</v>
      </c>
      <c r="J10" s="148">
        <v>693</v>
      </c>
      <c r="K10" s="147">
        <f>3641+1969</f>
        <v>5610</v>
      </c>
      <c r="L10" s="150">
        <v>1115</v>
      </c>
      <c r="M10" s="147">
        <v>127</v>
      </c>
      <c r="N10" s="151">
        <v>950</v>
      </c>
      <c r="O10" s="97">
        <v>5454</v>
      </c>
      <c r="P10" s="150">
        <v>870</v>
      </c>
      <c r="Q10" s="147">
        <v>323</v>
      </c>
      <c r="R10" s="148">
        <v>885</v>
      </c>
      <c r="S10" s="152">
        <v>5425</v>
      </c>
      <c r="T10" s="149">
        <v>2932</v>
      </c>
      <c r="U10" s="147">
        <v>387</v>
      </c>
      <c r="V10" s="147">
        <v>1758</v>
      </c>
      <c r="W10" s="1132" t="s">
        <v>234</v>
      </c>
    </row>
    <row r="11" spans="2:23" ht="53.5" customHeight="1" x14ac:dyDescent="0.35">
      <c r="B11" s="153" t="s">
        <v>235</v>
      </c>
      <c r="C11" s="466" t="s">
        <v>42</v>
      </c>
      <c r="D11" s="154">
        <v>4.05</v>
      </c>
      <c r="E11" s="155">
        <v>5.5</v>
      </c>
      <c r="F11" s="156">
        <v>13</v>
      </c>
      <c r="G11" s="774" t="s">
        <v>236</v>
      </c>
      <c r="H11" s="154">
        <v>6.9279437609841832</v>
      </c>
      <c r="I11" s="155">
        <v>7</v>
      </c>
      <c r="J11" s="156">
        <v>15</v>
      </c>
      <c r="K11" s="774" t="s">
        <v>237</v>
      </c>
      <c r="L11" s="154">
        <v>5.5013452914798204</v>
      </c>
      <c r="M11" s="155">
        <v>7</v>
      </c>
      <c r="N11" s="157">
        <v>20.100000000000001</v>
      </c>
      <c r="O11" s="816" t="s">
        <v>238</v>
      </c>
      <c r="P11" s="154">
        <v>10.4</v>
      </c>
      <c r="Q11" s="155">
        <v>8.9</v>
      </c>
      <c r="R11" s="156">
        <v>8</v>
      </c>
      <c r="S11" s="817" t="s">
        <v>239</v>
      </c>
      <c r="T11" s="154">
        <v>11.5</v>
      </c>
      <c r="U11" s="155">
        <v>11.73</v>
      </c>
      <c r="V11" s="155">
        <v>8</v>
      </c>
      <c r="W11" s="1132"/>
    </row>
    <row r="12" spans="2:23" ht="21.4" customHeight="1" x14ac:dyDescent="0.35"/>
    <row r="13" spans="2:23" ht="25.15" customHeight="1" x14ac:dyDescent="0.35">
      <c r="B13" s="703" t="s">
        <v>240</v>
      </c>
      <c r="C13" s="53"/>
      <c r="D13" s="53"/>
      <c r="E13" s="53"/>
      <c r="F13" s="53"/>
    </row>
    <row r="14" spans="2:23" ht="30.4" customHeight="1" x14ac:dyDescent="0.35">
      <c r="B14" s="85"/>
      <c r="C14" s="158"/>
      <c r="D14" s="978">
        <v>2023</v>
      </c>
      <c r="E14" s="960"/>
      <c r="F14" s="978">
        <v>2024</v>
      </c>
      <c r="G14" s="985"/>
      <c r="H14" s="1128" t="s">
        <v>23</v>
      </c>
      <c r="I14" s="159"/>
      <c r="J14" s="159"/>
      <c r="K14" s="159"/>
      <c r="L14" s="159" t="s">
        <v>413</v>
      </c>
      <c r="M14" s="160" t="s">
        <v>23</v>
      </c>
      <c r="N14" s="161"/>
      <c r="O14" s="12"/>
    </row>
    <row r="15" spans="2:23" ht="15" customHeight="1" x14ac:dyDescent="0.35">
      <c r="B15" s="162"/>
      <c r="C15" s="163"/>
      <c r="D15" s="164" t="s">
        <v>152</v>
      </c>
      <c r="E15" s="164" t="s">
        <v>151</v>
      </c>
      <c r="F15" s="164" t="s">
        <v>152</v>
      </c>
      <c r="G15" s="164" t="s">
        <v>151</v>
      </c>
      <c r="H15" s="1128"/>
      <c r="I15" s="165"/>
      <c r="J15" s="161"/>
      <c r="K15" s="161"/>
      <c r="L15" s="161"/>
      <c r="M15" s="166"/>
      <c r="N15" s="161"/>
      <c r="O15" s="12"/>
    </row>
    <row r="16" spans="2:23" ht="15" customHeight="1" x14ac:dyDescent="0.35">
      <c r="B16" s="1120" t="s">
        <v>241</v>
      </c>
      <c r="C16" s="167" t="s">
        <v>159</v>
      </c>
      <c r="D16" s="1121">
        <v>0.94</v>
      </c>
      <c r="E16" s="1122"/>
      <c r="F16" s="168">
        <v>426</v>
      </c>
      <c r="G16" s="168">
        <v>191</v>
      </c>
      <c r="H16" s="1133" t="s">
        <v>242</v>
      </c>
      <c r="I16" s="165"/>
      <c r="J16" s="161"/>
      <c r="K16" s="161"/>
      <c r="L16" s="161"/>
      <c r="M16" s="166"/>
      <c r="N16" s="161"/>
      <c r="O16" s="12"/>
    </row>
    <row r="17" spans="2:20" ht="15" customHeight="1" x14ac:dyDescent="0.35">
      <c r="B17" s="1120"/>
      <c r="C17" s="169" t="s">
        <v>160</v>
      </c>
      <c r="D17" s="1121"/>
      <c r="E17" s="1122"/>
      <c r="F17" s="170">
        <v>3080</v>
      </c>
      <c r="G17" s="170">
        <v>1515</v>
      </c>
      <c r="H17" s="1133"/>
      <c r="I17" s="165"/>
      <c r="J17" s="161"/>
      <c r="K17" s="161"/>
      <c r="L17" s="161"/>
      <c r="M17" s="166"/>
      <c r="N17" s="161"/>
      <c r="O17" s="12"/>
    </row>
    <row r="18" spans="2:20" ht="15" customHeight="1" x14ac:dyDescent="0.35">
      <c r="B18" s="1120"/>
      <c r="C18" s="169" t="s">
        <v>243</v>
      </c>
      <c r="D18" s="1121"/>
      <c r="E18" s="1122"/>
      <c r="F18" s="1134">
        <v>0.96</v>
      </c>
      <c r="G18" s="1135"/>
      <c r="H18" s="1133"/>
      <c r="I18" s="165"/>
      <c r="J18" s="161"/>
      <c r="K18" s="161"/>
      <c r="L18" s="161"/>
      <c r="M18" s="166"/>
      <c r="N18" s="161"/>
      <c r="O18" s="12"/>
    </row>
    <row r="19" spans="2:20" ht="15" customHeight="1" x14ac:dyDescent="0.35">
      <c r="B19" s="1120"/>
      <c r="C19" s="169" t="s">
        <v>244</v>
      </c>
      <c r="D19" s="1121"/>
      <c r="E19" s="1122"/>
      <c r="F19" s="171"/>
      <c r="G19" s="171"/>
      <c r="H19" s="1133"/>
      <c r="I19" s="165"/>
      <c r="J19" s="161"/>
      <c r="K19" s="161"/>
      <c r="L19" s="161"/>
      <c r="M19" s="166"/>
      <c r="N19" s="161"/>
      <c r="O19" s="12"/>
    </row>
    <row r="20" spans="2:20" ht="15" customHeight="1" x14ac:dyDescent="0.35">
      <c r="B20" s="1120"/>
      <c r="C20" s="172" t="s">
        <v>245</v>
      </c>
      <c r="D20" s="1121"/>
      <c r="E20" s="1122"/>
      <c r="F20" s="173"/>
      <c r="G20" s="173"/>
      <c r="H20" s="1133"/>
      <c r="I20" s="165"/>
      <c r="J20" s="161"/>
      <c r="K20" s="161"/>
      <c r="L20" s="161"/>
      <c r="M20" s="166"/>
      <c r="N20" s="161"/>
      <c r="O20" s="12"/>
    </row>
    <row r="21" spans="2:20" ht="21.4" customHeight="1" x14ac:dyDescent="0.35">
      <c r="O21" s="165"/>
      <c r="P21" s="161"/>
      <c r="Q21" s="161"/>
      <c r="R21" s="161"/>
      <c r="S21" s="166"/>
      <c r="T21" s="161"/>
    </row>
    <row r="22" spans="2:20" ht="25.15" customHeight="1" x14ac:dyDescent="0.35">
      <c r="B22" s="703" t="s">
        <v>477</v>
      </c>
      <c r="C22" s="53"/>
      <c r="D22" s="53"/>
      <c r="E22" s="53"/>
    </row>
    <row r="23" spans="2:20" ht="32" customHeight="1" x14ac:dyDescent="0.35">
      <c r="B23" s="767" t="s">
        <v>246</v>
      </c>
      <c r="C23" s="5" t="s">
        <v>247</v>
      </c>
      <c r="D23" s="5" t="s">
        <v>248</v>
      </c>
      <c r="E23" s="5" t="s">
        <v>249</v>
      </c>
      <c r="F23" s="174"/>
      <c r="G23" s="174"/>
      <c r="H23" s="174"/>
      <c r="I23" s="174"/>
      <c r="J23" s="174"/>
      <c r="K23" s="174"/>
      <c r="L23" s="174"/>
      <c r="M23" s="174"/>
      <c r="N23" s="174"/>
      <c r="O23" s="174"/>
      <c r="P23" s="174"/>
      <c r="Q23" s="174"/>
      <c r="R23" s="174"/>
      <c r="S23" s="174"/>
    </row>
    <row r="24" spans="2:20" ht="27" customHeight="1" x14ac:dyDescent="0.35">
      <c r="B24" s="813" t="s">
        <v>250</v>
      </c>
      <c r="C24" s="859" t="s">
        <v>478</v>
      </c>
      <c r="D24" s="175">
        <v>178</v>
      </c>
      <c r="E24" s="175">
        <v>23.14</v>
      </c>
      <c r="F24" s="176"/>
      <c r="G24" s="177"/>
      <c r="H24" s="178"/>
      <c r="I24" s="178"/>
      <c r="J24" s="178"/>
      <c r="K24" s="178"/>
      <c r="L24" s="178"/>
      <c r="M24" s="178"/>
      <c r="N24" s="178"/>
      <c r="O24" s="178"/>
      <c r="P24" s="178"/>
      <c r="Q24" s="178"/>
      <c r="R24" s="178"/>
      <c r="S24" s="178"/>
    </row>
    <row r="25" spans="2:20" ht="21.4" customHeight="1" x14ac:dyDescent="0.35">
      <c r="B25" s="814" t="s">
        <v>251</v>
      </c>
      <c r="C25" s="860" t="s">
        <v>252</v>
      </c>
      <c r="D25" s="179">
        <v>825</v>
      </c>
      <c r="E25" s="179">
        <v>107.25</v>
      </c>
      <c r="F25" s="176"/>
      <c r="G25" s="180"/>
      <c r="H25" s="181"/>
      <c r="I25" s="181"/>
      <c r="J25" s="181"/>
      <c r="K25" s="181"/>
      <c r="L25" s="181"/>
      <c r="M25" s="181"/>
      <c r="N25" s="181"/>
      <c r="O25" s="181"/>
      <c r="P25" s="181"/>
      <c r="Q25" s="181"/>
      <c r="R25" s="181"/>
      <c r="S25" s="181"/>
    </row>
    <row r="26" spans="2:20" ht="21.4" customHeight="1" x14ac:dyDescent="0.35">
      <c r="B26" s="814" t="s">
        <v>253</v>
      </c>
      <c r="C26" s="860" t="s">
        <v>478</v>
      </c>
      <c r="D26" s="179">
        <v>80</v>
      </c>
      <c r="E26" s="179">
        <v>160</v>
      </c>
      <c r="F26" s="12"/>
      <c r="G26" s="180"/>
      <c r="H26" s="181"/>
      <c r="I26" s="181"/>
      <c r="J26" s="181"/>
      <c r="K26" s="181"/>
      <c r="L26" s="181"/>
      <c r="M26" s="181"/>
      <c r="N26" s="181"/>
      <c r="O26" s="181"/>
      <c r="P26" s="181"/>
      <c r="Q26" s="181"/>
      <c r="R26" s="181"/>
      <c r="S26" s="181"/>
    </row>
    <row r="27" spans="2:20" ht="31" customHeight="1" x14ac:dyDescent="0.35">
      <c r="B27" s="814" t="s">
        <v>254</v>
      </c>
      <c r="C27" s="860" t="s">
        <v>252</v>
      </c>
      <c r="D27" s="179">
        <v>645</v>
      </c>
      <c r="E27" s="179">
        <v>116.6</v>
      </c>
      <c r="F27" s="12"/>
      <c r="G27" s="180"/>
      <c r="H27" s="182"/>
      <c r="I27" s="182"/>
      <c r="J27" s="182"/>
      <c r="K27" s="182"/>
      <c r="L27" s="182"/>
      <c r="M27" s="182"/>
      <c r="N27" s="182"/>
      <c r="O27" s="182"/>
      <c r="P27" s="182"/>
      <c r="Q27" s="182"/>
      <c r="R27" s="182"/>
      <c r="S27" s="182"/>
    </row>
    <row r="28" spans="2:20" ht="28" customHeight="1" x14ac:dyDescent="0.35">
      <c r="B28" s="814" t="s">
        <v>254</v>
      </c>
      <c r="C28" s="860" t="s">
        <v>252</v>
      </c>
      <c r="D28" s="179">
        <v>4726</v>
      </c>
      <c r="E28" s="179">
        <v>186.4</v>
      </c>
      <c r="F28" s="12"/>
      <c r="G28" s="180"/>
      <c r="H28" s="183"/>
      <c r="I28" s="183"/>
      <c r="J28" s="183"/>
      <c r="K28" s="183"/>
      <c r="L28" s="183"/>
      <c r="M28" s="183"/>
      <c r="N28" s="183"/>
      <c r="O28" s="183"/>
      <c r="P28" s="183"/>
      <c r="Q28" s="183"/>
      <c r="R28" s="183"/>
      <c r="S28" s="183"/>
    </row>
    <row r="29" spans="2:20" ht="21.4" customHeight="1" x14ac:dyDescent="0.35">
      <c r="B29" s="1119" t="s">
        <v>255</v>
      </c>
      <c r="C29" s="1119"/>
      <c r="D29" s="1119"/>
      <c r="E29" s="184">
        <f>SUM(E24:E28)</f>
        <v>593.39</v>
      </c>
      <c r="F29" s="12"/>
      <c r="G29" s="185"/>
    </row>
    <row r="30" spans="2:20" ht="25.15" customHeight="1" x14ac:dyDescent="0.35">
      <c r="B30" s="703" t="s">
        <v>256</v>
      </c>
    </row>
    <row r="31" spans="2:20" ht="21.4" customHeight="1" x14ac:dyDescent="0.35">
      <c r="B31" s="85"/>
      <c r="C31" s="158"/>
      <c r="D31" s="978">
        <v>2020</v>
      </c>
      <c r="E31" s="960"/>
      <c r="F31" s="978">
        <v>2021</v>
      </c>
      <c r="G31" s="960"/>
      <c r="H31" s="978">
        <v>2022</v>
      </c>
      <c r="I31" s="1046"/>
      <c r="J31" s="1045">
        <v>2023</v>
      </c>
      <c r="K31" s="960"/>
      <c r="L31" s="978">
        <v>2024</v>
      </c>
      <c r="M31" s="959"/>
      <c r="N31" s="959"/>
      <c r="O31" s="959"/>
      <c r="P31" s="129"/>
      <c r="Q31" s="129"/>
      <c r="R31" s="129"/>
      <c r="S31" s="1128" t="s">
        <v>23</v>
      </c>
    </row>
    <row r="32" spans="2:20" ht="31" customHeight="1" x14ac:dyDescent="0.35">
      <c r="B32" s="162"/>
      <c r="C32" s="186"/>
      <c r="D32" s="164" t="s">
        <v>152</v>
      </c>
      <c r="E32" s="187" t="s">
        <v>151</v>
      </c>
      <c r="F32" s="164" t="s">
        <v>152</v>
      </c>
      <c r="G32" s="187" t="s">
        <v>151</v>
      </c>
      <c r="H32" s="164" t="s">
        <v>152</v>
      </c>
      <c r="I32" s="188" t="s">
        <v>151</v>
      </c>
      <c r="J32" s="164" t="s">
        <v>152</v>
      </c>
      <c r="K32" s="164" t="s">
        <v>151</v>
      </c>
      <c r="L32" s="164" t="s">
        <v>152</v>
      </c>
      <c r="M32" s="164" t="s">
        <v>151</v>
      </c>
      <c r="N32" s="164"/>
      <c r="O32" s="164"/>
      <c r="P32" s="164"/>
      <c r="Q32" s="164"/>
      <c r="R32" s="164"/>
      <c r="S32" s="1128"/>
    </row>
    <row r="33" spans="2:19" ht="21.4" customHeight="1" x14ac:dyDescent="0.35">
      <c r="B33" s="1124" t="s">
        <v>241</v>
      </c>
      <c r="C33" s="189" t="s">
        <v>159</v>
      </c>
      <c r="D33" s="190">
        <v>0.59</v>
      </c>
      <c r="E33" s="191">
        <v>0.56999999999999995</v>
      </c>
      <c r="F33" s="190">
        <v>0.87</v>
      </c>
      <c r="G33" s="191">
        <v>0.85</v>
      </c>
      <c r="H33" s="190">
        <v>0.78</v>
      </c>
      <c r="I33" s="192">
        <v>0.74</v>
      </c>
      <c r="J33" s="193">
        <v>0.8314606741573034</v>
      </c>
      <c r="K33" s="193">
        <v>0.90410958904109584</v>
      </c>
      <c r="L33" s="190">
        <v>0.87912087912087911</v>
      </c>
      <c r="M33" s="190">
        <v>0.87323943661971826</v>
      </c>
      <c r="N33" s="193"/>
      <c r="O33" s="193"/>
      <c r="P33" s="193"/>
      <c r="Q33" s="193"/>
      <c r="R33" s="193"/>
      <c r="S33" s="1127" t="s">
        <v>242</v>
      </c>
    </row>
    <row r="34" spans="2:19" ht="21.4" customHeight="1" x14ac:dyDescent="0.35">
      <c r="B34" s="1124"/>
      <c r="C34" s="195" t="s">
        <v>160</v>
      </c>
      <c r="D34" s="196">
        <v>0.92</v>
      </c>
      <c r="E34" s="197">
        <v>0.79</v>
      </c>
      <c r="F34" s="196">
        <v>0.79</v>
      </c>
      <c r="G34" s="197">
        <v>0.77</v>
      </c>
      <c r="H34" s="196">
        <v>0.85</v>
      </c>
      <c r="I34" s="198">
        <v>0.79</v>
      </c>
      <c r="J34" s="193">
        <v>0.80106100795755963</v>
      </c>
      <c r="K34" s="193">
        <v>0.76897689768976896</v>
      </c>
      <c r="L34" s="196">
        <v>0.88515406162464982</v>
      </c>
      <c r="M34" s="196">
        <v>0.89243027888446214</v>
      </c>
      <c r="N34" s="193"/>
      <c r="O34" s="193"/>
      <c r="P34" s="193"/>
      <c r="Q34" s="193"/>
      <c r="R34" s="193"/>
      <c r="S34" s="1127"/>
    </row>
    <row r="35" spans="2:19" ht="21.4" customHeight="1" x14ac:dyDescent="0.35">
      <c r="B35" s="1124"/>
      <c r="C35" s="195" t="s">
        <v>243</v>
      </c>
      <c r="D35" s="196">
        <v>0.86</v>
      </c>
      <c r="E35" s="197">
        <v>0.75</v>
      </c>
      <c r="F35" s="196">
        <v>0.81</v>
      </c>
      <c r="G35" s="197">
        <v>0.78</v>
      </c>
      <c r="H35" s="196">
        <v>0.84</v>
      </c>
      <c r="I35" s="198">
        <v>0.78</v>
      </c>
      <c r="J35" s="193">
        <v>0.80686695278969955</v>
      </c>
      <c r="K35" s="193">
        <v>0.79521276595744683</v>
      </c>
      <c r="L35" s="196">
        <v>0.8839285714285714</v>
      </c>
      <c r="M35" s="196">
        <v>0.88819875776397517</v>
      </c>
      <c r="N35" s="193"/>
      <c r="O35" s="193"/>
      <c r="P35" s="193"/>
      <c r="Q35" s="193"/>
      <c r="R35" s="193"/>
      <c r="S35" s="1127"/>
    </row>
    <row r="36" spans="2:19" ht="21.4" customHeight="1" x14ac:dyDescent="0.35">
      <c r="B36" s="1124"/>
      <c r="C36" s="195" t="s">
        <v>244</v>
      </c>
      <c r="D36" s="196">
        <v>0.89</v>
      </c>
      <c r="E36" s="197">
        <v>0.72</v>
      </c>
      <c r="F36" s="196">
        <v>0.74</v>
      </c>
      <c r="G36" s="197">
        <v>0.69</v>
      </c>
      <c r="H36" s="196">
        <v>0.81</v>
      </c>
      <c r="I36" s="198">
        <v>0.72</v>
      </c>
      <c r="J36" s="193">
        <v>0.69620253164556967</v>
      </c>
      <c r="K36" s="193">
        <v>0.66883116883116878</v>
      </c>
      <c r="L36" s="196">
        <v>0.8571428571428571</v>
      </c>
      <c r="M36" s="196">
        <v>0.81818181818181823</v>
      </c>
      <c r="N36" s="193"/>
      <c r="O36" s="193"/>
      <c r="P36" s="193"/>
      <c r="Q36" s="193"/>
      <c r="R36" s="193"/>
      <c r="S36" s="1127"/>
    </row>
    <row r="37" spans="2:19" ht="21.4" customHeight="1" x14ac:dyDescent="0.35">
      <c r="B37" s="1124"/>
      <c r="C37" s="199" t="s">
        <v>245</v>
      </c>
      <c r="D37" s="200">
        <v>0.81</v>
      </c>
      <c r="E37" s="201">
        <v>0.8</v>
      </c>
      <c r="F37" s="200">
        <v>0.93</v>
      </c>
      <c r="G37" s="201">
        <v>0.9</v>
      </c>
      <c r="H37" s="200">
        <v>0.9</v>
      </c>
      <c r="I37" s="202">
        <v>0.88</v>
      </c>
      <c r="J37" s="193">
        <v>0.92139737991266379</v>
      </c>
      <c r="K37" s="193">
        <v>0.88288288288288286</v>
      </c>
      <c r="L37" s="200">
        <v>0.91836734693877553</v>
      </c>
      <c r="M37" s="200">
        <v>0.93684210526315792</v>
      </c>
      <c r="N37" s="193"/>
      <c r="O37" s="193"/>
      <c r="P37" s="193"/>
      <c r="Q37" s="193"/>
      <c r="R37" s="193"/>
      <c r="S37" s="1127"/>
    </row>
    <row r="38" spans="2:19" ht="21.4" customHeight="1" x14ac:dyDescent="0.35">
      <c r="B38" s="203"/>
      <c r="C38" s="204"/>
      <c r="D38" s="205"/>
      <c r="E38" s="205"/>
      <c r="F38" s="205"/>
      <c r="G38" s="205"/>
      <c r="H38" s="205"/>
      <c r="I38" s="205"/>
      <c r="J38" s="67"/>
    </row>
    <row r="39" spans="2:19" ht="25.15" customHeight="1" x14ac:dyDescent="0.35">
      <c r="B39" s="703" t="s">
        <v>257</v>
      </c>
    </row>
    <row r="40" spans="2:19" ht="21.4" customHeight="1" x14ac:dyDescent="0.35">
      <c r="B40" s="85"/>
      <c r="C40" s="158"/>
      <c r="D40" s="978">
        <v>2020</v>
      </c>
      <c r="E40" s="960"/>
      <c r="F40" s="978">
        <v>2021</v>
      </c>
      <c r="G40" s="960"/>
      <c r="H40" s="978">
        <v>2022</v>
      </c>
      <c r="I40" s="960"/>
      <c r="J40" s="978">
        <v>2023</v>
      </c>
      <c r="K40" s="960"/>
      <c r="L40" s="978">
        <v>2024</v>
      </c>
      <c r="M40" s="959"/>
      <c r="N40" s="129"/>
      <c r="O40" s="129"/>
      <c r="P40" s="129"/>
      <c r="Q40" s="129"/>
      <c r="R40" s="129"/>
      <c r="S40" s="1128" t="s">
        <v>23</v>
      </c>
    </row>
    <row r="41" spans="2:19" ht="21.4" customHeight="1" x14ac:dyDescent="0.35">
      <c r="B41" s="162"/>
      <c r="C41" s="186"/>
      <c r="D41" s="164" t="s">
        <v>152</v>
      </c>
      <c r="E41" s="187" t="s">
        <v>151</v>
      </c>
      <c r="F41" s="164" t="s">
        <v>152</v>
      </c>
      <c r="G41" s="187" t="s">
        <v>151</v>
      </c>
      <c r="H41" s="164" t="s">
        <v>152</v>
      </c>
      <c r="I41" s="188" t="s">
        <v>151</v>
      </c>
      <c r="J41" s="164" t="s">
        <v>152</v>
      </c>
      <c r="K41" s="164" t="s">
        <v>151</v>
      </c>
      <c r="L41" s="164" t="s">
        <v>152</v>
      </c>
      <c r="M41" s="164" t="s">
        <v>151</v>
      </c>
      <c r="N41" s="164"/>
      <c r="O41" s="164"/>
      <c r="P41" s="164"/>
      <c r="Q41" s="164"/>
      <c r="R41" s="164"/>
      <c r="S41" s="1128"/>
    </row>
    <row r="42" spans="2:19" ht="21.4" customHeight="1" x14ac:dyDescent="0.35">
      <c r="B42" s="1123" t="s">
        <v>241</v>
      </c>
      <c r="C42" s="189" t="s">
        <v>159</v>
      </c>
      <c r="D42" s="206">
        <v>0.83</v>
      </c>
      <c r="E42" s="207">
        <v>0.8</v>
      </c>
      <c r="F42" s="206">
        <v>0.83</v>
      </c>
      <c r="G42" s="207">
        <v>0.91</v>
      </c>
      <c r="H42" s="206">
        <v>0.84</v>
      </c>
      <c r="I42" s="208">
        <v>0.82</v>
      </c>
      <c r="J42" s="193">
        <v>0.92</v>
      </c>
      <c r="K42" s="193">
        <v>0.92</v>
      </c>
      <c r="L42" s="190">
        <v>1</v>
      </c>
      <c r="M42" s="190">
        <v>0.96</v>
      </c>
      <c r="N42" s="193"/>
      <c r="O42" s="193"/>
      <c r="P42" s="193"/>
      <c r="Q42" s="193"/>
      <c r="R42" s="193"/>
      <c r="S42" s="1127" t="s">
        <v>242</v>
      </c>
    </row>
    <row r="43" spans="2:19" ht="21.4" customHeight="1" x14ac:dyDescent="0.35">
      <c r="B43" s="1124"/>
      <c r="C43" s="195" t="s">
        <v>160</v>
      </c>
      <c r="D43" s="209">
        <v>0.91</v>
      </c>
      <c r="E43" s="210">
        <v>0.95</v>
      </c>
      <c r="F43" s="209">
        <v>0.94</v>
      </c>
      <c r="G43" s="210">
        <v>0.91</v>
      </c>
      <c r="H43" s="209">
        <v>0.93</v>
      </c>
      <c r="I43" s="211">
        <v>0.84</v>
      </c>
      <c r="J43" s="193">
        <v>0.73</v>
      </c>
      <c r="K43" s="193">
        <v>0.74</v>
      </c>
      <c r="L43" s="196">
        <v>0.92</v>
      </c>
      <c r="M43" s="196">
        <v>0.9</v>
      </c>
      <c r="N43" s="193"/>
      <c r="O43" s="193"/>
      <c r="P43" s="193"/>
      <c r="Q43" s="193"/>
      <c r="R43" s="193"/>
      <c r="S43" s="1127"/>
    </row>
    <row r="44" spans="2:19" ht="21.4" customHeight="1" x14ac:dyDescent="0.35">
      <c r="B44" s="203"/>
      <c r="C44" s="204"/>
      <c r="D44" s="205"/>
      <c r="E44" s="205"/>
      <c r="F44" s="205"/>
      <c r="G44" s="205"/>
      <c r="H44" s="205"/>
      <c r="I44" s="205"/>
      <c r="J44" s="67"/>
    </row>
    <row r="45" spans="2:19" ht="25.15" customHeight="1" x14ac:dyDescent="0.35">
      <c r="B45" s="703" t="s">
        <v>258</v>
      </c>
    </row>
    <row r="46" spans="2:19" ht="21.4" customHeight="1" x14ac:dyDescent="0.35">
      <c r="B46" s="85"/>
      <c r="C46" s="158"/>
      <c r="D46" s="978">
        <v>2021</v>
      </c>
      <c r="E46" s="960"/>
      <c r="F46" s="978">
        <v>2022</v>
      </c>
      <c r="G46" s="960"/>
      <c r="H46" s="978">
        <v>2023</v>
      </c>
      <c r="I46" s="960"/>
      <c r="J46" s="978">
        <v>2024</v>
      </c>
      <c r="K46" s="959"/>
      <c r="L46" s="129"/>
      <c r="M46" s="129"/>
      <c r="N46" s="129"/>
      <c r="O46" s="129"/>
      <c r="P46" s="129"/>
      <c r="Q46" s="129"/>
      <c r="R46" s="129"/>
      <c r="S46" s="1128" t="s">
        <v>23</v>
      </c>
    </row>
    <row r="47" spans="2:19" ht="21.4" customHeight="1" x14ac:dyDescent="0.35">
      <c r="B47" s="162"/>
      <c r="C47" s="186"/>
      <c r="D47" s="164" t="s">
        <v>152</v>
      </c>
      <c r="E47" s="187" t="s">
        <v>151</v>
      </c>
      <c r="F47" s="164" t="s">
        <v>152</v>
      </c>
      <c r="G47" s="187" t="s">
        <v>151</v>
      </c>
      <c r="H47" s="164" t="s">
        <v>152</v>
      </c>
      <c r="I47" s="164" t="s">
        <v>151</v>
      </c>
      <c r="J47" s="212" t="s">
        <v>152</v>
      </c>
      <c r="K47" s="212" t="s">
        <v>151</v>
      </c>
      <c r="L47" s="164"/>
      <c r="M47" s="164"/>
      <c r="N47" s="164"/>
      <c r="O47" s="164"/>
      <c r="P47" s="164"/>
      <c r="Q47" s="164"/>
      <c r="R47" s="164"/>
      <c r="S47" s="1128"/>
    </row>
    <row r="48" spans="2:19" ht="21.4" customHeight="1" x14ac:dyDescent="0.35">
      <c r="B48" s="1123" t="s">
        <v>241</v>
      </c>
      <c r="C48" s="189" t="s">
        <v>159</v>
      </c>
      <c r="D48" s="190">
        <v>0.59</v>
      </c>
      <c r="E48" s="191">
        <v>0.41</v>
      </c>
      <c r="F48" s="190">
        <v>0</v>
      </c>
      <c r="G48" s="191">
        <v>0</v>
      </c>
      <c r="H48" s="190">
        <v>0.51249999999999996</v>
      </c>
      <c r="I48" s="190">
        <v>0.48749999999999999</v>
      </c>
      <c r="J48" s="213">
        <v>0.64</v>
      </c>
      <c r="K48" s="213">
        <v>0.37</v>
      </c>
      <c r="L48" s="193"/>
      <c r="M48" s="193"/>
      <c r="N48" s="193"/>
      <c r="O48" s="193"/>
      <c r="P48" s="193"/>
      <c r="Q48" s="193"/>
      <c r="R48" s="193"/>
      <c r="S48" s="1127" t="s">
        <v>242</v>
      </c>
    </row>
    <row r="49" spans="1:25" ht="21.4" customHeight="1" x14ac:dyDescent="0.35">
      <c r="B49" s="1123"/>
      <c r="C49" s="195" t="s">
        <v>160</v>
      </c>
      <c r="D49" s="196">
        <v>0.6</v>
      </c>
      <c r="E49" s="197">
        <v>0.4</v>
      </c>
      <c r="F49" s="196">
        <v>0</v>
      </c>
      <c r="G49" s="191">
        <v>0</v>
      </c>
      <c r="H49" s="196">
        <v>0.62990196078431371</v>
      </c>
      <c r="I49" s="196">
        <v>0.37009803921568629</v>
      </c>
      <c r="J49" s="214">
        <v>0.65</v>
      </c>
      <c r="K49" s="214">
        <v>0.35</v>
      </c>
      <c r="L49" s="193"/>
      <c r="M49" s="193"/>
      <c r="N49" s="193"/>
      <c r="O49" s="193"/>
      <c r="P49" s="193"/>
      <c r="Q49" s="193"/>
      <c r="R49" s="193"/>
      <c r="S49" s="1127"/>
      <c r="X49" s="215"/>
      <c r="Y49" s="215"/>
    </row>
    <row r="50" spans="1:25" ht="21.4" customHeight="1" x14ac:dyDescent="0.35">
      <c r="B50" s="1124"/>
      <c r="C50" s="195" t="s">
        <v>243</v>
      </c>
      <c r="D50" s="1125">
        <v>0.81</v>
      </c>
      <c r="E50" s="1126"/>
      <c r="F50" s="196">
        <v>0</v>
      </c>
      <c r="G50" s="191">
        <v>0</v>
      </c>
      <c r="H50" s="196">
        <v>0.61065573770491799</v>
      </c>
      <c r="I50" s="196">
        <v>0.38934426229508196</v>
      </c>
      <c r="J50" s="818" t="s">
        <v>42</v>
      </c>
      <c r="K50" s="818" t="s">
        <v>42</v>
      </c>
      <c r="L50" s="193"/>
      <c r="M50" s="193"/>
      <c r="N50" s="193"/>
      <c r="O50" s="193"/>
      <c r="P50" s="193"/>
      <c r="Q50" s="193"/>
      <c r="R50" s="193"/>
      <c r="S50" s="1127"/>
      <c r="X50" s="216"/>
      <c r="Y50" s="216"/>
    </row>
    <row r="52" spans="1:25" x14ac:dyDescent="0.35">
      <c r="A52" s="217"/>
      <c r="B52" s="218" t="s">
        <v>28</v>
      </c>
      <c r="C52" s="219">
        <v>0.49</v>
      </c>
      <c r="D52" s="218">
        <v>276</v>
      </c>
      <c r="E52" s="218"/>
    </row>
    <row r="53" spans="1:25" x14ac:dyDescent="0.35">
      <c r="A53" s="217"/>
      <c r="B53" s="218"/>
      <c r="C53" s="218"/>
      <c r="D53" s="218">
        <f>SUM(D52:D52)</f>
        <v>276</v>
      </c>
      <c r="E53" s="218"/>
    </row>
    <row r="54" spans="1:25" ht="15" customHeight="1" x14ac:dyDescent="0.35">
      <c r="B54" s="1129" t="s">
        <v>259</v>
      </c>
    </row>
    <row r="55" spans="1:25" ht="18.75" customHeight="1" x14ac:dyDescent="0.35">
      <c r="B55" s="1129"/>
      <c r="C55" s="1130">
        <f>8027/8800</f>
        <v>0.91215909090909086</v>
      </c>
      <c r="D55" s="1130"/>
    </row>
    <row r="56" spans="1:25" ht="18.75" customHeight="1" x14ac:dyDescent="0.35">
      <c r="B56" s="1129"/>
      <c r="C56" s="1130"/>
      <c r="D56" s="1130"/>
    </row>
    <row r="57" spans="1:25" x14ac:dyDescent="0.35">
      <c r="D57" s="194"/>
    </row>
  </sheetData>
  <mergeCells count="42">
    <mergeCell ref="W8:W9"/>
    <mergeCell ref="B54:B56"/>
    <mergeCell ref="C55:D56"/>
    <mergeCell ref="S8:V8"/>
    <mergeCell ref="W10:W11"/>
    <mergeCell ref="L40:M40"/>
    <mergeCell ref="F14:G14"/>
    <mergeCell ref="H14:H15"/>
    <mergeCell ref="H16:H20"/>
    <mergeCell ref="F18:G18"/>
    <mergeCell ref="O8:R8"/>
    <mergeCell ref="S42:S43"/>
    <mergeCell ref="H46:I46"/>
    <mergeCell ref="S46:S47"/>
    <mergeCell ref="S48:S50"/>
    <mergeCell ref="L31:M31"/>
    <mergeCell ref="S33:S37"/>
    <mergeCell ref="S31:S32"/>
    <mergeCell ref="J40:K40"/>
    <mergeCell ref="S40:S41"/>
    <mergeCell ref="N31:O31"/>
    <mergeCell ref="B48:B50"/>
    <mergeCell ref="D46:E46"/>
    <mergeCell ref="B33:B37"/>
    <mergeCell ref="H40:I40"/>
    <mergeCell ref="D50:E50"/>
    <mergeCell ref="F46:G46"/>
    <mergeCell ref="D40:E40"/>
    <mergeCell ref="F40:G40"/>
    <mergeCell ref="B42:B43"/>
    <mergeCell ref="B29:D29"/>
    <mergeCell ref="J46:K46"/>
    <mergeCell ref="K8:N8"/>
    <mergeCell ref="D14:E14"/>
    <mergeCell ref="B16:B20"/>
    <mergeCell ref="D16:E20"/>
    <mergeCell ref="C8:F8"/>
    <mergeCell ref="G8:J8"/>
    <mergeCell ref="H31:I31"/>
    <mergeCell ref="D31:E31"/>
    <mergeCell ref="F31:G31"/>
    <mergeCell ref="J31:K31"/>
  </mergeCells>
  <pageMargins left="0.7" right="0.7" top="0.75" bottom="0.75" header="0.3" footer="0.3"/>
  <headerFooter scaleWithDoc="0" alignWithMargins="0"/>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V75"/>
  <sheetViews>
    <sheetView showGridLines="0" zoomScale="50" zoomScaleNormal="50" workbookViewId="0">
      <selection activeCell="L9" sqref="L9"/>
    </sheetView>
  </sheetViews>
  <sheetFormatPr defaultColWidth="9.26953125" defaultRowHeight="14" x14ac:dyDescent="0.35"/>
  <cols>
    <col min="1" max="1" width="3.7265625" style="12" customWidth="1"/>
    <col min="2" max="2" width="29.7265625" style="13" customWidth="1"/>
    <col min="3" max="3" width="12.7265625" style="13" customWidth="1"/>
    <col min="4" max="4" width="16.26953125" style="13" customWidth="1"/>
    <col min="5" max="7" width="12.7265625" style="13" customWidth="1"/>
    <col min="8" max="8" width="16.453125" style="13" customWidth="1"/>
    <col min="9" max="9" width="14.453125" style="13" customWidth="1"/>
    <col min="10" max="17" width="12.7265625" style="13" customWidth="1"/>
    <col min="18" max="18" width="13.54296875" style="13" customWidth="1"/>
    <col min="19" max="19" width="12.7265625" style="13" customWidth="1"/>
    <col min="20" max="21" width="9.26953125" style="12" customWidth="1"/>
    <col min="22" max="22" width="12.1796875" style="12" customWidth="1"/>
    <col min="23" max="23" width="9.26953125" style="12" customWidth="1"/>
    <col min="24" max="16384" width="9.26953125" style="12"/>
  </cols>
  <sheetData>
    <row r="1" spans="2:19" ht="15" customHeight="1" x14ac:dyDescent="0.35">
      <c r="O1" s="12"/>
      <c r="P1" s="12"/>
      <c r="Q1" s="12"/>
      <c r="R1" s="12"/>
      <c r="S1" s="12"/>
    </row>
    <row r="2" spans="2:19" ht="15" customHeight="1" x14ac:dyDescent="0.35">
      <c r="O2" s="12"/>
      <c r="P2" s="12"/>
      <c r="Q2" s="12"/>
      <c r="R2" s="12"/>
      <c r="S2" s="12"/>
    </row>
    <row r="3" spans="2:19" ht="15" customHeight="1" x14ac:dyDescent="0.35">
      <c r="O3" s="12"/>
      <c r="P3" s="12"/>
      <c r="Q3" s="12"/>
      <c r="R3" s="12"/>
      <c r="S3" s="12"/>
    </row>
    <row r="4" spans="2:19" ht="15" customHeight="1" x14ac:dyDescent="0.35">
      <c r="O4" s="12"/>
      <c r="P4" s="12"/>
      <c r="Q4" s="12"/>
      <c r="R4" s="18"/>
      <c r="S4" s="18"/>
    </row>
    <row r="5" spans="2:19" ht="25.15" customHeight="1" thickBot="1" x14ac:dyDescent="0.4">
      <c r="B5" s="725" t="s">
        <v>15</v>
      </c>
      <c r="C5" s="11"/>
      <c r="D5" s="11"/>
      <c r="E5" s="11"/>
      <c r="F5" s="11"/>
      <c r="G5" s="11"/>
      <c r="H5" s="11"/>
      <c r="I5" s="11"/>
      <c r="J5" s="11"/>
      <c r="K5" s="11"/>
      <c r="L5" s="11"/>
      <c r="M5" s="11"/>
      <c r="N5" s="11"/>
      <c r="O5" s="11"/>
      <c r="P5" s="11"/>
      <c r="Q5" s="11"/>
      <c r="R5" s="11"/>
    </row>
    <row r="6" spans="2:19" ht="15" customHeight="1" thickTop="1" x14ac:dyDescent="0.35">
      <c r="B6" s="21"/>
    </row>
    <row r="7" spans="2:19" ht="15" customHeight="1" x14ac:dyDescent="0.35">
      <c r="B7" s="789" t="s">
        <v>260</v>
      </c>
    </row>
    <row r="8" spans="2:19" ht="26.65" customHeight="1" x14ac:dyDescent="0.35">
      <c r="B8" s="35" t="s">
        <v>261</v>
      </c>
      <c r="C8" s="35"/>
      <c r="D8" s="5" t="s">
        <v>25</v>
      </c>
      <c r="E8" s="5" t="s">
        <v>27</v>
      </c>
      <c r="F8" s="5" t="s">
        <v>166</v>
      </c>
      <c r="G8" s="5" t="s">
        <v>457</v>
      </c>
      <c r="H8" s="35"/>
      <c r="I8" s="35"/>
      <c r="J8" s="35"/>
      <c r="K8" s="35"/>
      <c r="L8" s="35"/>
      <c r="M8" s="35"/>
      <c r="N8" s="35"/>
      <c r="O8" s="35"/>
      <c r="P8" s="35"/>
      <c r="Q8" s="35"/>
      <c r="R8" s="87" t="s">
        <v>23</v>
      </c>
    </row>
    <row r="9" spans="2:19" ht="27" customHeight="1" x14ac:dyDescent="0.35">
      <c r="B9" s="1137" t="s">
        <v>490</v>
      </c>
      <c r="C9" s="1137"/>
      <c r="D9" s="864">
        <v>0.94</v>
      </c>
      <c r="E9" s="862">
        <v>0.85</v>
      </c>
      <c r="F9" s="810">
        <v>0.6327307326355851</v>
      </c>
      <c r="G9" s="811">
        <v>0.81</v>
      </c>
      <c r="H9" s="46"/>
      <c r="I9" s="46"/>
      <c r="J9" s="46"/>
      <c r="K9" s="46"/>
      <c r="L9" s="46"/>
      <c r="M9" s="46"/>
      <c r="N9" s="46"/>
      <c r="O9" s="46"/>
      <c r="P9" s="46"/>
      <c r="Q9" s="46"/>
      <c r="R9" s="47"/>
    </row>
    <row r="10" spans="2:19" ht="15" customHeight="1" x14ac:dyDescent="0.35">
      <c r="B10" s="21"/>
      <c r="R10" s="12"/>
      <c r="S10" s="12"/>
    </row>
    <row r="11" spans="2:19" ht="21.4" customHeight="1" x14ac:dyDescent="0.35">
      <c r="B11" s="12"/>
      <c r="C11" s="12"/>
      <c r="D11" s="12"/>
      <c r="E11" s="12"/>
      <c r="F11" s="12"/>
      <c r="G11" s="12"/>
      <c r="H11" s="12"/>
      <c r="I11" s="12"/>
      <c r="J11" s="12"/>
      <c r="K11" s="12"/>
      <c r="L11" s="12"/>
      <c r="M11" s="12"/>
      <c r="N11" s="12"/>
      <c r="O11" s="12"/>
      <c r="P11" s="12"/>
      <c r="Q11" s="12"/>
      <c r="R11" s="12"/>
      <c r="S11" s="12"/>
    </row>
    <row r="12" spans="2:19" ht="21.4" customHeight="1" x14ac:dyDescent="0.35">
      <c r="B12" s="790" t="s">
        <v>262</v>
      </c>
      <c r="C12" s="12"/>
      <c r="D12" s="12"/>
      <c r="E12" s="12"/>
      <c r="F12" s="12"/>
      <c r="G12" s="12"/>
      <c r="H12" s="12"/>
      <c r="I12" s="12"/>
      <c r="J12" s="12"/>
      <c r="K12" s="12"/>
      <c r="L12" s="12"/>
      <c r="M12" s="12"/>
      <c r="N12" s="12"/>
      <c r="O12" s="12"/>
      <c r="P12" s="12"/>
      <c r="Q12" s="12"/>
      <c r="R12" s="12"/>
      <c r="S12" s="12"/>
    </row>
    <row r="13" spans="2:19" ht="42" customHeight="1" x14ac:dyDescent="0.35">
      <c r="B13" s="35"/>
      <c r="C13" s="5" t="s">
        <v>25</v>
      </c>
      <c r="D13" s="5" t="s">
        <v>27</v>
      </c>
      <c r="E13" s="5" t="s">
        <v>412</v>
      </c>
      <c r="F13" s="5" t="s">
        <v>457</v>
      </c>
      <c r="G13" s="14"/>
      <c r="H13" s="14"/>
      <c r="I13" s="14"/>
      <c r="J13" s="14"/>
      <c r="K13" s="14"/>
      <c r="L13" s="14"/>
      <c r="M13" s="14"/>
      <c r="N13" s="14"/>
      <c r="O13" s="14"/>
      <c r="P13" s="14"/>
      <c r="Q13" s="14"/>
      <c r="R13" s="87" t="s">
        <v>23</v>
      </c>
      <c r="S13" s="12"/>
    </row>
    <row r="14" spans="2:19" ht="21.4" customHeight="1" x14ac:dyDescent="0.35">
      <c r="B14" s="793">
        <v>2021</v>
      </c>
      <c r="C14" s="1138">
        <v>237</v>
      </c>
      <c r="D14" s="1138"/>
      <c r="E14" s="1138"/>
      <c r="F14" s="48"/>
      <c r="G14" s="48"/>
      <c r="H14" s="48"/>
      <c r="I14" s="48"/>
      <c r="J14" s="48"/>
      <c r="K14" s="48"/>
      <c r="L14" s="48"/>
      <c r="M14" s="48"/>
      <c r="N14" s="48"/>
      <c r="O14" s="48"/>
      <c r="P14" s="48"/>
      <c r="Q14" s="48"/>
      <c r="R14" s="948" t="s">
        <v>263</v>
      </c>
      <c r="S14" s="12"/>
    </row>
    <row r="15" spans="2:19" ht="21.4" customHeight="1" x14ac:dyDescent="0.35">
      <c r="B15" s="794">
        <v>2022</v>
      </c>
      <c r="C15" s="1139">
        <v>437</v>
      </c>
      <c r="D15" s="1139"/>
      <c r="E15" s="1139"/>
      <c r="F15" s="49"/>
      <c r="G15" s="49"/>
      <c r="H15" s="49"/>
      <c r="I15" s="49"/>
      <c r="J15" s="49"/>
      <c r="K15" s="49"/>
      <c r="L15" s="49"/>
      <c r="M15" s="49"/>
      <c r="N15" s="49"/>
      <c r="O15" s="49"/>
      <c r="P15" s="49"/>
      <c r="Q15" s="49"/>
      <c r="R15" s="948"/>
      <c r="S15" s="12"/>
    </row>
    <row r="16" spans="2:19" ht="21.4" customHeight="1" x14ac:dyDescent="0.35">
      <c r="B16" s="795">
        <v>2023</v>
      </c>
      <c r="C16" s="50">
        <v>375</v>
      </c>
      <c r="D16" s="50">
        <v>20</v>
      </c>
      <c r="E16" s="50">
        <v>57</v>
      </c>
      <c r="F16" s="50">
        <v>160</v>
      </c>
      <c r="G16" s="51"/>
      <c r="H16" s="51"/>
      <c r="I16" s="51"/>
      <c r="J16" s="51"/>
      <c r="K16" s="51"/>
      <c r="L16" s="51"/>
      <c r="M16" s="51"/>
      <c r="N16" s="51"/>
      <c r="O16" s="51"/>
      <c r="P16" s="51"/>
      <c r="Q16" s="51"/>
      <c r="R16" s="948"/>
      <c r="S16" s="12"/>
    </row>
    <row r="17" spans="2:19" ht="21.4" customHeight="1" x14ac:dyDescent="0.3">
      <c r="B17" s="796">
        <v>2024</v>
      </c>
      <c r="C17" s="52">
        <v>336</v>
      </c>
      <c r="D17" s="32">
        <v>12</v>
      </c>
      <c r="E17" s="32">
        <v>70</v>
      </c>
      <c r="F17" s="52">
        <v>23</v>
      </c>
      <c r="G17" s="12"/>
      <c r="H17" s="12" t="s">
        <v>264</v>
      </c>
      <c r="I17" s="12"/>
      <c r="J17" s="12"/>
      <c r="K17" s="12"/>
      <c r="L17" s="12"/>
      <c r="M17" s="12"/>
      <c r="N17" s="12"/>
      <c r="O17" s="12"/>
      <c r="P17" s="12"/>
      <c r="Q17" s="12"/>
      <c r="R17" s="948"/>
      <c r="S17" s="12"/>
    </row>
    <row r="18" spans="2:19" ht="21.4" customHeight="1" x14ac:dyDescent="0.35">
      <c r="B18" s="703" t="s">
        <v>265</v>
      </c>
      <c r="C18" s="53"/>
      <c r="D18" s="53"/>
      <c r="E18" s="53"/>
      <c r="F18" s="53"/>
      <c r="I18" s="12"/>
      <c r="J18" s="12"/>
      <c r="K18" s="53"/>
      <c r="L18" s="53"/>
      <c r="M18" s="53"/>
      <c r="N18" s="53"/>
      <c r="O18" s="53"/>
      <c r="P18" s="53"/>
      <c r="Q18" s="53"/>
    </row>
    <row r="19" spans="2:19" ht="85" customHeight="1" x14ac:dyDescent="0.35">
      <c r="B19" s="35" t="s">
        <v>261</v>
      </c>
      <c r="C19" s="5" t="s">
        <v>266</v>
      </c>
      <c r="D19" s="5" t="s">
        <v>267</v>
      </c>
      <c r="E19" s="5" t="s">
        <v>268</v>
      </c>
      <c r="F19" s="5" t="s">
        <v>269</v>
      </c>
      <c r="G19" s="5" t="s">
        <v>270</v>
      </c>
      <c r="H19" s="5" t="s">
        <v>462</v>
      </c>
      <c r="I19" s="5" t="s">
        <v>271</v>
      </c>
      <c r="J19" s="35"/>
      <c r="K19" s="35"/>
      <c r="L19" s="35"/>
      <c r="M19" s="35"/>
      <c r="N19" s="35"/>
      <c r="O19" s="35"/>
      <c r="P19" s="35"/>
      <c r="Q19" s="35"/>
      <c r="R19" s="87" t="s">
        <v>23</v>
      </c>
      <c r="S19" s="12"/>
    </row>
    <row r="20" spans="2:19" ht="21.4" customHeight="1" x14ac:dyDescent="0.35">
      <c r="B20" s="797" t="s">
        <v>272</v>
      </c>
      <c r="C20" s="54" t="s">
        <v>273</v>
      </c>
      <c r="D20" s="54" t="s">
        <v>274</v>
      </c>
      <c r="E20" s="54" t="s">
        <v>275</v>
      </c>
      <c r="F20" s="54" t="s">
        <v>276</v>
      </c>
      <c r="G20" s="54" t="s">
        <v>277</v>
      </c>
      <c r="H20" s="54" t="s">
        <v>278</v>
      </c>
      <c r="I20" s="54" t="s">
        <v>279</v>
      </c>
      <c r="J20" s="54"/>
      <c r="K20" s="54"/>
      <c r="L20" s="54"/>
      <c r="M20" s="54"/>
      <c r="N20" s="54"/>
      <c r="O20" s="54"/>
      <c r="P20" s="54"/>
      <c r="Q20" s="54"/>
      <c r="R20" s="948" t="s">
        <v>280</v>
      </c>
      <c r="S20" s="12"/>
    </row>
    <row r="21" spans="2:19" ht="21.4" customHeight="1" x14ac:dyDescent="0.35">
      <c r="B21" s="798" t="s">
        <v>281</v>
      </c>
      <c r="C21" s="55" t="s">
        <v>282</v>
      </c>
      <c r="D21" s="55" t="s">
        <v>283</v>
      </c>
      <c r="E21" s="55" t="s">
        <v>284</v>
      </c>
      <c r="F21" s="55" t="s">
        <v>285</v>
      </c>
      <c r="G21" s="55" t="s">
        <v>286</v>
      </c>
      <c r="H21" s="54" t="s">
        <v>287</v>
      </c>
      <c r="I21" s="54" t="s">
        <v>288</v>
      </c>
      <c r="J21" s="55"/>
      <c r="K21" s="55"/>
      <c r="L21" s="55"/>
      <c r="M21" s="55"/>
      <c r="N21" s="55"/>
      <c r="O21" s="55"/>
      <c r="P21" s="55"/>
      <c r="Q21" s="55"/>
      <c r="R21" s="948"/>
      <c r="S21" s="12"/>
    </row>
    <row r="22" spans="2:19" ht="21.4" customHeight="1" x14ac:dyDescent="0.35">
      <c r="B22" s="798" t="s">
        <v>289</v>
      </c>
      <c r="C22" s="56" t="s">
        <v>290</v>
      </c>
      <c r="D22" s="56" t="s">
        <v>291</v>
      </c>
      <c r="E22" s="56" t="s">
        <v>292</v>
      </c>
      <c r="F22" s="56" t="s">
        <v>293</v>
      </c>
      <c r="G22" s="56" t="s">
        <v>277</v>
      </c>
      <c r="H22" s="54" t="s">
        <v>294</v>
      </c>
      <c r="I22" s="54" t="s">
        <v>295</v>
      </c>
      <c r="J22" s="56"/>
      <c r="K22" s="56"/>
      <c r="L22" s="56"/>
      <c r="M22" s="56"/>
      <c r="N22" s="56"/>
      <c r="O22" s="56"/>
      <c r="P22" s="56"/>
      <c r="Q22" s="56"/>
      <c r="R22" s="948"/>
      <c r="S22" s="12"/>
    </row>
    <row r="23" spans="2:19" ht="21.4" customHeight="1" x14ac:dyDescent="0.35">
      <c r="B23" s="799">
        <v>2023</v>
      </c>
      <c r="C23" s="183">
        <v>184</v>
      </c>
      <c r="D23" s="183">
        <v>23</v>
      </c>
      <c r="E23" s="183">
        <v>47</v>
      </c>
      <c r="F23" s="183">
        <v>4406</v>
      </c>
      <c r="G23" s="183">
        <v>24</v>
      </c>
      <c r="H23" s="54">
        <v>0.79</v>
      </c>
      <c r="I23" s="54">
        <v>1.62</v>
      </c>
      <c r="J23" s="183"/>
      <c r="K23" s="57"/>
      <c r="L23" s="57"/>
      <c r="M23" s="57"/>
      <c r="N23" s="57"/>
      <c r="O23" s="57"/>
      <c r="P23" s="57"/>
      <c r="Q23" s="57"/>
      <c r="R23" s="948"/>
      <c r="S23" s="12"/>
    </row>
    <row r="24" spans="2:19" ht="21.4" customHeight="1" x14ac:dyDescent="0.3">
      <c r="B24" s="796">
        <v>2024</v>
      </c>
      <c r="C24" s="32">
        <v>186</v>
      </c>
      <c r="D24" s="32">
        <v>15</v>
      </c>
      <c r="E24" s="32">
        <v>73</v>
      </c>
      <c r="F24" s="812">
        <v>5120</v>
      </c>
      <c r="G24" s="32">
        <v>27.5</v>
      </c>
      <c r="H24" s="54">
        <v>0.94</v>
      </c>
      <c r="I24" s="54">
        <v>1.66</v>
      </c>
      <c r="J24" s="32"/>
      <c r="K24" s="12"/>
      <c r="L24" s="12"/>
      <c r="M24" s="12"/>
      <c r="N24" s="12"/>
      <c r="O24" s="12"/>
      <c r="P24" s="12"/>
      <c r="Q24" s="12"/>
      <c r="R24" s="948"/>
      <c r="S24" s="12"/>
    </row>
    <row r="25" spans="2:19" ht="21.4" customHeight="1" x14ac:dyDescent="0.35">
      <c r="B25" s="703" t="s">
        <v>296</v>
      </c>
      <c r="C25" s="53"/>
      <c r="D25" s="53"/>
      <c r="E25" s="53"/>
      <c r="F25" s="53"/>
      <c r="K25" s="12"/>
      <c r="L25" s="12"/>
      <c r="M25" s="12"/>
      <c r="N25" s="12"/>
      <c r="O25" s="12"/>
      <c r="P25" s="12"/>
      <c r="Q25" s="12"/>
      <c r="R25" s="12"/>
      <c r="S25" s="12"/>
    </row>
    <row r="26" spans="2:19" ht="88.5" customHeight="1" x14ac:dyDescent="0.35">
      <c r="B26" s="35" t="s">
        <v>261</v>
      </c>
      <c r="C26" s="5" t="s">
        <v>266</v>
      </c>
      <c r="D26" s="5" t="s">
        <v>267</v>
      </c>
      <c r="E26" s="5" t="s">
        <v>268</v>
      </c>
      <c r="F26" s="5" t="s">
        <v>269</v>
      </c>
      <c r="G26" s="5" t="s">
        <v>270</v>
      </c>
      <c r="H26" s="5" t="s">
        <v>462</v>
      </c>
      <c r="I26" s="5" t="s">
        <v>271</v>
      </c>
      <c r="J26" s="35"/>
      <c r="K26" s="35"/>
      <c r="L26" s="35"/>
      <c r="M26" s="35"/>
      <c r="N26" s="35"/>
      <c r="O26" s="35"/>
      <c r="P26" s="35"/>
      <c r="Q26" s="35"/>
      <c r="R26" s="87" t="s">
        <v>23</v>
      </c>
      <c r="S26" s="12"/>
    </row>
    <row r="27" spans="2:19" ht="21.4" customHeight="1" x14ac:dyDescent="0.35">
      <c r="B27" s="800" t="s">
        <v>272</v>
      </c>
      <c r="C27" s="58">
        <v>21</v>
      </c>
      <c r="D27" s="58">
        <v>10</v>
      </c>
      <c r="E27" s="58">
        <v>11</v>
      </c>
      <c r="F27" s="58">
        <v>460</v>
      </c>
      <c r="G27" s="58">
        <v>21.9</v>
      </c>
      <c r="H27" s="59">
        <v>0.24210526315789474</v>
      </c>
      <c r="I27" s="60">
        <v>0.59372300066979877</v>
      </c>
      <c r="J27" s="60"/>
      <c r="K27" s="60"/>
      <c r="L27" s="60"/>
      <c r="M27" s="60"/>
      <c r="N27" s="60"/>
      <c r="O27" s="60"/>
      <c r="P27" s="60"/>
      <c r="Q27" s="60"/>
      <c r="R27" s="948" t="s">
        <v>280</v>
      </c>
      <c r="S27" s="12"/>
    </row>
    <row r="28" spans="2:19" ht="21.4" customHeight="1" x14ac:dyDescent="0.35">
      <c r="B28" s="792" t="s">
        <v>281</v>
      </c>
      <c r="C28" s="61">
        <v>28</v>
      </c>
      <c r="D28" s="61">
        <v>12</v>
      </c>
      <c r="E28" s="61">
        <v>16</v>
      </c>
      <c r="F28" s="61">
        <v>558</v>
      </c>
      <c r="G28" s="61">
        <v>19.899999999999999</v>
      </c>
      <c r="H28" s="59">
        <v>0.31561085972850678</v>
      </c>
      <c r="I28" s="62">
        <v>0.85505304462527887</v>
      </c>
      <c r="J28" s="62"/>
      <c r="K28" s="62"/>
      <c r="L28" s="62"/>
      <c r="M28" s="62"/>
      <c r="N28" s="62"/>
      <c r="O28" s="62"/>
      <c r="P28" s="62"/>
      <c r="Q28" s="62"/>
      <c r="R28" s="948"/>
      <c r="S28" s="12"/>
    </row>
    <row r="29" spans="2:19" ht="21.4" customHeight="1" x14ac:dyDescent="0.35">
      <c r="B29" s="792" t="s">
        <v>289</v>
      </c>
      <c r="C29" s="58">
        <v>16</v>
      </c>
      <c r="D29" s="58">
        <v>7</v>
      </c>
      <c r="E29" s="58">
        <v>9</v>
      </c>
      <c r="F29" s="58">
        <v>477</v>
      </c>
      <c r="G29" s="63">
        <v>29.1</v>
      </c>
      <c r="H29" s="59">
        <v>0.27992957746478875</v>
      </c>
      <c r="I29" s="60">
        <v>0.49625555303331265</v>
      </c>
      <c r="J29" s="60"/>
      <c r="K29" s="60"/>
      <c r="L29" s="60"/>
      <c r="M29" s="60"/>
      <c r="N29" s="60"/>
      <c r="O29" s="60"/>
      <c r="P29" s="60"/>
      <c r="Q29" s="60"/>
      <c r="R29" s="948"/>
      <c r="S29" s="12"/>
    </row>
    <row r="30" spans="2:19" ht="21.4" customHeight="1" x14ac:dyDescent="0.35">
      <c r="B30" s="796">
        <v>2023</v>
      </c>
      <c r="C30" s="64">
        <v>29</v>
      </c>
      <c r="D30" s="64">
        <v>9</v>
      </c>
      <c r="E30" s="64">
        <v>20</v>
      </c>
      <c r="F30" s="64">
        <v>778</v>
      </c>
      <c r="G30" s="64">
        <v>26.8</v>
      </c>
      <c r="H30" s="59">
        <v>0.46199524940617576</v>
      </c>
      <c r="I30" s="65">
        <v>0.90048706511976129</v>
      </c>
      <c r="J30" s="65"/>
      <c r="K30" s="65"/>
      <c r="L30" s="65"/>
      <c r="M30" s="65"/>
      <c r="N30" s="65"/>
      <c r="O30" s="65"/>
      <c r="P30" s="65"/>
      <c r="Q30" s="65"/>
      <c r="R30" s="948"/>
      <c r="S30" s="12"/>
    </row>
    <row r="31" spans="2:19" ht="21.4" customHeight="1" x14ac:dyDescent="0.35">
      <c r="B31" s="796">
        <v>2024</v>
      </c>
      <c r="C31" s="66">
        <v>31</v>
      </c>
      <c r="D31" s="66">
        <v>2</v>
      </c>
      <c r="E31" s="66">
        <v>18</v>
      </c>
      <c r="F31" s="66">
        <v>705</v>
      </c>
      <c r="G31" s="64">
        <v>22.7</v>
      </c>
      <c r="H31" s="59">
        <f>442/20</f>
        <v>22.1</v>
      </c>
      <c r="I31" s="67">
        <v>0.74</v>
      </c>
      <c r="J31" s="33"/>
      <c r="K31" s="68"/>
      <c r="L31" s="68"/>
      <c r="M31" s="69"/>
      <c r="N31" s="69"/>
      <c r="O31" s="69"/>
      <c r="P31" s="69"/>
      <c r="Q31" s="69"/>
      <c r="R31" s="948"/>
      <c r="S31" s="12"/>
    </row>
    <row r="32" spans="2:19" ht="21.4" customHeight="1" x14ac:dyDescent="0.35">
      <c r="B32" s="703" t="s">
        <v>297</v>
      </c>
      <c r="C32" s="53"/>
      <c r="D32" s="53"/>
      <c r="E32" s="53"/>
      <c r="F32" s="53"/>
      <c r="K32" s="12"/>
      <c r="L32" s="12"/>
      <c r="M32" s="12"/>
      <c r="N32" s="12"/>
      <c r="O32" s="12"/>
      <c r="P32" s="12"/>
      <c r="Q32" s="12"/>
      <c r="R32" s="12"/>
      <c r="S32" s="12"/>
    </row>
    <row r="33" spans="2:22" ht="90.5" customHeight="1" x14ac:dyDescent="0.35">
      <c r="B33" s="35" t="s">
        <v>261</v>
      </c>
      <c r="C33" s="5" t="s">
        <v>266</v>
      </c>
      <c r="D33" s="5" t="s">
        <v>267</v>
      </c>
      <c r="E33" s="5" t="s">
        <v>268</v>
      </c>
      <c r="F33" s="5" t="s">
        <v>269</v>
      </c>
      <c r="G33" s="5" t="s">
        <v>270</v>
      </c>
      <c r="H33" s="5" t="s">
        <v>462</v>
      </c>
      <c r="I33" s="5" t="s">
        <v>271</v>
      </c>
      <c r="J33" s="35"/>
      <c r="K33" s="35"/>
      <c r="L33" s="35"/>
      <c r="M33" s="35"/>
      <c r="N33" s="35"/>
      <c r="O33" s="35"/>
      <c r="P33" s="35"/>
      <c r="Q33" s="35"/>
      <c r="R33" s="87" t="s">
        <v>23</v>
      </c>
      <c r="S33" s="12"/>
    </row>
    <row r="34" spans="2:22" ht="21.4" customHeight="1" x14ac:dyDescent="0.35">
      <c r="B34" s="800" t="s">
        <v>272</v>
      </c>
      <c r="C34" s="58">
        <v>47</v>
      </c>
      <c r="D34" s="58">
        <v>46</v>
      </c>
      <c r="E34" s="58">
        <v>23</v>
      </c>
      <c r="F34" s="58">
        <v>464</v>
      </c>
      <c r="G34" s="70">
        <f>F34/C34</f>
        <v>9.8723404255319149</v>
      </c>
      <c r="H34" s="58">
        <v>10.6</v>
      </c>
      <c r="I34" s="71">
        <v>2.8920570264765781</v>
      </c>
      <c r="J34" s="71"/>
      <c r="K34" s="71"/>
      <c r="L34" s="71"/>
      <c r="M34" s="71"/>
      <c r="N34" s="71"/>
      <c r="O34" s="71"/>
      <c r="P34" s="71"/>
      <c r="Q34" s="71"/>
      <c r="R34" s="948" t="s">
        <v>280</v>
      </c>
      <c r="S34" s="12"/>
    </row>
    <row r="35" spans="2:22" ht="21.4" customHeight="1" x14ac:dyDescent="0.35">
      <c r="B35" s="792" t="s">
        <v>281</v>
      </c>
      <c r="C35" s="61">
        <v>35</v>
      </c>
      <c r="D35" s="61">
        <v>33</v>
      </c>
      <c r="E35" s="61">
        <v>14</v>
      </c>
      <c r="F35" s="61">
        <v>695</v>
      </c>
      <c r="G35" s="70">
        <f>F35/C35</f>
        <v>19.857142857142858</v>
      </c>
      <c r="H35" s="61">
        <v>21.1</v>
      </c>
      <c r="I35" s="72">
        <v>2.2854477611940296</v>
      </c>
      <c r="J35" s="72"/>
      <c r="K35" s="72"/>
      <c r="L35" s="72"/>
      <c r="M35" s="72"/>
      <c r="N35" s="72"/>
      <c r="O35" s="72"/>
      <c r="P35" s="72"/>
      <c r="Q35" s="72"/>
      <c r="R35" s="948"/>
      <c r="S35" s="12"/>
    </row>
    <row r="36" spans="2:22" ht="21.4" customHeight="1" x14ac:dyDescent="0.35">
      <c r="B36" s="792" t="s">
        <v>289</v>
      </c>
      <c r="C36" s="61">
        <v>24</v>
      </c>
      <c r="D36" s="61">
        <v>24</v>
      </c>
      <c r="E36" s="61">
        <v>18</v>
      </c>
      <c r="F36" s="61">
        <v>245</v>
      </c>
      <c r="G36" s="70">
        <f>F36/C36</f>
        <v>10.208333333333334</v>
      </c>
      <c r="H36" s="63" t="s">
        <v>298</v>
      </c>
      <c r="I36" s="71">
        <v>2.0792079207920793</v>
      </c>
      <c r="J36" s="71"/>
      <c r="K36" s="71"/>
      <c r="L36" s="71"/>
      <c r="M36" s="71"/>
      <c r="N36" s="71"/>
      <c r="O36" s="71"/>
      <c r="P36" s="71"/>
      <c r="Q36" s="71"/>
      <c r="R36" s="948"/>
      <c r="S36" s="12"/>
    </row>
    <row r="37" spans="2:22" ht="21.4" customHeight="1" x14ac:dyDescent="0.35">
      <c r="B37" s="796">
        <v>2023</v>
      </c>
      <c r="C37" s="64">
        <v>23</v>
      </c>
      <c r="D37" s="64">
        <v>23</v>
      </c>
      <c r="E37" s="64">
        <v>23</v>
      </c>
      <c r="F37" s="64">
        <v>196</v>
      </c>
      <c r="G37" s="70">
        <f>F37/C37</f>
        <v>8.5217391304347831</v>
      </c>
      <c r="H37" s="64">
        <v>12.4</v>
      </c>
      <c r="I37" s="73">
        <v>2.217936354869817</v>
      </c>
      <c r="J37" s="73"/>
      <c r="K37" s="73"/>
      <c r="L37" s="73"/>
      <c r="M37" s="73"/>
      <c r="N37" s="73"/>
      <c r="O37" s="73"/>
      <c r="P37" s="73"/>
      <c r="Q37" s="73"/>
      <c r="R37" s="948"/>
      <c r="S37" s="12"/>
    </row>
    <row r="38" spans="2:22" ht="21.4" customHeight="1" x14ac:dyDescent="0.35">
      <c r="B38" s="796">
        <v>2024</v>
      </c>
      <c r="C38" s="66">
        <v>23</v>
      </c>
      <c r="D38" s="66">
        <v>24</v>
      </c>
      <c r="E38" s="66">
        <v>17</v>
      </c>
      <c r="F38" s="66">
        <v>306</v>
      </c>
      <c r="G38" s="74">
        <v>13.3</v>
      </c>
      <c r="H38" s="64">
        <v>15.2</v>
      </c>
      <c r="I38" s="67">
        <v>1.9</v>
      </c>
      <c r="J38" s="33"/>
      <c r="K38" s="12"/>
      <c r="L38" s="12"/>
      <c r="M38" s="12"/>
      <c r="N38" s="12"/>
      <c r="O38" s="12"/>
      <c r="P38" s="12"/>
      <c r="Q38" s="12"/>
      <c r="R38" s="948"/>
      <c r="S38" s="12"/>
    </row>
    <row r="39" spans="2:22" ht="21.4" customHeight="1" x14ac:dyDescent="0.35">
      <c r="B39" s="703" t="s">
        <v>299</v>
      </c>
      <c r="C39" s="53"/>
      <c r="D39" s="53"/>
      <c r="E39" s="53"/>
      <c r="F39" s="53"/>
      <c r="K39" s="53"/>
      <c r="L39" s="53"/>
      <c r="M39" s="53"/>
      <c r="N39" s="53"/>
      <c r="O39" s="53"/>
      <c r="P39" s="53"/>
      <c r="Q39" s="53"/>
    </row>
    <row r="40" spans="2:22" ht="88.5" customHeight="1" x14ac:dyDescent="0.35">
      <c r="B40" s="35" t="s">
        <v>261</v>
      </c>
      <c r="C40" s="5" t="s">
        <v>266</v>
      </c>
      <c r="D40" s="5" t="s">
        <v>267</v>
      </c>
      <c r="E40" s="5" t="s">
        <v>268</v>
      </c>
      <c r="F40" s="5" t="s">
        <v>269</v>
      </c>
      <c r="G40" s="5" t="s">
        <v>270</v>
      </c>
      <c r="H40" s="5" t="s">
        <v>462</v>
      </c>
      <c r="I40" s="5" t="s">
        <v>271</v>
      </c>
      <c r="J40" s="35"/>
      <c r="K40" s="35"/>
      <c r="L40" s="35"/>
      <c r="M40" s="35"/>
      <c r="N40" s="35"/>
      <c r="O40" s="35"/>
      <c r="P40" s="35"/>
      <c r="Q40" s="35"/>
      <c r="R40" s="87" t="s">
        <v>23</v>
      </c>
      <c r="S40" s="12"/>
    </row>
    <row r="41" spans="2:22" ht="21.4" customHeight="1" thickBot="1" x14ac:dyDescent="0.4">
      <c r="B41" s="800" t="s">
        <v>272</v>
      </c>
      <c r="C41" s="75">
        <v>30</v>
      </c>
      <c r="D41" s="75">
        <v>17</v>
      </c>
      <c r="E41" s="75">
        <v>13</v>
      </c>
      <c r="F41" s="76">
        <v>98</v>
      </c>
      <c r="G41" s="76">
        <v>3.27</v>
      </c>
      <c r="H41" s="58" t="s">
        <v>42</v>
      </c>
      <c r="I41" s="58" t="s">
        <v>42</v>
      </c>
      <c r="J41" s="77"/>
      <c r="K41" s="77"/>
      <c r="L41" s="77"/>
      <c r="M41" s="77"/>
      <c r="N41" s="77"/>
      <c r="O41" s="77"/>
      <c r="P41" s="77"/>
      <c r="Q41" s="77"/>
      <c r="R41" s="948" t="s">
        <v>280</v>
      </c>
      <c r="S41" s="12"/>
    </row>
    <row r="42" spans="2:22" ht="21.4" customHeight="1" thickBot="1" x14ac:dyDescent="0.4">
      <c r="B42" s="792" t="s">
        <v>281</v>
      </c>
      <c r="C42" s="78">
        <v>26</v>
      </c>
      <c r="D42" s="78">
        <v>14</v>
      </c>
      <c r="E42" s="78">
        <v>12</v>
      </c>
      <c r="F42" s="76">
        <v>465</v>
      </c>
      <c r="G42" s="76">
        <v>17.88</v>
      </c>
      <c r="H42" s="58" t="s">
        <v>42</v>
      </c>
      <c r="I42" s="58" t="s">
        <v>42</v>
      </c>
      <c r="J42" s="46"/>
      <c r="K42" s="46"/>
      <c r="L42" s="46"/>
      <c r="M42" s="46"/>
      <c r="N42" s="46"/>
      <c r="O42" s="46"/>
      <c r="P42" s="46"/>
      <c r="Q42" s="46"/>
      <c r="R42" s="948"/>
      <c r="S42" s="12"/>
    </row>
    <row r="43" spans="2:22" ht="21.4" customHeight="1" thickBot="1" x14ac:dyDescent="0.4">
      <c r="B43" s="792" t="s">
        <v>289</v>
      </c>
      <c r="C43" s="78">
        <v>23</v>
      </c>
      <c r="D43" s="78">
        <v>10</v>
      </c>
      <c r="E43" s="78">
        <v>13</v>
      </c>
      <c r="F43" s="76">
        <v>308</v>
      </c>
      <c r="G43" s="76">
        <v>13.39</v>
      </c>
      <c r="H43" s="63" t="s">
        <v>300</v>
      </c>
      <c r="I43" s="79">
        <v>1.07</v>
      </c>
      <c r="J43" s="77"/>
      <c r="K43" s="77"/>
      <c r="L43" s="77"/>
      <c r="M43" s="77"/>
      <c r="N43" s="77"/>
      <c r="O43" s="77"/>
      <c r="P43" s="77"/>
      <c r="Q43" s="77"/>
      <c r="R43" s="948"/>
      <c r="S43" s="12"/>
    </row>
    <row r="44" spans="2:22" ht="21.4" customHeight="1" thickBot="1" x14ac:dyDescent="0.4">
      <c r="B44" s="796">
        <v>2023</v>
      </c>
      <c r="C44" s="51">
        <v>16</v>
      </c>
      <c r="D44" s="51">
        <v>7</v>
      </c>
      <c r="E44" s="51">
        <v>9</v>
      </c>
      <c r="F44" s="80">
        <v>965</v>
      </c>
      <c r="G44" s="76">
        <v>60.31</v>
      </c>
      <c r="H44" s="81">
        <v>1.27</v>
      </c>
      <c r="I44" s="66">
        <v>0.99</v>
      </c>
      <c r="J44" s="82"/>
      <c r="K44" s="82"/>
      <c r="L44" s="82"/>
      <c r="M44" s="82"/>
      <c r="N44" s="82"/>
      <c r="O44" s="82"/>
      <c r="P44" s="82"/>
      <c r="Q44" s="82"/>
      <c r="R44" s="948"/>
      <c r="S44" s="12"/>
    </row>
    <row r="45" spans="2:22" ht="21.4" customHeight="1" thickBot="1" x14ac:dyDescent="0.3">
      <c r="B45" s="799">
        <v>2024</v>
      </c>
      <c r="C45" s="83">
        <v>9</v>
      </c>
      <c r="D45" s="83">
        <v>2</v>
      </c>
      <c r="E45" s="83">
        <v>6</v>
      </c>
      <c r="F45" s="76">
        <v>68</v>
      </c>
      <c r="G45" s="76">
        <v>7.6</v>
      </c>
      <c r="H45" s="84">
        <v>0.27</v>
      </c>
      <c r="I45" s="84">
        <v>0.67</v>
      </c>
      <c r="R45" s="948"/>
    </row>
    <row r="46" spans="2:22" ht="18.75" customHeight="1" x14ac:dyDescent="0.35">
      <c r="B46" s="703" t="s">
        <v>475</v>
      </c>
      <c r="C46" s="53"/>
      <c r="D46" s="53"/>
      <c r="E46" s="53"/>
      <c r="F46" s="53"/>
      <c r="G46" s="53"/>
      <c r="H46" s="53"/>
      <c r="I46" s="53"/>
      <c r="J46" s="53"/>
      <c r="K46" s="53"/>
      <c r="L46" s="53"/>
      <c r="M46" s="53"/>
      <c r="N46" s="53"/>
      <c r="O46" s="53"/>
      <c r="P46" s="53"/>
      <c r="Q46" s="53"/>
      <c r="R46" s="12"/>
      <c r="S46" s="12"/>
    </row>
    <row r="47" spans="2:22" ht="47" customHeight="1" x14ac:dyDescent="0.35">
      <c r="B47" s="85"/>
      <c r="C47" s="873" t="s">
        <v>25</v>
      </c>
      <c r="D47" s="873"/>
      <c r="E47" s="873"/>
      <c r="F47" s="1136"/>
      <c r="G47" s="873" t="s">
        <v>301</v>
      </c>
      <c r="H47" s="873"/>
      <c r="I47" s="873"/>
      <c r="J47" s="873"/>
      <c r="K47" s="873"/>
      <c r="L47" s="968" t="s">
        <v>166</v>
      </c>
      <c r="M47" s="873"/>
      <c r="N47" s="873"/>
      <c r="O47" s="873"/>
      <c r="P47" s="873"/>
      <c r="Q47" s="968" t="s">
        <v>302</v>
      </c>
      <c r="R47" s="873"/>
      <c r="S47" s="873"/>
      <c r="T47" s="873"/>
      <c r="U47" s="873"/>
      <c r="V47" s="87" t="s">
        <v>23</v>
      </c>
    </row>
    <row r="48" spans="2:22" ht="30.4" customHeight="1" x14ac:dyDescent="0.35">
      <c r="B48" s="88"/>
      <c r="C48" s="88">
        <v>2021</v>
      </c>
      <c r="D48" s="88">
        <v>2022</v>
      </c>
      <c r="E48" s="88">
        <v>2023</v>
      </c>
      <c r="F48" s="89">
        <v>2024</v>
      </c>
      <c r="G48" s="88">
        <v>2020</v>
      </c>
      <c r="H48" s="88">
        <v>2021</v>
      </c>
      <c r="I48" s="88">
        <v>2022</v>
      </c>
      <c r="J48" s="90">
        <v>2023</v>
      </c>
      <c r="K48" s="90">
        <v>2024</v>
      </c>
      <c r="L48" s="88">
        <v>2020</v>
      </c>
      <c r="M48" s="88">
        <v>2021</v>
      </c>
      <c r="N48" s="88">
        <v>2022</v>
      </c>
      <c r="O48" s="88">
        <v>2023</v>
      </c>
      <c r="P48" s="89">
        <v>2024</v>
      </c>
      <c r="Q48" s="88">
        <v>2020</v>
      </c>
      <c r="R48" s="88">
        <v>2021</v>
      </c>
      <c r="S48" s="91" t="s">
        <v>289</v>
      </c>
      <c r="T48" s="90">
        <v>2023</v>
      </c>
      <c r="U48" s="90">
        <v>2024</v>
      </c>
      <c r="V48" s="943" t="s">
        <v>280</v>
      </c>
    </row>
    <row r="49" spans="2:22" ht="44" customHeight="1" x14ac:dyDescent="0.35">
      <c r="B49" s="92" t="s">
        <v>303</v>
      </c>
      <c r="C49" s="93">
        <v>229</v>
      </c>
      <c r="D49" s="93">
        <v>186</v>
      </c>
      <c r="E49" s="93">
        <v>184</v>
      </c>
      <c r="F49" s="94">
        <v>186</v>
      </c>
      <c r="G49" s="93">
        <v>10</v>
      </c>
      <c r="H49" s="93">
        <v>12</v>
      </c>
      <c r="I49" s="93">
        <v>7</v>
      </c>
      <c r="J49" s="95">
        <v>9</v>
      </c>
      <c r="K49" s="96">
        <v>23</v>
      </c>
      <c r="L49" s="97">
        <v>48</v>
      </c>
      <c r="M49" s="98" t="s">
        <v>304</v>
      </c>
      <c r="N49" s="98" t="s">
        <v>305</v>
      </c>
      <c r="O49" s="95">
        <v>20</v>
      </c>
      <c r="P49" s="96">
        <v>24</v>
      </c>
      <c r="Q49" s="99">
        <v>30</v>
      </c>
      <c r="R49" s="99">
        <v>26</v>
      </c>
      <c r="S49" s="858">
        <v>23</v>
      </c>
      <c r="T49" s="95">
        <v>16</v>
      </c>
      <c r="U49" s="100">
        <v>9</v>
      </c>
      <c r="V49" s="948"/>
    </row>
    <row r="50" spans="2:22" ht="30.4" customHeight="1" x14ac:dyDescent="0.35">
      <c r="B50" s="101" t="s">
        <v>306</v>
      </c>
      <c r="C50" s="102">
        <v>74</v>
      </c>
      <c r="D50" s="13">
        <v>51</v>
      </c>
      <c r="E50" s="13">
        <v>47</v>
      </c>
      <c r="F50" s="94">
        <v>73</v>
      </c>
      <c r="G50" s="13">
        <v>11</v>
      </c>
      <c r="H50" s="93">
        <v>16</v>
      </c>
      <c r="I50" s="93">
        <v>9</v>
      </c>
      <c r="J50" s="103">
        <v>20</v>
      </c>
      <c r="K50" s="104">
        <v>18</v>
      </c>
      <c r="L50" s="105">
        <v>23</v>
      </c>
      <c r="M50" s="106" t="s">
        <v>307</v>
      </c>
      <c r="N50" s="106" t="s">
        <v>307</v>
      </c>
      <c r="O50" s="103">
        <v>22</v>
      </c>
      <c r="P50" s="104">
        <v>17</v>
      </c>
      <c r="Q50" s="107">
        <v>5</v>
      </c>
      <c r="R50" s="107">
        <v>12</v>
      </c>
      <c r="S50" s="858" t="s">
        <v>308</v>
      </c>
      <c r="T50" s="103">
        <v>8</v>
      </c>
      <c r="U50" s="108">
        <v>6</v>
      </c>
      <c r="V50" s="948"/>
    </row>
    <row r="51" spans="2:22" ht="30.4" customHeight="1" x14ac:dyDescent="0.35">
      <c r="B51" s="101" t="s">
        <v>309</v>
      </c>
      <c r="C51" s="93">
        <v>5049</v>
      </c>
      <c r="D51" s="109">
        <v>4913</v>
      </c>
      <c r="E51" s="109">
        <v>4406</v>
      </c>
      <c r="F51" s="110">
        <v>5120</v>
      </c>
      <c r="G51" s="13">
        <v>460</v>
      </c>
      <c r="H51" s="111">
        <v>558</v>
      </c>
      <c r="I51" s="111">
        <v>477</v>
      </c>
      <c r="J51" s="112">
        <v>778</v>
      </c>
      <c r="K51" s="113">
        <v>705</v>
      </c>
      <c r="L51" s="105">
        <v>604</v>
      </c>
      <c r="M51" s="106" t="s">
        <v>310</v>
      </c>
      <c r="N51" s="106" t="s">
        <v>311</v>
      </c>
      <c r="O51" s="112">
        <v>196</v>
      </c>
      <c r="P51" s="113">
        <v>523</v>
      </c>
      <c r="Q51" s="107">
        <v>81</v>
      </c>
      <c r="R51" s="107">
        <v>456</v>
      </c>
      <c r="S51" s="858" t="s">
        <v>312</v>
      </c>
      <c r="T51" s="112">
        <v>644</v>
      </c>
      <c r="U51" s="114">
        <v>68</v>
      </c>
      <c r="V51" s="948"/>
    </row>
    <row r="52" spans="2:22" ht="30.4" customHeight="1" x14ac:dyDescent="0.35">
      <c r="B52" s="101" t="s">
        <v>313</v>
      </c>
      <c r="C52" s="93">
        <v>65668</v>
      </c>
      <c r="D52" s="109">
        <v>68515</v>
      </c>
      <c r="E52" s="112">
        <v>59347.91</v>
      </c>
      <c r="F52" s="110">
        <v>1358</v>
      </c>
      <c r="G52" s="115">
        <v>16884</v>
      </c>
      <c r="H52" s="93">
        <v>14226</v>
      </c>
      <c r="I52" s="93">
        <v>16976</v>
      </c>
      <c r="J52" s="112">
        <v>14994</v>
      </c>
      <c r="K52" s="113">
        <v>14128</v>
      </c>
      <c r="L52" s="116" t="s">
        <v>42</v>
      </c>
      <c r="M52" s="106" t="s">
        <v>314</v>
      </c>
      <c r="N52" s="106" t="s">
        <v>315</v>
      </c>
      <c r="O52" s="112">
        <v>46</v>
      </c>
      <c r="P52" s="113">
        <v>9119</v>
      </c>
      <c r="Q52" s="117">
        <v>7391</v>
      </c>
      <c r="R52" s="118">
        <v>7375.1523529411716</v>
      </c>
      <c r="S52" s="858">
        <v>7368</v>
      </c>
      <c r="T52" s="112">
        <v>6996</v>
      </c>
      <c r="U52" s="114">
        <v>19</v>
      </c>
      <c r="V52" s="948"/>
    </row>
    <row r="53" spans="2:22" ht="30.4" customHeight="1" x14ac:dyDescent="0.35">
      <c r="B53" s="119" t="s">
        <v>316</v>
      </c>
      <c r="C53" s="120">
        <f>247/C52</f>
        <v>3.7613449473107145E-3</v>
      </c>
      <c r="D53" s="121">
        <f>247/D52</f>
        <v>3.6050499890534918E-3</v>
      </c>
      <c r="E53" s="121">
        <f>247/E52</f>
        <v>4.1618988773151405E-3</v>
      </c>
      <c r="F53" s="94"/>
      <c r="G53" s="13">
        <v>0</v>
      </c>
      <c r="H53" s="122" t="s">
        <v>317</v>
      </c>
      <c r="I53" s="122" t="s">
        <v>318</v>
      </c>
      <c r="J53" s="121">
        <v>1.6999999999999999E-3</v>
      </c>
      <c r="K53" s="123">
        <v>4.4999999999999999E-4</v>
      </c>
      <c r="L53" s="124">
        <v>3.1685892107626436E-2</v>
      </c>
      <c r="M53" s="125" t="s">
        <v>319</v>
      </c>
      <c r="N53" s="125" t="s">
        <v>320</v>
      </c>
      <c r="O53" s="126">
        <v>1E-4</v>
      </c>
      <c r="P53" s="123">
        <v>3.3099999999999997E-2</v>
      </c>
      <c r="Q53" s="127">
        <v>2.1100000000000001E-2</v>
      </c>
      <c r="R53" s="127">
        <v>2.3699999999999999E-2</v>
      </c>
      <c r="S53" s="858" t="s">
        <v>321</v>
      </c>
      <c r="T53" s="126">
        <v>3.56E-2</v>
      </c>
      <c r="U53" s="128">
        <f>U52/(641*12*20.83)</f>
        <v>1.1858371598426108E-4</v>
      </c>
      <c r="V53" s="948"/>
    </row>
    <row r="55" spans="2:22" x14ac:dyDescent="0.35">
      <c r="E55" s="109"/>
    </row>
    <row r="56" spans="2:22" ht="15.5" x14ac:dyDescent="0.35">
      <c r="B56" s="703" t="s">
        <v>322</v>
      </c>
      <c r="E56" s="109"/>
    </row>
    <row r="57" spans="2:22" ht="26.5" customHeight="1" x14ac:dyDescent="0.35">
      <c r="B57" s="85"/>
      <c r="C57" s="129" t="s">
        <v>25</v>
      </c>
      <c r="D57" s="959"/>
      <c r="E57" s="960"/>
      <c r="F57" s="968" t="s">
        <v>301</v>
      </c>
      <c r="G57" s="873"/>
      <c r="H57" s="873"/>
      <c r="I57" s="873" t="s">
        <v>166</v>
      </c>
      <c r="J57" s="873"/>
      <c r="K57" s="873"/>
      <c r="L57" s="968" t="s">
        <v>302</v>
      </c>
      <c r="M57" s="873"/>
      <c r="N57" s="85"/>
      <c r="O57" s="873" t="s">
        <v>23</v>
      </c>
      <c r="P57" s="132"/>
      <c r="S57" s="12"/>
    </row>
    <row r="58" spans="2:22" ht="14.65" customHeight="1" x14ac:dyDescent="0.35">
      <c r="B58" s="88"/>
      <c r="C58" s="133">
        <v>2022</v>
      </c>
      <c r="D58" s="134">
        <v>2023</v>
      </c>
      <c r="E58" s="135">
        <v>2024</v>
      </c>
      <c r="F58" s="136">
        <v>2022</v>
      </c>
      <c r="G58" s="134">
        <v>2023</v>
      </c>
      <c r="H58" s="136">
        <v>2024</v>
      </c>
      <c r="I58" s="134">
        <v>2022</v>
      </c>
      <c r="J58" s="136">
        <v>2023</v>
      </c>
      <c r="K58" s="134">
        <v>2024</v>
      </c>
      <c r="L58" s="134" t="s">
        <v>289</v>
      </c>
      <c r="M58" s="134">
        <v>2023</v>
      </c>
      <c r="N58" s="134">
        <v>2024</v>
      </c>
      <c r="O58" s="873"/>
      <c r="P58" s="137"/>
      <c r="S58" s="12"/>
    </row>
    <row r="59" spans="2:22" ht="40" customHeight="1" x14ac:dyDescent="0.35">
      <c r="B59" s="791" t="s">
        <v>323</v>
      </c>
      <c r="C59" s="801" t="s">
        <v>42</v>
      </c>
      <c r="D59" s="802" t="s">
        <v>42</v>
      </c>
      <c r="E59" s="803">
        <v>0.75</v>
      </c>
      <c r="F59" s="801">
        <v>0.97</v>
      </c>
      <c r="G59" s="804">
        <v>0.95</v>
      </c>
      <c r="H59" s="803">
        <v>0.87</v>
      </c>
      <c r="I59" s="801">
        <v>0.96</v>
      </c>
      <c r="J59" s="804">
        <v>0.91</v>
      </c>
      <c r="K59" s="803">
        <v>0.93</v>
      </c>
      <c r="L59" s="801">
        <v>1</v>
      </c>
      <c r="M59" s="804">
        <v>0.92</v>
      </c>
      <c r="N59" s="803">
        <v>0.93300000000000005</v>
      </c>
      <c r="O59" s="948" t="s">
        <v>324</v>
      </c>
      <c r="P59" s="138"/>
      <c r="S59" s="12"/>
    </row>
    <row r="60" spans="2:22" ht="34" customHeight="1" x14ac:dyDescent="0.35">
      <c r="B60" s="791" t="s">
        <v>476</v>
      </c>
      <c r="C60" s="805">
        <v>2153</v>
      </c>
      <c r="D60" s="806">
        <v>1664</v>
      </c>
      <c r="E60" s="807">
        <v>2001</v>
      </c>
      <c r="F60" s="805" t="s">
        <v>42</v>
      </c>
      <c r="G60" s="808">
        <v>240</v>
      </c>
      <c r="H60" s="807">
        <v>268</v>
      </c>
      <c r="I60" s="805" t="s">
        <v>42</v>
      </c>
      <c r="J60" s="808">
        <v>27</v>
      </c>
      <c r="K60" s="807">
        <v>208</v>
      </c>
      <c r="L60" s="805" t="s">
        <v>42</v>
      </c>
      <c r="M60" s="808">
        <v>4</v>
      </c>
      <c r="N60" s="807">
        <v>5</v>
      </c>
      <c r="O60" s="948"/>
      <c r="P60" s="139"/>
      <c r="S60" s="12"/>
    </row>
    <row r="61" spans="2:22" ht="32" customHeight="1" x14ac:dyDescent="0.35">
      <c r="B61" s="791" t="s">
        <v>325</v>
      </c>
      <c r="C61" s="805">
        <v>1620</v>
      </c>
      <c r="D61" s="806">
        <v>2001</v>
      </c>
      <c r="E61" s="807">
        <v>1773</v>
      </c>
      <c r="F61" s="805" t="s">
        <v>42</v>
      </c>
      <c r="G61" s="808">
        <v>1600</v>
      </c>
      <c r="H61" s="807">
        <v>1514</v>
      </c>
      <c r="I61" s="805" t="s">
        <v>42</v>
      </c>
      <c r="J61" s="808">
        <v>633</v>
      </c>
      <c r="K61" s="807">
        <v>799</v>
      </c>
      <c r="L61" s="805" t="s">
        <v>42</v>
      </c>
      <c r="M61" s="808">
        <v>108</v>
      </c>
      <c r="N61" s="807">
        <v>86</v>
      </c>
      <c r="O61" s="948"/>
      <c r="P61" s="139"/>
      <c r="S61" s="12"/>
    </row>
    <row r="62" spans="2:22" ht="39" x14ac:dyDescent="0.35">
      <c r="B62" s="791" t="s">
        <v>326</v>
      </c>
      <c r="C62" s="805">
        <v>1590</v>
      </c>
      <c r="D62" s="806">
        <v>1650</v>
      </c>
      <c r="E62" s="807">
        <v>2026</v>
      </c>
      <c r="F62" s="805" t="s">
        <v>42</v>
      </c>
      <c r="G62" s="808" t="s">
        <v>42</v>
      </c>
      <c r="H62" s="807" t="s">
        <v>42</v>
      </c>
      <c r="I62" s="805" t="s">
        <v>42</v>
      </c>
      <c r="J62" s="808">
        <v>167</v>
      </c>
      <c r="K62" s="807">
        <v>163</v>
      </c>
      <c r="L62" s="805" t="s">
        <v>42</v>
      </c>
      <c r="M62" s="808" t="s">
        <v>42</v>
      </c>
      <c r="N62" s="807">
        <v>0</v>
      </c>
      <c r="O62" s="948"/>
      <c r="P62" s="139"/>
      <c r="S62" s="12"/>
    </row>
    <row r="63" spans="2:22" ht="32" customHeight="1" x14ac:dyDescent="0.35">
      <c r="B63" s="791" t="s">
        <v>327</v>
      </c>
      <c r="C63" s="805">
        <v>8</v>
      </c>
      <c r="D63" s="806">
        <v>35</v>
      </c>
      <c r="E63" s="807">
        <v>41</v>
      </c>
      <c r="F63" s="805" t="s">
        <v>42</v>
      </c>
      <c r="G63" s="805" t="s">
        <v>42</v>
      </c>
      <c r="H63" s="807" t="s">
        <v>42</v>
      </c>
      <c r="I63" s="805" t="s">
        <v>42</v>
      </c>
      <c r="J63" s="806" t="s">
        <v>42</v>
      </c>
      <c r="K63" s="807">
        <v>12</v>
      </c>
      <c r="L63" s="805" t="s">
        <v>42</v>
      </c>
      <c r="M63" s="805" t="s">
        <v>42</v>
      </c>
      <c r="N63" s="807">
        <v>25</v>
      </c>
      <c r="O63" s="948"/>
      <c r="P63" s="140"/>
      <c r="S63" s="12"/>
    </row>
    <row r="64" spans="2:22" ht="39" x14ac:dyDescent="0.35">
      <c r="B64" s="791" t="s">
        <v>461</v>
      </c>
      <c r="C64" s="805">
        <v>14</v>
      </c>
      <c r="D64" s="806">
        <v>3</v>
      </c>
      <c r="E64" s="805" t="s">
        <v>42</v>
      </c>
      <c r="F64" s="805" t="s">
        <v>42</v>
      </c>
      <c r="G64" s="805" t="s">
        <v>42</v>
      </c>
      <c r="H64" s="807">
        <v>4</v>
      </c>
      <c r="I64" s="805" t="s">
        <v>42</v>
      </c>
      <c r="J64" s="806" t="s">
        <v>42</v>
      </c>
      <c r="K64" s="809">
        <v>4</v>
      </c>
      <c r="L64" s="805" t="s">
        <v>42</v>
      </c>
      <c r="M64" s="806">
        <v>5</v>
      </c>
      <c r="N64" s="807">
        <v>9</v>
      </c>
      <c r="O64" s="948"/>
      <c r="P64" s="141"/>
      <c r="S64" s="12"/>
    </row>
    <row r="65" spans="5:19" x14ac:dyDescent="0.35">
      <c r="E65" s="109"/>
      <c r="R65" s="12"/>
    </row>
    <row r="66" spans="5:19" x14ac:dyDescent="0.35">
      <c r="E66" s="109"/>
      <c r="I66" s="142"/>
    </row>
    <row r="67" spans="5:19" x14ac:dyDescent="0.35">
      <c r="E67" s="109"/>
      <c r="I67" s="118"/>
    </row>
    <row r="68" spans="5:19" x14ac:dyDescent="0.35">
      <c r="E68" s="109"/>
      <c r="I68" s="118"/>
    </row>
    <row r="69" spans="5:19" x14ac:dyDescent="0.35">
      <c r="E69" s="109"/>
    </row>
    <row r="70" spans="5:19" x14ac:dyDescent="0.35">
      <c r="E70" s="109"/>
    </row>
    <row r="71" spans="5:19" x14ac:dyDescent="0.35">
      <c r="E71" s="109"/>
    </row>
    <row r="72" spans="5:19" x14ac:dyDescent="0.35">
      <c r="E72" s="109"/>
    </row>
    <row r="73" spans="5:19" x14ac:dyDescent="0.35">
      <c r="S73" s="12"/>
    </row>
    <row r="74" spans="5:19" x14ac:dyDescent="0.35">
      <c r="S74" s="12"/>
    </row>
    <row r="75" spans="5:19" x14ac:dyDescent="0.35">
      <c r="S75" s="12"/>
    </row>
  </sheetData>
  <mergeCells count="19">
    <mergeCell ref="V48:V53"/>
    <mergeCell ref="O59:O64"/>
    <mergeCell ref="O57:O58"/>
    <mergeCell ref="L57:M57"/>
    <mergeCell ref="R27:R31"/>
    <mergeCell ref="R20:R24"/>
    <mergeCell ref="R14:R17"/>
    <mergeCell ref="L47:P47"/>
    <mergeCell ref="Q47:U47"/>
    <mergeCell ref="R41:R45"/>
    <mergeCell ref="R34:R38"/>
    <mergeCell ref="C47:F47"/>
    <mergeCell ref="I57:K57"/>
    <mergeCell ref="F57:H57"/>
    <mergeCell ref="D57:E57"/>
    <mergeCell ref="B9:C9"/>
    <mergeCell ref="C14:E14"/>
    <mergeCell ref="C15:E15"/>
    <mergeCell ref="G47:K47"/>
  </mergeCells>
  <pageMargins left="0.7" right="0.7" top="0.75" bottom="0.75" header="0.3" footer="0.3"/>
  <pageSetup paperSize="9"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
  <sheetViews>
    <sheetView showGridLines="0" zoomScale="50" zoomScaleNormal="50" workbookViewId="0">
      <selection activeCell="V12" sqref="V12"/>
    </sheetView>
  </sheetViews>
  <sheetFormatPr defaultColWidth="9.26953125" defaultRowHeight="14" x14ac:dyDescent="0.35"/>
  <cols>
    <col min="1" max="7" width="9.26953125" style="45" customWidth="1"/>
    <col min="8" max="16384" width="9.26953125" style="45"/>
  </cols>
  <sheetData/>
  <pageMargins left="0.7" right="0.7" top="0.75" bottom="0.75" header="0.3" footer="0.3"/>
  <pageSetup paperSize="9"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O50"/>
  <sheetViews>
    <sheetView showGridLines="0" zoomScale="50" zoomScaleNormal="50" workbookViewId="0">
      <selection activeCell="D29" sqref="D29"/>
    </sheetView>
  </sheetViews>
  <sheetFormatPr defaultColWidth="9.26953125" defaultRowHeight="14" x14ac:dyDescent="0.35"/>
  <cols>
    <col min="1" max="1" width="3.7265625" style="12" customWidth="1"/>
    <col min="2" max="11" width="10.7265625" style="13" customWidth="1"/>
    <col min="12" max="12" width="9.26953125" style="12" customWidth="1"/>
    <col min="13" max="16384" width="9.26953125" style="12"/>
  </cols>
  <sheetData>
    <row r="1" spans="2:15" ht="15" customHeight="1" x14ac:dyDescent="0.35"/>
    <row r="2" spans="2:15" ht="15" customHeight="1" x14ac:dyDescent="0.35"/>
    <row r="3" spans="2:15" ht="15" customHeight="1" x14ac:dyDescent="0.35"/>
    <row r="4" spans="2:15" ht="15" customHeight="1" x14ac:dyDescent="0.35"/>
    <row r="5" spans="2:15" ht="24" customHeight="1" thickBot="1" x14ac:dyDescent="0.4">
      <c r="B5" s="725" t="s">
        <v>479</v>
      </c>
      <c r="C5" s="768"/>
      <c r="D5" s="768"/>
      <c r="E5" s="11"/>
      <c r="F5" s="11"/>
      <c r="G5" s="11"/>
      <c r="H5" s="11"/>
      <c r="I5" s="11"/>
      <c r="J5" s="11"/>
      <c r="K5" s="11"/>
      <c r="L5" s="11"/>
      <c r="M5" s="11"/>
      <c r="N5" s="11"/>
      <c r="O5" s="11"/>
    </row>
    <row r="6" spans="2:15" ht="21.4" customHeight="1" thickTop="1" x14ac:dyDescent="0.35"/>
    <row r="7" spans="2:15" ht="21.4" customHeight="1" x14ac:dyDescent="0.35">
      <c r="B7" s="12"/>
      <c r="C7" s="12"/>
      <c r="D7" s="12"/>
      <c r="E7" s="12"/>
      <c r="F7" s="12"/>
      <c r="G7" s="12"/>
      <c r="H7" s="12"/>
      <c r="I7" s="12"/>
      <c r="J7" s="12"/>
      <c r="K7" s="12"/>
    </row>
    <row r="8" spans="2:15" ht="21.4" customHeight="1" x14ac:dyDescent="0.35">
      <c r="B8" s="12"/>
      <c r="C8" s="12"/>
      <c r="D8" s="12"/>
      <c r="E8" s="12"/>
      <c r="F8" s="12"/>
      <c r="G8" s="12"/>
      <c r="H8" s="12"/>
      <c r="I8" s="12"/>
      <c r="J8" s="12"/>
      <c r="K8" s="12"/>
    </row>
    <row r="9" spans="2:15" ht="21.4" customHeight="1" x14ac:dyDescent="0.35">
      <c r="B9" s="12"/>
      <c r="C9" s="12"/>
      <c r="D9" s="12"/>
      <c r="E9" s="12"/>
      <c r="F9" s="12"/>
      <c r="G9" s="12"/>
      <c r="H9" s="12"/>
      <c r="I9" s="12"/>
      <c r="J9" s="12"/>
      <c r="K9" s="12"/>
    </row>
    <row r="10" spans="2:15" ht="21.4" customHeight="1" x14ac:dyDescent="0.35">
      <c r="B10" s="12"/>
      <c r="C10" s="12"/>
      <c r="D10" s="12"/>
      <c r="E10" s="12"/>
      <c r="F10" s="12"/>
      <c r="G10" s="12"/>
      <c r="H10" s="12"/>
      <c r="I10" s="12"/>
      <c r="J10" s="12"/>
      <c r="K10" s="12"/>
    </row>
    <row r="11" spans="2:15" ht="21.4" customHeight="1" x14ac:dyDescent="0.35">
      <c r="B11" s="12"/>
      <c r="C11" s="12"/>
      <c r="D11" s="12"/>
      <c r="E11" s="12"/>
      <c r="F11" s="12"/>
      <c r="G11" s="12"/>
      <c r="H11" s="12"/>
      <c r="I11" s="12"/>
      <c r="J11" s="12"/>
      <c r="K11" s="12"/>
    </row>
    <row r="12" spans="2:15" ht="21.4" customHeight="1" x14ac:dyDescent="0.35">
      <c r="B12" s="12"/>
      <c r="C12" s="12"/>
      <c r="D12" s="12"/>
      <c r="E12" s="12"/>
      <c r="F12" s="12"/>
      <c r="G12" s="12"/>
      <c r="H12" s="12"/>
      <c r="I12" s="12"/>
      <c r="J12" s="12"/>
      <c r="K12" s="12"/>
    </row>
    <row r="13" spans="2:15" ht="21.4" customHeight="1" x14ac:dyDescent="0.35">
      <c r="B13" s="12"/>
      <c r="C13" s="12"/>
      <c r="D13" s="12"/>
      <c r="E13" s="12"/>
      <c r="F13" s="12"/>
      <c r="G13" s="12"/>
      <c r="H13" s="12"/>
      <c r="I13" s="12"/>
      <c r="J13" s="12"/>
      <c r="K13" s="12"/>
    </row>
    <row r="14" spans="2:15" ht="21.4" customHeight="1" x14ac:dyDescent="0.35">
      <c r="B14" s="12"/>
      <c r="C14" s="12"/>
      <c r="D14" s="12"/>
      <c r="E14" s="12"/>
      <c r="F14" s="12"/>
      <c r="G14" s="12"/>
      <c r="H14" s="12"/>
      <c r="I14" s="12"/>
      <c r="J14" s="12"/>
      <c r="K14" s="12"/>
    </row>
    <row r="15" spans="2:15" ht="21.4" customHeight="1" x14ac:dyDescent="0.35">
      <c r="B15" s="12"/>
      <c r="C15" s="12"/>
      <c r="D15" s="12"/>
      <c r="E15" s="12"/>
      <c r="F15" s="12"/>
      <c r="G15" s="12"/>
      <c r="H15" s="12"/>
      <c r="I15" s="12"/>
      <c r="J15" s="12"/>
      <c r="K15" s="12"/>
    </row>
    <row r="16" spans="2:15" ht="21.4" customHeight="1" x14ac:dyDescent="0.35">
      <c r="B16" s="12"/>
      <c r="C16" s="12"/>
      <c r="D16" s="12"/>
      <c r="E16" s="12"/>
      <c r="F16" s="12"/>
      <c r="G16" s="12"/>
      <c r="H16" s="12"/>
      <c r="I16" s="12"/>
      <c r="J16" s="12"/>
      <c r="K16" s="12"/>
    </row>
    <row r="17" spans="2:14" ht="21.4" customHeight="1" x14ac:dyDescent="0.35">
      <c r="B17" s="12"/>
      <c r="C17" s="12"/>
      <c r="D17" s="12"/>
      <c r="E17" s="12"/>
      <c r="F17" s="12"/>
      <c r="G17" s="12"/>
      <c r="H17" s="12"/>
      <c r="I17" s="12"/>
      <c r="J17" s="12"/>
      <c r="K17" s="12"/>
    </row>
    <row r="18" spans="2:14" ht="21.4" customHeight="1" x14ac:dyDescent="0.35">
      <c r="B18" s="12"/>
      <c r="C18" s="12"/>
      <c r="D18" s="12"/>
      <c r="E18" s="12"/>
      <c r="F18" s="12"/>
      <c r="G18" s="12"/>
      <c r="H18" s="12"/>
      <c r="I18" s="12"/>
      <c r="J18" s="12"/>
      <c r="K18" s="12"/>
    </row>
    <row r="19" spans="2:14" ht="21.4" customHeight="1" x14ac:dyDescent="0.35">
      <c r="B19" s="12"/>
      <c r="C19" s="12"/>
      <c r="D19" s="12"/>
      <c r="E19" s="12"/>
      <c r="F19" s="12"/>
      <c r="G19" s="12"/>
      <c r="H19" s="12"/>
      <c r="I19" s="12"/>
      <c r="J19" s="12"/>
      <c r="K19" s="12"/>
      <c r="N19" s="38"/>
    </row>
    <row r="20" spans="2:14" ht="21.4" customHeight="1" x14ac:dyDescent="0.35">
      <c r="B20" s="12"/>
      <c r="C20" s="12"/>
      <c r="D20" s="12"/>
      <c r="E20" s="12"/>
      <c r="F20" s="12"/>
      <c r="G20" s="12"/>
      <c r="H20" s="12"/>
      <c r="I20" s="12"/>
      <c r="J20" s="12"/>
      <c r="K20" s="12"/>
    </row>
    <row r="21" spans="2:14" ht="21.4" customHeight="1" x14ac:dyDescent="0.35">
      <c r="B21" s="12"/>
      <c r="C21" s="12"/>
      <c r="D21" s="12"/>
      <c r="E21" s="12"/>
      <c r="F21" s="12"/>
      <c r="G21" s="12"/>
      <c r="H21" s="12"/>
      <c r="I21" s="12"/>
      <c r="J21" s="12"/>
      <c r="K21" s="12"/>
    </row>
    <row r="22" spans="2:14" ht="21.4" customHeight="1" x14ac:dyDescent="0.35">
      <c r="B22" s="12"/>
      <c r="C22" s="12"/>
      <c r="D22" s="12"/>
      <c r="E22" s="12"/>
      <c r="F22" s="12"/>
      <c r="G22" s="12"/>
      <c r="H22" s="12"/>
      <c r="I22" s="12"/>
      <c r="J22" s="12"/>
      <c r="K22" s="12"/>
    </row>
    <row r="23" spans="2:14" ht="21.4" customHeight="1" x14ac:dyDescent="0.35">
      <c r="B23" s="12"/>
      <c r="I23" s="12"/>
      <c r="J23" s="12"/>
      <c r="K23" s="12"/>
    </row>
    <row r="24" spans="2:14" ht="21.4" customHeight="1" x14ac:dyDescent="0.35">
      <c r="B24" s="12"/>
      <c r="C24" s="12"/>
      <c r="D24" s="12"/>
      <c r="E24" s="12"/>
      <c r="F24" s="12"/>
      <c r="G24" s="12"/>
      <c r="H24" s="12"/>
      <c r="I24" s="12"/>
      <c r="J24" s="12"/>
      <c r="K24" s="12"/>
    </row>
    <row r="25" spans="2:14" ht="21.4" customHeight="1" x14ac:dyDescent="0.35">
      <c r="B25" s="12"/>
      <c r="C25" s="12"/>
      <c r="D25" s="12"/>
      <c r="E25" s="12"/>
      <c r="F25" s="12"/>
      <c r="G25" s="12"/>
      <c r="H25" s="12"/>
      <c r="I25" s="12"/>
      <c r="J25" s="12"/>
      <c r="K25" s="12"/>
    </row>
    <row r="26" spans="2:14" ht="21.4" customHeight="1" x14ac:dyDescent="0.35">
      <c r="B26" s="12"/>
      <c r="C26" s="12" t="s">
        <v>328</v>
      </c>
      <c r="D26" s="12"/>
      <c r="E26" s="12"/>
      <c r="F26" s="12"/>
      <c r="G26" s="12"/>
      <c r="H26" s="12"/>
      <c r="I26" s="12"/>
      <c r="J26" s="12"/>
      <c r="K26" s="12"/>
    </row>
    <row r="27" spans="2:14" ht="21.4" customHeight="1" x14ac:dyDescent="0.35"/>
    <row r="28" spans="2:14" ht="21.4" customHeight="1" x14ac:dyDescent="0.35"/>
    <row r="29" spans="2:14" ht="21.4" customHeight="1" x14ac:dyDescent="0.35"/>
    <row r="30" spans="2:14" ht="21.4" customHeight="1" x14ac:dyDescent="0.35"/>
    <row r="31" spans="2:14" ht="21.4" customHeight="1" x14ac:dyDescent="0.35"/>
    <row r="32" spans="2:14" ht="21.4" customHeight="1" x14ac:dyDescent="0.35"/>
    <row r="33" spans="3:3" ht="21.4" customHeight="1" x14ac:dyDescent="0.35"/>
    <row r="34" spans="3:3" ht="21.4" customHeight="1" x14ac:dyDescent="0.35">
      <c r="C34" s="863"/>
    </row>
    <row r="35" spans="3:3" ht="21.4" customHeight="1" x14ac:dyDescent="0.35"/>
    <row r="36" spans="3:3" ht="21.4" customHeight="1" x14ac:dyDescent="0.35"/>
    <row r="37" spans="3:3" ht="21.4" customHeight="1" x14ac:dyDescent="0.35"/>
    <row r="38" spans="3:3" ht="21.4" customHeight="1" x14ac:dyDescent="0.35"/>
    <row r="39" spans="3:3" ht="21.4" customHeight="1" x14ac:dyDescent="0.35"/>
    <row r="40" spans="3:3" ht="21.4" customHeight="1" x14ac:dyDescent="0.35"/>
    <row r="41" spans="3:3" ht="21.4" customHeight="1" x14ac:dyDescent="0.35"/>
    <row r="42" spans="3:3" ht="21.4" customHeight="1" x14ac:dyDescent="0.35"/>
    <row r="43" spans="3:3" ht="21.4" customHeight="1" x14ac:dyDescent="0.35"/>
    <row r="44" spans="3:3" ht="21.4" customHeight="1" x14ac:dyDescent="0.35"/>
    <row r="45" spans="3:3" ht="21.4" customHeight="1" x14ac:dyDescent="0.35"/>
    <row r="46" spans="3:3" ht="21.4" customHeight="1" x14ac:dyDescent="0.35"/>
    <row r="47" spans="3:3" ht="21.4" customHeight="1" x14ac:dyDescent="0.35"/>
    <row r="48" spans="3:3" ht="21.4" customHeight="1" x14ac:dyDescent="0.35"/>
    <row r="49" ht="21.4" customHeight="1" x14ac:dyDescent="0.35"/>
    <row r="50" ht="21.4" customHeight="1" x14ac:dyDescent="0.35"/>
  </sheetData>
  <pageMargins left="0.7" right="0.7" top="0.75" bottom="0.75" header="0.3" footer="0.3"/>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4"/>
  <sheetViews>
    <sheetView showGridLines="0" topLeftCell="A5" zoomScale="50" zoomScaleNormal="50" workbookViewId="0">
      <selection activeCell="F13" sqref="F13"/>
    </sheetView>
  </sheetViews>
  <sheetFormatPr defaultColWidth="9.26953125" defaultRowHeight="14" x14ac:dyDescent="0.35"/>
  <cols>
    <col min="1" max="1" width="3.7265625" style="12" customWidth="1"/>
    <col min="2" max="2" width="44.1796875" style="13" customWidth="1"/>
    <col min="3" max="12" width="13.7265625" style="13" customWidth="1"/>
    <col min="13" max="13" width="13.453125" style="13" customWidth="1"/>
    <col min="14" max="14" width="13.7265625" style="13" hidden="1" customWidth="1"/>
    <col min="15" max="21" width="13.7265625" style="13" customWidth="1"/>
    <col min="22" max="22" width="11.7265625" style="12" customWidth="1"/>
    <col min="23" max="23" width="12" style="12" customWidth="1"/>
    <col min="24" max="24" width="12.7265625" style="12" customWidth="1"/>
    <col min="25" max="25" width="9.26953125" style="12" customWidth="1"/>
    <col min="26" max="26" width="15.26953125" style="12" customWidth="1"/>
    <col min="27" max="27" width="9.26953125" style="12" customWidth="1"/>
    <col min="28" max="16384" width="9.26953125" style="12"/>
  </cols>
  <sheetData>
    <row r="1" spans="2:34" ht="15" customHeight="1" x14ac:dyDescent="0.35">
      <c r="L1" s="12"/>
      <c r="M1" s="12"/>
      <c r="N1" s="12"/>
      <c r="O1" s="12"/>
      <c r="P1" s="12"/>
      <c r="Q1" s="12"/>
      <c r="R1" s="12"/>
      <c r="S1" s="12"/>
      <c r="T1" s="12"/>
      <c r="U1" s="12"/>
    </row>
    <row r="2" spans="2:34" ht="15" customHeight="1" x14ac:dyDescent="0.35">
      <c r="L2" s="12"/>
      <c r="M2" s="12"/>
      <c r="N2" s="12"/>
      <c r="O2" s="12"/>
      <c r="P2" s="12"/>
      <c r="Q2" s="12"/>
      <c r="R2" s="12"/>
      <c r="S2" s="12"/>
      <c r="T2" s="12"/>
      <c r="U2" s="12"/>
    </row>
    <row r="3" spans="2:34" ht="15" customHeight="1" x14ac:dyDescent="0.35">
      <c r="L3" s="12"/>
      <c r="M3" s="12"/>
      <c r="N3" s="12"/>
      <c r="O3" s="12"/>
      <c r="P3" s="12"/>
      <c r="Q3" s="12"/>
      <c r="R3" s="12"/>
      <c r="S3" s="12"/>
      <c r="T3" s="12"/>
      <c r="U3" s="12"/>
    </row>
    <row r="4" spans="2:34" ht="15" customHeight="1" x14ac:dyDescent="0.35">
      <c r="L4" s="12"/>
      <c r="M4" s="12"/>
      <c r="N4" s="18"/>
      <c r="O4" s="18"/>
      <c r="P4" s="12"/>
      <c r="Q4" s="12"/>
      <c r="R4" s="12"/>
      <c r="S4" s="12"/>
      <c r="T4" s="12"/>
      <c r="U4" s="12"/>
    </row>
    <row r="5" spans="2:34" ht="25.15" customHeight="1" thickBot="1" x14ac:dyDescent="0.4">
      <c r="B5" s="725" t="s">
        <v>435</v>
      </c>
      <c r="C5" s="727"/>
      <c r="D5" s="727"/>
      <c r="E5" s="727"/>
      <c r="F5" s="727"/>
      <c r="G5" s="11"/>
      <c r="H5" s="11"/>
      <c r="I5" s="11"/>
      <c r="J5" s="11"/>
      <c r="K5" s="11"/>
      <c r="L5" s="11"/>
      <c r="M5" s="11"/>
    </row>
    <row r="6" spans="2:34" ht="15" customHeight="1" thickTop="1" x14ac:dyDescent="0.35">
      <c r="B6" s="21"/>
      <c r="P6" s="12"/>
      <c r="Q6" s="12"/>
      <c r="R6" s="12"/>
      <c r="S6" s="12"/>
      <c r="T6" s="12"/>
      <c r="U6" s="12"/>
    </row>
    <row r="7" spans="2:34" ht="25.15" customHeight="1" x14ac:dyDescent="0.35">
      <c r="B7" s="865" t="s">
        <v>22</v>
      </c>
      <c r="C7" s="865"/>
      <c r="D7" s="865"/>
      <c r="E7" s="690"/>
      <c r="F7" s="690"/>
      <c r="G7" s="690"/>
      <c r="H7" s="690"/>
      <c r="I7" s="690"/>
      <c r="J7" s="690"/>
      <c r="K7" s="690"/>
      <c r="L7" s="690"/>
      <c r="M7" s="690"/>
      <c r="N7" s="690"/>
    </row>
    <row r="8" spans="2:34" ht="25.15" customHeight="1" x14ac:dyDescent="0.35">
      <c r="B8" s="703" t="s">
        <v>488</v>
      </c>
      <c r="C8" s="704"/>
      <c r="D8" s="704"/>
    </row>
    <row r="9" spans="2:34" ht="21.4" customHeight="1" x14ac:dyDescent="0.3">
      <c r="B9" s="85"/>
      <c r="C9" s="878">
        <v>2020</v>
      </c>
      <c r="D9" s="880"/>
      <c r="E9" s="878">
        <v>2021</v>
      </c>
      <c r="F9" s="878"/>
      <c r="G9" s="879">
        <v>2022</v>
      </c>
      <c r="H9" s="878"/>
      <c r="I9" s="879">
        <v>2023</v>
      </c>
      <c r="J9" s="880"/>
      <c r="K9" s="879">
        <v>2024</v>
      </c>
      <c r="L9" s="880"/>
      <c r="M9" s="873" t="s">
        <v>23</v>
      </c>
      <c r="O9" s="418"/>
      <c r="P9" s="418"/>
      <c r="AB9" s="619"/>
      <c r="AD9" s="620"/>
      <c r="AE9" s="896"/>
      <c r="AF9" s="897"/>
      <c r="AG9" s="896"/>
      <c r="AH9" s="897"/>
    </row>
    <row r="10" spans="2:34" ht="54" customHeight="1" x14ac:dyDescent="0.3">
      <c r="B10" s="145"/>
      <c r="C10" s="696" t="s">
        <v>24</v>
      </c>
      <c r="D10" s="696" t="s">
        <v>436</v>
      </c>
      <c r="E10" s="696" t="s">
        <v>24</v>
      </c>
      <c r="F10" s="696" t="s">
        <v>436</v>
      </c>
      <c r="G10" s="696" t="s">
        <v>24</v>
      </c>
      <c r="H10" s="696" t="s">
        <v>436</v>
      </c>
      <c r="I10" s="696" t="s">
        <v>24</v>
      </c>
      <c r="J10" s="696" t="s">
        <v>436</v>
      </c>
      <c r="K10" s="696" t="s">
        <v>24</v>
      </c>
      <c r="L10" s="696" t="s">
        <v>436</v>
      </c>
      <c r="M10" s="873"/>
      <c r="AB10" s="621"/>
      <c r="AD10" s="621"/>
      <c r="AE10" s="622"/>
      <c r="AF10" s="161"/>
      <c r="AG10" s="161"/>
      <c r="AH10" s="161"/>
    </row>
    <row r="11" spans="2:34" ht="21.4" customHeight="1" x14ac:dyDescent="0.35">
      <c r="B11" s="692" t="s">
        <v>25</v>
      </c>
      <c r="C11" s="286">
        <v>282</v>
      </c>
      <c r="D11" s="697">
        <f>C11/'[1]כוח אדם'!E36</f>
        <v>0.33254716981132076</v>
      </c>
      <c r="E11" s="150">
        <v>291</v>
      </c>
      <c r="F11" s="697">
        <v>0.33</v>
      </c>
      <c r="G11" s="150">
        <v>299</v>
      </c>
      <c r="H11" s="24">
        <v>0.34</v>
      </c>
      <c r="I11" s="428">
        <f>'Human resources'!L36</f>
        <v>353</v>
      </c>
      <c r="J11" s="27">
        <v>0.37</v>
      </c>
      <c r="K11" s="623">
        <v>370</v>
      </c>
      <c r="L11" s="624">
        <v>0.37</v>
      </c>
      <c r="M11" s="874" t="s">
        <v>26</v>
      </c>
      <c r="AB11" s="623"/>
      <c r="AD11" s="623"/>
      <c r="AE11" s="624"/>
      <c r="AF11" s="161"/>
      <c r="AG11" s="161"/>
      <c r="AH11" s="161"/>
    </row>
    <row r="12" spans="2:34" ht="21.4" customHeight="1" x14ac:dyDescent="0.35">
      <c r="B12" s="693" t="s">
        <v>166</v>
      </c>
      <c r="C12" s="116">
        <v>90</v>
      </c>
      <c r="D12" s="625">
        <v>0.49</v>
      </c>
      <c r="E12" s="105">
        <v>81</v>
      </c>
      <c r="F12" s="393">
        <v>0.46551724137931033</v>
      </c>
      <c r="G12" s="105">
        <v>80</v>
      </c>
      <c r="H12" s="27">
        <v>0.46706586826347307</v>
      </c>
      <c r="I12" s="293">
        <f>'Human resources'!L53</f>
        <v>78</v>
      </c>
      <c r="J12" s="8">
        <f>'[1]כוח אדם'!L53/'[1]כוח אדם'!N53</f>
        <v>0.46153846153846156</v>
      </c>
      <c r="K12" s="280">
        <v>79</v>
      </c>
      <c r="L12" s="624">
        <v>0.44</v>
      </c>
      <c r="M12" s="874"/>
      <c r="AB12" s="280"/>
      <c r="AD12" s="280"/>
      <c r="AE12" s="624"/>
      <c r="AF12" s="161"/>
      <c r="AG12" s="161"/>
      <c r="AH12" s="161"/>
    </row>
    <row r="13" spans="2:34" ht="21.4" customHeight="1" x14ac:dyDescent="0.35">
      <c r="B13" s="693" t="s">
        <v>27</v>
      </c>
      <c r="C13" s="116">
        <v>161</v>
      </c>
      <c r="D13" s="625">
        <v>0.42933333333333334</v>
      </c>
      <c r="E13" s="105">
        <v>154</v>
      </c>
      <c r="F13" s="626">
        <v>0.42191780821917807</v>
      </c>
      <c r="G13" s="105">
        <v>152</v>
      </c>
      <c r="H13" s="627">
        <v>0.42577030812324929</v>
      </c>
      <c r="I13" s="293">
        <f>'Human resources'!L69</f>
        <v>150</v>
      </c>
      <c r="J13" s="9">
        <f>'[1]כוח אדם'!L69/'[1]כוח אדם'!N69</f>
        <v>0.42372881355932202</v>
      </c>
      <c r="K13" s="280">
        <v>156</v>
      </c>
      <c r="L13" s="628">
        <v>0.44</v>
      </c>
      <c r="M13" s="874"/>
      <c r="AB13" s="280"/>
      <c r="AD13" s="280"/>
      <c r="AE13" s="628"/>
      <c r="AF13" s="161"/>
      <c r="AG13" s="161"/>
      <c r="AH13" s="161"/>
    </row>
    <row r="14" spans="2:34" ht="21.4" customHeight="1" x14ac:dyDescent="0.35">
      <c r="B14" s="694" t="s">
        <v>28</v>
      </c>
      <c r="C14" s="116">
        <v>77</v>
      </c>
      <c r="D14" s="625">
        <v>0.41</v>
      </c>
      <c r="E14" s="105">
        <v>76</v>
      </c>
      <c r="F14" s="393">
        <v>0.4</v>
      </c>
      <c r="G14" s="105">
        <v>68</v>
      </c>
      <c r="H14" s="27">
        <v>0.4</v>
      </c>
      <c r="I14" s="293">
        <f>'Human resources'!L85</f>
        <v>44</v>
      </c>
      <c r="J14" s="8">
        <f>'[1]כוח אדם'!L85/'[1]כוח אדם'!N85</f>
        <v>0.37606837606837606</v>
      </c>
      <c r="K14" s="280">
        <v>42</v>
      </c>
      <c r="L14" s="624">
        <v>0.39</v>
      </c>
      <c r="M14" s="874"/>
      <c r="AB14" s="280"/>
      <c r="AD14" s="280"/>
      <c r="AE14" s="624"/>
      <c r="AF14" s="161"/>
      <c r="AG14" s="161"/>
      <c r="AH14" s="161"/>
    </row>
    <row r="15" spans="2:34" ht="21.4" customHeight="1" x14ac:dyDescent="0.35">
      <c r="B15" s="695" t="s">
        <v>29</v>
      </c>
      <c r="C15" s="449">
        <f>'Human resources'!C36+'Human resources'!C53+'Human resources'!C69+'Human resources'!C85</f>
        <v>604</v>
      </c>
      <c r="D15" s="593">
        <f>C15/('Human resources'!E36+'Human resources'!E53+'Human resources'!E69+'Human resources'!E85)</f>
        <v>0.38227848101265821</v>
      </c>
      <c r="E15" s="424">
        <f>E11+E12+E13+E14</f>
        <v>602</v>
      </c>
      <c r="F15" s="629">
        <f>E15/('Human resources'!H36+'Human resources'!H53+'Human resources'!H69+'Human resources'!H85)</f>
        <v>0.38101265822784808</v>
      </c>
      <c r="G15" s="424">
        <f>G11+G12+G13+G14</f>
        <v>599</v>
      </c>
      <c r="H15" s="29">
        <f>G15/('Human resources'!K36+'Human resources'!K53+'Human resources'!K69+'Human resources'!K85)</f>
        <v>0.38745148771021992</v>
      </c>
      <c r="I15" s="424">
        <f>SUM(I11:I14)</f>
        <v>625</v>
      </c>
      <c r="J15" s="29">
        <f>SUM(I11:I14)/('Human resources'!N36+'Human resources'!N53+'Human resources'!N69+'Human resources'!N85)</f>
        <v>0.39111389236545679</v>
      </c>
      <c r="K15" s="283">
        <f>SUM(K11:K14)</f>
        <v>647</v>
      </c>
      <c r="L15" s="630">
        <f>647/(1007+179+357+109)</f>
        <v>0.3916464891041162</v>
      </c>
      <c r="M15" s="874"/>
      <c r="AB15" s="283"/>
      <c r="AD15" s="283"/>
      <c r="AE15" s="630"/>
      <c r="AF15" s="161"/>
      <c r="AG15" s="161"/>
      <c r="AH15" s="161"/>
    </row>
    <row r="16" spans="2:34" ht="21.4" customHeight="1" x14ac:dyDescent="0.25">
      <c r="B16" s="631"/>
      <c r="C16" s="34"/>
      <c r="D16" s="34"/>
      <c r="F16" s="121"/>
      <c r="H16" s="121"/>
      <c r="M16" s="632"/>
      <c r="P16" s="633"/>
      <c r="Q16" s="633"/>
      <c r="R16" s="633"/>
      <c r="S16" s="634"/>
      <c r="T16" s="634"/>
      <c r="U16" s="634"/>
      <c r="V16" s="635"/>
      <c r="W16" s="635"/>
      <c r="X16" s="13"/>
      <c r="Y16" s="121"/>
      <c r="Z16" s="13"/>
      <c r="AA16" s="632"/>
      <c r="AB16" s="165"/>
      <c r="AC16" s="165"/>
      <c r="AD16" s="165"/>
      <c r="AE16" s="165"/>
      <c r="AF16" s="161"/>
      <c r="AG16" s="161"/>
      <c r="AH16" s="161"/>
    </row>
    <row r="17" spans="2:34" ht="21.4" customHeight="1" x14ac:dyDescent="0.25">
      <c r="B17" s="631"/>
      <c r="C17" s="34"/>
      <c r="D17" s="34"/>
      <c r="F17" s="121"/>
      <c r="H17" s="121"/>
      <c r="M17" s="632"/>
      <c r="S17" s="631"/>
      <c r="T17" s="631"/>
      <c r="U17" s="631"/>
      <c r="V17" s="34"/>
      <c r="W17" s="34"/>
      <c r="X17" s="13"/>
      <c r="Y17" s="121"/>
      <c r="Z17" s="13"/>
      <c r="AA17" s="632"/>
      <c r="AB17" s="165"/>
      <c r="AC17" s="165"/>
      <c r="AD17" s="165"/>
      <c r="AE17" s="165"/>
      <c r="AF17" s="161"/>
      <c r="AG17" s="161"/>
      <c r="AH17" s="161"/>
    </row>
    <row r="18" spans="2:34" ht="21.4" customHeight="1" x14ac:dyDescent="0.25">
      <c r="B18" s="631"/>
      <c r="C18" s="34"/>
      <c r="D18" s="34"/>
      <c r="F18" s="121"/>
      <c r="H18" s="121"/>
      <c r="M18" s="636"/>
      <c r="S18" s="631"/>
      <c r="T18" s="631"/>
      <c r="U18" s="631"/>
      <c r="V18" s="34"/>
      <c r="W18" s="34"/>
      <c r="X18" s="13"/>
      <c r="Y18" s="121"/>
      <c r="Z18" s="13"/>
      <c r="AA18" s="632"/>
      <c r="AB18" s="165"/>
      <c r="AC18" s="165"/>
      <c r="AD18" s="165"/>
      <c r="AE18" s="165"/>
      <c r="AF18" s="161"/>
      <c r="AG18" s="161"/>
      <c r="AH18" s="161"/>
    </row>
    <row r="19" spans="2:34" ht="20.25" customHeight="1" x14ac:dyDescent="0.25">
      <c r="B19" s="631"/>
      <c r="C19" s="34"/>
      <c r="D19" s="34"/>
      <c r="F19" s="121"/>
      <c r="H19" s="121"/>
      <c r="AA19" s="161"/>
      <c r="AB19" s="161"/>
      <c r="AC19" s="161"/>
      <c r="AD19" s="161"/>
      <c r="AE19" s="161"/>
      <c r="AF19" s="161"/>
      <c r="AG19" s="161"/>
      <c r="AH19" s="161"/>
    </row>
    <row r="20" spans="2:34" ht="25.15" customHeight="1" x14ac:dyDescent="0.35">
      <c r="B20" s="705" t="s">
        <v>487</v>
      </c>
      <c r="C20" s="690"/>
      <c r="D20" s="690"/>
      <c r="E20" s="690"/>
      <c r="F20" s="690"/>
      <c r="G20" s="690"/>
      <c r="H20" s="690"/>
      <c r="I20" s="690"/>
      <c r="J20" s="881"/>
      <c r="K20" s="881"/>
      <c r="V20" s="13"/>
    </row>
    <row r="21" spans="2:34" ht="25.15" customHeight="1" x14ac:dyDescent="0.35">
      <c r="B21" s="703" t="s">
        <v>30</v>
      </c>
      <c r="C21" s="691"/>
      <c r="D21" s="691"/>
      <c r="E21" s="691"/>
      <c r="F21" s="691"/>
      <c r="G21" s="691"/>
      <c r="H21" s="691"/>
      <c r="I21" s="691"/>
    </row>
    <row r="22" spans="2:34" ht="49" customHeight="1" x14ac:dyDescent="0.3">
      <c r="B22" s="637"/>
      <c r="C22" s="637"/>
      <c r="D22" s="554" t="s">
        <v>25</v>
      </c>
      <c r="E22" s="554" t="s">
        <v>166</v>
      </c>
      <c r="F22" s="554" t="s">
        <v>27</v>
      </c>
      <c r="G22" s="556" t="s">
        <v>28</v>
      </c>
      <c r="H22" s="556" t="s">
        <v>31</v>
      </c>
      <c r="I22" s="556" t="s">
        <v>32</v>
      </c>
      <c r="J22" s="699"/>
      <c r="K22" s="5" t="s">
        <v>23</v>
      </c>
    </row>
    <row r="23" spans="2:34" ht="21.4" customHeight="1" x14ac:dyDescent="0.35">
      <c r="B23" s="876">
        <v>2021</v>
      </c>
      <c r="C23" s="638" t="s">
        <v>33</v>
      </c>
      <c r="D23" s="639">
        <v>18878</v>
      </c>
      <c r="E23" s="639">
        <v>1924</v>
      </c>
      <c r="F23" s="639">
        <v>2853</v>
      </c>
      <c r="G23" s="639">
        <v>1715</v>
      </c>
      <c r="H23" s="639">
        <f>SUM(D23:G23)</f>
        <v>25370</v>
      </c>
      <c r="I23" s="889">
        <f>SUM(D23:G24)</f>
        <v>134147.35</v>
      </c>
      <c r="J23" s="889"/>
      <c r="K23" s="874" t="s">
        <v>34</v>
      </c>
    </row>
    <row r="24" spans="2:34" ht="21.4" customHeight="1" x14ac:dyDescent="0.35">
      <c r="B24" s="877"/>
      <c r="C24" s="640" t="s">
        <v>35</v>
      </c>
      <c r="D24" s="641">
        <v>55544.35</v>
      </c>
      <c r="E24" s="641">
        <v>4286</v>
      </c>
      <c r="F24" s="641">
        <v>28522</v>
      </c>
      <c r="G24" s="641">
        <v>20425</v>
      </c>
      <c r="H24" s="641">
        <f>SUM(D24:G24)</f>
        <v>108777.35</v>
      </c>
      <c r="I24" s="890"/>
      <c r="J24" s="890"/>
      <c r="K24" s="874"/>
    </row>
    <row r="25" spans="2:34" ht="21.4" customHeight="1" x14ac:dyDescent="0.35">
      <c r="B25" s="875">
        <v>2022</v>
      </c>
      <c r="C25" s="640" t="s">
        <v>33</v>
      </c>
      <c r="D25" s="641">
        <v>18217</v>
      </c>
      <c r="E25" s="641">
        <v>1656</v>
      </c>
      <c r="F25" s="641">
        <v>2754</v>
      </c>
      <c r="G25" s="641">
        <v>1563</v>
      </c>
      <c r="H25" s="641">
        <f>SUM(D25:G25)</f>
        <v>24190</v>
      </c>
      <c r="I25" s="891">
        <f>SUM(D25:G27)</f>
        <v>157546.62105387056</v>
      </c>
      <c r="J25" s="891"/>
      <c r="K25" s="874"/>
    </row>
    <row r="26" spans="2:34" ht="21.4" customHeight="1" x14ac:dyDescent="0.35">
      <c r="B26" s="876"/>
      <c r="C26" s="640" t="s">
        <v>35</v>
      </c>
      <c r="D26" s="641">
        <v>54589.22</v>
      </c>
      <c r="E26" s="641">
        <v>3930</v>
      </c>
      <c r="F26" s="641">
        <v>24272</v>
      </c>
      <c r="G26" s="641">
        <v>20604</v>
      </c>
      <c r="H26" s="641">
        <f>SUM(D26:G26)</f>
        <v>103395.22</v>
      </c>
      <c r="I26" s="889"/>
      <c r="J26" s="889"/>
      <c r="K26" s="874"/>
    </row>
    <row r="27" spans="2:34" ht="21.4" customHeight="1" x14ac:dyDescent="0.35">
      <c r="B27" s="877"/>
      <c r="C27" s="640" t="s">
        <v>36</v>
      </c>
      <c r="D27" s="491">
        <v>29961.401053870566</v>
      </c>
      <c r="E27" s="641"/>
      <c r="F27" s="641"/>
      <c r="H27" s="491">
        <v>29961.401053870566</v>
      </c>
      <c r="I27" s="890"/>
      <c r="J27" s="890"/>
      <c r="K27" s="874"/>
    </row>
    <row r="28" spans="2:34" ht="21.4" customHeight="1" x14ac:dyDescent="0.35">
      <c r="B28" s="875">
        <v>2023</v>
      </c>
      <c r="C28" s="640" t="s">
        <v>33</v>
      </c>
      <c r="D28" s="641">
        <v>19007.21</v>
      </c>
      <c r="E28" s="532">
        <v>1560.28</v>
      </c>
      <c r="F28" s="532">
        <v>2484.7800000000002</v>
      </c>
      <c r="G28" s="532">
        <v>1743.83</v>
      </c>
      <c r="H28" s="641">
        <f>SUM(D28:G28)</f>
        <v>24796.1</v>
      </c>
      <c r="I28" s="891">
        <f>SUM(D28:G30)</f>
        <v>153872.83620190475</v>
      </c>
      <c r="J28" s="891"/>
      <c r="K28" s="874"/>
    </row>
    <row r="29" spans="2:34" ht="25.15" customHeight="1" x14ac:dyDescent="0.35">
      <c r="B29" s="876"/>
      <c r="C29" s="640" t="s">
        <v>35</v>
      </c>
      <c r="D29" s="641">
        <v>53874.82</v>
      </c>
      <c r="E29" s="491">
        <v>3674.54</v>
      </c>
      <c r="F29" s="491">
        <v>28513.360000000001</v>
      </c>
      <c r="G29" s="491">
        <v>23424</v>
      </c>
      <c r="H29" s="641">
        <f>SUM(D29:G29)</f>
        <v>109486.72</v>
      </c>
      <c r="I29" s="889"/>
      <c r="J29" s="889"/>
      <c r="K29" s="874"/>
      <c r="L29" s="691"/>
      <c r="M29" s="691"/>
      <c r="N29" s="691"/>
      <c r="O29" s="53"/>
      <c r="P29" s="53"/>
      <c r="Q29" s="53"/>
      <c r="R29" s="53"/>
      <c r="S29" s="53"/>
      <c r="T29" s="53"/>
      <c r="U29" s="53"/>
    </row>
    <row r="30" spans="2:34" ht="25.15" customHeight="1" x14ac:dyDescent="0.35">
      <c r="B30" s="876"/>
      <c r="C30" s="640" t="s">
        <v>36</v>
      </c>
      <c r="D30" s="641">
        <v>19590.016201904735</v>
      </c>
      <c r="E30" s="641"/>
      <c r="F30" s="641"/>
      <c r="G30" s="641"/>
      <c r="H30" s="641">
        <v>19590.016201904735</v>
      </c>
      <c r="I30" s="889"/>
      <c r="J30" s="889"/>
      <c r="K30" s="874"/>
      <c r="L30" s="691"/>
      <c r="M30" s="691"/>
      <c r="N30" s="691"/>
      <c r="O30" s="53"/>
      <c r="P30" s="53"/>
      <c r="Q30" s="53"/>
      <c r="R30" s="53"/>
      <c r="S30" s="53"/>
      <c r="T30" s="53"/>
      <c r="U30" s="53"/>
    </row>
    <row r="31" spans="2:34" ht="25.15" customHeight="1" x14ac:dyDescent="0.35">
      <c r="B31" s="876">
        <v>2024</v>
      </c>
      <c r="C31" s="642" t="s">
        <v>33</v>
      </c>
      <c r="D31" s="109">
        <v>20719</v>
      </c>
      <c r="E31" s="109">
        <v>1564</v>
      </c>
      <c r="F31" s="109">
        <v>2451</v>
      </c>
      <c r="G31" s="109">
        <v>1750</v>
      </c>
      <c r="H31" s="109">
        <f>G31+F31+E31+D31</f>
        <v>26484</v>
      </c>
      <c r="I31" s="903">
        <f>H31+H32</f>
        <v>136359.32</v>
      </c>
      <c r="J31" s="395"/>
      <c r="K31" s="4"/>
      <c r="L31" s="53"/>
      <c r="M31" s="53"/>
      <c r="N31" s="53"/>
      <c r="O31" s="53"/>
      <c r="P31" s="53"/>
      <c r="Q31" s="53"/>
      <c r="R31" s="53"/>
      <c r="S31" s="53"/>
      <c r="T31" s="53"/>
      <c r="U31" s="53"/>
    </row>
    <row r="32" spans="2:34" ht="25.15" customHeight="1" x14ac:dyDescent="0.35">
      <c r="B32" s="876"/>
      <c r="C32" s="642" t="s">
        <v>35</v>
      </c>
      <c r="D32" s="109">
        <v>54446</v>
      </c>
      <c r="E32" s="109">
        <v>4073</v>
      </c>
      <c r="F32" s="109">
        <v>27189</v>
      </c>
      <c r="G32" s="109">
        <v>24167</v>
      </c>
      <c r="H32" s="109">
        <f>'GHG emissions'!D48</f>
        <v>109875.31999999999</v>
      </c>
      <c r="I32" s="903"/>
      <c r="J32" s="395"/>
      <c r="K32" s="4"/>
      <c r="L32" s="53"/>
      <c r="M32" s="53"/>
      <c r="N32" s="53"/>
      <c r="O32" s="53"/>
      <c r="P32" s="53"/>
      <c r="Q32" s="53"/>
      <c r="R32" s="53"/>
      <c r="S32" s="53"/>
      <c r="T32" s="53"/>
      <c r="U32" s="53"/>
    </row>
    <row r="33" spans="1:21" ht="25.15" customHeight="1" x14ac:dyDescent="0.35">
      <c r="B33" s="876"/>
      <c r="C33" s="642" t="s">
        <v>36</v>
      </c>
      <c r="D33" s="109"/>
      <c r="E33" s="109"/>
      <c r="F33" s="109"/>
      <c r="G33" s="109"/>
      <c r="H33" s="109"/>
      <c r="I33" s="395"/>
      <c r="J33" s="395"/>
      <c r="K33" s="4"/>
      <c r="L33" s="53"/>
      <c r="M33" s="53"/>
      <c r="N33" s="53"/>
      <c r="O33" s="53"/>
      <c r="P33" s="53"/>
      <c r="Q33" s="53"/>
      <c r="R33" s="53"/>
      <c r="S33" s="53"/>
      <c r="T33" s="53"/>
      <c r="U33" s="53"/>
    </row>
    <row r="34" spans="1:21" ht="25.15" customHeight="1" x14ac:dyDescent="0.35">
      <c r="B34" s="528"/>
      <c r="C34" s="643"/>
      <c r="D34" s="109"/>
      <c r="E34" s="109"/>
      <c r="F34" s="109"/>
      <c r="G34" s="109"/>
      <c r="H34" s="109"/>
      <c r="I34" s="395"/>
      <c r="J34" s="395"/>
      <c r="K34" s="644"/>
      <c r="L34" s="53"/>
      <c r="M34" s="53"/>
      <c r="N34" s="53"/>
      <c r="O34" s="53"/>
      <c r="P34" s="53"/>
      <c r="Q34" s="53"/>
      <c r="R34" s="53"/>
      <c r="S34" s="53"/>
      <c r="T34" s="53"/>
      <c r="U34" s="53"/>
    </row>
    <row r="35" spans="1:21" ht="25.15" customHeight="1" x14ac:dyDescent="0.35">
      <c r="B35" s="866" t="s">
        <v>37</v>
      </c>
      <c r="C35" s="866"/>
      <c r="D35" s="866"/>
      <c r="E35" s="866"/>
      <c r="F35" s="369"/>
      <c r="G35" s="867"/>
      <c r="H35" s="867"/>
      <c r="I35" s="867"/>
      <c r="J35" s="867"/>
      <c r="K35" s="867"/>
      <c r="L35" s="867"/>
      <c r="M35" s="867"/>
      <c r="N35" s="867"/>
      <c r="O35" s="867"/>
      <c r="P35" s="53"/>
      <c r="Q35" s="53"/>
      <c r="R35" s="53"/>
      <c r="S35" s="53"/>
      <c r="T35" s="53"/>
      <c r="U35" s="53"/>
    </row>
    <row r="36" spans="1:21" ht="25.15" customHeight="1" x14ac:dyDescent="0.35">
      <c r="B36" s="703" t="s">
        <v>486</v>
      </c>
      <c r="C36" s="703"/>
      <c r="D36" s="703"/>
      <c r="E36" s="703"/>
      <c r="F36" s="53"/>
      <c r="G36" s="53"/>
      <c r="H36" s="53"/>
      <c r="I36" s="53"/>
      <c r="J36" s="53"/>
      <c r="K36" s="53"/>
      <c r="L36" s="53"/>
      <c r="M36" s="53"/>
      <c r="N36" s="53"/>
      <c r="O36" s="53"/>
      <c r="P36" s="53"/>
      <c r="Q36" s="53"/>
      <c r="R36" s="53"/>
      <c r="S36" s="53"/>
      <c r="T36" s="53"/>
      <c r="U36" s="53"/>
    </row>
    <row r="37" spans="1:21" ht="37.5" customHeight="1" thickBot="1" x14ac:dyDescent="0.4">
      <c r="B37" s="130"/>
      <c r="C37" s="895" t="s">
        <v>38</v>
      </c>
      <c r="D37" s="892"/>
      <c r="E37" s="892"/>
      <c r="F37" s="892" t="s">
        <v>39</v>
      </c>
      <c r="G37" s="892"/>
      <c r="H37" s="894"/>
      <c r="I37" s="892" t="s">
        <v>40</v>
      </c>
      <c r="J37" s="893"/>
      <c r="K37" s="894"/>
      <c r="L37" s="873" t="s">
        <v>41</v>
      </c>
      <c r="M37" s="873"/>
      <c r="N37" s="873"/>
      <c r="O37" s="86" t="s">
        <v>23</v>
      </c>
      <c r="P37" s="12"/>
      <c r="Q37" s="12"/>
      <c r="R37" s="12"/>
      <c r="S37" s="12"/>
      <c r="T37" s="12"/>
      <c r="U37" s="12"/>
    </row>
    <row r="38" spans="1:21" ht="21.4" customHeight="1" x14ac:dyDescent="0.35">
      <c r="B38" s="645"/>
      <c r="C38" s="143">
        <v>2022</v>
      </c>
      <c r="D38" s="143">
        <v>2023</v>
      </c>
      <c r="E38" s="143">
        <v>2024</v>
      </c>
      <c r="F38" s="646">
        <v>2022</v>
      </c>
      <c r="G38" s="143">
        <v>2023</v>
      </c>
      <c r="H38" s="647">
        <v>2024</v>
      </c>
      <c r="I38" s="143">
        <v>2022</v>
      </c>
      <c r="J38" s="143">
        <v>2023</v>
      </c>
      <c r="K38" s="647">
        <v>2024</v>
      </c>
      <c r="L38" s="143">
        <v>2022</v>
      </c>
      <c r="M38" s="648">
        <v>2023</v>
      </c>
      <c r="N38" s="143">
        <v>2024</v>
      </c>
      <c r="O38" s="870" t="s">
        <v>26</v>
      </c>
      <c r="P38" s="12"/>
      <c r="Q38" s="12"/>
      <c r="R38" s="12"/>
      <c r="S38" s="12"/>
      <c r="T38" s="12"/>
      <c r="U38" s="12"/>
    </row>
    <row r="39" spans="1:21" ht="21.4" customHeight="1" x14ac:dyDescent="0.35">
      <c r="B39" s="700" t="s">
        <v>25</v>
      </c>
      <c r="C39" s="649">
        <f>282/5610</f>
        <v>5.0267379679144387E-2</v>
      </c>
      <c r="D39" s="650">
        <v>4.7E-2</v>
      </c>
      <c r="E39" s="651">
        <v>4.5999999999999999E-2</v>
      </c>
      <c r="F39" s="649">
        <f>62/5610</f>
        <v>1.1051693404634581E-2</v>
      </c>
      <c r="G39" s="652">
        <v>0.01</v>
      </c>
      <c r="H39" s="651">
        <v>1.84E-2</v>
      </c>
      <c r="I39" s="44" t="s">
        <v>42</v>
      </c>
      <c r="J39" s="653">
        <v>1.4999999999999999E-2</v>
      </c>
      <c r="K39" s="651">
        <v>5.0700000000000002E-2</v>
      </c>
      <c r="L39" s="654">
        <f>285/5610</f>
        <v>5.0802139037433157E-2</v>
      </c>
      <c r="M39" s="654">
        <v>8.3000000000000004E-2</v>
      </c>
      <c r="N39" s="650">
        <v>8.3099999999999993E-2</v>
      </c>
      <c r="O39" s="871"/>
      <c r="P39" s="12"/>
      <c r="Q39" s="12"/>
      <c r="R39" s="12"/>
      <c r="S39" s="12"/>
      <c r="T39" s="12"/>
      <c r="U39" s="12"/>
    </row>
    <row r="40" spans="1:21" ht="21.4" customHeight="1" x14ac:dyDescent="0.35">
      <c r="B40" s="701" t="s">
        <v>166</v>
      </c>
      <c r="C40" s="655">
        <v>2.5000000000000001E-2</v>
      </c>
      <c r="D40" s="656">
        <v>3.6818851251840942E-3</v>
      </c>
      <c r="E40" s="651">
        <v>1.9E-2</v>
      </c>
      <c r="F40" s="36" t="s">
        <v>42</v>
      </c>
      <c r="G40" s="652">
        <v>1.6450216450216451E-2</v>
      </c>
      <c r="H40" s="651">
        <v>1.6E-2</v>
      </c>
      <c r="I40" s="36" t="s">
        <v>42</v>
      </c>
      <c r="J40" s="656">
        <v>6.9264069264069264E-3</v>
      </c>
      <c r="K40" s="657">
        <v>0.01</v>
      </c>
      <c r="L40" s="655">
        <f>97/1115</f>
        <v>8.6995515695067263E-2</v>
      </c>
      <c r="M40" s="654">
        <v>0.15</v>
      </c>
      <c r="N40" s="656">
        <v>0.12</v>
      </c>
      <c r="O40" s="871"/>
      <c r="P40" s="12"/>
      <c r="Q40" s="12"/>
      <c r="R40" s="12"/>
      <c r="S40" s="12"/>
      <c r="T40" s="12"/>
      <c r="U40" s="12"/>
    </row>
    <row r="41" spans="1:21" ht="21.4" customHeight="1" x14ac:dyDescent="0.35">
      <c r="B41" s="701" t="s">
        <v>27</v>
      </c>
      <c r="C41" s="36" t="s">
        <v>42</v>
      </c>
      <c r="D41" s="656">
        <v>4.0332147093712932E-2</v>
      </c>
      <c r="E41" s="651">
        <v>0.04</v>
      </c>
      <c r="F41" s="36" t="s">
        <v>42</v>
      </c>
      <c r="G41" s="658">
        <v>0.01</v>
      </c>
      <c r="H41" s="651">
        <v>0.01</v>
      </c>
      <c r="I41" s="36" t="s">
        <v>42</v>
      </c>
      <c r="J41" s="658">
        <v>0.06</v>
      </c>
      <c r="K41" s="657">
        <v>0.06</v>
      </c>
      <c r="L41" s="659" t="s">
        <v>42</v>
      </c>
      <c r="M41" s="654">
        <v>0.02</v>
      </c>
      <c r="N41" s="656">
        <v>0.03</v>
      </c>
      <c r="O41" s="871"/>
      <c r="P41" s="12"/>
      <c r="Q41" s="12"/>
      <c r="R41" s="12"/>
      <c r="S41" s="12"/>
      <c r="T41" s="12"/>
      <c r="U41" s="12"/>
    </row>
    <row r="42" spans="1:21" ht="21.4" customHeight="1" x14ac:dyDescent="0.35">
      <c r="B42" s="702" t="s">
        <v>28</v>
      </c>
      <c r="C42" s="660">
        <v>3.2000000000000001E-2</v>
      </c>
      <c r="D42" s="121">
        <v>2.5600000000000001E-2</v>
      </c>
      <c r="E42" s="651">
        <v>2.9000000000000001E-2</v>
      </c>
      <c r="F42" s="263" t="s">
        <v>42</v>
      </c>
      <c r="G42" s="661">
        <v>1.4200000000000001E-2</v>
      </c>
      <c r="H42" s="651">
        <v>1.4200000000000001E-2</v>
      </c>
      <c r="I42" s="263" t="s">
        <v>42</v>
      </c>
      <c r="J42" s="661">
        <v>1.4200000000000001E-2</v>
      </c>
      <c r="K42" s="662" t="s">
        <v>42</v>
      </c>
      <c r="L42" s="263" t="s">
        <v>42</v>
      </c>
      <c r="M42" s="663">
        <v>2.9989999999999999E-2</v>
      </c>
      <c r="N42" s="664" t="s">
        <v>42</v>
      </c>
      <c r="O42" s="871"/>
      <c r="P42" s="12"/>
      <c r="Q42" s="12"/>
      <c r="R42" s="12"/>
      <c r="S42" s="12"/>
      <c r="T42" s="12"/>
      <c r="U42" s="12"/>
    </row>
    <row r="43" spans="1:21" ht="21.4" customHeight="1" thickBot="1" x14ac:dyDescent="0.4">
      <c r="B43" s="702" t="s">
        <v>43</v>
      </c>
      <c r="C43" s="650">
        <v>3.5999999999999997E-2</v>
      </c>
      <c r="D43" s="650">
        <v>0.04</v>
      </c>
      <c r="E43" s="665">
        <v>0.04</v>
      </c>
      <c r="F43" s="650">
        <v>7.0000000000000001E-3</v>
      </c>
      <c r="G43" s="650">
        <v>1.2E-2</v>
      </c>
      <c r="H43" s="665">
        <v>1.6E-2</v>
      </c>
      <c r="I43" s="263" t="s">
        <v>42</v>
      </c>
      <c r="J43" s="650">
        <v>2.3E-2</v>
      </c>
      <c r="K43" s="665">
        <v>4.3999999999999997E-2</v>
      </c>
      <c r="L43" s="650">
        <v>4.1000000000000002E-2</v>
      </c>
      <c r="M43" s="650">
        <v>7.4999999999999997E-2</v>
      </c>
      <c r="N43" s="650">
        <v>7.1999999999999995E-2</v>
      </c>
      <c r="O43" s="872"/>
    </row>
    <row r="44" spans="1:21" ht="21.4" customHeight="1" thickBot="1" x14ac:dyDescent="0.3">
      <c r="B44" s="868" t="s">
        <v>44</v>
      </c>
      <c r="C44" s="869"/>
      <c r="D44" s="707"/>
      <c r="E44" s="709">
        <v>0.17199999999999999</v>
      </c>
      <c r="F44" s="707"/>
      <c r="G44" s="707"/>
      <c r="H44" s="707"/>
      <c r="I44" s="707"/>
      <c r="J44" s="707"/>
      <c r="K44" s="707"/>
      <c r="L44" s="707"/>
      <c r="M44" s="707"/>
      <c r="N44" s="707"/>
      <c r="O44" s="708"/>
    </row>
    <row r="45" spans="1:21" ht="21.4" customHeight="1" x14ac:dyDescent="0.35">
      <c r="K45" s="12"/>
    </row>
    <row r="46" spans="1:21" ht="25.15" customHeight="1" x14ac:dyDescent="0.35">
      <c r="B46" s="706" t="s">
        <v>45</v>
      </c>
      <c r="C46" s="706"/>
      <c r="D46" s="706"/>
      <c r="E46" s="706"/>
      <c r="F46" s="666"/>
      <c r="G46" s="666"/>
      <c r="H46" s="666"/>
      <c r="I46" s="666"/>
      <c r="J46" s="666"/>
      <c r="K46" s="666"/>
    </row>
    <row r="47" spans="1:21" ht="25.15" customHeight="1" x14ac:dyDescent="0.35">
      <c r="B47" s="703" t="s">
        <v>46</v>
      </c>
      <c r="C47" s="703"/>
      <c r="D47" s="703"/>
      <c r="E47" s="704"/>
    </row>
    <row r="48" spans="1:21" s="13" customFormat="1" ht="27" customHeight="1" x14ac:dyDescent="0.35">
      <c r="A48" s="33"/>
      <c r="B48" s="174"/>
      <c r="C48" s="873" t="s">
        <v>47</v>
      </c>
      <c r="D48" s="873"/>
      <c r="E48" s="873" t="s">
        <v>48</v>
      </c>
      <c r="F48" s="873"/>
      <c r="G48" s="885"/>
      <c r="H48" s="885"/>
      <c r="I48" s="885"/>
      <c r="J48" s="886"/>
      <c r="K48" s="5" t="s">
        <v>23</v>
      </c>
    </row>
    <row r="49" spans="1:11" ht="21.4" customHeight="1" x14ac:dyDescent="0.35">
      <c r="A49" s="33"/>
      <c r="B49" s="692">
        <v>2021</v>
      </c>
      <c r="C49" s="901">
        <v>0.22</v>
      </c>
      <c r="D49" s="901"/>
      <c r="E49" s="901">
        <f>2/7</f>
        <v>0.2857142857142857</v>
      </c>
      <c r="F49" s="901"/>
      <c r="G49" s="887"/>
      <c r="H49" s="887"/>
      <c r="I49" s="887"/>
      <c r="J49" s="888"/>
      <c r="K49" s="884" t="s">
        <v>26</v>
      </c>
    </row>
    <row r="50" spans="1:11" ht="21.4" customHeight="1" x14ac:dyDescent="0.35">
      <c r="A50" s="33"/>
      <c r="B50" s="702">
        <v>2022</v>
      </c>
      <c r="C50" s="902">
        <v>0.22</v>
      </c>
      <c r="D50" s="902"/>
      <c r="E50" s="902">
        <f>2/7</f>
        <v>0.2857142857142857</v>
      </c>
      <c r="F50" s="902"/>
      <c r="G50" s="882"/>
      <c r="H50" s="882"/>
      <c r="I50" s="882"/>
      <c r="J50" s="883"/>
      <c r="K50" s="884"/>
    </row>
    <row r="51" spans="1:11" x14ac:dyDescent="0.35">
      <c r="B51" s="702">
        <v>2023</v>
      </c>
      <c r="C51" s="901">
        <f>2/8</f>
        <v>0.25</v>
      </c>
      <c r="D51" s="901"/>
      <c r="E51" s="902">
        <f>2/6</f>
        <v>0.33333333333333331</v>
      </c>
      <c r="F51" s="902"/>
      <c r="G51" s="882"/>
      <c r="H51" s="882"/>
      <c r="I51" s="882"/>
      <c r="J51" s="883"/>
      <c r="K51" s="884"/>
    </row>
    <row r="52" spans="1:11" x14ac:dyDescent="0.35">
      <c r="B52" s="710">
        <v>2024</v>
      </c>
      <c r="C52" s="898">
        <v>0.33</v>
      </c>
      <c r="D52" s="898"/>
      <c r="E52" s="899">
        <v>0.33</v>
      </c>
      <c r="F52" s="899"/>
      <c r="G52" s="900"/>
      <c r="H52" s="900"/>
      <c r="I52" s="900"/>
      <c r="J52" s="900"/>
      <c r="K52" s="884"/>
    </row>
    <row r="53" spans="1:11" x14ac:dyDescent="0.35">
      <c r="K53" s="884"/>
    </row>
    <row r="54" spans="1:11" x14ac:dyDescent="0.35">
      <c r="K54" s="884"/>
    </row>
  </sheetData>
  <mergeCells count="53">
    <mergeCell ref="AE9:AF9"/>
    <mergeCell ref="AG9:AH9"/>
    <mergeCell ref="K52:K54"/>
    <mergeCell ref="C52:D52"/>
    <mergeCell ref="E52:F52"/>
    <mergeCell ref="G52:H52"/>
    <mergeCell ref="I52:J52"/>
    <mergeCell ref="C51:D51"/>
    <mergeCell ref="E51:F51"/>
    <mergeCell ref="C48:D48"/>
    <mergeCell ref="C49:D49"/>
    <mergeCell ref="C50:D50"/>
    <mergeCell ref="E48:F48"/>
    <mergeCell ref="E49:F49"/>
    <mergeCell ref="E50:F50"/>
    <mergeCell ref="I31:I32"/>
    <mergeCell ref="B31:B33"/>
    <mergeCell ref="I37:K37"/>
    <mergeCell ref="F37:H37"/>
    <mergeCell ref="C37:E37"/>
    <mergeCell ref="L37:N37"/>
    <mergeCell ref="G48:H48"/>
    <mergeCell ref="I48:J48"/>
    <mergeCell ref="G49:H49"/>
    <mergeCell ref="I49:J49"/>
    <mergeCell ref="K23:K30"/>
    <mergeCell ref="J23:J24"/>
    <mergeCell ref="J25:J27"/>
    <mergeCell ref="J28:J30"/>
    <mergeCell ref="I23:I24"/>
    <mergeCell ref="I25:I27"/>
    <mergeCell ref="I28:I30"/>
    <mergeCell ref="G50:H50"/>
    <mergeCell ref="I50:J50"/>
    <mergeCell ref="G51:H51"/>
    <mergeCell ref="I51:J51"/>
    <mergeCell ref="K49:K51"/>
    <mergeCell ref="B7:D7"/>
    <mergeCell ref="B35:E35"/>
    <mergeCell ref="G35:O35"/>
    <mergeCell ref="B44:C44"/>
    <mergeCell ref="O38:O43"/>
    <mergeCell ref="M9:M10"/>
    <mergeCell ref="M11:M15"/>
    <mergeCell ref="B25:B27"/>
    <mergeCell ref="B28:B30"/>
    <mergeCell ref="E9:F9"/>
    <mergeCell ref="G9:H9"/>
    <mergeCell ref="B23:B24"/>
    <mergeCell ref="C9:D9"/>
    <mergeCell ref="I9:J9"/>
    <mergeCell ref="J20:K20"/>
    <mergeCell ref="K9:L9"/>
  </mergeCells>
  <pageMargins left="0.7" right="0.7" top="0.75" bottom="0.75" header="0.3" footer="0.3"/>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28"/>
  <sheetViews>
    <sheetView showGridLines="0" topLeftCell="A7" zoomScale="50" zoomScaleNormal="50" workbookViewId="0">
      <selection activeCell="M23" sqref="M23"/>
    </sheetView>
  </sheetViews>
  <sheetFormatPr defaultColWidth="9.26953125" defaultRowHeight="14" x14ac:dyDescent="0.35"/>
  <cols>
    <col min="1" max="1" width="3.7265625" style="12" customWidth="1"/>
    <col min="2" max="2" width="25.1796875" style="12" customWidth="1"/>
    <col min="3" max="3" width="18.81640625" style="12" customWidth="1"/>
    <col min="4" max="4" width="17.54296875" style="12" customWidth="1"/>
    <col min="5" max="12" width="15.7265625" style="12" customWidth="1"/>
    <col min="13" max="13" width="11.453125" style="12" customWidth="1"/>
    <col min="14" max="14" width="9.26953125" style="12" customWidth="1"/>
    <col min="15" max="16384" width="9.26953125" style="12"/>
  </cols>
  <sheetData>
    <row r="1" spans="2:13" ht="15" customHeight="1" x14ac:dyDescent="0.35">
      <c r="B1" s="13"/>
      <c r="C1" s="13"/>
      <c r="D1" s="13"/>
      <c r="E1" s="13"/>
      <c r="F1" s="13"/>
      <c r="G1" s="13"/>
      <c r="H1" s="13"/>
      <c r="I1" s="13"/>
      <c r="J1" s="13"/>
      <c r="K1" s="13"/>
    </row>
    <row r="2" spans="2:13" ht="15" customHeight="1" x14ac:dyDescent="0.35">
      <c r="B2" s="13"/>
      <c r="C2" s="13"/>
      <c r="D2" s="13"/>
      <c r="E2" s="13"/>
      <c r="F2" s="13"/>
      <c r="G2" s="13"/>
      <c r="H2" s="13"/>
      <c r="I2" s="13"/>
      <c r="J2" s="13"/>
      <c r="K2" s="13"/>
    </row>
    <row r="3" spans="2:13" ht="15" customHeight="1" x14ac:dyDescent="0.35">
      <c r="B3" s="13"/>
      <c r="C3" s="13"/>
      <c r="D3" s="13"/>
      <c r="E3" s="13"/>
      <c r="F3" s="13"/>
      <c r="G3" s="13"/>
      <c r="H3" s="13"/>
      <c r="I3" s="13"/>
      <c r="J3" s="13"/>
      <c r="K3" s="13"/>
    </row>
    <row r="4" spans="2:13" ht="15" customHeight="1" x14ac:dyDescent="0.35">
      <c r="B4" s="13"/>
      <c r="C4" s="13"/>
      <c r="D4" s="13"/>
      <c r="E4" s="13"/>
      <c r="F4" s="13"/>
      <c r="G4" s="13"/>
      <c r="H4" s="13"/>
      <c r="I4" s="13"/>
      <c r="J4" s="13"/>
      <c r="K4" s="13"/>
    </row>
    <row r="5" spans="2:13" ht="24" customHeight="1" thickBot="1" x14ac:dyDescent="0.4">
      <c r="B5" s="725" t="s">
        <v>329</v>
      </c>
      <c r="C5" s="768"/>
      <c r="D5" s="768"/>
      <c r="E5" s="768"/>
      <c r="F5" s="11"/>
      <c r="G5" s="11"/>
      <c r="H5" s="11"/>
      <c r="I5" s="11"/>
      <c r="J5" s="11"/>
      <c r="K5" s="11"/>
      <c r="L5" s="11"/>
      <c r="M5" s="11"/>
    </row>
    <row r="6" spans="2:13" ht="21.4" customHeight="1" thickTop="1" x14ac:dyDescent="0.35">
      <c r="B6" s="13"/>
      <c r="C6" s="13"/>
      <c r="D6" s="13"/>
      <c r="E6" s="13"/>
      <c r="F6" s="13"/>
      <c r="G6" s="13"/>
      <c r="H6" s="13"/>
      <c r="I6" s="13"/>
      <c r="J6" s="13"/>
      <c r="K6" s="13"/>
    </row>
    <row r="7" spans="2:13" ht="61" customHeight="1" x14ac:dyDescent="0.35">
      <c r="B7" s="767" t="s">
        <v>330</v>
      </c>
      <c r="C7" s="767" t="s">
        <v>459</v>
      </c>
      <c r="D7" s="767" t="s">
        <v>460</v>
      </c>
      <c r="E7" s="767" t="s">
        <v>331</v>
      </c>
      <c r="F7" s="767" t="s">
        <v>228</v>
      </c>
      <c r="G7" s="767" t="s">
        <v>332</v>
      </c>
      <c r="H7" s="767" t="s">
        <v>333</v>
      </c>
      <c r="I7" s="767" t="s">
        <v>334</v>
      </c>
      <c r="J7" s="767" t="s">
        <v>335</v>
      </c>
      <c r="K7" s="767" t="s">
        <v>336</v>
      </c>
      <c r="L7" s="767" t="s">
        <v>337</v>
      </c>
      <c r="M7" s="786" t="s">
        <v>23</v>
      </c>
    </row>
    <row r="8" spans="2:13" ht="25.15" customHeight="1" x14ac:dyDescent="0.35">
      <c r="B8" s="769" t="s">
        <v>338</v>
      </c>
      <c r="C8" s="770" t="s">
        <v>339</v>
      </c>
      <c r="D8" s="771" t="s">
        <v>340</v>
      </c>
      <c r="E8" s="771" t="s">
        <v>341</v>
      </c>
      <c r="F8" s="770" t="s">
        <v>342</v>
      </c>
      <c r="G8" s="771" t="s">
        <v>343</v>
      </c>
      <c r="H8" s="771" t="s">
        <v>344</v>
      </c>
      <c r="I8" s="770"/>
      <c r="J8" s="770"/>
      <c r="K8" s="770"/>
      <c r="L8" s="770" t="s">
        <v>345</v>
      </c>
      <c r="M8" s="1118" t="s">
        <v>346</v>
      </c>
    </row>
    <row r="9" spans="2:13" ht="25.15" customHeight="1" x14ac:dyDescent="0.35">
      <c r="B9" s="769" t="s">
        <v>347</v>
      </c>
      <c r="C9" s="770" t="s">
        <v>348</v>
      </c>
      <c r="D9" s="771" t="s">
        <v>349</v>
      </c>
      <c r="E9" s="771" t="s">
        <v>350</v>
      </c>
      <c r="F9" s="770" t="s">
        <v>342</v>
      </c>
      <c r="G9" s="771" t="s">
        <v>351</v>
      </c>
      <c r="H9" s="771"/>
      <c r="I9" s="770"/>
      <c r="J9" s="770"/>
      <c r="K9" s="770"/>
      <c r="L9" s="770" t="s">
        <v>345</v>
      </c>
      <c r="M9" s="1118"/>
    </row>
    <row r="10" spans="2:13" ht="25.15" customHeight="1" x14ac:dyDescent="0.35">
      <c r="B10" s="769" t="s">
        <v>352</v>
      </c>
      <c r="C10" s="770" t="s">
        <v>348</v>
      </c>
      <c r="D10" s="771" t="s">
        <v>353</v>
      </c>
      <c r="E10" s="771" t="s">
        <v>341</v>
      </c>
      <c r="F10" s="770" t="s">
        <v>342</v>
      </c>
      <c r="G10" s="771" t="s">
        <v>351</v>
      </c>
      <c r="H10" s="771" t="s">
        <v>344</v>
      </c>
      <c r="I10" s="770"/>
      <c r="J10" s="770"/>
      <c r="K10" s="770"/>
      <c r="L10" s="770" t="s">
        <v>345</v>
      </c>
      <c r="M10" s="1118"/>
    </row>
    <row r="11" spans="2:13" ht="25.15" customHeight="1" x14ac:dyDescent="0.35">
      <c r="B11" s="769" t="s">
        <v>354</v>
      </c>
      <c r="C11" s="770" t="s">
        <v>348</v>
      </c>
      <c r="D11" s="771" t="s">
        <v>355</v>
      </c>
      <c r="E11" s="771" t="s">
        <v>341</v>
      </c>
      <c r="F11" s="770" t="s">
        <v>342</v>
      </c>
      <c r="G11" s="771" t="s">
        <v>351</v>
      </c>
      <c r="H11" s="771"/>
      <c r="I11" s="770"/>
      <c r="J11" s="770"/>
      <c r="K11" s="770"/>
      <c r="L11" s="770" t="s">
        <v>345</v>
      </c>
      <c r="M11" s="1118"/>
    </row>
    <row r="12" spans="2:13" ht="25.15" customHeight="1" x14ac:dyDescent="0.35">
      <c r="B12" s="769" t="s">
        <v>356</v>
      </c>
      <c r="C12" s="770" t="s">
        <v>357</v>
      </c>
      <c r="D12" s="771"/>
      <c r="E12" s="771"/>
      <c r="F12" s="770" t="s">
        <v>358</v>
      </c>
      <c r="G12" s="771" t="s">
        <v>351</v>
      </c>
      <c r="H12" s="771"/>
      <c r="I12" s="770"/>
      <c r="J12" s="770"/>
      <c r="K12" s="770"/>
      <c r="L12" s="770" t="s">
        <v>345</v>
      </c>
      <c r="M12" s="1118"/>
    </row>
    <row r="13" spans="2:13" ht="25.15" customHeight="1" x14ac:dyDescent="0.35">
      <c r="B13" s="769" t="s">
        <v>359</v>
      </c>
      <c r="C13" s="770" t="s">
        <v>360</v>
      </c>
      <c r="D13" s="771" t="s">
        <v>361</v>
      </c>
      <c r="E13" s="771" t="s">
        <v>341</v>
      </c>
      <c r="F13" s="770" t="s">
        <v>342</v>
      </c>
      <c r="G13" s="771" t="s">
        <v>362</v>
      </c>
      <c r="H13" s="771" t="s">
        <v>344</v>
      </c>
      <c r="I13" s="771" t="s">
        <v>344</v>
      </c>
      <c r="J13" s="771" t="s">
        <v>344</v>
      </c>
      <c r="K13" s="771" t="s">
        <v>344</v>
      </c>
      <c r="L13" s="770" t="s">
        <v>345</v>
      </c>
      <c r="M13" s="1118"/>
    </row>
    <row r="14" spans="2:13" ht="25.15" customHeight="1" x14ac:dyDescent="0.35">
      <c r="B14" s="769" t="s">
        <v>363</v>
      </c>
      <c r="C14" s="770" t="s">
        <v>364</v>
      </c>
      <c r="D14" s="771" t="s">
        <v>365</v>
      </c>
      <c r="E14" s="771" t="s">
        <v>341</v>
      </c>
      <c r="F14" s="770" t="s">
        <v>342</v>
      </c>
      <c r="G14" s="771" t="s">
        <v>366</v>
      </c>
      <c r="H14" s="771"/>
      <c r="I14" s="771" t="s">
        <v>367</v>
      </c>
      <c r="J14" s="771" t="s">
        <v>344</v>
      </c>
      <c r="K14" s="771" t="s">
        <v>367</v>
      </c>
      <c r="L14" s="770" t="s">
        <v>345</v>
      </c>
      <c r="M14" s="1118"/>
    </row>
    <row r="15" spans="2:13" ht="25.15" customHeight="1" x14ac:dyDescent="0.35">
      <c r="B15" s="769" t="s">
        <v>368</v>
      </c>
      <c r="C15" s="770" t="s">
        <v>369</v>
      </c>
      <c r="D15" s="771" t="s">
        <v>370</v>
      </c>
      <c r="E15" s="771" t="s">
        <v>341</v>
      </c>
      <c r="F15" s="770" t="s">
        <v>358</v>
      </c>
      <c r="G15" s="771" t="s">
        <v>371</v>
      </c>
      <c r="H15" s="771" t="s">
        <v>344</v>
      </c>
      <c r="I15" s="771" t="s">
        <v>344</v>
      </c>
      <c r="J15" s="771" t="s">
        <v>367</v>
      </c>
      <c r="K15" s="771" t="s">
        <v>344</v>
      </c>
      <c r="L15" s="770" t="s">
        <v>345</v>
      </c>
      <c r="M15" s="1118"/>
    </row>
    <row r="16" spans="2:13" ht="25.15" customHeight="1" x14ac:dyDescent="0.35">
      <c r="B16" s="769" t="s">
        <v>372</v>
      </c>
      <c r="C16" s="770" t="s">
        <v>373</v>
      </c>
      <c r="D16" s="771" t="s">
        <v>374</v>
      </c>
      <c r="E16" s="771" t="s">
        <v>341</v>
      </c>
      <c r="F16" s="770" t="s">
        <v>358</v>
      </c>
      <c r="G16" s="771" t="s">
        <v>366</v>
      </c>
      <c r="H16" s="771"/>
      <c r="I16" s="771" t="s">
        <v>344</v>
      </c>
      <c r="J16" s="771" t="s">
        <v>344</v>
      </c>
      <c r="K16" s="771" t="s">
        <v>344</v>
      </c>
      <c r="L16" s="770" t="s">
        <v>375</v>
      </c>
      <c r="M16" s="1118"/>
    </row>
    <row r="17" spans="2:13" ht="25.15" customHeight="1" x14ac:dyDescent="0.35">
      <c r="B17" s="772" t="s">
        <v>376</v>
      </c>
      <c r="C17" s="773" t="s">
        <v>377</v>
      </c>
      <c r="D17" s="774" t="s">
        <v>378</v>
      </c>
      <c r="E17" s="774" t="s">
        <v>341</v>
      </c>
      <c r="F17" s="773" t="s">
        <v>342</v>
      </c>
      <c r="G17" s="774" t="s">
        <v>379</v>
      </c>
      <c r="H17" s="775"/>
      <c r="I17" s="773"/>
      <c r="J17" s="773"/>
      <c r="K17" s="773"/>
      <c r="L17" s="773" t="s">
        <v>375</v>
      </c>
      <c r="M17" s="1118"/>
    </row>
    <row r="18" spans="2:13" ht="25.15" customHeight="1" x14ac:dyDescent="0.3">
      <c r="B18" s="13" t="s">
        <v>380</v>
      </c>
      <c r="C18" s="785"/>
      <c r="D18" s="785"/>
      <c r="E18" s="785"/>
      <c r="F18" s="13"/>
      <c r="G18" s="785"/>
      <c r="H18" s="785"/>
      <c r="I18" s="13"/>
      <c r="L18" s="39"/>
    </row>
    <row r="19" spans="2:13" x14ac:dyDescent="0.35">
      <c r="B19" s="13" t="s">
        <v>381</v>
      </c>
      <c r="C19" s="13"/>
      <c r="D19" s="13"/>
      <c r="E19" s="13"/>
      <c r="F19" s="13"/>
      <c r="G19" s="13"/>
      <c r="H19" s="13"/>
      <c r="I19" s="13"/>
    </row>
    <row r="21" spans="2:13" ht="16" thickBot="1" x14ac:dyDescent="0.4">
      <c r="B21" s="787" t="s">
        <v>382</v>
      </c>
      <c r="C21" s="788"/>
      <c r="D21" s="776"/>
      <c r="E21" s="776"/>
      <c r="F21" s="11"/>
      <c r="G21" s="11"/>
      <c r="H21" s="11"/>
      <c r="I21" s="11"/>
      <c r="J21" s="11"/>
      <c r="K21" s="11"/>
      <c r="L21" s="11"/>
      <c r="M21" s="11"/>
    </row>
    <row r="22" spans="2:13" ht="14.5" thickTop="1" x14ac:dyDescent="0.35">
      <c r="B22" s="13"/>
      <c r="C22" s="13"/>
      <c r="D22" s="13"/>
      <c r="E22" s="13"/>
    </row>
    <row r="23" spans="2:13" ht="39" customHeight="1" x14ac:dyDescent="0.35">
      <c r="B23" s="777"/>
      <c r="C23" s="767" t="s">
        <v>383</v>
      </c>
      <c r="D23" s="767" t="s">
        <v>384</v>
      </c>
      <c r="E23" s="777"/>
      <c r="F23" s="777"/>
      <c r="G23" s="777"/>
      <c r="H23" s="777"/>
      <c r="I23" s="777"/>
      <c r="J23" s="777"/>
      <c r="K23" s="777"/>
      <c r="L23" s="777"/>
      <c r="M23" s="786" t="s">
        <v>23</v>
      </c>
    </row>
    <row r="24" spans="2:13" ht="26" customHeight="1" x14ac:dyDescent="0.35">
      <c r="B24" s="778" t="s">
        <v>385</v>
      </c>
      <c r="C24" s="782">
        <v>9</v>
      </c>
      <c r="D24" s="783">
        <f>3/9</f>
        <v>0.33333333333333331</v>
      </c>
      <c r="E24" s="779"/>
      <c r="F24" s="779"/>
      <c r="G24" s="779"/>
      <c r="H24" s="779"/>
      <c r="I24" s="779"/>
      <c r="J24" s="779"/>
      <c r="K24" s="779"/>
      <c r="L24" s="779"/>
      <c r="M24" s="1140" t="s">
        <v>26</v>
      </c>
    </row>
    <row r="25" spans="2:13" ht="25" customHeight="1" x14ac:dyDescent="0.35">
      <c r="B25" s="780" t="s">
        <v>333</v>
      </c>
      <c r="C25" s="465">
        <v>4</v>
      </c>
      <c r="D25" s="784">
        <f>1/4</f>
        <v>0.25</v>
      </c>
      <c r="E25" s="781"/>
      <c r="F25" s="781"/>
      <c r="G25" s="781"/>
      <c r="H25" s="781"/>
      <c r="I25" s="781"/>
      <c r="J25" s="781"/>
      <c r="K25" s="781"/>
      <c r="L25" s="781"/>
      <c r="M25" s="1140"/>
    </row>
    <row r="26" spans="2:13" ht="43" customHeight="1" x14ac:dyDescent="0.35">
      <c r="B26" s="778" t="s">
        <v>386</v>
      </c>
      <c r="C26" s="464">
        <v>4</v>
      </c>
      <c r="D26" s="783">
        <v>0.5</v>
      </c>
      <c r="E26" s="779"/>
      <c r="F26" s="779"/>
      <c r="G26" s="779"/>
      <c r="H26" s="779"/>
      <c r="I26" s="779"/>
      <c r="J26" s="779"/>
      <c r="K26" s="779"/>
      <c r="L26" s="779"/>
      <c r="M26" s="1140"/>
    </row>
    <row r="27" spans="2:13" ht="23" customHeight="1" x14ac:dyDescent="0.35">
      <c r="B27" s="780" t="s">
        <v>335</v>
      </c>
      <c r="C27" s="465">
        <v>4</v>
      </c>
      <c r="D27" s="784">
        <v>0.5</v>
      </c>
      <c r="E27" s="781"/>
      <c r="F27" s="781"/>
      <c r="G27" s="781"/>
      <c r="H27" s="781"/>
      <c r="I27" s="781"/>
      <c r="J27" s="781"/>
      <c r="K27" s="781"/>
      <c r="L27" s="781"/>
      <c r="M27" s="1140"/>
    </row>
    <row r="28" spans="2:13" ht="33" customHeight="1" x14ac:dyDescent="0.35">
      <c r="B28" s="780" t="s">
        <v>336</v>
      </c>
      <c r="C28" s="465">
        <v>4</v>
      </c>
      <c r="D28" s="784">
        <v>0.5</v>
      </c>
      <c r="E28" s="781"/>
      <c r="F28" s="781"/>
      <c r="G28" s="781"/>
      <c r="H28" s="781"/>
      <c r="I28" s="781"/>
      <c r="J28" s="781"/>
      <c r="K28" s="781"/>
      <c r="L28" s="781"/>
      <c r="M28" s="1140"/>
    </row>
  </sheetData>
  <mergeCells count="2">
    <mergeCell ref="M24:M28"/>
    <mergeCell ref="M8:M17"/>
  </mergeCells>
  <pageMargins left="0.70866141732283505" right="0.70866141732283505" top="0.74803149606299202" bottom="0.74803149606299202" header="0.31496062992126" footer="0.31496062992126"/>
  <pageSetup paperSize="9" scale="80" orientation="landscape"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22"/>
  <sheetViews>
    <sheetView showGridLines="0" topLeftCell="A6" zoomScale="75" zoomScaleNormal="75" workbookViewId="0">
      <selection activeCell="I13" sqref="I13"/>
    </sheetView>
  </sheetViews>
  <sheetFormatPr defaultColWidth="9.26953125" defaultRowHeight="14" x14ac:dyDescent="0.35"/>
  <cols>
    <col min="1" max="1" width="3.7265625" style="12" customWidth="1"/>
    <col min="2" max="2" width="3.453125" style="12" customWidth="1"/>
    <col min="3" max="3" width="27" style="12" customWidth="1"/>
    <col min="4" max="4" width="61.7265625" style="12" customWidth="1"/>
    <col min="5" max="5" width="13.81640625" style="12" customWidth="1"/>
    <col min="6" max="6" width="9.26953125" style="12" customWidth="1"/>
    <col min="7" max="16384" width="9.26953125" style="12"/>
  </cols>
  <sheetData>
    <row r="1" spans="2:11" ht="15" customHeight="1" x14ac:dyDescent="0.35">
      <c r="B1" s="13"/>
      <c r="C1" s="13"/>
      <c r="D1" s="13"/>
      <c r="E1" s="13"/>
      <c r="F1" s="13"/>
      <c r="G1" s="13"/>
      <c r="H1" s="13"/>
      <c r="I1" s="13"/>
      <c r="J1" s="13"/>
      <c r="K1" s="13"/>
    </row>
    <row r="2" spans="2:11" ht="15" customHeight="1" x14ac:dyDescent="0.35">
      <c r="B2" s="13"/>
      <c r="C2" s="13"/>
      <c r="D2" s="13"/>
      <c r="E2" s="13"/>
      <c r="F2" s="13"/>
      <c r="G2" s="13"/>
      <c r="H2" s="13"/>
      <c r="I2" s="13"/>
      <c r="J2" s="13"/>
      <c r="K2" s="13"/>
    </row>
    <row r="3" spans="2:11" ht="15" customHeight="1" x14ac:dyDescent="0.35">
      <c r="B3" s="13"/>
      <c r="C3" s="13"/>
      <c r="D3" s="13"/>
      <c r="E3" s="13"/>
      <c r="F3" s="13"/>
      <c r="G3" s="13"/>
      <c r="H3" s="13"/>
      <c r="I3" s="13"/>
      <c r="J3" s="13"/>
      <c r="K3" s="13"/>
    </row>
    <row r="4" spans="2:11" ht="15" customHeight="1" x14ac:dyDescent="0.35">
      <c r="B4" s="13"/>
      <c r="C4" s="13"/>
      <c r="D4" s="13"/>
    </row>
    <row r="5" spans="2:11" ht="28.15" customHeight="1" thickBot="1" x14ac:dyDescent="0.4">
      <c r="B5" s="725" t="s">
        <v>21</v>
      </c>
      <c r="C5" s="768"/>
      <c r="D5" s="727"/>
      <c r="E5" s="11"/>
    </row>
    <row r="6" spans="2:11" ht="21.4" customHeight="1" thickTop="1" x14ac:dyDescent="0.35">
      <c r="B6" s="31" t="s">
        <v>387</v>
      </c>
      <c r="C6" s="13"/>
      <c r="D6" s="13"/>
    </row>
    <row r="7" spans="2:11" ht="25" customHeight="1" x14ac:dyDescent="0.35">
      <c r="B7" s="1142" t="s">
        <v>388</v>
      </c>
      <c r="C7" s="1142"/>
      <c r="D7" s="301" t="s">
        <v>389</v>
      </c>
      <c r="E7" s="87" t="s">
        <v>23</v>
      </c>
    </row>
    <row r="8" spans="2:11" ht="46.5" customHeight="1" x14ac:dyDescent="0.35">
      <c r="B8" s="758" t="s">
        <v>390</v>
      </c>
      <c r="C8" s="759" t="s">
        <v>391</v>
      </c>
      <c r="D8" s="764" t="s">
        <v>480</v>
      </c>
      <c r="E8" s="1118" t="s">
        <v>392</v>
      </c>
    </row>
    <row r="9" spans="2:11" ht="32.5" customHeight="1" x14ac:dyDescent="0.35">
      <c r="B9" s="760" t="s">
        <v>393</v>
      </c>
      <c r="C9" s="761" t="s">
        <v>394</v>
      </c>
      <c r="D9" s="765" t="s">
        <v>481</v>
      </c>
      <c r="E9" s="1118"/>
    </row>
    <row r="10" spans="2:11" ht="38.5" customHeight="1" x14ac:dyDescent="0.35">
      <c r="B10" s="762" t="s">
        <v>395</v>
      </c>
      <c r="C10" s="763" t="s">
        <v>396</v>
      </c>
      <c r="D10" s="766" t="s">
        <v>482</v>
      </c>
      <c r="E10" s="1118"/>
    </row>
    <row r="11" spans="2:11" x14ac:dyDescent="0.35">
      <c r="E11" s="1118"/>
    </row>
    <row r="12" spans="2:11" x14ac:dyDescent="0.3">
      <c r="B12" s="32"/>
      <c r="C12" s="32"/>
      <c r="D12" s="32"/>
      <c r="E12" s="1118"/>
      <c r="F12" s="32"/>
      <c r="G12" s="32"/>
      <c r="H12" s="32"/>
      <c r="I12" s="32"/>
      <c r="J12" s="32"/>
    </row>
    <row r="13" spans="2:11" ht="78" customHeight="1" x14ac:dyDescent="0.3">
      <c r="B13" s="1141" t="s">
        <v>483</v>
      </c>
      <c r="C13" s="1141"/>
      <c r="D13" s="1141"/>
      <c r="E13" s="1118"/>
      <c r="F13" s="32"/>
      <c r="G13" s="32"/>
      <c r="H13" s="32"/>
      <c r="I13" s="32"/>
      <c r="J13" s="32"/>
    </row>
    <row r="14" spans="2:11" ht="70" customHeight="1" x14ac:dyDescent="0.3">
      <c r="B14" s="1141" t="s">
        <v>397</v>
      </c>
      <c r="C14" s="1141"/>
      <c r="D14" s="1141"/>
      <c r="E14" s="1118"/>
      <c r="F14" s="32"/>
      <c r="G14" s="32"/>
      <c r="H14" s="32"/>
      <c r="I14" s="32"/>
      <c r="J14" s="32"/>
    </row>
    <row r="15" spans="2:11" x14ac:dyDescent="0.3">
      <c r="B15" s="33"/>
      <c r="C15" s="34"/>
      <c r="D15" s="32"/>
      <c r="E15" s="32"/>
      <c r="F15" s="32"/>
      <c r="G15" s="32"/>
      <c r="H15" s="32"/>
      <c r="I15" s="32"/>
    </row>
    <row r="16" spans="2:11" x14ac:dyDescent="0.3">
      <c r="B16" s="33"/>
      <c r="C16" s="34"/>
      <c r="D16" s="34"/>
      <c r="E16" s="32"/>
      <c r="F16" s="32"/>
      <c r="G16" s="32"/>
      <c r="H16" s="32"/>
      <c r="I16" s="32"/>
      <c r="J16" s="32"/>
    </row>
    <row r="17" spans="2:10" x14ac:dyDescent="0.3">
      <c r="B17" s="33"/>
      <c r="C17" s="34"/>
      <c r="D17" s="34"/>
      <c r="E17" s="32"/>
      <c r="F17" s="32"/>
      <c r="G17" s="32"/>
      <c r="H17" s="32"/>
      <c r="I17" s="32"/>
      <c r="J17" s="32"/>
    </row>
    <row r="18" spans="2:10" x14ac:dyDescent="0.3">
      <c r="B18" s="33"/>
      <c r="C18" s="34"/>
      <c r="D18" s="34"/>
      <c r="E18" s="32"/>
      <c r="F18" s="32"/>
      <c r="G18" s="32"/>
      <c r="H18" s="32"/>
      <c r="I18" s="32"/>
      <c r="J18" s="32"/>
    </row>
    <row r="19" spans="2:10" x14ac:dyDescent="0.3">
      <c r="B19" s="33"/>
      <c r="C19" s="34"/>
      <c r="D19" s="34"/>
      <c r="E19" s="32"/>
      <c r="F19" s="32"/>
      <c r="G19" s="32"/>
      <c r="H19" s="32"/>
      <c r="I19" s="32"/>
      <c r="J19" s="32"/>
    </row>
    <row r="20" spans="2:10" x14ac:dyDescent="0.3">
      <c r="B20" s="33"/>
      <c r="C20" s="34"/>
      <c r="D20" s="34"/>
      <c r="E20" s="32"/>
      <c r="F20" s="32"/>
      <c r="G20" s="32"/>
      <c r="H20" s="32"/>
      <c r="I20" s="32"/>
      <c r="J20" s="32"/>
    </row>
    <row r="21" spans="2:10" x14ac:dyDescent="0.3">
      <c r="B21" s="33"/>
      <c r="C21" s="34"/>
      <c r="D21" s="34"/>
      <c r="E21" s="32"/>
      <c r="F21" s="32"/>
      <c r="G21" s="32"/>
      <c r="H21" s="32"/>
      <c r="I21" s="32"/>
      <c r="J21" s="32"/>
    </row>
    <row r="22" spans="2:10" x14ac:dyDescent="0.3">
      <c r="B22" s="32"/>
      <c r="C22" s="32"/>
      <c r="D22" s="32"/>
      <c r="E22" s="32"/>
      <c r="F22" s="32"/>
      <c r="G22" s="32"/>
      <c r="H22" s="32"/>
      <c r="I22" s="32"/>
      <c r="J22" s="32"/>
    </row>
  </sheetData>
  <mergeCells count="4">
    <mergeCell ref="B13:D13"/>
    <mergeCell ref="B14:D14"/>
    <mergeCell ref="E8:E14"/>
    <mergeCell ref="B7:C7"/>
  </mergeCells>
  <pageMargins left="0.7" right="0.7" top="0.75" bottom="0.75" header="0.3" footer="0.3"/>
  <pageSetup paperSize="9"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M25"/>
  <sheetViews>
    <sheetView showGridLines="0" zoomScale="50" zoomScaleNormal="50" workbookViewId="0">
      <selection activeCell="O19" sqref="O19"/>
    </sheetView>
  </sheetViews>
  <sheetFormatPr defaultColWidth="9.26953125" defaultRowHeight="14" x14ac:dyDescent="0.35"/>
  <cols>
    <col min="1" max="1" width="3.7265625" style="12" customWidth="1"/>
    <col min="2" max="2" width="18.26953125" style="12" customWidth="1"/>
    <col min="3" max="4" width="20.7265625" style="12" customWidth="1"/>
    <col min="5" max="5" width="27.453125" style="12" customWidth="1"/>
    <col min="6" max="6" width="15.81640625" style="12" customWidth="1"/>
    <col min="7" max="7" width="9.26953125" style="12" customWidth="1"/>
    <col min="8" max="16384" width="9.26953125" style="12"/>
  </cols>
  <sheetData>
    <row r="1" spans="2:13" ht="15" customHeight="1" x14ac:dyDescent="0.35">
      <c r="B1" s="13"/>
      <c r="C1" s="13"/>
      <c r="D1" s="13"/>
      <c r="E1" s="13"/>
      <c r="F1" s="13"/>
      <c r="G1" s="13"/>
      <c r="H1" s="13"/>
      <c r="I1" s="13"/>
      <c r="J1" s="13"/>
      <c r="K1" s="13"/>
      <c r="L1" s="13"/>
    </row>
    <row r="2" spans="2:13" ht="15" customHeight="1" x14ac:dyDescent="0.35">
      <c r="B2" s="13"/>
      <c r="C2" s="13"/>
      <c r="D2" s="13"/>
      <c r="E2" s="13"/>
      <c r="F2" s="13"/>
      <c r="G2" s="13"/>
      <c r="H2" s="13"/>
      <c r="I2" s="13"/>
      <c r="J2" s="13"/>
      <c r="K2" s="13"/>
      <c r="L2" s="13"/>
    </row>
    <row r="3" spans="2:13" ht="15" customHeight="1" x14ac:dyDescent="0.35">
      <c r="B3" s="13"/>
      <c r="C3" s="13"/>
      <c r="D3" s="13"/>
      <c r="E3" s="13"/>
      <c r="F3" s="13"/>
      <c r="G3" s="13"/>
      <c r="H3" s="13"/>
      <c r="I3" s="13"/>
      <c r="J3" s="13"/>
      <c r="K3" s="13"/>
      <c r="L3" s="13"/>
    </row>
    <row r="4" spans="2:13" ht="15" customHeight="1" x14ac:dyDescent="0.35">
      <c r="B4" s="13"/>
      <c r="C4" s="13"/>
      <c r="D4" s="13"/>
      <c r="E4" s="13"/>
      <c r="F4" s="13"/>
      <c r="G4" s="13"/>
      <c r="H4" s="13"/>
      <c r="I4" s="13"/>
      <c r="J4" s="13"/>
      <c r="K4" s="13"/>
      <c r="L4" s="13"/>
    </row>
    <row r="5" spans="2:13" ht="24" customHeight="1" thickBot="1" x14ac:dyDescent="0.4">
      <c r="B5" s="725" t="s">
        <v>484</v>
      </c>
      <c r="C5" s="768"/>
      <c r="D5" s="768"/>
      <c r="E5" s="727"/>
      <c r="F5" s="11"/>
      <c r="G5" s="13"/>
      <c r="H5" s="13"/>
      <c r="I5" s="13"/>
      <c r="J5" s="13"/>
      <c r="K5" s="13"/>
      <c r="L5" s="13"/>
      <c r="M5" s="13"/>
    </row>
    <row r="6" spans="2:13" ht="21.4" customHeight="1" thickTop="1" x14ac:dyDescent="0.35">
      <c r="B6" s="13"/>
      <c r="C6" s="13"/>
      <c r="D6" s="13"/>
      <c r="E6" s="13"/>
      <c r="F6" s="13"/>
      <c r="G6" s="13"/>
      <c r="H6" s="13"/>
      <c r="I6" s="13"/>
      <c r="J6" s="13"/>
      <c r="K6" s="13"/>
      <c r="L6" s="13"/>
    </row>
    <row r="7" spans="2:13" ht="34.5" customHeight="1" x14ac:dyDescent="0.3">
      <c r="B7" s="5"/>
      <c r="C7" s="755">
        <v>2022</v>
      </c>
      <c r="D7" s="755">
        <v>2023</v>
      </c>
      <c r="E7" s="755">
        <v>2024</v>
      </c>
      <c r="F7" s="739" t="s">
        <v>23</v>
      </c>
    </row>
    <row r="8" spans="2:13" ht="21.4" customHeight="1" x14ac:dyDescent="0.35">
      <c r="B8" s="23" t="s">
        <v>10</v>
      </c>
      <c r="C8" s="756">
        <v>0.7</v>
      </c>
      <c r="D8" s="756">
        <v>0.64</v>
      </c>
      <c r="E8" s="25">
        <v>0.65</v>
      </c>
      <c r="F8" s="1144" t="s">
        <v>398</v>
      </c>
    </row>
    <row r="9" spans="2:13" ht="21.4" customHeight="1" x14ac:dyDescent="0.35">
      <c r="B9" s="26" t="s">
        <v>399</v>
      </c>
      <c r="C9" s="757">
        <v>0.19</v>
      </c>
      <c r="D9" s="757">
        <v>0.14000000000000001</v>
      </c>
      <c r="E9" s="25">
        <v>0.15</v>
      </c>
      <c r="F9" s="1144"/>
    </row>
    <row r="10" spans="2:13" ht="21.4" customHeight="1" x14ac:dyDescent="0.35">
      <c r="B10" s="28" t="s">
        <v>400</v>
      </c>
      <c r="C10" s="25">
        <v>0.11</v>
      </c>
      <c r="D10" s="25">
        <v>0.22</v>
      </c>
      <c r="E10" s="25">
        <v>0.2</v>
      </c>
      <c r="F10" s="1144"/>
    </row>
    <row r="11" spans="2:13" x14ac:dyDescent="0.35">
      <c r="F11" s="1144"/>
    </row>
    <row r="12" spans="2:13" ht="60.65" customHeight="1" x14ac:dyDescent="0.35">
      <c r="B12" s="1143" t="s">
        <v>115</v>
      </c>
      <c r="C12" s="1145" t="s">
        <v>485</v>
      </c>
      <c r="D12" s="1145"/>
      <c r="E12" s="1145"/>
      <c r="F12" s="1144"/>
      <c r="G12" s="30"/>
      <c r="H12" s="30"/>
      <c r="I12" s="30"/>
      <c r="J12" s="30"/>
      <c r="K12" s="30"/>
    </row>
    <row r="13" spans="2:13" ht="42" customHeight="1" x14ac:dyDescent="0.35">
      <c r="B13" s="1143"/>
      <c r="C13" s="1146"/>
      <c r="D13" s="1146"/>
      <c r="E13" s="1146"/>
      <c r="F13" s="1144"/>
      <c r="G13" s="30"/>
      <c r="H13" s="30"/>
      <c r="I13" s="30"/>
      <c r="J13" s="30"/>
      <c r="K13" s="30"/>
    </row>
    <row r="14" spans="2:13" ht="14.65" customHeight="1" x14ac:dyDescent="0.35">
      <c r="F14" s="30"/>
      <c r="G14" s="30"/>
      <c r="H14" s="30"/>
      <c r="I14" s="30"/>
      <c r="J14" s="30"/>
      <c r="K14" s="30"/>
    </row>
    <row r="15" spans="2:13" ht="43.15" customHeight="1" x14ac:dyDescent="0.35">
      <c r="B15" s="16"/>
      <c r="C15" s="30"/>
      <c r="D15" s="30"/>
      <c r="E15" s="30"/>
      <c r="F15" s="30"/>
      <c r="G15" s="30"/>
      <c r="H15" s="30"/>
      <c r="I15" s="30"/>
      <c r="J15" s="30"/>
      <c r="K15" s="30"/>
    </row>
    <row r="16" spans="2:13" x14ac:dyDescent="0.35">
      <c r="B16" s="16"/>
    </row>
    <row r="17" spans="2:2" ht="43.15" customHeight="1" x14ac:dyDescent="0.35">
      <c r="B17" s="16"/>
    </row>
    <row r="18" spans="2:2" x14ac:dyDescent="0.35">
      <c r="B18" s="16"/>
    </row>
    <row r="19" spans="2:2" x14ac:dyDescent="0.35">
      <c r="B19" s="16"/>
    </row>
    <row r="20" spans="2:2" x14ac:dyDescent="0.35">
      <c r="B20" s="16"/>
    </row>
    <row r="21" spans="2:2" x14ac:dyDescent="0.35">
      <c r="B21" s="16"/>
    </row>
    <row r="22" spans="2:2" ht="28.9" customHeight="1" x14ac:dyDescent="0.35">
      <c r="B22" s="16"/>
    </row>
    <row r="23" spans="2:2" x14ac:dyDescent="0.35">
      <c r="B23" s="16"/>
    </row>
    <row r="24" spans="2:2" x14ac:dyDescent="0.35">
      <c r="B24" s="16"/>
    </row>
    <row r="25" spans="2:2" x14ac:dyDescent="0.35">
      <c r="B25" s="16"/>
    </row>
  </sheetData>
  <mergeCells count="4">
    <mergeCell ref="B12:B13"/>
    <mergeCell ref="F8:F13"/>
    <mergeCell ref="C12:E12"/>
    <mergeCell ref="C13:E13"/>
  </mergeCells>
  <pageMargins left="0.7" right="0.7" top="0.75" bottom="0.75" header="0.3" footer="0.3"/>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2"/>
  <sheetViews>
    <sheetView showGridLines="0" topLeftCell="A3" zoomScale="50" zoomScaleNormal="50" workbookViewId="0">
      <selection activeCell="A5" sqref="A5:D5"/>
    </sheetView>
  </sheetViews>
  <sheetFormatPr defaultColWidth="9.26953125" defaultRowHeight="14" x14ac:dyDescent="0.3"/>
  <cols>
    <col min="1" max="1" width="3.7265625" style="12" customWidth="1"/>
    <col min="2" max="3" width="9.26953125" style="12" customWidth="1"/>
    <col min="4" max="4" width="18.7265625" style="22" customWidth="1"/>
    <col min="5" max="5" width="80" style="22" customWidth="1"/>
    <col min="6" max="6" width="9.26953125" style="12" customWidth="1"/>
    <col min="7" max="16384" width="9.26953125" style="12"/>
  </cols>
  <sheetData>
    <row r="1" spans="1:15" ht="15" customHeight="1" x14ac:dyDescent="0.25">
      <c r="B1" s="13"/>
      <c r="C1" s="13"/>
      <c r="D1" s="17"/>
      <c r="E1" s="17"/>
      <c r="F1" s="13"/>
      <c r="G1" s="13"/>
      <c r="H1" s="13"/>
      <c r="I1" s="13"/>
      <c r="J1" s="13"/>
      <c r="K1" s="13"/>
    </row>
    <row r="2" spans="1:15" ht="15" customHeight="1" x14ac:dyDescent="0.25">
      <c r="B2" s="13"/>
      <c r="C2" s="13"/>
      <c r="D2" s="17"/>
      <c r="E2" s="17"/>
      <c r="F2" s="13"/>
      <c r="G2" s="13"/>
      <c r="H2" s="13"/>
      <c r="I2" s="13"/>
      <c r="J2" s="13"/>
      <c r="K2" s="13"/>
    </row>
    <row r="3" spans="1:15" ht="15" customHeight="1" x14ac:dyDescent="0.25">
      <c r="B3" s="13"/>
      <c r="C3" s="13"/>
      <c r="D3" s="17"/>
      <c r="E3" s="17"/>
      <c r="F3" s="13"/>
      <c r="G3" s="13"/>
      <c r="H3" s="13"/>
      <c r="I3" s="13"/>
      <c r="J3" s="13"/>
      <c r="K3" s="13"/>
    </row>
    <row r="4" spans="1:15" ht="15" customHeight="1" x14ac:dyDescent="0.25">
      <c r="B4" s="13"/>
      <c r="C4" s="13"/>
      <c r="D4" s="17"/>
      <c r="E4" s="17"/>
      <c r="F4" s="13"/>
      <c r="G4" s="13"/>
      <c r="H4" s="13"/>
      <c r="I4" s="13"/>
      <c r="J4" s="13"/>
      <c r="K4" s="13"/>
      <c r="N4" s="18"/>
      <c r="O4" s="18"/>
    </row>
    <row r="5" spans="1:15" ht="25.15" customHeight="1" thickBot="1" x14ac:dyDescent="0.45">
      <c r="A5" s="753"/>
      <c r="B5" s="725" t="s">
        <v>18</v>
      </c>
      <c r="C5" s="768"/>
      <c r="D5" s="861"/>
      <c r="E5" s="20"/>
      <c r="F5" s="11"/>
      <c r="G5" s="11"/>
      <c r="H5" s="11"/>
      <c r="I5" s="11"/>
      <c r="J5" s="13"/>
      <c r="K5" s="13"/>
      <c r="L5" s="13"/>
      <c r="M5" s="13"/>
      <c r="N5" s="13"/>
      <c r="O5" s="13"/>
    </row>
    <row r="6" spans="1:15" ht="15" customHeight="1" thickTop="1" x14ac:dyDescent="0.25">
      <c r="B6" s="21"/>
      <c r="C6" s="13"/>
      <c r="D6" s="17"/>
      <c r="E6" s="17"/>
      <c r="F6" s="13"/>
      <c r="G6" s="13"/>
      <c r="H6" s="13"/>
      <c r="I6" s="13"/>
      <c r="J6" s="13"/>
      <c r="K6" s="13"/>
      <c r="L6" s="13"/>
      <c r="M6" s="13"/>
      <c r="N6" s="13"/>
      <c r="O6" s="13"/>
    </row>
    <row r="37" s="12" customFormat="1" x14ac:dyDescent="0.35"/>
    <row r="38" s="12" customFormat="1" x14ac:dyDescent="0.35"/>
    <row r="39" s="12" customFormat="1" x14ac:dyDescent="0.35"/>
    <row r="40" s="12" customFormat="1" x14ac:dyDescent="0.35"/>
    <row r="41" s="12" customFormat="1" x14ac:dyDescent="0.35"/>
    <row r="42" s="12" customFormat="1" x14ac:dyDescent="0.35"/>
    <row r="43" s="12" customFormat="1" x14ac:dyDescent="0.35"/>
    <row r="44" s="12" customFormat="1" x14ac:dyDescent="0.35"/>
    <row r="45" s="12" customFormat="1" ht="28.9" customHeight="1" x14ac:dyDescent="0.35"/>
    <row r="46" s="12" customFormat="1" x14ac:dyDescent="0.35"/>
    <row r="47" s="12" customFormat="1" x14ac:dyDescent="0.35"/>
    <row r="48" s="12" customFormat="1" x14ac:dyDescent="0.35"/>
    <row r="49" s="12" customFormat="1" x14ac:dyDescent="0.35"/>
    <row r="50" s="12" customFormat="1" x14ac:dyDescent="0.35"/>
    <row r="51" s="12" customFormat="1" x14ac:dyDescent="0.35"/>
    <row r="52" s="12" customFormat="1" x14ac:dyDescent="0.35"/>
  </sheetData>
  <pageMargins left="0.7" right="0.7" top="0.75" bottom="0.75" header="0.3" footer="0.3"/>
  <pageSetup paperSize="9" orientation="portrait" r:id="rId1"/>
  <headerFooter scaleWithDoc="0"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F4D8-5F5F-4F18-9976-70695AB7BBAE}">
  <dimension ref="A2:B11"/>
  <sheetViews>
    <sheetView showGridLines="0" zoomScale="70" zoomScaleNormal="70" workbookViewId="0">
      <selection activeCell="B15" sqref="B15"/>
    </sheetView>
  </sheetViews>
  <sheetFormatPr defaultColWidth="9.1796875" defaultRowHeight="14" x14ac:dyDescent="0.35"/>
  <cols>
    <col min="1" max="1" width="35.453125" style="12" customWidth="1"/>
    <col min="2" max="2" width="61.7265625" style="12" customWidth="1"/>
    <col min="3" max="3" width="9.1796875" style="12" customWidth="1"/>
    <col min="4" max="16384" width="9.1796875" style="12"/>
  </cols>
  <sheetData>
    <row r="2" spans="1:2" ht="14.5" thickBot="1" x14ac:dyDescent="0.4">
      <c r="A2" s="11"/>
      <c r="B2" s="11"/>
    </row>
    <row r="3" spans="1:2" ht="18.5" thickTop="1" x14ac:dyDescent="0.35">
      <c r="A3" s="753" t="s">
        <v>467</v>
      </c>
      <c r="B3" s="726"/>
    </row>
    <row r="4" spans="1:2" x14ac:dyDescent="0.35">
      <c r="A4" s="14"/>
      <c r="B4" s="15" t="s">
        <v>401</v>
      </c>
    </row>
    <row r="5" spans="1:2" x14ac:dyDescent="0.35">
      <c r="A5" s="353" t="s">
        <v>402</v>
      </c>
      <c r="B5" s="754" t="s">
        <v>403</v>
      </c>
    </row>
    <row r="6" spans="1:2" x14ac:dyDescent="0.25">
      <c r="A6" s="353" t="s">
        <v>404</v>
      </c>
      <c r="B6" s="744" t="s">
        <v>405</v>
      </c>
    </row>
    <row r="7" spans="1:2" x14ac:dyDescent="0.25">
      <c r="A7" s="353" t="s">
        <v>406</v>
      </c>
      <c r="B7" s="744" t="s">
        <v>407</v>
      </c>
    </row>
    <row r="8" spans="1:2" x14ac:dyDescent="0.25">
      <c r="A8" s="353" t="s">
        <v>408</v>
      </c>
      <c r="B8" s="744" t="s">
        <v>407</v>
      </c>
    </row>
    <row r="9" spans="1:2" x14ac:dyDescent="0.25">
      <c r="A9" s="353" t="s">
        <v>409</v>
      </c>
      <c r="B9" s="744" t="s">
        <v>468</v>
      </c>
    </row>
    <row r="10" spans="1:2" ht="14" customHeight="1" x14ac:dyDescent="0.25">
      <c r="A10" s="353" t="s">
        <v>410</v>
      </c>
      <c r="B10" s="744" t="s">
        <v>468</v>
      </c>
    </row>
    <row r="11" spans="1:2" x14ac:dyDescent="0.25">
      <c r="A11" s="353" t="s">
        <v>411</v>
      </c>
      <c r="B11" s="744" t="s">
        <v>468</v>
      </c>
    </row>
  </sheetData>
  <pageMargins left="0.7" right="0.7" top="0.75" bottom="0.75" header="0.3" footer="0.3"/>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4:K32"/>
  <sheetViews>
    <sheetView showGridLines="0" zoomScale="75" zoomScaleNormal="75" workbookViewId="0">
      <selection activeCell="E21" sqref="E21"/>
    </sheetView>
  </sheetViews>
  <sheetFormatPr defaultColWidth="9.26953125" defaultRowHeight="14" x14ac:dyDescent="0.35"/>
  <cols>
    <col min="1" max="1" width="3.7265625" style="12" customWidth="1"/>
    <col min="2" max="2" width="45.54296875" style="12" customWidth="1"/>
    <col min="3" max="3" width="14.54296875" style="12" customWidth="1"/>
    <col min="4" max="4" width="4.7265625" style="12" customWidth="1"/>
    <col min="5" max="5" width="95.453125" style="12" customWidth="1"/>
    <col min="6" max="9" width="9.26953125" style="12" customWidth="1"/>
    <col min="10" max="10" width="9.7265625" style="12" customWidth="1"/>
    <col min="11" max="11" width="9.26953125" style="12" customWidth="1"/>
    <col min="12" max="12" width="26.453125" style="12" customWidth="1"/>
    <col min="13" max="13" width="9.26953125" style="12" customWidth="1"/>
    <col min="14" max="16384" width="9.26953125" style="12"/>
  </cols>
  <sheetData>
    <row r="4" spans="1:11" ht="15.5" x14ac:dyDescent="0.35">
      <c r="E4" s="667"/>
    </row>
    <row r="5" spans="1:11" ht="149.5" customHeight="1" x14ac:dyDescent="0.35">
      <c r="B5" s="904" t="s">
        <v>470</v>
      </c>
      <c r="C5" s="904"/>
      <c r="D5" s="668"/>
      <c r="K5" s="18"/>
    </row>
    <row r="6" spans="1:11" ht="21" customHeight="1" x14ac:dyDescent="0.35">
      <c r="C6" s="669"/>
      <c r="D6" s="668"/>
      <c r="E6" s="6"/>
    </row>
    <row r="7" spans="1:11" ht="19.149999999999999" customHeight="1" x14ac:dyDescent="0.35">
      <c r="B7" s="667" t="s">
        <v>0</v>
      </c>
    </row>
    <row r="8" spans="1:11" ht="27" customHeight="1" x14ac:dyDescent="0.35">
      <c r="B8" s="276" t="s">
        <v>1</v>
      </c>
      <c r="C8" s="670" t="s">
        <v>2</v>
      </c>
      <c r="E8" s="681" t="s">
        <v>3</v>
      </c>
    </row>
    <row r="9" spans="1:11" ht="21.4" customHeight="1" x14ac:dyDescent="0.35">
      <c r="B9" s="671" t="s">
        <v>4</v>
      </c>
      <c r="C9" s="672"/>
      <c r="E9" s="672"/>
    </row>
    <row r="10" spans="1:11" ht="21.4" customHeight="1" x14ac:dyDescent="0.35">
      <c r="B10" s="289" t="s">
        <v>5</v>
      </c>
      <c r="C10" s="673" t="s">
        <v>2</v>
      </c>
      <c r="E10" s="682" t="s">
        <v>432</v>
      </c>
    </row>
    <row r="11" spans="1:11" ht="18" customHeight="1" x14ac:dyDescent="0.35">
      <c r="B11" s="291" t="s">
        <v>6</v>
      </c>
      <c r="C11" s="674" t="s">
        <v>2</v>
      </c>
      <c r="E11" s="682" t="s">
        <v>433</v>
      </c>
      <c r="J11" s="480"/>
    </row>
    <row r="12" spans="1:11" ht="26.65" customHeight="1" x14ac:dyDescent="0.35">
      <c r="B12" s="291" t="s">
        <v>7</v>
      </c>
      <c r="C12" s="674" t="s">
        <v>2</v>
      </c>
      <c r="E12" s="683" t="s">
        <v>434</v>
      </c>
    </row>
    <row r="13" spans="1:11" ht="21.4" customHeight="1" x14ac:dyDescent="0.35">
      <c r="A13" s="12" t="s">
        <v>466</v>
      </c>
      <c r="B13" s="291" t="s">
        <v>8</v>
      </c>
      <c r="C13" s="674" t="s">
        <v>2</v>
      </c>
      <c r="E13" s="13"/>
    </row>
    <row r="14" spans="1:11" ht="21.4" customHeight="1" x14ac:dyDescent="0.35">
      <c r="B14" s="294" t="s">
        <v>9</v>
      </c>
      <c r="C14" s="670" t="s">
        <v>2</v>
      </c>
      <c r="E14" s="82"/>
    </row>
    <row r="15" spans="1:11" ht="21.4" customHeight="1" x14ac:dyDescent="0.35">
      <c r="B15" s="16"/>
      <c r="C15" s="675"/>
      <c r="E15" s="13"/>
    </row>
    <row r="16" spans="1:11" ht="21.4" customHeight="1" x14ac:dyDescent="0.35">
      <c r="B16" s="671" t="s">
        <v>422</v>
      </c>
      <c r="C16" s="676"/>
      <c r="E16" s="376"/>
    </row>
    <row r="17" spans="2:5" ht="21.4" customHeight="1" x14ac:dyDescent="0.35">
      <c r="B17" s="289" t="s">
        <v>10</v>
      </c>
      <c r="C17" s="673" t="s">
        <v>2</v>
      </c>
      <c r="E17" s="107" t="s">
        <v>423</v>
      </c>
    </row>
    <row r="18" spans="2:5" ht="21.4" customHeight="1" x14ac:dyDescent="0.35">
      <c r="B18" s="291" t="s">
        <v>11</v>
      </c>
      <c r="C18" s="674" t="s">
        <v>2</v>
      </c>
      <c r="E18" s="687" t="s">
        <v>424</v>
      </c>
    </row>
    <row r="19" spans="2:5" ht="21.4" customHeight="1" x14ac:dyDescent="0.35">
      <c r="B19" s="291" t="s">
        <v>12</v>
      </c>
      <c r="C19" s="674" t="s">
        <v>2</v>
      </c>
      <c r="E19" s="687" t="s">
        <v>425</v>
      </c>
    </row>
    <row r="20" spans="2:5" ht="21.4" customHeight="1" x14ac:dyDescent="0.35">
      <c r="B20" s="291" t="s">
        <v>13</v>
      </c>
      <c r="C20" s="674" t="s">
        <v>2</v>
      </c>
      <c r="E20" s="688" t="s">
        <v>426</v>
      </c>
    </row>
    <row r="21" spans="2:5" ht="29.25" customHeight="1" x14ac:dyDescent="0.35">
      <c r="B21" s="291" t="s">
        <v>14</v>
      </c>
      <c r="C21" s="674" t="s">
        <v>2</v>
      </c>
      <c r="E21" s="107" t="s">
        <v>471</v>
      </c>
    </row>
    <row r="22" spans="2:5" ht="21.4" customHeight="1" x14ac:dyDescent="0.35">
      <c r="B22" s="291" t="s">
        <v>15</v>
      </c>
      <c r="C22" s="674" t="s">
        <v>2</v>
      </c>
      <c r="E22" s="687" t="s">
        <v>427</v>
      </c>
    </row>
    <row r="23" spans="2:5" ht="33" customHeight="1" x14ac:dyDescent="0.35">
      <c r="B23" s="291" t="s">
        <v>16</v>
      </c>
      <c r="C23" s="674" t="s">
        <v>2</v>
      </c>
      <c r="E23" s="13"/>
    </row>
    <row r="24" spans="2:5" ht="31.5" customHeight="1" x14ac:dyDescent="0.35">
      <c r="B24" s="294"/>
      <c r="C24" s="670"/>
      <c r="E24" s="13"/>
    </row>
    <row r="25" spans="2:5" ht="21.4" customHeight="1" x14ac:dyDescent="0.35">
      <c r="B25" s="671" t="s">
        <v>17</v>
      </c>
      <c r="C25" s="676"/>
      <c r="E25" s="376"/>
    </row>
    <row r="26" spans="2:5" ht="21.65" customHeight="1" x14ac:dyDescent="0.35">
      <c r="B26" s="289" t="s">
        <v>18</v>
      </c>
      <c r="C26" s="677" t="s">
        <v>2</v>
      </c>
      <c r="E26" s="684" t="s">
        <v>428</v>
      </c>
    </row>
    <row r="27" spans="2:5" ht="34.15" customHeight="1" x14ac:dyDescent="0.25">
      <c r="B27" s="294" t="s">
        <v>19</v>
      </c>
      <c r="C27" s="678" t="s">
        <v>2</v>
      </c>
      <c r="E27" s="689" t="s">
        <v>429</v>
      </c>
    </row>
    <row r="28" spans="2:5" ht="21" customHeight="1" x14ac:dyDescent="0.35">
      <c r="B28" s="294" t="s">
        <v>20</v>
      </c>
      <c r="C28" s="678" t="s">
        <v>2</v>
      </c>
      <c r="E28" s="686" t="s">
        <v>430</v>
      </c>
    </row>
    <row r="29" spans="2:5" ht="37.9" customHeight="1" x14ac:dyDescent="0.25">
      <c r="B29" s="294" t="s">
        <v>21</v>
      </c>
      <c r="C29" s="678" t="s">
        <v>2</v>
      </c>
      <c r="E29" s="685"/>
    </row>
    <row r="30" spans="2:5" ht="21" customHeight="1" x14ac:dyDescent="0.35">
      <c r="B30" s="294" t="s">
        <v>469</v>
      </c>
      <c r="C30" s="679" t="s">
        <v>2</v>
      </c>
      <c r="E30" s="686" t="s">
        <v>431</v>
      </c>
    </row>
    <row r="31" spans="2:5" ht="21" customHeight="1" x14ac:dyDescent="0.35">
      <c r="C31" s="680"/>
      <c r="E31" s="13"/>
    </row>
    <row r="32" spans="2:5" ht="21" customHeight="1" x14ac:dyDescent="0.35"/>
  </sheetData>
  <mergeCells count="1">
    <mergeCell ref="B5:C5"/>
  </mergeCells>
  <hyperlinks>
    <hyperlink ref="C10" location="'GHG emissions'!A1" display="Go to &gt;" xr:uid="{00000000-0004-0000-0100-000000000000}"/>
    <hyperlink ref="C12" location="'Energy consumption'!A1" display="Go to &gt;" xr:uid="{00000000-0004-0000-0100-000001000000}"/>
    <hyperlink ref="C13" location="'Water'!A1" display="Go to &gt;" xr:uid="{00000000-0004-0000-0100-000002000000}"/>
    <hyperlink ref="C14" location="'Waste'!A1" display="Go to &gt;" xr:uid="{00000000-0004-0000-0100-000003000000}"/>
    <hyperlink ref="C17" location="'Human resources'!A1" display="Go to &gt;" xr:uid="{00000000-0004-0000-0100-000004000000}"/>
    <hyperlink ref="C18" location="'Nature of employment'!A1" display="Go to &gt;" xr:uid="{00000000-0004-0000-0100-000005000000}"/>
    <hyperlink ref="C19" location="'Employee churn'!A1" display="Go to &gt;" xr:uid="{00000000-0004-0000-0100-000006000000}"/>
    <hyperlink ref="C20" location="'No. of employment years'!A1" display="Go to &gt;" xr:uid="{00000000-0004-0000-0100-000007000000}"/>
    <hyperlink ref="C21" location="'Diversity and inclusion'!A1" display="Go to &gt;" xr:uid="{00000000-0004-0000-0100-000008000000}"/>
    <hyperlink ref="C22" location="'Health and safety'!A1" display="Go to &gt;" xr:uid="{00000000-0004-0000-0100-000009000000}"/>
    <hyperlink ref="C23" location="'Training, feedback, and evaluat'!A1" display="Go to &gt;" xr:uid="{00000000-0004-0000-0100-00000A000000}"/>
    <hyperlink ref="C26" location="'Financial performance'!A1" display="Go to &gt;" xr:uid="{00000000-0004-0000-0100-00000B000000}"/>
    <hyperlink ref="C27" location="'Holdings structure'!A1" display="Go to &gt;" xr:uid="{00000000-0004-0000-0100-00000C000000}"/>
    <hyperlink ref="C28" location="'Board members'!A1" display="Go to &gt;" xr:uid="{00000000-0004-0000-0100-00000D000000}"/>
    <hyperlink ref="C29" location="'Annual bonus for officers'!A1" display="Go to &gt;" xr:uid="{00000000-0004-0000-0100-00000E000000}"/>
    <hyperlink ref="C30" location="'Complaints to the Company’s int'!A1" display="Go to &gt;" xr:uid="{00000000-0004-0000-0100-00000F000000}"/>
    <hyperlink ref="C8" location="'Bezeq Group targets'!A1" display="Go to &gt;" xr:uid="{00000000-0004-0000-0100-000010000000}"/>
    <hyperlink ref="C11" location="'Intensity'!A1" display="Go to &gt;" xr:uid="{00000000-0004-0000-0100-000011000000}"/>
  </hyperlinks>
  <pageMargins left="0.7" right="0.7" top="0.75" bottom="0.75" header="0.3" footer="0.3"/>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
  <sheetViews>
    <sheetView showGridLines="0" topLeftCell="D1" zoomScale="50" zoomScaleNormal="50" workbookViewId="0">
      <selection activeCell="R37" sqref="R37"/>
    </sheetView>
  </sheetViews>
  <sheetFormatPr defaultColWidth="9.26953125" defaultRowHeight="14" x14ac:dyDescent="0.35"/>
  <cols>
    <col min="1" max="7" width="9.26953125" style="618" customWidth="1"/>
    <col min="8" max="16384" width="9.26953125" style="618"/>
  </cols>
  <sheetData/>
  <pageMargins left="0.7" right="0.7" top="0.75" bottom="0.75" header="0.3" footer="0.3"/>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53"/>
  <sheetViews>
    <sheetView showGridLines="0" topLeftCell="C49" zoomScale="75" zoomScaleNormal="75" workbookViewId="0">
      <selection activeCell="O56" sqref="O56"/>
    </sheetView>
  </sheetViews>
  <sheetFormatPr defaultColWidth="9.26953125" defaultRowHeight="14" x14ac:dyDescent="0.35"/>
  <cols>
    <col min="1" max="1" width="3.7265625" style="12" customWidth="1"/>
    <col min="2" max="2" width="25.81640625" style="12" customWidth="1"/>
    <col min="3" max="3" width="10.7265625" style="12" customWidth="1"/>
    <col min="4" max="4" width="13.1796875" style="12" customWidth="1"/>
    <col min="5" max="9" width="10.7265625" style="12" customWidth="1"/>
    <col min="10" max="10" width="11.7265625" style="12" customWidth="1"/>
    <col min="11" max="11" width="10.7265625" style="12" customWidth="1"/>
    <col min="12" max="13" width="9.26953125" style="12" customWidth="1"/>
    <col min="14" max="14" width="11.81640625" style="12" customWidth="1"/>
    <col min="15" max="15" width="36.7265625" style="12" customWidth="1"/>
    <col min="16" max="17" width="16.7265625" style="12" customWidth="1"/>
    <col min="18" max="18" width="9.26953125" style="12" customWidth="1"/>
    <col min="19" max="16384" width="9.26953125" style="12"/>
  </cols>
  <sheetData>
    <row r="1" spans="2:19" ht="15" customHeight="1" x14ac:dyDescent="0.35"/>
    <row r="2" spans="2:19" ht="15" customHeight="1" x14ac:dyDescent="0.35"/>
    <row r="3" spans="2:19" ht="15" customHeight="1" x14ac:dyDescent="0.35"/>
    <row r="4" spans="2:19" ht="15" customHeight="1" x14ac:dyDescent="0.35">
      <c r="B4" s="726"/>
      <c r="C4" s="726"/>
      <c r="D4" s="726"/>
    </row>
    <row r="5" spans="2:19" ht="24" customHeight="1" thickBot="1" x14ac:dyDescent="0.4">
      <c r="B5" s="724" t="s">
        <v>442</v>
      </c>
      <c r="C5" s="724"/>
      <c r="D5" s="724"/>
      <c r="E5" s="711"/>
      <c r="F5" s="19"/>
      <c r="G5" s="19"/>
      <c r="H5" s="19"/>
      <c r="I5" s="19"/>
      <c r="J5" s="19"/>
      <c r="K5" s="19"/>
      <c r="L5" s="19"/>
      <c r="M5" s="19"/>
      <c r="N5" s="19"/>
      <c r="O5" s="19"/>
      <c r="P5" s="19"/>
      <c r="Q5" s="19"/>
      <c r="R5" s="19"/>
      <c r="S5" s="19"/>
    </row>
    <row r="6" spans="2:19" ht="15" customHeight="1" thickTop="1" x14ac:dyDescent="0.35">
      <c r="B6" s="21"/>
      <c r="C6" s="21"/>
      <c r="D6" s="21"/>
      <c r="E6" s="21"/>
      <c r="F6" s="21"/>
      <c r="G6" s="21"/>
      <c r="H6" s="21"/>
      <c r="I6" s="21"/>
    </row>
    <row r="7" spans="2:19" ht="25.15" customHeight="1" x14ac:dyDescent="0.35">
      <c r="B7" s="908" t="s">
        <v>25</v>
      </c>
      <c r="C7" s="908"/>
      <c r="D7" s="908"/>
      <c r="E7" s="908"/>
      <c r="F7" s="908"/>
      <c r="G7" s="908"/>
      <c r="H7" s="908"/>
    </row>
    <row r="8" spans="2:19" ht="31.9" customHeight="1" x14ac:dyDescent="0.35">
      <c r="B8" s="604"/>
      <c r="C8" s="554">
        <v>2017</v>
      </c>
      <c r="D8" s="554">
        <v>2018</v>
      </c>
      <c r="E8" s="554">
        <v>2019</v>
      </c>
      <c r="F8" s="554">
        <v>2020</v>
      </c>
      <c r="G8" s="554">
        <v>2021</v>
      </c>
      <c r="H8" s="554">
        <v>2022</v>
      </c>
      <c r="I8" s="554">
        <v>2023</v>
      </c>
      <c r="J8" s="554">
        <v>2024</v>
      </c>
      <c r="K8" s="5" t="s">
        <v>23</v>
      </c>
    </row>
    <row r="9" spans="2:19" ht="21.4" customHeight="1" x14ac:dyDescent="0.35">
      <c r="B9" s="712" t="s">
        <v>33</v>
      </c>
      <c r="C9" s="532">
        <v>22312</v>
      </c>
      <c r="D9" s="532">
        <v>21430</v>
      </c>
      <c r="E9" s="532">
        <v>21114</v>
      </c>
      <c r="F9" s="532">
        <v>17891</v>
      </c>
      <c r="G9" s="532">
        <v>18878</v>
      </c>
      <c r="H9" s="532">
        <v>18216.79</v>
      </c>
      <c r="I9" s="484">
        <v>19007.21</v>
      </c>
      <c r="J9" s="484">
        <v>20718.7</v>
      </c>
      <c r="K9" s="874" t="s">
        <v>34</v>
      </c>
    </row>
    <row r="10" spans="2:19" ht="21.4" customHeight="1" x14ac:dyDescent="0.35">
      <c r="B10" s="527" t="s">
        <v>35</v>
      </c>
      <c r="C10" s="491">
        <v>87191</v>
      </c>
      <c r="D10" s="491">
        <v>84696</v>
      </c>
      <c r="E10" s="491">
        <v>80121</v>
      </c>
      <c r="F10" s="491">
        <v>73613</v>
      </c>
      <c r="G10" s="491">
        <v>55544.35</v>
      </c>
      <c r="H10" s="491">
        <v>54589</v>
      </c>
      <c r="I10" s="484">
        <v>53874.82</v>
      </c>
      <c r="J10" s="484">
        <v>54446.1</v>
      </c>
      <c r="K10" s="874"/>
    </row>
    <row r="11" spans="2:19" ht="21.4" customHeight="1" x14ac:dyDescent="0.35">
      <c r="B11" s="527"/>
      <c r="C11" s="491"/>
      <c r="D11" s="491"/>
      <c r="E11" s="491"/>
      <c r="F11" s="491"/>
      <c r="G11" s="491"/>
      <c r="H11" s="491"/>
      <c r="I11" s="484"/>
      <c r="J11" s="484"/>
      <c r="K11" s="874"/>
    </row>
    <row r="12" spans="2:19" ht="21.4" customHeight="1" x14ac:dyDescent="0.35">
      <c r="B12" s="527" t="s">
        <v>49</v>
      </c>
      <c r="C12" s="525">
        <f>SUM(C9:C10)</f>
        <v>109503</v>
      </c>
      <c r="D12" s="525">
        <f>SUM(D9:D10)</f>
        <v>106126</v>
      </c>
      <c r="E12" s="525">
        <f>SUM(E9:E10)</f>
        <v>101235</v>
      </c>
      <c r="F12" s="525">
        <f>SUM(F9:F10)</f>
        <v>91504</v>
      </c>
      <c r="G12" s="525">
        <f>G9+G10</f>
        <v>74422.350000000006</v>
      </c>
      <c r="H12" s="525">
        <f>H9+H10+H11</f>
        <v>72805.790000000008</v>
      </c>
      <c r="I12" s="529">
        <f>I9+I10+I11</f>
        <v>72882.03</v>
      </c>
      <c r="J12" s="529">
        <f>J9+J10+J11</f>
        <v>75164.800000000003</v>
      </c>
      <c r="K12" s="874"/>
    </row>
    <row r="13" spans="2:19" ht="54.65" customHeight="1" x14ac:dyDescent="0.35">
      <c r="B13" s="497" t="s">
        <v>438</v>
      </c>
      <c r="C13" s="605"/>
      <c r="D13" s="605">
        <f t="shared" ref="D13:F13" si="0">(D12-C12)/C12</f>
        <v>-3.0839337735039222E-2</v>
      </c>
      <c r="E13" s="605">
        <f t="shared" si="0"/>
        <v>-4.6086727097977877E-2</v>
      </c>
      <c r="F13" s="605">
        <f t="shared" si="0"/>
        <v>-9.6122882402331203E-2</v>
      </c>
      <c r="G13" s="605">
        <f>(G12-F12)/F12</f>
        <v>-0.18667653873054724</v>
      </c>
      <c r="H13" s="605">
        <f>((H9+H10)-G12)/G12</f>
        <v>-2.1721431801065103E-2</v>
      </c>
      <c r="I13" s="605">
        <f>((I9+I10)-(H9+H10))/(H9+H10)</f>
        <v>1.0471694627582598E-3</v>
      </c>
      <c r="J13" s="605">
        <f>((J9+J10)-(I9+I10))/(I9+I10)</f>
        <v>3.1321438220093541E-2</v>
      </c>
      <c r="K13" s="874"/>
    </row>
    <row r="14" spans="2:19" ht="54.65" customHeight="1" x14ac:dyDescent="0.35">
      <c r="B14" s="713" t="s">
        <v>419</v>
      </c>
      <c r="C14" s="605"/>
      <c r="D14" s="605"/>
      <c r="E14" s="605"/>
      <c r="F14" s="605"/>
      <c r="G14" s="605"/>
      <c r="H14" s="605"/>
      <c r="I14" s="605">
        <f>((I9+I10)-(H9+H10))/(H9+H10)</f>
        <v>1.0471694627582598E-3</v>
      </c>
      <c r="J14" s="605">
        <f>((J9+J10)-(H9+H10))/(H9+H10)</f>
        <v>3.2401406536485551E-2</v>
      </c>
      <c r="K14" s="874"/>
    </row>
    <row r="15" spans="2:19" ht="41.25" customHeight="1" x14ac:dyDescent="0.35">
      <c r="B15" s="713" t="s">
        <v>420</v>
      </c>
      <c r="C15" s="605"/>
      <c r="D15" s="605"/>
      <c r="E15" s="605"/>
      <c r="F15" s="605"/>
      <c r="G15" s="605"/>
      <c r="H15" s="605"/>
      <c r="I15" s="605">
        <f>(I12-H12)/H12</f>
        <v>1.0471694627582598E-3</v>
      </c>
      <c r="K15" s="874"/>
    </row>
    <row r="16" spans="2:19" ht="41.25" customHeight="1" x14ac:dyDescent="0.35">
      <c r="B16" s="713" t="s">
        <v>421</v>
      </c>
      <c r="C16" s="605"/>
      <c r="D16" s="605"/>
      <c r="E16" s="605"/>
      <c r="F16" s="605"/>
      <c r="G16" s="605"/>
      <c r="H16" s="605"/>
      <c r="I16" s="605">
        <f>(I12-H12)/H12</f>
        <v>1.0471694627582598E-3</v>
      </c>
      <c r="J16" s="606">
        <f>(J12-I12)/I12</f>
        <v>3.1321438220093541E-2</v>
      </c>
      <c r="K16" s="4"/>
    </row>
    <row r="17" spans="2:11" ht="25.15" customHeight="1" x14ac:dyDescent="0.35"/>
    <row r="18" spans="2:11" ht="31.9" customHeight="1" x14ac:dyDescent="0.35">
      <c r="B18" s="909"/>
      <c r="C18" s="909"/>
      <c r="D18" s="909"/>
      <c r="E18" s="909"/>
      <c r="F18" s="909"/>
      <c r="G18" s="909"/>
      <c r="H18" s="909"/>
      <c r="I18" s="909"/>
      <c r="J18" s="909"/>
      <c r="K18" s="909"/>
    </row>
    <row r="19" spans="2:11" ht="21.4" customHeight="1" x14ac:dyDescent="0.35">
      <c r="B19" s="908" t="s">
        <v>166</v>
      </c>
      <c r="C19" s="908"/>
      <c r="D19" s="908"/>
      <c r="E19" s="908"/>
      <c r="F19" s="908"/>
      <c r="G19" s="908"/>
      <c r="H19" s="908"/>
    </row>
    <row r="20" spans="2:11" ht="30" customHeight="1" x14ac:dyDescent="0.35">
      <c r="B20" s="607"/>
      <c r="C20" s="556">
        <v>2021</v>
      </c>
      <c r="D20" s="556">
        <v>2022</v>
      </c>
      <c r="E20" s="556">
        <v>2023</v>
      </c>
      <c r="F20" s="556">
        <v>2024</v>
      </c>
      <c r="G20" s="556" t="s">
        <v>50</v>
      </c>
      <c r="H20" s="556"/>
      <c r="I20" s="607"/>
      <c r="J20" s="87" t="s">
        <v>23</v>
      </c>
    </row>
    <row r="21" spans="2:11" ht="21.4" customHeight="1" x14ac:dyDescent="0.35">
      <c r="B21" s="23" t="s">
        <v>33</v>
      </c>
      <c r="C21" s="502">
        <v>1924</v>
      </c>
      <c r="D21" s="502">
        <v>1656</v>
      </c>
      <c r="E21" s="532">
        <v>1560.28</v>
      </c>
      <c r="F21" s="532">
        <v>1563.68</v>
      </c>
      <c r="G21" s="608">
        <f>(F21-E21)/E21</f>
        <v>2.1790960596816539E-3</v>
      </c>
      <c r="H21" s="97"/>
      <c r="I21" s="97"/>
      <c r="J21" s="910" t="s">
        <v>51</v>
      </c>
    </row>
    <row r="22" spans="2:11" ht="21.4" customHeight="1" x14ac:dyDescent="0.35">
      <c r="B22" s="26" t="s">
        <v>35</v>
      </c>
      <c r="C22" s="141">
        <v>4286</v>
      </c>
      <c r="D22" s="141">
        <v>3930</v>
      </c>
      <c r="E22" s="491">
        <v>3674.54</v>
      </c>
      <c r="F22" s="491">
        <v>4073.41</v>
      </c>
      <c r="G22" s="608">
        <f>(F22-E22)/E22</f>
        <v>0.10854964158779055</v>
      </c>
      <c r="H22" s="105"/>
      <c r="I22" s="105"/>
      <c r="J22" s="910"/>
    </row>
    <row r="23" spans="2:11" ht="25.15" customHeight="1" x14ac:dyDescent="0.35">
      <c r="B23" s="373" t="s">
        <v>49</v>
      </c>
      <c r="C23" s="609">
        <f>C21+C22</f>
        <v>6210</v>
      </c>
      <c r="D23" s="609">
        <f>D21+D22</f>
        <v>5586</v>
      </c>
      <c r="E23" s="610">
        <f>E21+E22</f>
        <v>5234.82</v>
      </c>
      <c r="F23" s="610">
        <f>F21+F22</f>
        <v>5637.09</v>
      </c>
      <c r="G23" s="611">
        <f t="shared" ref="G23" si="1">(F23-E23)/E23</f>
        <v>7.6845049113436648E-2</v>
      </c>
      <c r="H23" s="284"/>
      <c r="I23" s="284"/>
      <c r="J23" s="910"/>
    </row>
    <row r="24" spans="2:11" ht="31.9" customHeight="1" x14ac:dyDescent="0.35"/>
    <row r="25" spans="2:11" ht="21.4" customHeight="1" x14ac:dyDescent="0.35">
      <c r="B25" s="908" t="s">
        <v>27</v>
      </c>
      <c r="C25" s="908"/>
      <c r="D25" s="908"/>
      <c r="E25" s="908"/>
      <c r="F25" s="908"/>
      <c r="G25" s="908"/>
      <c r="H25" s="908"/>
    </row>
    <row r="26" spans="2:11" ht="27.75" customHeight="1" x14ac:dyDescent="0.35">
      <c r="B26" s="607"/>
      <c r="C26" s="607">
        <v>2021</v>
      </c>
      <c r="D26" s="607">
        <v>2022</v>
      </c>
      <c r="E26" s="607">
        <v>2023</v>
      </c>
      <c r="F26" s="607">
        <v>2024</v>
      </c>
      <c r="G26" s="607" t="s">
        <v>50</v>
      </c>
      <c r="H26" s="607"/>
      <c r="I26" s="607"/>
      <c r="J26" s="87" t="s">
        <v>23</v>
      </c>
    </row>
    <row r="27" spans="2:11" ht="21.4" customHeight="1" x14ac:dyDescent="0.35">
      <c r="B27" s="23" t="s">
        <v>33</v>
      </c>
      <c r="C27" s="502">
        <v>2853</v>
      </c>
      <c r="D27" s="502">
        <v>2754</v>
      </c>
      <c r="E27" s="532">
        <v>2484.7800000000002</v>
      </c>
      <c r="F27" s="532">
        <v>2450.66</v>
      </c>
      <c r="G27" s="608">
        <f>(F27-E27)/E27</f>
        <v>-1.3731597968431951E-2</v>
      </c>
      <c r="H27" s="97"/>
      <c r="I27" s="97"/>
      <c r="J27" s="910" t="s">
        <v>51</v>
      </c>
    </row>
    <row r="28" spans="2:11" ht="21.4" customHeight="1" x14ac:dyDescent="0.35">
      <c r="B28" s="26" t="s">
        <v>35</v>
      </c>
      <c r="C28" s="141">
        <v>28522</v>
      </c>
      <c r="D28" s="141">
        <v>24272</v>
      </c>
      <c r="E28" s="491">
        <v>28513.360000000001</v>
      </c>
      <c r="F28" s="491">
        <v>27188.81</v>
      </c>
      <c r="G28" s="608">
        <f t="shared" ref="G28:G29" si="2">(F28-E28)/E28</f>
        <v>-4.6453662423509512E-2</v>
      </c>
      <c r="H28" s="105"/>
      <c r="I28" s="105"/>
      <c r="J28" s="910"/>
    </row>
    <row r="29" spans="2:11" ht="25.15" customHeight="1" x14ac:dyDescent="0.35">
      <c r="B29" s="373" t="s">
        <v>49</v>
      </c>
      <c r="C29" s="609">
        <f>C27+C28</f>
        <v>31375</v>
      </c>
      <c r="D29" s="609">
        <f>D27+D28</f>
        <v>27026</v>
      </c>
      <c r="E29" s="610">
        <f>E28+E27</f>
        <v>30998.14</v>
      </c>
      <c r="F29" s="610">
        <f>F28+F27</f>
        <v>29639.47</v>
      </c>
      <c r="G29" s="611">
        <f t="shared" si="2"/>
        <v>-4.3830694357790446E-2</v>
      </c>
      <c r="H29" s="284"/>
      <c r="I29" s="284"/>
      <c r="J29" s="910"/>
    </row>
    <row r="30" spans="2:11" ht="31.9" customHeight="1" x14ac:dyDescent="0.35"/>
    <row r="31" spans="2:11" ht="21.4" customHeight="1" x14ac:dyDescent="0.35">
      <c r="B31" s="908" t="s">
        <v>28</v>
      </c>
      <c r="C31" s="908"/>
      <c r="D31" s="908"/>
      <c r="E31" s="908"/>
      <c r="F31" s="908"/>
      <c r="G31" s="908"/>
      <c r="H31" s="908"/>
    </row>
    <row r="32" spans="2:11" ht="30.75" customHeight="1" x14ac:dyDescent="0.35">
      <c r="B32" s="607"/>
      <c r="C32" s="556">
        <v>2021</v>
      </c>
      <c r="D32" s="556">
        <v>2022</v>
      </c>
      <c r="E32" s="556">
        <v>2023</v>
      </c>
      <c r="F32" s="556">
        <v>2024</v>
      </c>
      <c r="G32" s="556" t="s">
        <v>50</v>
      </c>
      <c r="H32" s="556"/>
      <c r="I32" s="607"/>
      <c r="J32" s="87" t="s">
        <v>23</v>
      </c>
    </row>
    <row r="33" spans="2:21" ht="21.4" customHeight="1" x14ac:dyDescent="0.35">
      <c r="B33" s="692" t="s">
        <v>33</v>
      </c>
      <c r="C33" s="502">
        <v>1715</v>
      </c>
      <c r="D33" s="502">
        <v>1563</v>
      </c>
      <c r="E33" s="532">
        <v>1743.83</v>
      </c>
      <c r="F33" s="532">
        <v>1749.8</v>
      </c>
      <c r="G33" s="608">
        <f>(F33-E33)/E33</f>
        <v>3.4234988502319765E-3</v>
      </c>
      <c r="H33" s="97"/>
      <c r="I33" s="97"/>
      <c r="J33" s="910" t="s">
        <v>51</v>
      </c>
    </row>
    <row r="34" spans="2:21" ht="21.4" customHeight="1" x14ac:dyDescent="0.35">
      <c r="B34" s="693" t="s">
        <v>35</v>
      </c>
      <c r="C34" s="141">
        <v>20425</v>
      </c>
      <c r="D34" s="141">
        <v>20604</v>
      </c>
      <c r="E34" s="491">
        <v>23424</v>
      </c>
      <c r="F34" s="612">
        <v>24167</v>
      </c>
      <c r="G34" s="613">
        <f t="shared" ref="G34:G35" si="3">(F34-E34)/E34</f>
        <v>3.1719603825136611E-2</v>
      </c>
      <c r="H34" s="105" t="s">
        <v>52</v>
      </c>
      <c r="I34" s="105"/>
      <c r="J34" s="910"/>
    </row>
    <row r="35" spans="2:21" ht="25.15" customHeight="1" x14ac:dyDescent="0.35">
      <c r="B35" s="702" t="s">
        <v>49</v>
      </c>
      <c r="C35" s="609">
        <f>C33+C34</f>
        <v>22140</v>
      </c>
      <c r="D35" s="609">
        <f>D33+D34</f>
        <v>22167</v>
      </c>
      <c r="E35" s="609">
        <f>E33+E34</f>
        <v>25167.83</v>
      </c>
      <c r="F35" s="609">
        <f>F33+F34</f>
        <v>25916.799999999999</v>
      </c>
      <c r="G35" s="611">
        <f t="shared" si="3"/>
        <v>2.9759021735286575E-2</v>
      </c>
      <c r="H35" s="284"/>
      <c r="I35" s="284"/>
      <c r="J35" s="910"/>
    </row>
    <row r="36" spans="2:21" ht="31.9" customHeight="1" x14ac:dyDescent="0.35"/>
    <row r="37" spans="2:21" ht="21.4" customHeight="1" x14ac:dyDescent="0.35">
      <c r="B37" s="908" t="s">
        <v>437</v>
      </c>
      <c r="C37" s="908"/>
      <c r="D37" s="908"/>
      <c r="E37" s="908"/>
      <c r="F37" s="908"/>
      <c r="G37" s="908"/>
      <c r="H37" s="908"/>
    </row>
    <row r="38" spans="2:21" ht="50.65" customHeight="1" x14ac:dyDescent="0.35">
      <c r="B38" s="607" t="s">
        <v>53</v>
      </c>
      <c r="C38" s="556" t="s">
        <v>54</v>
      </c>
      <c r="D38" s="556" t="s">
        <v>55</v>
      </c>
      <c r="E38" s="556" t="s">
        <v>49</v>
      </c>
      <c r="F38" s="556" t="s">
        <v>56</v>
      </c>
      <c r="G38" s="556" t="s">
        <v>439</v>
      </c>
      <c r="H38" s="556"/>
      <c r="I38" s="87" t="s">
        <v>23</v>
      </c>
      <c r="N38" s="908" t="s">
        <v>57</v>
      </c>
      <c r="O38" s="908"/>
      <c r="P38" s="908"/>
      <c r="Q38" s="908"/>
      <c r="R38" s="908"/>
      <c r="S38" s="908"/>
      <c r="T38" s="908"/>
      <c r="U38" s="908"/>
    </row>
    <row r="39" spans="2:21" ht="32" customHeight="1" x14ac:dyDescent="0.35">
      <c r="B39" s="922">
        <v>2021</v>
      </c>
      <c r="C39" s="614" t="s">
        <v>33</v>
      </c>
      <c r="D39" s="532">
        <f>G9+C21+C27+C33</f>
        <v>25370</v>
      </c>
      <c r="E39" s="925">
        <f>D39+D40</f>
        <v>134147.35</v>
      </c>
      <c r="F39" s="33"/>
      <c r="G39" s="33"/>
      <c r="H39" s="285"/>
      <c r="I39" s="874" t="s">
        <v>51</v>
      </c>
      <c r="N39" s="698" t="s">
        <v>58</v>
      </c>
      <c r="O39" s="531"/>
      <c r="P39" s="531">
        <v>2024</v>
      </c>
      <c r="Q39" s="5" t="s">
        <v>23</v>
      </c>
    </row>
    <row r="40" spans="2:21" ht="21.4" customHeight="1" x14ac:dyDescent="0.35">
      <c r="B40" s="923"/>
      <c r="C40" s="615" t="s">
        <v>35</v>
      </c>
      <c r="D40" s="491">
        <v>108777.35</v>
      </c>
      <c r="E40" s="924"/>
      <c r="F40" s="33"/>
      <c r="G40" s="40"/>
      <c r="H40" s="40"/>
      <c r="I40" s="874"/>
      <c r="N40" s="718">
        <v>1</v>
      </c>
      <c r="O40" s="718" t="s">
        <v>59</v>
      </c>
      <c r="P40" s="484">
        <v>28439.634305999996</v>
      </c>
      <c r="Q40" s="874" t="s">
        <v>60</v>
      </c>
    </row>
    <row r="41" spans="2:21" ht="21.4" customHeight="1" x14ac:dyDescent="0.35">
      <c r="B41" s="923">
        <v>2022</v>
      </c>
      <c r="C41" s="615" t="s">
        <v>33</v>
      </c>
      <c r="D41" s="491">
        <f>H9+D21+D27+D33</f>
        <v>24189.79</v>
      </c>
      <c r="E41" s="924">
        <f>D41+D42+D43</f>
        <v>127584.79000000001</v>
      </c>
      <c r="F41" s="916"/>
      <c r="G41" s="916">
        <f>((D41+D42)-(D40+D39))/(D40+D39)</f>
        <v>-4.8920534024712359E-2</v>
      </c>
      <c r="H41" s="450"/>
      <c r="I41" s="874"/>
      <c r="N41" s="721">
        <v>2</v>
      </c>
      <c r="O41" s="719" t="s">
        <v>61</v>
      </c>
      <c r="P41" s="484">
        <v>4458.2096667375827</v>
      </c>
      <c r="Q41" s="874"/>
    </row>
    <row r="42" spans="2:21" ht="25.15" customHeight="1" x14ac:dyDescent="0.35">
      <c r="B42" s="923"/>
      <c r="C42" s="615" t="s">
        <v>35</v>
      </c>
      <c r="D42" s="491">
        <f>D34+D28+D22+H10</f>
        <v>103395</v>
      </c>
      <c r="E42" s="924"/>
      <c r="F42" s="917"/>
      <c r="G42" s="917"/>
      <c r="H42" s="33"/>
      <c r="I42" s="874"/>
      <c r="N42" s="721">
        <v>5</v>
      </c>
      <c r="O42" s="719" t="s">
        <v>9</v>
      </c>
      <c r="P42" s="484">
        <v>462.37880760000007</v>
      </c>
      <c r="Q42" s="874"/>
    </row>
    <row r="43" spans="2:21" ht="31.9" customHeight="1" x14ac:dyDescent="0.35">
      <c r="B43" s="923"/>
      <c r="C43" s="616" t="s">
        <v>36</v>
      </c>
      <c r="D43" s="491">
        <f>H11</f>
        <v>0</v>
      </c>
      <c r="E43" s="924"/>
      <c r="F43" s="918"/>
      <c r="G43" s="918"/>
      <c r="H43" s="40"/>
      <c r="I43" s="874"/>
      <c r="N43" s="721">
        <v>6</v>
      </c>
      <c r="O43" s="719" t="s">
        <v>62</v>
      </c>
      <c r="P43" s="484">
        <v>184.24963547730331</v>
      </c>
      <c r="Q43" s="874"/>
    </row>
    <row r="44" spans="2:21" ht="21.4" customHeight="1" x14ac:dyDescent="0.35">
      <c r="B44" s="911">
        <v>2023</v>
      </c>
      <c r="C44" s="615" t="s">
        <v>33</v>
      </c>
      <c r="D44" s="491">
        <f>I9+E21+E27+E33</f>
        <v>24796.1</v>
      </c>
      <c r="E44" s="913">
        <f>D44+D45+D46</f>
        <v>134282.82</v>
      </c>
      <c r="F44" s="916">
        <f>(E44-E41)/E41</f>
        <v>5.2498655991830991E-2</v>
      </c>
      <c r="G44" s="916">
        <f>((D44+D45)-(D41+D42))/(D41+D42)</f>
        <v>5.2498655991830991E-2</v>
      </c>
      <c r="H44" s="919"/>
      <c r="I44" s="874"/>
      <c r="N44" s="721">
        <v>7</v>
      </c>
      <c r="O44" s="719" t="s">
        <v>63</v>
      </c>
      <c r="P44" s="484">
        <v>789.11371272340023</v>
      </c>
      <c r="Q44" s="874"/>
    </row>
    <row r="45" spans="2:21" ht="25.15" customHeight="1" x14ac:dyDescent="0.35">
      <c r="B45" s="912"/>
      <c r="C45" s="615" t="s">
        <v>35</v>
      </c>
      <c r="D45" s="491">
        <f>I10+E22+E28+E34</f>
        <v>109486.72</v>
      </c>
      <c r="E45" s="914"/>
      <c r="F45" s="917"/>
      <c r="G45" s="917"/>
      <c r="H45" s="920"/>
      <c r="I45" s="874"/>
      <c r="N45" s="721">
        <v>11</v>
      </c>
      <c r="O45" s="719" t="s">
        <v>64</v>
      </c>
      <c r="P45" s="484">
        <v>79594.428557890424</v>
      </c>
      <c r="Q45" s="874"/>
    </row>
    <row r="46" spans="2:21" ht="21.4" customHeight="1" x14ac:dyDescent="0.35">
      <c r="B46" s="912"/>
      <c r="C46" s="616" t="s">
        <v>36</v>
      </c>
      <c r="D46" s="491">
        <f>I11</f>
        <v>0</v>
      </c>
      <c r="E46" s="915"/>
      <c r="F46" s="918"/>
      <c r="G46" s="918"/>
      <c r="H46" s="921"/>
      <c r="I46" s="874"/>
      <c r="N46" s="720" t="s">
        <v>49</v>
      </c>
      <c r="O46" s="720"/>
      <c r="P46" s="484">
        <f>SUM(P40:P45)</f>
        <v>113928.01468642871</v>
      </c>
      <c r="Q46" s="874"/>
    </row>
    <row r="47" spans="2:21" ht="21.4" customHeight="1" x14ac:dyDescent="0.35">
      <c r="B47" s="911">
        <v>2024</v>
      </c>
      <c r="C47" s="615" t="s">
        <v>33</v>
      </c>
      <c r="D47" s="491">
        <f>J9+F21+F27+F33</f>
        <v>26482.84</v>
      </c>
      <c r="E47" s="913">
        <f>D47+D48+D49</f>
        <v>250286.17468642871</v>
      </c>
      <c r="F47" s="916"/>
      <c r="G47" s="916">
        <f>((D47+D48)-(D44+D45))/(D44+D45)</f>
        <v>1.5454992678884732E-2</v>
      </c>
      <c r="H47" s="919"/>
      <c r="I47" s="874"/>
      <c r="Q47" s="617"/>
    </row>
    <row r="48" spans="2:21" ht="21.4" customHeight="1" x14ac:dyDescent="0.35">
      <c r="B48" s="912"/>
      <c r="C48" s="615" t="s">
        <v>35</v>
      </c>
      <c r="D48" s="491">
        <f>J10+F22+F28+F34</f>
        <v>109875.31999999999</v>
      </c>
      <c r="E48" s="914"/>
      <c r="F48" s="917"/>
      <c r="G48" s="917"/>
      <c r="H48" s="920"/>
      <c r="I48" s="874"/>
      <c r="Q48" s="617"/>
    </row>
    <row r="49" spans="2:17" ht="21.4" customHeight="1" x14ac:dyDescent="0.35">
      <c r="B49" s="912"/>
      <c r="C49" s="616" t="s">
        <v>65</v>
      </c>
      <c r="D49" s="491">
        <f>P46</f>
        <v>113928.01468642871</v>
      </c>
      <c r="E49" s="915"/>
      <c r="F49" s="918"/>
      <c r="G49" s="918"/>
      <c r="H49" s="921"/>
      <c r="I49" s="874"/>
      <c r="N49" s="906" t="s">
        <v>472</v>
      </c>
      <c r="O49" s="906"/>
      <c r="P49" s="906"/>
      <c r="Q49" s="906"/>
    </row>
    <row r="50" spans="2:17" ht="15" customHeight="1" x14ac:dyDescent="0.35">
      <c r="N50" s="906"/>
      <c r="O50" s="906"/>
      <c r="P50" s="906"/>
      <c r="Q50" s="906"/>
    </row>
    <row r="51" spans="2:17" ht="38.5" customHeight="1" x14ac:dyDescent="0.35">
      <c r="B51" s="905" t="s">
        <v>472</v>
      </c>
      <c r="C51" s="905"/>
      <c r="D51" s="905"/>
      <c r="E51" s="905"/>
      <c r="F51" s="905"/>
      <c r="G51" s="905"/>
      <c r="H51" s="905"/>
      <c r="I51" s="905"/>
      <c r="J51" s="905"/>
      <c r="K51" s="905"/>
      <c r="N51" s="907"/>
      <c r="O51" s="907"/>
      <c r="P51" s="907"/>
      <c r="Q51" s="907"/>
    </row>
    <row r="52" spans="2:17" ht="20.5" customHeight="1" x14ac:dyDescent="0.35">
      <c r="B52" s="905"/>
      <c r="C52" s="905"/>
      <c r="D52" s="905"/>
      <c r="E52" s="905"/>
      <c r="F52" s="905"/>
      <c r="G52" s="905"/>
      <c r="H52" s="905"/>
      <c r="I52" s="905"/>
      <c r="J52" s="905"/>
      <c r="K52" s="905"/>
      <c r="L52" s="905"/>
      <c r="M52" s="905"/>
      <c r="N52" s="905"/>
      <c r="O52" s="905"/>
      <c r="P52" s="905"/>
      <c r="Q52" s="905"/>
    </row>
    <row r="53" spans="2:17" x14ac:dyDescent="0.35">
      <c r="N53" s="12" t="s">
        <v>489</v>
      </c>
    </row>
  </sheetData>
  <mergeCells count="33">
    <mergeCell ref="B25:H25"/>
    <mergeCell ref="B31:H31"/>
    <mergeCell ref="B37:H37"/>
    <mergeCell ref="B44:B46"/>
    <mergeCell ref="F44:F46"/>
    <mergeCell ref="B39:B40"/>
    <mergeCell ref="B41:B43"/>
    <mergeCell ref="E44:E46"/>
    <mergeCell ref="G44:G46"/>
    <mergeCell ref="H44:H46"/>
    <mergeCell ref="E41:E43"/>
    <mergeCell ref="E39:E40"/>
    <mergeCell ref="F47:F49"/>
    <mergeCell ref="G47:G49"/>
    <mergeCell ref="H47:H49"/>
    <mergeCell ref="F41:F43"/>
    <mergeCell ref="G41:G43"/>
    <mergeCell ref="B52:K52"/>
    <mergeCell ref="L52:Q52"/>
    <mergeCell ref="N49:Q51"/>
    <mergeCell ref="N38:U38"/>
    <mergeCell ref="B7:H7"/>
    <mergeCell ref="B19:H19"/>
    <mergeCell ref="K9:K15"/>
    <mergeCell ref="B51:K51"/>
    <mergeCell ref="B18:K18"/>
    <mergeCell ref="Q40:Q46"/>
    <mergeCell ref="J21:J23"/>
    <mergeCell ref="J33:J35"/>
    <mergeCell ref="I39:I49"/>
    <mergeCell ref="J27:J29"/>
    <mergeCell ref="B47:B49"/>
    <mergeCell ref="E47:E49"/>
  </mergeCells>
  <pageMargins left="0.7" right="0.7" top="0.75" bottom="0.75" header="0.3" footer="0.3"/>
  <pageSetup paperSize="9" orientation="portrait" r:id="rId1"/>
  <headerFooter scaleWithDoc="0"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27"/>
  <sheetViews>
    <sheetView showGridLines="0" topLeftCell="A6" zoomScale="50" zoomScaleNormal="50" workbookViewId="0">
      <selection activeCell="B7" sqref="B7:J7"/>
    </sheetView>
  </sheetViews>
  <sheetFormatPr defaultColWidth="9.26953125" defaultRowHeight="14" x14ac:dyDescent="0.35"/>
  <cols>
    <col min="1" max="1" width="3.7265625" style="12" customWidth="1"/>
    <col min="2" max="2" width="22.453125" style="12" customWidth="1"/>
    <col min="3" max="11" width="10.7265625" style="12" customWidth="1"/>
    <col min="12" max="12" width="12.1796875" style="12" customWidth="1"/>
    <col min="13" max="20" width="10.7265625" style="12" customWidth="1"/>
    <col min="21" max="22" width="11.7265625" style="12" customWidth="1"/>
    <col min="23" max="23" width="13.7265625" style="12" customWidth="1"/>
    <col min="24" max="24" width="16.54296875" style="12" customWidth="1"/>
    <col min="25" max="25" width="11.7265625" style="12" customWidth="1"/>
    <col min="26" max="27" width="9.26953125" style="12" customWidth="1"/>
    <col min="28" max="28" width="12.26953125" style="12" customWidth="1"/>
    <col min="29" max="29" width="14.26953125" style="12" customWidth="1"/>
    <col min="30" max="30" width="14.7265625" style="12" customWidth="1"/>
    <col min="31" max="31" width="16.453125" style="12" customWidth="1"/>
    <col min="32" max="32" width="20.453125" style="12" customWidth="1"/>
    <col min="33" max="33" width="17.26953125" style="12" customWidth="1"/>
    <col min="34" max="34" width="13.7265625" style="12" customWidth="1"/>
    <col min="35" max="35" width="9.26953125" style="12" customWidth="1"/>
    <col min="36" max="16384" width="9.26953125" style="12"/>
  </cols>
  <sheetData>
    <row r="1" spans="2:37" ht="15" customHeight="1" x14ac:dyDescent="0.35"/>
    <row r="2" spans="2:37" ht="15" customHeight="1" x14ac:dyDescent="0.35">
      <c r="U2" s="507"/>
      <c r="V2" s="507"/>
      <c r="W2" s="507"/>
      <c r="X2" s="507"/>
      <c r="Y2" s="507"/>
      <c r="Z2" s="507"/>
      <c r="AA2" s="507"/>
      <c r="AB2" s="507"/>
      <c r="AC2" s="507"/>
      <c r="AD2" s="507"/>
      <c r="AE2" s="507"/>
      <c r="AF2" s="507"/>
      <c r="AG2" s="507"/>
      <c r="AH2" s="507"/>
      <c r="AI2" s="507"/>
      <c r="AJ2" s="507"/>
      <c r="AK2" s="507"/>
    </row>
    <row r="3" spans="2:37" ht="15" customHeight="1" x14ac:dyDescent="0.35">
      <c r="U3" s="507"/>
      <c r="V3" s="507"/>
      <c r="W3" s="507"/>
      <c r="X3" s="507"/>
      <c r="Y3" s="507"/>
      <c r="Z3" s="507"/>
      <c r="AA3" s="507"/>
      <c r="AB3" s="507"/>
      <c r="AC3" s="507"/>
      <c r="AD3" s="507"/>
      <c r="AE3" s="507"/>
      <c r="AF3" s="507"/>
      <c r="AG3" s="507"/>
      <c r="AH3" s="507"/>
      <c r="AI3" s="507"/>
      <c r="AJ3" s="507"/>
      <c r="AK3" s="507"/>
    </row>
    <row r="4" spans="2:37" ht="15" customHeight="1" x14ac:dyDescent="0.35">
      <c r="U4" s="507"/>
      <c r="V4" s="507"/>
      <c r="W4" s="507"/>
      <c r="X4" s="507"/>
      <c r="Y4" s="507"/>
      <c r="Z4" s="507"/>
      <c r="AA4" s="507"/>
      <c r="AB4" s="507"/>
      <c r="AC4" s="507"/>
      <c r="AD4" s="507"/>
      <c r="AE4" s="507"/>
      <c r="AF4" s="507"/>
      <c r="AG4" s="507"/>
      <c r="AH4" s="507"/>
      <c r="AI4" s="507"/>
      <c r="AJ4" s="507"/>
      <c r="AK4" s="507"/>
    </row>
    <row r="5" spans="2:37" ht="24" customHeight="1" thickBot="1" x14ac:dyDescent="0.4">
      <c r="B5" s="725" t="s">
        <v>6</v>
      </c>
      <c r="C5" s="19"/>
      <c r="D5" s="19"/>
      <c r="E5" s="19"/>
      <c r="F5" s="19"/>
      <c r="G5" s="19"/>
      <c r="H5" s="19"/>
      <c r="I5" s="19"/>
      <c r="J5" s="19"/>
      <c r="K5" s="19"/>
      <c r="L5" s="19"/>
      <c r="M5" s="547"/>
      <c r="N5" s="547"/>
      <c r="O5" s="547"/>
      <c r="P5" s="547"/>
      <c r="Q5" s="547"/>
      <c r="R5" s="547"/>
      <c r="S5" s="548"/>
      <c r="T5" s="548"/>
      <c r="U5" s="549"/>
      <c r="V5" s="549"/>
      <c r="W5" s="549"/>
      <c r="X5" s="549"/>
      <c r="Y5" s="549"/>
      <c r="Z5" s="549"/>
      <c r="AA5" s="549"/>
      <c r="AB5" s="549"/>
      <c r="AC5" s="549"/>
      <c r="AD5" s="549"/>
      <c r="AE5" s="549"/>
      <c r="AF5" s="507"/>
      <c r="AG5" s="507"/>
      <c r="AH5" s="507"/>
      <c r="AI5" s="507"/>
      <c r="AJ5" s="507"/>
      <c r="AK5" s="507"/>
    </row>
    <row r="6" spans="2:37" ht="15" customHeight="1" thickTop="1" x14ac:dyDescent="0.35">
      <c r="B6" s="21"/>
      <c r="C6" s="21"/>
      <c r="D6" s="21"/>
      <c r="E6" s="21"/>
      <c r="F6" s="21"/>
      <c r="G6" s="21"/>
      <c r="H6" s="21"/>
      <c r="I6" s="21"/>
      <c r="J6" s="21"/>
      <c r="K6" s="21"/>
      <c r="L6" s="21"/>
      <c r="M6" s="548"/>
      <c r="U6" s="507"/>
      <c r="V6" s="507"/>
      <c r="W6" s="507"/>
      <c r="X6" s="507"/>
      <c r="Y6" s="507"/>
      <c r="Z6" s="507"/>
      <c r="AA6" s="507"/>
      <c r="AB6" s="507"/>
      <c r="AC6" s="507"/>
      <c r="AD6" s="507"/>
      <c r="AE6" s="507"/>
      <c r="AF6" s="507"/>
      <c r="AG6" s="507"/>
      <c r="AH6" s="507"/>
      <c r="AI6" s="507"/>
      <c r="AJ6" s="507"/>
      <c r="AK6" s="507"/>
    </row>
    <row r="7" spans="2:37" ht="25.15" customHeight="1" x14ac:dyDescent="0.35">
      <c r="B7" s="937" t="s">
        <v>441</v>
      </c>
      <c r="C7" s="937"/>
      <c r="D7" s="937"/>
      <c r="E7" s="937"/>
      <c r="F7" s="937"/>
      <c r="G7" s="937"/>
      <c r="H7" s="937"/>
      <c r="I7" s="937"/>
      <c r="J7" s="937"/>
      <c r="K7" s="468"/>
      <c r="L7" s="468"/>
      <c r="M7" s="938"/>
      <c r="N7" s="938"/>
      <c r="O7" s="938"/>
      <c r="P7" s="550"/>
      <c r="Q7" s="550"/>
      <c r="R7" s="550"/>
      <c r="S7" s="550"/>
      <c r="T7" s="550"/>
      <c r="U7" s="933" t="s">
        <v>66</v>
      </c>
      <c r="V7" s="933"/>
      <c r="W7" s="933"/>
      <c r="X7" s="933"/>
      <c r="Y7" s="933"/>
      <c r="Z7" s="933"/>
      <c r="AA7" s="933"/>
      <c r="AB7" s="933"/>
      <c r="AC7" s="551" t="s">
        <v>67</v>
      </c>
      <c r="AD7" s="551"/>
      <c r="AE7" s="552" t="s">
        <v>68</v>
      </c>
      <c r="AF7" s="551"/>
      <c r="AG7" s="553"/>
      <c r="AH7" s="507"/>
      <c r="AI7" s="507"/>
      <c r="AJ7" s="507"/>
      <c r="AK7" s="507"/>
    </row>
    <row r="8" spans="2:37" s="33" customFormat="1" ht="21.4" customHeight="1" x14ac:dyDescent="0.35">
      <c r="B8" s="554"/>
      <c r="C8" s="939" t="s">
        <v>33</v>
      </c>
      <c r="D8" s="939"/>
      <c r="E8" s="939"/>
      <c r="F8" s="939"/>
      <c r="G8" s="940"/>
      <c r="H8" s="941" t="s">
        <v>35</v>
      </c>
      <c r="I8" s="939"/>
      <c r="J8" s="939"/>
      <c r="K8" s="939"/>
      <c r="L8" s="940"/>
      <c r="M8" s="942" t="s">
        <v>49</v>
      </c>
      <c r="N8" s="942"/>
      <c r="O8" s="941"/>
      <c r="P8" s="554"/>
      <c r="Q8" s="555"/>
      <c r="R8" s="930" t="s">
        <v>23</v>
      </c>
      <c r="S8" s="548"/>
      <c r="T8" s="557"/>
      <c r="U8" s="934" t="s">
        <v>33</v>
      </c>
      <c r="V8" s="935"/>
      <c r="W8" s="935"/>
      <c r="X8" s="936"/>
      <c r="Y8" s="934" t="s">
        <v>35</v>
      </c>
      <c r="Z8" s="935"/>
      <c r="AA8" s="935"/>
      <c r="AB8" s="936"/>
      <c r="AC8" s="558"/>
      <c r="AD8" s="559">
        <v>2021</v>
      </c>
      <c r="AE8" s="559">
        <v>2022</v>
      </c>
      <c r="AF8" s="559">
        <v>2023</v>
      </c>
      <c r="AG8" s="559">
        <v>2024</v>
      </c>
      <c r="AH8" s="557"/>
      <c r="AI8" s="557"/>
      <c r="AJ8" s="557"/>
      <c r="AK8" s="557"/>
    </row>
    <row r="9" spans="2:37" s="33" customFormat="1" ht="30" customHeight="1" x14ac:dyDescent="0.35">
      <c r="B9" s="560"/>
      <c r="C9" s="222">
        <v>2021</v>
      </c>
      <c r="D9" s="222">
        <v>2022</v>
      </c>
      <c r="E9" s="222">
        <v>2023</v>
      </c>
      <c r="F9" s="222">
        <v>2024</v>
      </c>
      <c r="G9" s="723" t="s">
        <v>69</v>
      </c>
      <c r="H9" s="562">
        <v>2021</v>
      </c>
      <c r="I9" s="222">
        <v>2022</v>
      </c>
      <c r="J9" s="222">
        <v>2023</v>
      </c>
      <c r="K9" s="222">
        <v>2024</v>
      </c>
      <c r="L9" s="561" t="s">
        <v>69</v>
      </c>
      <c r="M9" s="562">
        <v>2021</v>
      </c>
      <c r="N9" s="222">
        <v>2022</v>
      </c>
      <c r="O9" s="222">
        <v>2023</v>
      </c>
      <c r="P9" s="222">
        <v>2024</v>
      </c>
      <c r="Q9" s="563" t="s">
        <v>69</v>
      </c>
      <c r="R9" s="930"/>
      <c r="S9" s="548"/>
      <c r="T9" s="557"/>
      <c r="U9" s="559">
        <v>2021</v>
      </c>
      <c r="V9" s="559">
        <v>2022</v>
      </c>
      <c r="W9" s="559">
        <v>2023</v>
      </c>
      <c r="X9" s="559">
        <v>2024</v>
      </c>
      <c r="Y9" s="559">
        <v>2021</v>
      </c>
      <c r="Z9" s="559">
        <v>2022</v>
      </c>
      <c r="AA9" s="559">
        <v>2023</v>
      </c>
      <c r="AB9" s="564">
        <v>2024</v>
      </c>
      <c r="AC9" s="565" t="s">
        <v>25</v>
      </c>
      <c r="AD9" s="566">
        <v>4182</v>
      </c>
      <c r="AE9" s="566">
        <v>4306</v>
      </c>
      <c r="AF9" s="567">
        <v>4142</v>
      </c>
      <c r="AG9" s="566">
        <v>4324</v>
      </c>
      <c r="AH9" s="557"/>
      <c r="AI9" s="557"/>
      <c r="AJ9" s="557"/>
      <c r="AK9" s="557"/>
    </row>
    <row r="10" spans="2:37" s="33" customFormat="1" ht="21.4" customHeight="1" x14ac:dyDescent="0.35">
      <c r="B10" s="722" t="s">
        <v>25</v>
      </c>
      <c r="C10" s="568">
        <f t="shared" ref="C10:D13" si="0">U10/AD9</f>
        <v>4.5141080822572928</v>
      </c>
      <c r="D10" s="568">
        <f t="shared" si="0"/>
        <v>4.2305596841616353</v>
      </c>
      <c r="E10" s="569">
        <f>$W10/$AF9</f>
        <v>4.5889690970545622</v>
      </c>
      <c r="F10" s="568">
        <f>$X10/$AG9</f>
        <v>4.7915587419056429</v>
      </c>
      <c r="G10" s="570">
        <f>(F10-E10)/E10</f>
        <v>4.4147092858200586E-2</v>
      </c>
      <c r="H10" s="571">
        <f t="shared" ref="H10:I13" si="1">Y10/AD9</f>
        <v>13.281767097082735</v>
      </c>
      <c r="I10" s="568">
        <f t="shared" si="1"/>
        <v>12.677426846261032</v>
      </c>
      <c r="J10" s="572">
        <f>$AA10/$AF9</f>
        <v>13.00683486238532</v>
      </c>
      <c r="K10" s="572">
        <f>$AB10/$AG9</f>
        <v>12.591604995374652</v>
      </c>
      <c r="L10" s="570">
        <f>(K10-J10)/J10</f>
        <v>-3.1923974695141077E-2</v>
      </c>
      <c r="M10" s="573">
        <f t="shared" ref="M10:P13" si="2">(U10+Y10)/AD9</f>
        <v>17.79587517934003</v>
      </c>
      <c r="N10" s="574">
        <f t="shared" si="2"/>
        <v>16.907986530422669</v>
      </c>
      <c r="O10" s="574">
        <f t="shared" si="2"/>
        <v>17.595803959439881</v>
      </c>
      <c r="P10" s="574">
        <f t="shared" si="2"/>
        <v>17.383163737280295</v>
      </c>
      <c r="Q10" s="1">
        <f>(P10-O10)/O10</f>
        <v>-1.2084711937558676E-2</v>
      </c>
      <c r="R10" s="931" t="s">
        <v>70</v>
      </c>
      <c r="S10" s="548"/>
      <c r="T10" s="575" t="s">
        <v>25</v>
      </c>
      <c r="U10" s="576">
        <v>18878</v>
      </c>
      <c r="V10" s="576">
        <v>18216.79</v>
      </c>
      <c r="W10" s="576">
        <v>19007.509999999998</v>
      </c>
      <c r="X10" s="576">
        <f>'GHG emissions'!J9</f>
        <v>20718.7</v>
      </c>
      <c r="Y10" s="576">
        <v>55544.35</v>
      </c>
      <c r="Z10" s="576">
        <v>54589</v>
      </c>
      <c r="AA10" s="576">
        <v>53874.31</v>
      </c>
      <c r="AB10" s="576">
        <f>'GHG emissions'!J10</f>
        <v>54446.1</v>
      </c>
      <c r="AC10" s="565" t="s">
        <v>418</v>
      </c>
      <c r="AD10" s="566">
        <v>1270</v>
      </c>
      <c r="AE10" s="566">
        <v>1277</v>
      </c>
      <c r="AF10" s="566">
        <v>1309</v>
      </c>
      <c r="AG10" s="566">
        <v>1265</v>
      </c>
      <c r="AH10" s="557"/>
      <c r="AI10" s="557"/>
      <c r="AJ10" s="557"/>
      <c r="AK10" s="557"/>
    </row>
    <row r="11" spans="2:37" s="33" customFormat="1" ht="21.4" customHeight="1" x14ac:dyDescent="0.35">
      <c r="B11" s="694" t="s">
        <v>166</v>
      </c>
      <c r="C11" s="577">
        <f t="shared" si="0"/>
        <v>1.5149606299212599</v>
      </c>
      <c r="D11" s="577">
        <f t="shared" si="0"/>
        <v>1.2967893500391543</v>
      </c>
      <c r="E11" s="572">
        <f>$W11/$AF10</f>
        <v>1.1919633307868602</v>
      </c>
      <c r="F11" s="568">
        <f>$X11/$AG10</f>
        <v>1.2361106719367589</v>
      </c>
      <c r="G11" s="570">
        <f>(F11-E11)/E11</f>
        <v>3.7037499400887922E-2</v>
      </c>
      <c r="H11" s="578">
        <f t="shared" si="1"/>
        <v>3.3748031496062993</v>
      </c>
      <c r="I11" s="577">
        <f t="shared" si="1"/>
        <v>3.0775254502740799</v>
      </c>
      <c r="J11" s="572">
        <f>$AA11/$AF10</f>
        <v>2.8071352177234532</v>
      </c>
      <c r="K11" s="572">
        <f>$AB11/$AG10</f>
        <v>3.2200869565217389</v>
      </c>
      <c r="L11" s="570">
        <f t="shared" ref="L11:L13" si="3">(K11-J11)/J11</f>
        <v>0.14710788999084401</v>
      </c>
      <c r="M11" s="579">
        <f t="shared" si="2"/>
        <v>4.8897637795275593</v>
      </c>
      <c r="N11" s="580">
        <f t="shared" si="2"/>
        <v>4.3743148003132344</v>
      </c>
      <c r="O11" s="574">
        <f t="shared" si="2"/>
        <v>3.9990985485103132</v>
      </c>
      <c r="P11" s="574">
        <f t="shared" si="2"/>
        <v>4.4561976284584981</v>
      </c>
      <c r="Q11" s="1">
        <f t="shared" ref="Q11:Q13" si="4">(P11-O11)/O11</f>
        <v>0.11430052908259959</v>
      </c>
      <c r="R11" s="932"/>
      <c r="S11" s="548"/>
      <c r="T11" s="575" t="s">
        <v>418</v>
      </c>
      <c r="U11" s="576">
        <v>1924</v>
      </c>
      <c r="V11" s="576">
        <v>1656</v>
      </c>
      <c r="W11" s="576">
        <v>1560.28</v>
      </c>
      <c r="X11" s="576">
        <f>'GHG emissions'!F21</f>
        <v>1563.68</v>
      </c>
      <c r="Y11" s="576">
        <v>4286</v>
      </c>
      <c r="Z11" s="576">
        <v>3930</v>
      </c>
      <c r="AA11" s="576">
        <v>3674.54</v>
      </c>
      <c r="AB11" s="576">
        <f>'GHG emissions'!F22</f>
        <v>4073.41</v>
      </c>
      <c r="AC11" s="581" t="s">
        <v>27</v>
      </c>
      <c r="AD11" s="566">
        <v>2289</v>
      </c>
      <c r="AE11" s="567">
        <v>1972</v>
      </c>
      <c r="AF11" s="567">
        <v>1977</v>
      </c>
      <c r="AG11" s="566">
        <v>2021</v>
      </c>
      <c r="AH11" s="557"/>
      <c r="AI11" s="557"/>
      <c r="AJ11" s="557"/>
      <c r="AK11" s="557"/>
    </row>
    <row r="12" spans="2:37" s="33" customFormat="1" ht="21.4" customHeight="1" x14ac:dyDescent="0.35">
      <c r="B12" s="694" t="s">
        <v>27</v>
      </c>
      <c r="C12" s="582">
        <f t="shared" si="0"/>
        <v>1.2463958060288336</v>
      </c>
      <c r="D12" s="582">
        <f t="shared" si="0"/>
        <v>1.396551724137931</v>
      </c>
      <c r="E12" s="583">
        <f>$W12/$AF11</f>
        <v>1.2568437025796662</v>
      </c>
      <c r="F12" s="584">
        <f>$X12/$AG11</f>
        <v>1.2125977238990597</v>
      </c>
      <c r="G12" s="570">
        <f>(F12-E12)/E12</f>
        <v>-3.5204042149228058E-2</v>
      </c>
      <c r="H12" s="578">
        <f t="shared" si="1"/>
        <v>12.460463084316295</v>
      </c>
      <c r="I12" s="577">
        <f t="shared" si="1"/>
        <v>12.308316430020284</v>
      </c>
      <c r="J12" s="572">
        <f>$AA12/$AF11</f>
        <v>14.422539200809307</v>
      </c>
      <c r="K12" s="572">
        <f>$AB12/$AG11</f>
        <v>13.453146956952004</v>
      </c>
      <c r="L12" s="570">
        <f t="shared" si="3"/>
        <v>-6.7213701440513793E-2</v>
      </c>
      <c r="M12" s="579">
        <f t="shared" si="2"/>
        <v>13.70685889034513</v>
      </c>
      <c r="N12" s="580">
        <f t="shared" si="2"/>
        <v>13.704868154158214</v>
      </c>
      <c r="O12" s="574">
        <f t="shared" si="2"/>
        <v>15.679382903388973</v>
      </c>
      <c r="P12" s="574">
        <f t="shared" si="2"/>
        <v>14.665744680851065</v>
      </c>
      <c r="Q12" s="1">
        <f t="shared" si="4"/>
        <v>-6.4647839062519391E-2</v>
      </c>
      <c r="R12" s="932"/>
      <c r="S12" s="548"/>
      <c r="T12" s="575" t="s">
        <v>27</v>
      </c>
      <c r="U12" s="576">
        <v>2853</v>
      </c>
      <c r="V12" s="576">
        <v>2754</v>
      </c>
      <c r="W12" s="576">
        <v>2484.7800000000002</v>
      </c>
      <c r="X12" s="576">
        <f>'GHG emissions'!F27</f>
        <v>2450.66</v>
      </c>
      <c r="Y12" s="576">
        <v>28522</v>
      </c>
      <c r="Z12" s="576">
        <v>24272</v>
      </c>
      <c r="AA12" s="576">
        <v>28513.360000000001</v>
      </c>
      <c r="AB12" s="576">
        <f>'GHG emissions'!F28</f>
        <v>27188.81</v>
      </c>
      <c r="AC12" s="565" t="s">
        <v>28</v>
      </c>
      <c r="AD12" s="566">
        <v>1237</v>
      </c>
      <c r="AE12" s="566">
        <v>1239</v>
      </c>
      <c r="AF12" s="567">
        <v>1212</v>
      </c>
      <c r="AG12" s="566">
        <v>1105</v>
      </c>
      <c r="AH12" s="557"/>
      <c r="AI12" s="557"/>
      <c r="AJ12" s="557"/>
      <c r="AK12" s="557"/>
    </row>
    <row r="13" spans="2:37" s="33" customFormat="1" ht="26" customHeight="1" x14ac:dyDescent="0.35">
      <c r="B13" s="695" t="s">
        <v>28</v>
      </c>
      <c r="C13" s="585">
        <f t="shared" si="0"/>
        <v>1.3864187550525464</v>
      </c>
      <c r="D13" s="585">
        <f t="shared" si="0"/>
        <v>1.2615012106537531</v>
      </c>
      <c r="E13" s="572">
        <f>$W13/$AF12</f>
        <v>1.4388036303630363</v>
      </c>
      <c r="F13" s="568">
        <f>$X13/$AG12</f>
        <v>1.5835294117647059</v>
      </c>
      <c r="G13" s="570">
        <f>(F13-E13)/E13</f>
        <v>0.10058758425925896</v>
      </c>
      <c r="H13" s="586">
        <f t="shared" si="1"/>
        <v>16.511721907841551</v>
      </c>
      <c r="I13" s="585">
        <f t="shared" si="1"/>
        <v>16.62953995157385</v>
      </c>
      <c r="J13" s="587">
        <f>$AA13/$AF12</f>
        <v>19.39026402640264</v>
      </c>
      <c r="K13" s="587">
        <f>$AB13/$AG12</f>
        <v>21.870588235294118</v>
      </c>
      <c r="L13" s="570">
        <f t="shared" si="3"/>
        <v>0.12791595851991283</v>
      </c>
      <c r="M13" s="588">
        <f t="shared" si="2"/>
        <v>17.8981406628941</v>
      </c>
      <c r="N13" s="589">
        <f t="shared" si="2"/>
        <v>17.891041162227602</v>
      </c>
      <c r="O13" s="574">
        <f t="shared" si="2"/>
        <v>20.829067656765677</v>
      </c>
      <c r="P13" s="574">
        <f t="shared" si="2"/>
        <v>23.454117647058823</v>
      </c>
      <c r="Q13" s="1">
        <f t="shared" si="4"/>
        <v>0.12602820412081575</v>
      </c>
      <c r="R13" s="932"/>
      <c r="S13" s="548"/>
      <c r="T13" s="575" t="s">
        <v>71</v>
      </c>
      <c r="U13" s="576">
        <v>1715</v>
      </c>
      <c r="V13" s="576">
        <v>1563</v>
      </c>
      <c r="W13" s="576">
        <v>1743.83</v>
      </c>
      <c r="X13" s="576">
        <f>'GHG emissions'!F33</f>
        <v>1749.8</v>
      </c>
      <c r="Y13" s="576">
        <v>20425</v>
      </c>
      <c r="Z13" s="576">
        <v>20604</v>
      </c>
      <c r="AA13" s="576">
        <v>23501</v>
      </c>
      <c r="AB13" s="590">
        <f>'GHG emissions'!F34</f>
        <v>24167</v>
      </c>
      <c r="AC13" s="558" t="s">
        <v>72</v>
      </c>
      <c r="AD13" s="566">
        <f>SUM(AD9:AD12)</f>
        <v>8978</v>
      </c>
      <c r="AE13" s="566">
        <f>SUM(AE9:AE12)</f>
        <v>8794</v>
      </c>
      <c r="AF13" s="566">
        <f>SUM(AF9:AF12)</f>
        <v>8640</v>
      </c>
      <c r="AG13" s="566">
        <f>SUM(AG9:AG12)</f>
        <v>8715</v>
      </c>
      <c r="AH13" s="557"/>
      <c r="AI13" s="557"/>
      <c r="AJ13" s="557"/>
      <c r="AK13" s="557"/>
    </row>
    <row r="14" spans="2:37" s="33" customFormat="1" ht="21.4" customHeight="1" x14ac:dyDescent="0.35">
      <c r="B14" s="695" t="s">
        <v>49</v>
      </c>
      <c r="C14" s="270"/>
      <c r="D14" s="270"/>
      <c r="E14" s="270"/>
      <c r="F14" s="270"/>
      <c r="G14" s="270"/>
      <c r="H14" s="591"/>
      <c r="I14" s="592"/>
      <c r="J14" s="592"/>
      <c r="L14" s="593"/>
      <c r="M14" s="594">
        <f>(U14+Y14)/(AD$9+AD$10+AD$11+AD$12)</f>
        <v>14.941785475607039</v>
      </c>
      <c r="N14" s="594">
        <f>(V14+Z14)/($AE$9+$AE$10+$AE$11+$AE$12)</f>
        <v>14.508163520582215</v>
      </c>
      <c r="O14" s="594">
        <f>(W14+AA14)/($AF$9+$AF$10+$AF$11+$AF$12)</f>
        <v>15.550972222222221</v>
      </c>
      <c r="P14" s="594">
        <f>(X14+AB14)/($AG$9+$AG$10+$AG$11+$AG$12)</f>
        <v>15.6463752151463</v>
      </c>
      <c r="Q14" s="594">
        <f>(P14-O14)/O14</f>
        <v>6.1348571369543563E-3</v>
      </c>
      <c r="R14" s="932"/>
      <c r="S14" s="548"/>
      <c r="T14" s="575" t="s">
        <v>72</v>
      </c>
      <c r="U14" s="576">
        <f>SUM(U10:U13)</f>
        <v>25370</v>
      </c>
      <c r="V14" s="576">
        <f t="shared" ref="V14:Z14" si="5">SUM(V10:V13)</f>
        <v>24189.79</v>
      </c>
      <c r="W14" s="576">
        <f>SUM(W10:W13)</f>
        <v>24796.399999999994</v>
      </c>
      <c r="X14" s="576">
        <f>SUM(X10:X13)</f>
        <v>26482.84</v>
      </c>
      <c r="Y14" s="576">
        <f t="shared" si="5"/>
        <v>108777.35</v>
      </c>
      <c r="Z14" s="576">
        <f t="shared" si="5"/>
        <v>103395</v>
      </c>
      <c r="AA14" s="576">
        <v>109564</v>
      </c>
      <c r="AB14" s="576">
        <f>SUM(AB10:AB13)</f>
        <v>109875.31999999999</v>
      </c>
      <c r="AC14" s="557"/>
      <c r="AD14" s="557"/>
      <c r="AE14" s="595"/>
      <c r="AF14" s="557"/>
      <c r="AG14" s="557"/>
      <c r="AH14" s="557"/>
      <c r="AI14" s="557"/>
      <c r="AJ14" s="557"/>
      <c r="AK14" s="557"/>
    </row>
    <row r="15" spans="2:37" s="33" customFormat="1" ht="25.15" customHeight="1" x14ac:dyDescent="0.35">
      <c r="B15" s="703" t="s">
        <v>440</v>
      </c>
      <c r="C15" s="703"/>
      <c r="D15" s="703"/>
      <c r="E15" s="703"/>
      <c r="F15" s="703"/>
      <c r="G15" s="53"/>
      <c r="U15" s="557"/>
      <c r="V15" s="557"/>
      <c r="W15" s="557"/>
      <c r="X15" s="557"/>
      <c r="Y15" s="557"/>
      <c r="Z15" s="557"/>
      <c r="AA15" s="557"/>
      <c r="AB15" s="557"/>
      <c r="AC15" s="557"/>
      <c r="AD15" s="557"/>
      <c r="AE15" s="557"/>
      <c r="AF15" s="557"/>
      <c r="AG15" s="557"/>
      <c r="AH15" s="557"/>
      <c r="AI15" s="557"/>
      <c r="AJ15" s="557"/>
      <c r="AK15" s="557"/>
    </row>
    <row r="16" spans="2:37" s="33" customFormat="1" ht="40" customHeight="1" x14ac:dyDescent="0.35">
      <c r="B16" s="531"/>
      <c r="C16" s="531">
        <v>2021</v>
      </c>
      <c r="D16" s="531">
        <v>2022</v>
      </c>
      <c r="E16" s="531">
        <v>2023</v>
      </c>
      <c r="F16" s="531">
        <v>2024</v>
      </c>
      <c r="G16" s="556" t="s">
        <v>69</v>
      </c>
      <c r="H16" s="556" t="s">
        <v>23</v>
      </c>
      <c r="U16" s="557"/>
      <c r="V16" s="557"/>
      <c r="W16" s="557"/>
      <c r="X16" s="557"/>
      <c r="Y16" s="557"/>
      <c r="Z16" s="557"/>
      <c r="AA16" s="557"/>
      <c r="AB16" s="557"/>
      <c r="AC16" s="557"/>
      <c r="AD16" s="557"/>
      <c r="AE16" s="557"/>
      <c r="AF16" s="557"/>
      <c r="AG16" s="557"/>
      <c r="AH16" s="557"/>
      <c r="AI16" s="557"/>
      <c r="AJ16" s="557"/>
      <c r="AK16" s="557"/>
    </row>
    <row r="17" spans="2:37" s="33" customFormat="1" ht="21.4" customHeight="1" x14ac:dyDescent="0.35">
      <c r="B17" s="722" t="s">
        <v>25</v>
      </c>
      <c r="C17" s="596">
        <f>(V19/AD9)/1000000</f>
        <v>3.495512099473936E-2</v>
      </c>
      <c r="D17" s="596">
        <f>(W19/AE9)/1000000</f>
        <v>3.3989177426846262E-2</v>
      </c>
      <c r="E17" s="596">
        <f>(X19/AF9)/1000000</f>
        <v>3.5753445678416228E-2</v>
      </c>
      <c r="F17" s="596">
        <f>(Y19/AG9)/1000000</f>
        <v>3.4567853145235895E-2</v>
      </c>
      <c r="G17" s="1">
        <f>(F17-E17)/E17</f>
        <v>-3.3160231431793308E-2</v>
      </c>
      <c r="H17" s="926" t="s">
        <v>73</v>
      </c>
      <c r="U17" s="927" t="s">
        <v>7</v>
      </c>
      <c r="V17" s="928"/>
      <c r="W17" s="928"/>
      <c r="X17" s="928"/>
      <c r="Y17" s="929"/>
      <c r="Z17" s="557"/>
      <c r="AA17" s="557"/>
      <c r="AB17" s="557"/>
      <c r="AC17" s="557"/>
      <c r="AD17" s="557"/>
      <c r="AE17" s="557"/>
      <c r="AF17" s="557"/>
      <c r="AG17" s="557"/>
      <c r="AH17" s="557"/>
      <c r="AI17" s="557"/>
      <c r="AJ17" s="557"/>
      <c r="AK17" s="557"/>
    </row>
    <row r="18" spans="2:37" s="33" customFormat="1" ht="21.4" customHeight="1" x14ac:dyDescent="0.35">
      <c r="B18" s="694" t="s">
        <v>412</v>
      </c>
      <c r="C18" s="597">
        <f t="shared" ref="C18:E21" si="6">(V20/AD10)/1000000</f>
        <v>7.1771629921259846E-3</v>
      </c>
      <c r="D18" s="597">
        <f t="shared" si="6"/>
        <v>6.5447337509788569E-3</v>
      </c>
      <c r="E18" s="597">
        <f t="shared" si="6"/>
        <v>5.9709190221543156E-3</v>
      </c>
      <c r="F18" s="596">
        <f t="shared" ref="F18:F20" si="7">(Y20/AG10)/1000000</f>
        <v>7.3528418972332024E-3</v>
      </c>
      <c r="G18" s="1">
        <f t="shared" ref="G18:G20" si="8">(F18-E18)/E18</f>
        <v>0.23144224029022037</v>
      </c>
      <c r="H18" s="926"/>
      <c r="T18" s="598"/>
      <c r="U18" s="599">
        <v>2020</v>
      </c>
      <c r="V18" s="599">
        <v>2021</v>
      </c>
      <c r="W18" s="599">
        <v>2022</v>
      </c>
      <c r="X18" s="559">
        <v>2023</v>
      </c>
      <c r="Y18" s="599">
        <v>2024</v>
      </c>
      <c r="Z18" s="557"/>
      <c r="AA18" s="557"/>
      <c r="AB18" s="557"/>
      <c r="AC18" s="557"/>
      <c r="AD18" s="557"/>
      <c r="AE18" s="557"/>
      <c r="AF18" s="557"/>
      <c r="AG18" s="557"/>
      <c r="AH18" s="557"/>
      <c r="AI18" s="557"/>
      <c r="AJ18" s="557"/>
      <c r="AK18" s="557"/>
    </row>
    <row r="19" spans="2:37" s="33" customFormat="1" ht="21.4" customHeight="1" x14ac:dyDescent="0.35">
      <c r="B19" s="694" t="s">
        <v>27</v>
      </c>
      <c r="C19" s="597">
        <f t="shared" si="6"/>
        <v>2.6526807339449541E-2</v>
      </c>
      <c r="D19" s="597">
        <f t="shared" si="6"/>
        <v>2.6175555273833671E-2</v>
      </c>
      <c r="E19" s="597">
        <f t="shared" si="6"/>
        <v>3.0677503287809813E-2</v>
      </c>
      <c r="F19" s="596">
        <f t="shared" si="7"/>
        <v>3.0719300346363186E-2</v>
      </c>
      <c r="G19" s="1">
        <f t="shared" si="8"/>
        <v>1.3624661094888495E-3</v>
      </c>
      <c r="H19" s="926"/>
      <c r="T19" s="600" t="s">
        <v>25</v>
      </c>
      <c r="U19" s="576">
        <v>147995000</v>
      </c>
      <c r="V19" s="576">
        <v>146182316</v>
      </c>
      <c r="W19" s="576">
        <v>146357398</v>
      </c>
      <c r="X19" s="576">
        <v>148090772</v>
      </c>
      <c r="Y19" s="576">
        <f>'Energy consumption'!G9</f>
        <v>149471397</v>
      </c>
      <c r="Z19" s="557"/>
      <c r="AA19" s="557"/>
      <c r="AB19" s="557"/>
      <c r="AI19" s="557"/>
      <c r="AJ19" s="557"/>
      <c r="AK19" s="557"/>
    </row>
    <row r="20" spans="2:37" s="33" customFormat="1" ht="27" customHeight="1" x14ac:dyDescent="0.35">
      <c r="B20" s="694" t="s">
        <v>28</v>
      </c>
      <c r="C20" s="597">
        <f t="shared" si="6"/>
        <v>4.2406569118835891E-2</v>
      </c>
      <c r="D20" s="597">
        <f t="shared" si="6"/>
        <v>4.2228351089588383E-2</v>
      </c>
      <c r="E20" s="597">
        <f t="shared" si="6"/>
        <v>4.6764839253300328E-2</v>
      </c>
      <c r="F20" s="596">
        <f t="shared" si="7"/>
        <v>5.6035528506787335E-2</v>
      </c>
      <c r="G20" s="1">
        <f t="shared" si="8"/>
        <v>0.19824058847444342</v>
      </c>
      <c r="H20" s="926"/>
      <c r="T20" s="600" t="s">
        <v>418</v>
      </c>
      <c r="U20" s="576">
        <v>9053880</v>
      </c>
      <c r="V20" s="576">
        <v>9114997</v>
      </c>
      <c r="W20" s="576">
        <v>8357625</v>
      </c>
      <c r="X20" s="576">
        <v>7815933</v>
      </c>
      <c r="Y20" s="576">
        <f>'Energy consumption'!G10</f>
        <v>9301345</v>
      </c>
      <c r="Z20" s="557"/>
      <c r="AA20" s="557"/>
      <c r="AB20" s="557"/>
      <c r="AI20" s="557"/>
      <c r="AJ20" s="557"/>
      <c r="AK20" s="557"/>
    </row>
    <row r="21" spans="2:37" s="33" customFormat="1" ht="21.4" customHeight="1" x14ac:dyDescent="0.35">
      <c r="B21" s="694" t="s">
        <v>49</v>
      </c>
      <c r="C21" s="601">
        <f t="shared" si="6"/>
        <v>2.9903553241256407E-2</v>
      </c>
      <c r="D21" s="601">
        <f t="shared" si="6"/>
        <v>3.0529235956333865E-2</v>
      </c>
      <c r="E21" s="601">
        <f t="shared" si="6"/>
        <v>3.1624434510995371E-2</v>
      </c>
      <c r="F21" s="602">
        <f>(Y23/AG13)/1000000</f>
        <v>3.2447011703958688E-2</v>
      </c>
      <c r="G21" s="603">
        <f>(F21-E21)/E21</f>
        <v>2.6010811123826368E-2</v>
      </c>
      <c r="H21" s="926"/>
      <c r="T21" s="600" t="s">
        <v>27</v>
      </c>
      <c r="U21" s="576">
        <v>65379951</v>
      </c>
      <c r="V21" s="576">
        <v>60719862</v>
      </c>
      <c r="W21" s="576">
        <v>51618195</v>
      </c>
      <c r="X21" s="576">
        <v>60649424</v>
      </c>
      <c r="Y21" s="576">
        <f>'Energy consumption'!G11</f>
        <v>62083706</v>
      </c>
      <c r="Z21" s="557"/>
      <c r="AA21" s="557"/>
      <c r="AB21" s="557"/>
      <c r="AI21" s="557"/>
      <c r="AJ21" s="557"/>
      <c r="AK21" s="557"/>
    </row>
    <row r="22" spans="2:37" ht="27.65" customHeight="1" x14ac:dyDescent="0.35">
      <c r="T22" s="600" t="s">
        <v>74</v>
      </c>
      <c r="U22" s="576">
        <v>53134581</v>
      </c>
      <c r="V22" s="576">
        <v>52456926</v>
      </c>
      <c r="W22" s="576">
        <v>52320927</v>
      </c>
      <c r="X22" s="576">
        <v>56678985.174999997</v>
      </c>
      <c r="Y22" s="590">
        <f>'Energy consumption'!G12</f>
        <v>61919259</v>
      </c>
      <c r="Z22" s="507"/>
      <c r="AA22" s="507"/>
      <c r="AB22" s="507"/>
      <c r="AI22" s="507"/>
      <c r="AJ22" s="507"/>
      <c r="AK22" s="507"/>
    </row>
    <row r="23" spans="2:37" ht="50" x14ac:dyDescent="0.35">
      <c r="T23" s="600" t="s">
        <v>75</v>
      </c>
      <c r="U23" s="576">
        <v>275563412</v>
      </c>
      <c r="V23" s="576">
        <v>268474101</v>
      </c>
      <c r="W23" s="576">
        <f>SUM(V19:V22)</f>
        <v>268474101</v>
      </c>
      <c r="X23" s="576">
        <f>SUM(X19:X22)</f>
        <v>273235114.17500001</v>
      </c>
      <c r="Y23" s="576">
        <f>'Energy consumption'!G13</f>
        <v>282775707</v>
      </c>
      <c r="Z23" s="507"/>
      <c r="AA23" s="507"/>
      <c r="AB23" s="507"/>
      <c r="AI23" s="507"/>
      <c r="AJ23" s="507"/>
      <c r="AK23" s="507"/>
    </row>
    <row r="24" spans="2:37" x14ac:dyDescent="0.35">
      <c r="T24" s="507"/>
      <c r="U24" s="507"/>
      <c r="V24" s="507"/>
      <c r="W24" s="507"/>
      <c r="X24" s="507"/>
      <c r="Y24" s="507"/>
      <c r="Z24" s="507"/>
      <c r="AA24" s="507"/>
      <c r="AB24" s="507"/>
      <c r="AI24" s="507"/>
      <c r="AJ24" s="507"/>
      <c r="AK24" s="507"/>
    </row>
    <row r="25" spans="2:37" x14ac:dyDescent="0.35">
      <c r="U25" s="507"/>
      <c r="V25" s="507"/>
      <c r="W25" s="507"/>
      <c r="X25" s="507"/>
      <c r="Y25" s="507"/>
      <c r="Z25" s="507"/>
      <c r="AA25" s="507"/>
      <c r="AB25" s="507"/>
      <c r="AI25" s="507"/>
      <c r="AJ25" s="507"/>
      <c r="AK25" s="507"/>
    </row>
    <row r="26" spans="2:37" x14ac:dyDescent="0.35">
      <c r="U26" s="507"/>
      <c r="V26" s="507"/>
      <c r="W26" s="507"/>
      <c r="X26" s="507"/>
      <c r="Y26" s="507"/>
      <c r="Z26" s="507"/>
      <c r="AA26" s="507"/>
      <c r="AB26" s="507"/>
      <c r="AC26" s="507"/>
      <c r="AD26" s="507"/>
      <c r="AE26" s="507"/>
      <c r="AF26" s="507"/>
      <c r="AG26" s="507"/>
      <c r="AH26" s="507"/>
      <c r="AI26" s="507"/>
      <c r="AJ26" s="507"/>
      <c r="AK26" s="507"/>
    </row>
    <row r="27" spans="2:37" x14ac:dyDescent="0.35">
      <c r="U27" s="507"/>
      <c r="V27" s="507"/>
      <c r="W27" s="507"/>
      <c r="X27" s="507"/>
      <c r="Y27" s="507"/>
      <c r="Z27" s="507"/>
      <c r="AA27" s="507"/>
      <c r="AB27" s="507"/>
      <c r="AC27" s="507"/>
      <c r="AD27" s="507"/>
      <c r="AE27" s="507"/>
      <c r="AF27" s="507"/>
      <c r="AG27" s="507"/>
      <c r="AH27" s="507"/>
      <c r="AI27" s="507"/>
      <c r="AJ27" s="507"/>
      <c r="AK27" s="507"/>
    </row>
  </sheetData>
  <mergeCells count="12">
    <mergeCell ref="H17:H21"/>
    <mergeCell ref="U17:Y17"/>
    <mergeCell ref="R8:R9"/>
    <mergeCell ref="R10:R14"/>
    <mergeCell ref="U7:AB7"/>
    <mergeCell ref="U8:X8"/>
    <mergeCell ref="Y8:AB8"/>
    <mergeCell ref="B7:J7"/>
    <mergeCell ref="M7:O7"/>
    <mergeCell ref="C8:G8"/>
    <mergeCell ref="H8:L8"/>
    <mergeCell ref="M8:O8"/>
  </mergeCells>
  <pageMargins left="0.7" right="0.7" top="0.75" bottom="0.75" header="0.3" footer="0.3"/>
  <pageSetup paperSize="9" orientation="portrait" r:id="rId1"/>
  <headerFooter scaleWithDoc="0"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92"/>
  <sheetViews>
    <sheetView showGridLines="0" topLeftCell="A60" zoomScale="50" zoomScaleNormal="50" workbookViewId="0">
      <selection activeCell="K38" sqref="K38"/>
    </sheetView>
  </sheetViews>
  <sheetFormatPr defaultColWidth="9.26953125" defaultRowHeight="14" x14ac:dyDescent="0.35"/>
  <cols>
    <col min="1" max="1" width="3.7265625" style="499" customWidth="1"/>
    <col min="2" max="2" width="21.26953125" style="499" customWidth="1"/>
    <col min="3" max="6" width="14.7265625" style="499" customWidth="1"/>
    <col min="7" max="7" width="20.54296875" style="499" customWidth="1"/>
    <col min="8" max="8" width="17.1796875" style="499" customWidth="1"/>
    <col min="9" max="10" width="14.7265625" style="499" customWidth="1"/>
    <col min="11" max="11" width="11.54296875" style="499" customWidth="1"/>
    <col min="12" max="12" width="10" style="499" customWidth="1"/>
    <col min="13" max="14" width="10.54296875" style="499" customWidth="1"/>
    <col min="15" max="15" width="10.7265625" style="499" customWidth="1"/>
    <col min="16" max="17" width="10.26953125" style="499" customWidth="1"/>
    <col min="18" max="18" width="11.54296875" style="499" customWidth="1"/>
    <col min="19" max="21" width="9.26953125" style="499" customWidth="1"/>
    <col min="22" max="22" width="15.26953125" style="499" customWidth="1"/>
    <col min="23" max="23" width="10.26953125" style="499" customWidth="1"/>
    <col min="24" max="31" width="9.26953125" style="499" customWidth="1"/>
    <col min="32" max="16384" width="9.26953125" style="499"/>
  </cols>
  <sheetData>
    <row r="1" spans="2:20" s="12" customFormat="1" ht="15" customHeight="1" x14ac:dyDescent="0.35"/>
    <row r="2" spans="2:20" s="12" customFormat="1" ht="15" customHeight="1" x14ac:dyDescent="0.35"/>
    <row r="3" spans="2:20" s="12" customFormat="1" ht="15" customHeight="1" x14ac:dyDescent="0.35"/>
    <row r="4" spans="2:20" s="12" customFormat="1" ht="15" customHeight="1" x14ac:dyDescent="0.35">
      <c r="K4" s="499"/>
    </row>
    <row r="5" spans="2:20" s="12" customFormat="1" ht="24" customHeight="1" thickBot="1" x14ac:dyDescent="0.4">
      <c r="B5" s="725" t="s">
        <v>7</v>
      </c>
      <c r="C5" s="725"/>
      <c r="D5" s="724"/>
      <c r="E5" s="19"/>
      <c r="F5" s="19"/>
      <c r="G5" s="19"/>
      <c r="H5" s="19"/>
      <c r="I5" s="19"/>
      <c r="J5" s="19"/>
      <c r="K5" s="499"/>
      <c r="L5" s="499"/>
      <c r="M5" s="499"/>
      <c r="N5" s="499"/>
      <c r="O5" s="499"/>
      <c r="P5" s="499"/>
      <c r="Q5" s="499"/>
      <c r="R5" s="499"/>
      <c r="S5" s="499"/>
      <c r="T5" s="499"/>
    </row>
    <row r="6" spans="2:20" s="12" customFormat="1" ht="15" customHeight="1" thickTop="1" x14ac:dyDescent="0.35">
      <c r="B6" s="21"/>
      <c r="C6" s="21"/>
      <c r="D6" s="21"/>
      <c r="E6" s="21"/>
      <c r="F6" s="21"/>
      <c r="G6" s="21"/>
      <c r="H6" s="480"/>
      <c r="I6" s="21"/>
      <c r="K6" s="499"/>
      <c r="L6" s="499"/>
      <c r="M6" s="499"/>
      <c r="N6" s="499"/>
      <c r="O6" s="499"/>
      <c r="P6" s="499"/>
      <c r="Q6" s="499"/>
      <c r="R6" s="499"/>
    </row>
    <row r="7" spans="2:20" ht="25.15" customHeight="1" x14ac:dyDescent="0.35">
      <c r="B7" s="908" t="s">
        <v>443</v>
      </c>
      <c r="C7" s="908"/>
      <c r="D7" s="908"/>
      <c r="E7" s="908"/>
      <c r="F7" s="908"/>
      <c r="G7" s="733"/>
    </row>
    <row r="8" spans="2:20" ht="43.5" customHeight="1" x14ac:dyDescent="0.3">
      <c r="B8" s="510"/>
      <c r="C8" s="738" t="s">
        <v>76</v>
      </c>
      <c r="D8" s="738" t="s">
        <v>77</v>
      </c>
      <c r="E8" s="738" t="s">
        <v>78</v>
      </c>
      <c r="F8" s="738" t="s">
        <v>79</v>
      </c>
      <c r="G8" s="738" t="s">
        <v>80</v>
      </c>
      <c r="H8" s="738" t="s">
        <v>81</v>
      </c>
      <c r="I8" s="738" t="s">
        <v>82</v>
      </c>
      <c r="J8" s="87" t="s">
        <v>23</v>
      </c>
      <c r="K8" s="12"/>
    </row>
    <row r="9" spans="2:20" ht="21.4" customHeight="1" x14ac:dyDescent="0.35">
      <c r="B9" s="714" t="s">
        <v>25</v>
      </c>
      <c r="C9" s="502">
        <v>147995000</v>
      </c>
      <c r="D9" s="502">
        <v>146182316</v>
      </c>
      <c r="E9" s="502">
        <v>146357398</v>
      </c>
      <c r="F9" s="502">
        <v>148090772.18799999</v>
      </c>
      <c r="G9" s="512">
        <v>149471397</v>
      </c>
      <c r="H9" s="513">
        <f>(F9-E9)/E9</f>
        <v>1.1843434029894366E-2</v>
      </c>
      <c r="I9" s="514">
        <f t="shared" ref="I9:I10" si="0">(G9-F9)/F9</f>
        <v>9.3228280979405984E-3</v>
      </c>
      <c r="J9" s="943" t="s">
        <v>83</v>
      </c>
      <c r="K9" s="12"/>
    </row>
    <row r="10" spans="2:20" ht="21.4" customHeight="1" x14ac:dyDescent="0.35">
      <c r="B10" s="715" t="s">
        <v>166</v>
      </c>
      <c r="C10" s="502">
        <v>9053880</v>
      </c>
      <c r="D10" s="141">
        <v>9114997</v>
      </c>
      <c r="E10" s="141">
        <v>8357625</v>
      </c>
      <c r="F10" s="502">
        <v>7815933</v>
      </c>
      <c r="G10" s="512">
        <v>9301345</v>
      </c>
      <c r="H10" s="513">
        <f>(F10-E10)/E10</f>
        <v>-6.4814106878449324E-2</v>
      </c>
      <c r="I10" s="514">
        <f t="shared" si="0"/>
        <v>0.19004922380987657</v>
      </c>
      <c r="J10" s="943"/>
      <c r="K10" s="12"/>
    </row>
    <row r="11" spans="2:20" ht="21.4" customHeight="1" x14ac:dyDescent="0.35">
      <c r="B11" s="715" t="s">
        <v>27</v>
      </c>
      <c r="C11" s="141">
        <v>65379951</v>
      </c>
      <c r="D11" s="141">
        <v>60719862</v>
      </c>
      <c r="E11" s="141">
        <v>51618195</v>
      </c>
      <c r="F11" s="740">
        <v>60649424</v>
      </c>
      <c r="G11" s="741">
        <v>62083706</v>
      </c>
      <c r="H11" s="513">
        <f>(F11-E11)/E11</f>
        <v>0.17496212333654829</v>
      </c>
      <c r="I11" s="514">
        <f>(G11-F11)/F11</f>
        <v>2.3648732426543737E-2</v>
      </c>
      <c r="J11" s="943"/>
      <c r="K11" s="12"/>
      <c r="M11" s="515"/>
    </row>
    <row r="12" spans="2:20" ht="27" customHeight="1" x14ac:dyDescent="0.35">
      <c r="B12" s="728" t="s">
        <v>74</v>
      </c>
      <c r="C12" s="516">
        <v>53134581</v>
      </c>
      <c r="D12" s="516">
        <v>52456926</v>
      </c>
      <c r="E12" s="516">
        <v>52320927</v>
      </c>
      <c r="F12" s="502">
        <v>56878985.174999997</v>
      </c>
      <c r="G12" s="517">
        <v>61919259</v>
      </c>
      <c r="H12" s="513">
        <f>(F12-E12)/E12</f>
        <v>8.7117305375724652E-2</v>
      </c>
      <c r="I12" s="514">
        <f t="shared" ref="I12:I13" si="1">(G12-F12)/F12</f>
        <v>8.8613990026238251E-2</v>
      </c>
      <c r="J12" s="943"/>
      <c r="K12" s="12"/>
    </row>
    <row r="13" spans="2:20" ht="25" customHeight="1" x14ac:dyDescent="0.35">
      <c r="B13" s="729" t="s">
        <v>75</v>
      </c>
      <c r="C13" s="518">
        <v>275563412</v>
      </c>
      <c r="D13" s="518">
        <v>268474101</v>
      </c>
      <c r="E13" s="473">
        <f>SUM(E9:E12)</f>
        <v>258654145</v>
      </c>
      <c r="F13" s="473">
        <f>SUM(F9:F12)</f>
        <v>273435114.36299998</v>
      </c>
      <c r="G13" s="519">
        <f>SUM(G9:G12)</f>
        <v>282775707</v>
      </c>
      <c r="H13" s="513">
        <f>(F13-E13)/E13</f>
        <v>5.7145689132489935E-2</v>
      </c>
      <c r="I13" s="514">
        <f t="shared" si="1"/>
        <v>3.4160179678312565E-2</v>
      </c>
      <c r="J13" s="943"/>
      <c r="K13" s="12"/>
      <c r="L13" s="520"/>
      <c r="M13" s="480"/>
      <c r="N13" s="480"/>
      <c r="O13" s="480"/>
      <c r="P13" s="480"/>
      <c r="Q13" s="480"/>
      <c r="R13" s="480"/>
    </row>
    <row r="14" spans="2:20" ht="21.4" customHeight="1" x14ac:dyDescent="0.35">
      <c r="B14" s="730"/>
      <c r="C14" s="7"/>
      <c r="D14" s="7"/>
      <c r="E14" s="115"/>
      <c r="F14" s="480"/>
      <c r="G14" s="521"/>
      <c r="J14" s="16"/>
      <c r="K14" s="12"/>
      <c r="L14" s="520"/>
      <c r="M14" s="480"/>
      <c r="N14" s="480"/>
      <c r="O14" s="480"/>
      <c r="P14" s="480"/>
      <c r="Q14" s="480"/>
      <c r="R14" s="480"/>
    </row>
    <row r="15" spans="2:20" ht="25.15" customHeight="1" x14ac:dyDescent="0.35">
      <c r="B15" s="908" t="s">
        <v>444</v>
      </c>
      <c r="C15" s="908"/>
      <c r="D15" s="908"/>
      <c r="E15" s="908"/>
      <c r="F15" s="908"/>
      <c r="G15" s="908"/>
      <c r="H15" s="908"/>
      <c r="I15" s="908"/>
      <c r="J15" s="908"/>
    </row>
    <row r="16" spans="2:20" ht="52.5" customHeight="1" x14ac:dyDescent="0.3">
      <c r="B16" s="522"/>
      <c r="C16" s="523"/>
      <c r="D16" s="738" t="s">
        <v>416</v>
      </c>
      <c r="E16" s="738" t="s">
        <v>84</v>
      </c>
      <c r="F16" s="738" t="s">
        <v>85</v>
      </c>
      <c r="G16" s="738" t="s">
        <v>86</v>
      </c>
      <c r="H16" s="738" t="s">
        <v>87</v>
      </c>
      <c r="I16" s="738"/>
      <c r="J16" s="87" t="s">
        <v>23</v>
      </c>
      <c r="K16" s="12"/>
      <c r="L16" s="12"/>
      <c r="M16" s="12"/>
      <c r="N16" s="12"/>
      <c r="O16" s="12"/>
    </row>
    <row r="17" spans="2:18" ht="21.4" customHeight="1" x14ac:dyDescent="0.35">
      <c r="B17" s="911">
        <v>2021</v>
      </c>
      <c r="C17" s="731" t="s">
        <v>88</v>
      </c>
      <c r="D17" s="491">
        <v>720000</v>
      </c>
      <c r="E17" s="141">
        <v>1100139</v>
      </c>
      <c r="F17" s="141">
        <v>733994</v>
      </c>
      <c r="G17" s="141">
        <v>3915060.0700000301</v>
      </c>
      <c r="H17" s="141">
        <f>SUM(D17:G17)</f>
        <v>6469193.0700000301</v>
      </c>
      <c r="I17" s="946"/>
      <c r="J17" s="948" t="s">
        <v>83</v>
      </c>
      <c r="K17" s="12"/>
      <c r="L17" s="12"/>
      <c r="M17" s="12"/>
      <c r="N17" s="12"/>
      <c r="O17" s="12"/>
    </row>
    <row r="18" spans="2:18" ht="21.4" customHeight="1" x14ac:dyDescent="0.35">
      <c r="B18" s="912"/>
      <c r="C18" s="731" t="s">
        <v>89</v>
      </c>
      <c r="D18" s="491">
        <v>88000</v>
      </c>
      <c r="E18" s="141">
        <v>102535</v>
      </c>
      <c r="F18" s="141">
        <v>0</v>
      </c>
      <c r="G18" s="141">
        <v>2785298</v>
      </c>
      <c r="H18" s="141">
        <f t="shared" ref="H18:H21" si="2">SUM(D18:G18)</f>
        <v>2975833</v>
      </c>
      <c r="I18" s="947"/>
      <c r="J18" s="948"/>
      <c r="K18" s="12"/>
      <c r="L18" s="12"/>
      <c r="M18" s="12"/>
      <c r="N18" s="12"/>
      <c r="O18" s="12"/>
    </row>
    <row r="19" spans="2:18" ht="21.4" customHeight="1" x14ac:dyDescent="0.35">
      <c r="B19" s="922"/>
      <c r="C19" s="527" t="s">
        <v>72</v>
      </c>
      <c r="D19" s="525">
        <f>D18+D17</f>
        <v>808000</v>
      </c>
      <c r="E19" s="525">
        <f>E18+E17</f>
        <v>1202674</v>
      </c>
      <c r="F19" s="525">
        <f t="shared" ref="F19:H19" si="3">F18+F17</f>
        <v>733994</v>
      </c>
      <c r="G19" s="525">
        <f t="shared" si="3"/>
        <v>6700358.0700000301</v>
      </c>
      <c r="H19" s="525">
        <f t="shared" si="3"/>
        <v>9445026.0700000301</v>
      </c>
      <c r="I19" s="526"/>
      <c r="J19" s="948"/>
      <c r="K19" s="12"/>
      <c r="L19" s="12"/>
      <c r="M19" s="12"/>
      <c r="N19" s="12"/>
      <c r="O19" s="12"/>
    </row>
    <row r="20" spans="2:18" ht="21.4" customHeight="1" x14ac:dyDescent="0.35">
      <c r="B20" s="911">
        <v>2022</v>
      </c>
      <c r="C20" s="731" t="s">
        <v>88</v>
      </c>
      <c r="D20" s="491">
        <v>603000</v>
      </c>
      <c r="E20" s="141">
        <v>1069647</v>
      </c>
      <c r="F20" s="141">
        <v>668759</v>
      </c>
      <c r="G20" s="141">
        <v>4771864</v>
      </c>
      <c r="H20" s="141">
        <f t="shared" si="2"/>
        <v>7113270</v>
      </c>
      <c r="I20" s="946"/>
      <c r="J20" s="948"/>
      <c r="K20" s="12"/>
      <c r="L20" s="12"/>
      <c r="M20" s="12"/>
      <c r="N20" s="12"/>
      <c r="O20" s="12"/>
    </row>
    <row r="21" spans="2:18" ht="21.4" customHeight="1" x14ac:dyDescent="0.35">
      <c r="B21" s="912"/>
      <c r="C21" s="732" t="s">
        <v>89</v>
      </c>
      <c r="D21" s="492">
        <v>90000</v>
      </c>
      <c r="E21" s="473">
        <v>92514</v>
      </c>
      <c r="F21" s="141">
        <v>0</v>
      </c>
      <c r="G21" s="473">
        <v>2105856</v>
      </c>
      <c r="H21" s="473">
        <f t="shared" si="2"/>
        <v>2288370</v>
      </c>
      <c r="I21" s="947"/>
      <c r="J21" s="948"/>
    </row>
    <row r="22" spans="2:18" ht="21.4" customHeight="1" x14ac:dyDescent="0.35">
      <c r="B22" s="922"/>
      <c r="C22" s="527" t="s">
        <v>72</v>
      </c>
      <c r="D22" s="525">
        <f>D20+D21</f>
        <v>693000</v>
      </c>
      <c r="E22" s="525">
        <f t="shared" ref="E22:H22" si="4">E20+E21</f>
        <v>1162161</v>
      </c>
      <c r="F22" s="525">
        <f t="shared" si="4"/>
        <v>668759</v>
      </c>
      <c r="G22" s="525">
        <f t="shared" si="4"/>
        <v>6877720</v>
      </c>
      <c r="H22" s="525">
        <f t="shared" si="4"/>
        <v>9401640</v>
      </c>
      <c r="I22" s="527"/>
      <c r="J22" s="948"/>
    </row>
    <row r="23" spans="2:18" ht="21.4" customHeight="1" x14ac:dyDescent="0.35">
      <c r="B23" s="911">
        <v>2023</v>
      </c>
      <c r="C23" s="731" t="s">
        <v>88</v>
      </c>
      <c r="D23" s="491">
        <v>601000</v>
      </c>
      <c r="E23" s="473">
        <v>966855</v>
      </c>
      <c r="F23" s="141">
        <v>596053</v>
      </c>
      <c r="G23" s="141">
        <v>5223494.7</v>
      </c>
      <c r="H23" s="141">
        <f>SUM(D23:G23)</f>
        <v>7387402.7000000002</v>
      </c>
      <c r="I23" s="944"/>
      <c r="J23" s="948"/>
      <c r="K23" s="12"/>
      <c r="L23" s="12"/>
      <c r="M23" s="12"/>
      <c r="N23" s="12"/>
    </row>
    <row r="24" spans="2:18" ht="21.4" customHeight="1" x14ac:dyDescent="0.35">
      <c r="B24" s="912"/>
      <c r="C24" s="732" t="s">
        <v>89</v>
      </c>
      <c r="D24" s="492">
        <v>58000</v>
      </c>
      <c r="E24" s="473">
        <v>84070</v>
      </c>
      <c r="F24" s="473">
        <v>0</v>
      </c>
      <c r="G24" s="473">
        <v>1926404.01</v>
      </c>
      <c r="H24" s="473">
        <f>SUM(D24:G24)</f>
        <v>2068474.01</v>
      </c>
      <c r="I24" s="945"/>
      <c r="J24" s="948"/>
    </row>
    <row r="25" spans="2:18" ht="21.4" customHeight="1" x14ac:dyDescent="0.35">
      <c r="B25" s="922"/>
      <c r="C25" s="527" t="s">
        <v>72</v>
      </c>
      <c r="D25" s="525">
        <f>D23+D24</f>
        <v>659000</v>
      </c>
      <c r="E25" s="525">
        <f t="shared" ref="E25:H25" si="5">E23+E24</f>
        <v>1050925</v>
      </c>
      <c r="F25" s="525">
        <f t="shared" si="5"/>
        <v>596053</v>
      </c>
      <c r="G25" s="525">
        <f t="shared" si="5"/>
        <v>7149898.71</v>
      </c>
      <c r="H25" s="525">
        <f t="shared" si="5"/>
        <v>9455876.7100000009</v>
      </c>
      <c r="I25" s="491"/>
      <c r="J25" s="948"/>
    </row>
    <row r="26" spans="2:18" ht="21.4" customHeight="1" x14ac:dyDescent="0.35">
      <c r="B26" s="911">
        <v>2024</v>
      </c>
      <c r="C26" s="731" t="s">
        <v>88</v>
      </c>
      <c r="D26" s="491">
        <v>597050</v>
      </c>
      <c r="E26" s="141">
        <v>968880</v>
      </c>
      <c r="F26" s="141">
        <v>579128</v>
      </c>
      <c r="G26" s="141">
        <v>5629744.3900000332</v>
      </c>
      <c r="H26" s="473">
        <f>SUM(D26:G26)</f>
        <v>7774802.3900000332</v>
      </c>
      <c r="I26" s="944"/>
      <c r="J26" s="948"/>
    </row>
    <row r="27" spans="2:18" ht="21.4" customHeight="1" x14ac:dyDescent="0.35">
      <c r="B27" s="912"/>
      <c r="C27" s="732" t="s">
        <v>89</v>
      </c>
      <c r="D27" s="492">
        <v>62600</v>
      </c>
      <c r="E27" s="141">
        <v>69900</v>
      </c>
      <c r="F27" s="473">
        <v>0</v>
      </c>
      <c r="G27" s="473">
        <v>1798395.6400000011</v>
      </c>
      <c r="H27" s="473">
        <f>SUM(D27:G27)</f>
        <v>1930895.6400000011</v>
      </c>
      <c r="I27" s="945"/>
      <c r="J27" s="948"/>
    </row>
    <row r="28" spans="2:18" ht="21.4" customHeight="1" x14ac:dyDescent="0.35">
      <c r="B28" s="912"/>
      <c r="C28" s="527" t="s">
        <v>72</v>
      </c>
      <c r="D28" s="525">
        <f>D26+D27</f>
        <v>659650</v>
      </c>
      <c r="E28" s="525">
        <f t="shared" ref="E28:H28" si="6">E26+E27</f>
        <v>1038780</v>
      </c>
      <c r="F28" s="525">
        <f t="shared" si="6"/>
        <v>579128</v>
      </c>
      <c r="G28" s="525">
        <f t="shared" si="6"/>
        <v>7428140.0300000347</v>
      </c>
      <c r="H28" s="525">
        <f t="shared" si="6"/>
        <v>9705698.0300000347</v>
      </c>
      <c r="I28" s="491"/>
      <c r="J28" s="948"/>
      <c r="K28" s="12"/>
      <c r="L28" s="520"/>
      <c r="M28" s="480"/>
      <c r="N28" s="480"/>
      <c r="O28" s="480"/>
      <c r="P28" s="480"/>
      <c r="Q28" s="480"/>
      <c r="R28" s="480"/>
    </row>
    <row r="29" spans="2:18" ht="12" customHeight="1" x14ac:dyDescent="0.35">
      <c r="B29" s="717"/>
      <c r="C29" s="489"/>
      <c r="D29" s="529"/>
      <c r="E29" s="529"/>
      <c r="F29" s="529"/>
      <c r="G29" s="529"/>
      <c r="H29" s="529"/>
      <c r="I29" s="484"/>
      <c r="J29" s="42"/>
      <c r="K29" s="12"/>
      <c r="L29" s="520"/>
      <c r="M29" s="480"/>
      <c r="N29" s="480"/>
      <c r="O29" s="480"/>
      <c r="P29" s="480"/>
      <c r="Q29" s="480"/>
      <c r="R29" s="480"/>
    </row>
    <row r="30" spans="2:18" ht="25.15" customHeight="1" x14ac:dyDescent="0.35">
      <c r="B30" s="908" t="s">
        <v>445</v>
      </c>
      <c r="C30" s="908"/>
      <c r="D30" s="908"/>
      <c r="E30" s="908"/>
      <c r="F30" s="908"/>
      <c r="G30" s="908"/>
      <c r="H30" s="908"/>
      <c r="I30" s="908"/>
      <c r="J30" s="908"/>
    </row>
    <row r="31" spans="2:18" ht="44.5" customHeight="1" x14ac:dyDescent="0.35">
      <c r="B31" s="698" t="s">
        <v>53</v>
      </c>
      <c r="C31" s="554" t="s">
        <v>25</v>
      </c>
      <c r="D31" s="554" t="s">
        <v>417</v>
      </c>
      <c r="E31" s="554" t="s">
        <v>27</v>
      </c>
      <c r="F31" s="556" t="s">
        <v>28</v>
      </c>
      <c r="G31" s="554"/>
      <c r="H31" s="531"/>
      <c r="I31" s="531"/>
      <c r="J31" s="87" t="s">
        <v>23</v>
      </c>
    </row>
    <row r="32" spans="2:18" ht="21.4" customHeight="1" x14ac:dyDescent="0.35">
      <c r="B32" s="714">
        <v>2021</v>
      </c>
      <c r="C32" s="532">
        <v>47750</v>
      </c>
      <c r="D32" s="532"/>
      <c r="E32" s="952"/>
      <c r="F32" s="532">
        <v>0</v>
      </c>
      <c r="G32" s="533"/>
      <c r="H32" s="532"/>
      <c r="I32" s="532"/>
      <c r="J32" s="948" t="s">
        <v>83</v>
      </c>
    </row>
    <row r="33" spans="2:14" ht="21.4" customHeight="1" x14ac:dyDescent="0.35">
      <c r="B33" s="716">
        <v>2022</v>
      </c>
      <c r="C33" s="492">
        <v>42930</v>
      </c>
      <c r="D33" s="492"/>
      <c r="E33" s="953"/>
      <c r="F33" s="492">
        <v>0</v>
      </c>
      <c r="G33" s="534"/>
      <c r="H33" s="492"/>
      <c r="I33" s="492"/>
      <c r="J33" s="948"/>
    </row>
    <row r="34" spans="2:14" ht="21.4" customHeight="1" x14ac:dyDescent="0.35">
      <c r="B34" s="716">
        <v>2023</v>
      </c>
      <c r="C34" s="492">
        <v>35266</v>
      </c>
      <c r="D34" s="492"/>
      <c r="E34" s="953"/>
      <c r="F34" s="492">
        <v>11000</v>
      </c>
      <c r="G34" s="534"/>
      <c r="H34" s="492"/>
      <c r="I34" s="492"/>
      <c r="J34" s="948"/>
    </row>
    <row r="35" spans="2:14" ht="21.4" customHeight="1" x14ac:dyDescent="0.35">
      <c r="B35" s="716">
        <v>2024</v>
      </c>
      <c r="C35" s="535">
        <f>4000+111783</f>
        <v>115783</v>
      </c>
      <c r="D35" s="492"/>
      <c r="E35" s="953"/>
      <c r="F35" s="492">
        <v>15000</v>
      </c>
      <c r="G35" s="534"/>
      <c r="H35" s="536"/>
      <c r="I35" s="492"/>
      <c r="J35" s="948"/>
    </row>
    <row r="36" spans="2:14" ht="24" customHeight="1" x14ac:dyDescent="0.3">
      <c r="B36" s="950" t="s">
        <v>473</v>
      </c>
      <c r="C36" s="950"/>
      <c r="D36" s="950"/>
      <c r="E36" s="950"/>
      <c r="F36" s="737"/>
      <c r="G36" s="115"/>
      <c r="H36" s="115"/>
      <c r="I36" s="530"/>
    </row>
    <row r="37" spans="2:14" ht="25.15" customHeight="1" x14ac:dyDescent="0.35">
      <c r="B37" s="937" t="s">
        <v>446</v>
      </c>
      <c r="C37" s="937"/>
      <c r="D37" s="937"/>
      <c r="E37" s="937"/>
      <c r="F37" s="937"/>
      <c r="G37" s="951"/>
      <c r="H37" s="951"/>
    </row>
    <row r="38" spans="2:14" ht="61" customHeight="1" x14ac:dyDescent="0.35">
      <c r="B38" s="511"/>
      <c r="C38" s="556" t="s">
        <v>88</v>
      </c>
      <c r="D38" s="556" t="s">
        <v>89</v>
      </c>
      <c r="E38" s="556" t="s">
        <v>90</v>
      </c>
      <c r="F38" s="556" t="s">
        <v>91</v>
      </c>
      <c r="G38" s="556" t="s">
        <v>92</v>
      </c>
      <c r="H38" s="556" t="s">
        <v>93</v>
      </c>
      <c r="I38" s="556"/>
      <c r="J38" s="87" t="s">
        <v>23</v>
      </c>
    </row>
    <row r="39" spans="2:14" ht="21.4" customHeight="1" x14ac:dyDescent="0.35">
      <c r="B39" s="712" t="s">
        <v>94</v>
      </c>
      <c r="C39" s="532">
        <v>1168</v>
      </c>
      <c r="D39" s="532">
        <v>775</v>
      </c>
      <c r="E39" s="532">
        <v>212</v>
      </c>
      <c r="F39" s="532"/>
      <c r="G39" s="1">
        <f>(F39+E39)/(H39)</f>
        <v>9.8375870069605562E-2</v>
      </c>
      <c r="H39" s="533">
        <f t="shared" ref="H39" si="7">SUM(C39:F39)</f>
        <v>2155</v>
      </c>
      <c r="I39" s="533"/>
      <c r="J39" s="948" t="s">
        <v>95</v>
      </c>
    </row>
    <row r="40" spans="2:14" ht="21.4" customHeight="1" x14ac:dyDescent="0.35">
      <c r="B40" s="527" t="s">
        <v>96</v>
      </c>
      <c r="C40" s="491">
        <v>783</v>
      </c>
      <c r="D40" s="491">
        <v>474</v>
      </c>
      <c r="E40" s="491">
        <v>1093</v>
      </c>
      <c r="F40" s="491"/>
      <c r="G40" s="537">
        <f>(F40+E40)/(H40)</f>
        <v>0.46510638297872342</v>
      </c>
      <c r="H40" s="538">
        <f>SUM(C40:F40)</f>
        <v>2350</v>
      </c>
      <c r="I40" s="538"/>
      <c r="J40" s="948"/>
    </row>
    <row r="41" spans="2:14" ht="21.4" customHeight="1" x14ac:dyDescent="0.35">
      <c r="B41" s="713" t="s">
        <v>97</v>
      </c>
      <c r="C41" s="492">
        <v>453</v>
      </c>
      <c r="D41" s="492">
        <v>346</v>
      </c>
      <c r="E41" s="492">
        <v>1762</v>
      </c>
      <c r="F41" s="492">
        <v>1</v>
      </c>
      <c r="G41" s="3">
        <f>(F41+E41)/(H41)</f>
        <v>0.6881342701014832</v>
      </c>
      <c r="H41" s="538">
        <f>SUM(C41:F41)</f>
        <v>2562</v>
      </c>
      <c r="I41" s="538"/>
      <c r="J41" s="948"/>
      <c r="K41" s="12"/>
      <c r="L41" s="12"/>
      <c r="M41" s="12"/>
      <c r="N41" s="12"/>
    </row>
    <row r="42" spans="2:14" ht="21.4" customHeight="1" x14ac:dyDescent="0.35">
      <c r="B42" s="734">
        <v>2023</v>
      </c>
      <c r="C42" s="492">
        <v>442</v>
      </c>
      <c r="D42" s="492">
        <v>291</v>
      </c>
      <c r="E42" s="492">
        <v>1795</v>
      </c>
      <c r="F42" s="492">
        <v>72</v>
      </c>
      <c r="G42" s="3">
        <f>(F42+E42)/(H42)</f>
        <v>0.71807692307692306</v>
      </c>
      <c r="H42" s="538">
        <f>SUM(C42:F42)</f>
        <v>2600</v>
      </c>
      <c r="I42" s="538"/>
      <c r="J42" s="948"/>
      <c r="K42" s="12"/>
      <c r="L42" s="12"/>
      <c r="M42" s="12"/>
      <c r="N42" s="12"/>
    </row>
    <row r="43" spans="2:14" ht="21.4" customHeight="1" x14ac:dyDescent="0.35">
      <c r="B43" s="735">
        <v>2024</v>
      </c>
      <c r="C43" s="492">
        <v>440</v>
      </c>
      <c r="D43" s="492">
        <v>321</v>
      </c>
      <c r="E43" s="536">
        <v>1106</v>
      </c>
      <c r="F43" s="492">
        <v>247</v>
      </c>
      <c r="G43" s="3">
        <f>(F43+E43)/(H43)</f>
        <v>0.64001892147587514</v>
      </c>
      <c r="H43" s="538">
        <f>SUM(C43:F43)</f>
        <v>2114</v>
      </c>
      <c r="I43" s="490"/>
      <c r="J43" s="948"/>
      <c r="K43" s="12"/>
      <c r="L43" s="12"/>
      <c r="M43" s="12"/>
      <c r="N43" s="12"/>
    </row>
    <row r="44" spans="2:14" ht="21.4" customHeight="1" x14ac:dyDescent="0.3">
      <c r="B44" s="736"/>
      <c r="C44" s="115"/>
      <c r="D44" s="115"/>
      <c r="E44" s="115"/>
      <c r="F44" s="115"/>
      <c r="G44" s="480"/>
      <c r="H44" s="539"/>
      <c r="K44" s="12"/>
      <c r="L44" s="12"/>
      <c r="M44" s="12"/>
      <c r="N44" s="12"/>
    </row>
    <row r="45" spans="2:14" ht="21.4" customHeight="1" x14ac:dyDescent="0.3">
      <c r="B45" s="937" t="s">
        <v>98</v>
      </c>
      <c r="C45" s="937"/>
      <c r="D45" s="937"/>
      <c r="E45" s="937"/>
      <c r="F45" s="937"/>
      <c r="G45" s="480"/>
      <c r="H45" s="539"/>
      <c r="K45" s="12"/>
      <c r="L45" s="12"/>
      <c r="M45" s="12"/>
      <c r="N45" s="12"/>
    </row>
    <row r="46" spans="2:14" ht="55" customHeight="1" x14ac:dyDescent="0.35">
      <c r="B46" s="540"/>
      <c r="C46" s="541" t="s">
        <v>99</v>
      </c>
      <c r="D46" s="541" t="s">
        <v>100</v>
      </c>
      <c r="E46" s="541" t="s">
        <v>101</v>
      </c>
      <c r="F46" s="541" t="s">
        <v>102</v>
      </c>
      <c r="G46" s="541" t="s">
        <v>92</v>
      </c>
      <c r="H46" s="541" t="s">
        <v>93</v>
      </c>
      <c r="I46" s="541"/>
      <c r="J46" s="87" t="s">
        <v>23</v>
      </c>
      <c r="K46" s="12"/>
      <c r="L46" s="12"/>
      <c r="M46" s="12"/>
      <c r="N46" s="12"/>
    </row>
    <row r="47" spans="2:14" ht="21.4" customHeight="1" x14ac:dyDescent="0.35">
      <c r="B47" s="712">
        <v>2020</v>
      </c>
      <c r="C47" s="532">
        <v>70</v>
      </c>
      <c r="D47" s="532">
        <v>25</v>
      </c>
      <c r="E47" s="532">
        <v>291</v>
      </c>
      <c r="F47" s="532">
        <v>0</v>
      </c>
      <c r="G47" s="1">
        <v>0.75</v>
      </c>
      <c r="H47" s="533">
        <v>386</v>
      </c>
      <c r="I47" s="533"/>
      <c r="J47" s="948" t="s">
        <v>95</v>
      </c>
      <c r="K47" s="12"/>
      <c r="L47" s="12"/>
      <c r="M47" s="12"/>
      <c r="N47" s="12"/>
    </row>
    <row r="48" spans="2:14" ht="21.4" customHeight="1" x14ac:dyDescent="0.35">
      <c r="B48" s="527" t="s">
        <v>96</v>
      </c>
      <c r="C48" s="532">
        <v>71</v>
      </c>
      <c r="D48" s="532">
        <v>24</v>
      </c>
      <c r="E48" s="532">
        <v>237</v>
      </c>
      <c r="F48" s="532">
        <v>0</v>
      </c>
      <c r="G48" s="1">
        <v>0.71</v>
      </c>
      <c r="H48" s="538">
        <v>332</v>
      </c>
      <c r="I48" s="538"/>
      <c r="J48" s="948"/>
      <c r="K48" s="12"/>
      <c r="L48" s="12"/>
      <c r="M48" s="12"/>
      <c r="N48" s="12"/>
    </row>
    <row r="49" spans="2:14" ht="21.4" customHeight="1" x14ac:dyDescent="0.35">
      <c r="B49" s="713" t="s">
        <v>97</v>
      </c>
      <c r="C49" s="532">
        <v>57</v>
      </c>
      <c r="D49" s="532">
        <v>25</v>
      </c>
      <c r="E49" s="532">
        <v>252</v>
      </c>
      <c r="F49" s="532">
        <v>0</v>
      </c>
      <c r="G49" s="1">
        <v>0.75</v>
      </c>
      <c r="H49" s="538">
        <v>334</v>
      </c>
      <c r="I49" s="538"/>
      <c r="J49" s="948"/>
      <c r="K49" s="12"/>
      <c r="L49" s="12"/>
      <c r="M49" s="12"/>
      <c r="N49" s="12"/>
    </row>
    <row r="50" spans="2:14" ht="21.4" customHeight="1" x14ac:dyDescent="0.35">
      <c r="B50" s="734">
        <v>2023</v>
      </c>
      <c r="C50" s="484">
        <v>51</v>
      </c>
      <c r="D50" s="484">
        <v>13</v>
      </c>
      <c r="E50" s="484">
        <v>247</v>
      </c>
      <c r="F50" s="484">
        <v>0</v>
      </c>
      <c r="G50" s="542">
        <f>(E50)/H50</f>
        <v>0.79421221864951763</v>
      </c>
      <c r="H50" s="534">
        <v>311</v>
      </c>
      <c r="I50" s="538"/>
      <c r="J50" s="948"/>
      <c r="K50" s="12"/>
      <c r="L50" s="12"/>
      <c r="M50" s="12"/>
      <c r="N50" s="12"/>
    </row>
    <row r="51" spans="2:14" ht="21.4" customHeight="1" x14ac:dyDescent="0.35">
      <c r="B51" s="854">
        <v>2024</v>
      </c>
      <c r="C51" s="532">
        <v>82</v>
      </c>
      <c r="D51" s="532">
        <v>17</v>
      </c>
      <c r="E51" s="532">
        <v>207</v>
      </c>
      <c r="F51" s="532">
        <v>2</v>
      </c>
      <c r="G51" s="542">
        <f>(E51)/H51</f>
        <v>0.67207792207792205</v>
      </c>
      <c r="H51" s="543">
        <v>308</v>
      </c>
      <c r="I51" s="543"/>
      <c r="J51" s="948"/>
      <c r="K51" s="12"/>
      <c r="L51" s="12"/>
      <c r="M51" s="12"/>
      <c r="N51" s="12"/>
    </row>
    <row r="52" spans="2:14" ht="21.4" customHeight="1" x14ac:dyDescent="0.35">
      <c r="B52" s="374"/>
      <c r="C52" s="484"/>
      <c r="D52" s="484"/>
      <c r="E52" s="484"/>
      <c r="F52" s="484"/>
      <c r="G52" s="542"/>
      <c r="H52" s="490"/>
      <c r="K52" s="12"/>
      <c r="L52" s="12"/>
      <c r="M52" s="12"/>
      <c r="N52" s="12"/>
    </row>
    <row r="53" spans="2:14" ht="21.4" customHeight="1" x14ac:dyDescent="0.35">
      <c r="B53" s="949" t="s">
        <v>103</v>
      </c>
      <c r="C53" s="949"/>
      <c r="D53" s="949"/>
      <c r="E53" s="949"/>
      <c r="F53" s="949"/>
      <c r="G53" s="949"/>
      <c r="H53" s="949"/>
      <c r="K53" s="12"/>
      <c r="L53" s="12"/>
      <c r="M53" s="12"/>
      <c r="N53" s="12"/>
    </row>
    <row r="54" spans="2:14" ht="51.75" customHeight="1" x14ac:dyDescent="0.35">
      <c r="B54" s="540"/>
      <c r="C54" s="540" t="s">
        <v>99</v>
      </c>
      <c r="D54" s="540" t="s">
        <v>100</v>
      </c>
      <c r="E54" s="540" t="s">
        <v>101</v>
      </c>
      <c r="F54" s="541" t="s">
        <v>102</v>
      </c>
      <c r="G54" s="541" t="s">
        <v>92</v>
      </c>
      <c r="H54" s="541" t="s">
        <v>93</v>
      </c>
      <c r="I54" s="541"/>
      <c r="J54" s="87" t="s">
        <v>23</v>
      </c>
      <c r="K54" s="12"/>
      <c r="L54" s="12"/>
      <c r="M54" s="12"/>
      <c r="N54" s="12"/>
    </row>
    <row r="55" spans="2:14" ht="21.4" customHeight="1" x14ac:dyDescent="0.35">
      <c r="B55" s="712">
        <v>2020</v>
      </c>
      <c r="C55" s="532">
        <v>418</v>
      </c>
      <c r="D55" s="532">
        <v>36</v>
      </c>
      <c r="E55" s="532">
        <v>78</v>
      </c>
      <c r="F55" s="532">
        <v>0</v>
      </c>
      <c r="G55" s="1">
        <v>0.15</v>
      </c>
      <c r="H55" s="533">
        <v>532</v>
      </c>
      <c r="I55" s="533"/>
      <c r="J55" s="948" t="s">
        <v>95</v>
      </c>
      <c r="K55" s="12"/>
      <c r="L55" s="12"/>
      <c r="M55" s="12"/>
      <c r="N55" s="12"/>
    </row>
    <row r="56" spans="2:14" ht="21.4" customHeight="1" x14ac:dyDescent="0.35">
      <c r="B56" s="527" t="s">
        <v>96</v>
      </c>
      <c r="C56" s="532">
        <v>358</v>
      </c>
      <c r="D56" s="532">
        <v>33</v>
      </c>
      <c r="E56" s="532">
        <v>95</v>
      </c>
      <c r="F56" s="532">
        <v>0</v>
      </c>
      <c r="G56" s="1">
        <v>0.19500000000000001</v>
      </c>
      <c r="H56" s="538">
        <v>486</v>
      </c>
      <c r="I56" s="538"/>
      <c r="J56" s="948"/>
      <c r="K56" s="12"/>
      <c r="L56" s="12"/>
      <c r="M56" s="12"/>
      <c r="N56" s="12"/>
    </row>
    <row r="57" spans="2:14" ht="21.4" customHeight="1" x14ac:dyDescent="0.35">
      <c r="B57" s="713" t="s">
        <v>97</v>
      </c>
      <c r="C57" s="532">
        <v>294</v>
      </c>
      <c r="D57" s="532">
        <v>30</v>
      </c>
      <c r="E57" s="532">
        <v>140</v>
      </c>
      <c r="F57" s="532">
        <v>1</v>
      </c>
      <c r="G57" s="1">
        <v>0.30299999999999999</v>
      </c>
      <c r="H57" s="538">
        <v>465</v>
      </c>
      <c r="I57" s="538"/>
      <c r="J57" s="948"/>
      <c r="K57" s="12"/>
      <c r="L57" s="12"/>
      <c r="M57" s="12"/>
      <c r="N57" s="12"/>
    </row>
    <row r="58" spans="2:14" ht="21.4" customHeight="1" x14ac:dyDescent="0.35">
      <c r="B58" s="734">
        <v>2023</v>
      </c>
      <c r="C58" s="532">
        <v>263</v>
      </c>
      <c r="D58" s="532">
        <v>27</v>
      </c>
      <c r="E58" s="532">
        <v>154</v>
      </c>
      <c r="F58" s="532">
        <v>1</v>
      </c>
      <c r="G58" s="1">
        <v>0.34799999999999998</v>
      </c>
      <c r="H58" s="538">
        <v>445</v>
      </c>
      <c r="I58" s="538"/>
      <c r="J58" s="948"/>
      <c r="K58" s="12"/>
      <c r="L58" s="12"/>
      <c r="M58" s="12"/>
      <c r="N58" s="12"/>
    </row>
    <row r="59" spans="2:14" ht="21.4" customHeight="1" x14ac:dyDescent="0.35">
      <c r="B59" s="854">
        <v>2024</v>
      </c>
      <c r="C59" s="495">
        <v>292</v>
      </c>
      <c r="D59" s="495">
        <v>22</v>
      </c>
      <c r="E59" s="495">
        <v>123</v>
      </c>
      <c r="F59" s="495">
        <v>15</v>
      </c>
      <c r="G59" s="544">
        <v>0.30499999999999999</v>
      </c>
      <c r="H59" s="543">
        <v>452</v>
      </c>
      <c r="I59" s="543"/>
      <c r="J59" s="948"/>
      <c r="K59" s="12"/>
      <c r="L59" s="12"/>
      <c r="M59" s="12"/>
      <c r="N59" s="12"/>
    </row>
    <row r="60" spans="2:14" ht="21.4" customHeight="1" x14ac:dyDescent="0.35">
      <c r="B60" s="545"/>
      <c r="C60" s="484"/>
      <c r="D60" s="484"/>
      <c r="E60" s="484"/>
      <c r="F60" s="484"/>
      <c r="G60" s="542"/>
      <c r="H60" s="490"/>
      <c r="I60" s="12"/>
      <c r="K60" s="12"/>
      <c r="L60" s="12"/>
      <c r="M60" s="12"/>
      <c r="N60" s="12"/>
    </row>
    <row r="61" spans="2:14" ht="21.4" customHeight="1" x14ac:dyDescent="0.35">
      <c r="B61" s="949" t="s">
        <v>104</v>
      </c>
      <c r="C61" s="949"/>
      <c r="D61" s="949"/>
      <c r="E61" s="949"/>
      <c r="F61" s="949"/>
      <c r="G61" s="949"/>
      <c r="H61" s="949"/>
      <c r="I61" s="949"/>
      <c r="K61" s="12"/>
      <c r="L61" s="12"/>
      <c r="M61" s="12"/>
      <c r="N61" s="12"/>
    </row>
    <row r="62" spans="2:14" ht="56.5" customHeight="1" x14ac:dyDescent="0.35">
      <c r="B62" s="511"/>
      <c r="C62" s="556" t="s">
        <v>88</v>
      </c>
      <c r="D62" s="556" t="s">
        <v>89</v>
      </c>
      <c r="E62" s="556" t="s">
        <v>90</v>
      </c>
      <c r="F62" s="556" t="s">
        <v>91</v>
      </c>
      <c r="G62" s="556" t="s">
        <v>92</v>
      </c>
      <c r="H62" s="556" t="s">
        <v>93</v>
      </c>
      <c r="I62" s="556"/>
      <c r="J62" s="87" t="s">
        <v>23</v>
      </c>
      <c r="K62" s="12"/>
      <c r="L62" s="12"/>
      <c r="M62" s="12"/>
      <c r="N62" s="12"/>
    </row>
    <row r="63" spans="2:14" ht="21.4" customHeight="1" x14ac:dyDescent="0.35">
      <c r="B63" s="712">
        <v>2020</v>
      </c>
      <c r="C63" s="532">
        <v>336</v>
      </c>
      <c r="D63" s="532">
        <v>0</v>
      </c>
      <c r="E63" s="532">
        <v>119</v>
      </c>
      <c r="F63" s="532">
        <v>0</v>
      </c>
      <c r="G63" s="1">
        <f>(F63+E63)/(H63)</f>
        <v>0.26153846153846155</v>
      </c>
      <c r="H63" s="533">
        <v>455</v>
      </c>
      <c r="I63" s="533"/>
      <c r="J63" s="948" t="s">
        <v>95</v>
      </c>
      <c r="K63" s="12"/>
      <c r="L63" s="12"/>
      <c r="M63" s="12"/>
      <c r="N63" s="12"/>
    </row>
    <row r="64" spans="2:14" ht="21.4" customHeight="1" x14ac:dyDescent="0.35">
      <c r="B64" s="527" t="s">
        <v>96</v>
      </c>
      <c r="C64" s="491">
        <v>147</v>
      </c>
      <c r="D64" s="491">
        <v>0</v>
      </c>
      <c r="E64" s="491">
        <v>224</v>
      </c>
      <c r="F64" s="491">
        <v>0</v>
      </c>
      <c r="G64" s="1">
        <f t="shared" ref="G64:G65" si="8">(F64+E64)/(H64)</f>
        <v>0.60377358490566035</v>
      </c>
      <c r="H64" s="538">
        <v>371</v>
      </c>
      <c r="I64" s="538"/>
      <c r="J64" s="948"/>
      <c r="K64" s="12"/>
      <c r="L64" s="12"/>
      <c r="M64" s="12"/>
      <c r="N64" s="12"/>
    </row>
    <row r="65" spans="2:14" ht="21.4" customHeight="1" x14ac:dyDescent="0.35">
      <c r="B65" s="713" t="s">
        <v>97</v>
      </c>
      <c r="C65" s="492">
        <v>142</v>
      </c>
      <c r="D65" s="492">
        <v>0</v>
      </c>
      <c r="E65" s="492">
        <v>216</v>
      </c>
      <c r="F65" s="492">
        <v>0</v>
      </c>
      <c r="G65" s="1">
        <f t="shared" si="8"/>
        <v>0.6033519553072626</v>
      </c>
      <c r="H65" s="538">
        <v>358</v>
      </c>
      <c r="I65" s="538"/>
      <c r="J65" s="948"/>
      <c r="K65" s="12"/>
      <c r="L65" s="12"/>
      <c r="M65" s="12"/>
      <c r="N65" s="12"/>
    </row>
    <row r="66" spans="2:14" ht="21.4" customHeight="1" x14ac:dyDescent="0.35">
      <c r="B66" s="734">
        <v>2023</v>
      </c>
      <c r="C66" s="492">
        <v>135</v>
      </c>
      <c r="D66" s="492">
        <v>0</v>
      </c>
      <c r="E66" s="492">
        <v>208</v>
      </c>
      <c r="F66" s="492">
        <v>0</v>
      </c>
      <c r="G66" s="1">
        <f>(F66+E66)/(H66)</f>
        <v>0.60641399416909625</v>
      </c>
      <c r="H66" s="538">
        <f>E66+C66</f>
        <v>343</v>
      </c>
      <c r="I66" s="538"/>
      <c r="J66" s="948"/>
      <c r="K66" s="12"/>
      <c r="L66" s="12"/>
      <c r="M66" s="12"/>
      <c r="N66" s="12"/>
    </row>
    <row r="67" spans="2:14" ht="21.4" customHeight="1" x14ac:dyDescent="0.35">
      <c r="B67" s="735">
        <v>2024</v>
      </c>
      <c r="C67" s="484">
        <v>103</v>
      </c>
      <c r="D67" s="492">
        <v>0</v>
      </c>
      <c r="E67" s="484">
        <v>202</v>
      </c>
      <c r="F67" s="492">
        <v>0</v>
      </c>
      <c r="G67" s="1">
        <f>(F67+E67)/(H67)</f>
        <v>0.6622950819672131</v>
      </c>
      <c r="H67" s="538">
        <f>E67+C67</f>
        <v>305</v>
      </c>
      <c r="I67" s="490"/>
      <c r="J67" s="948"/>
      <c r="K67" s="12"/>
      <c r="L67" s="12"/>
      <c r="M67" s="12"/>
      <c r="N67" s="12"/>
    </row>
    <row r="68" spans="2:14" ht="21.4" customHeight="1" x14ac:dyDescent="0.35">
      <c r="B68" s="476"/>
      <c r="C68" s="484"/>
      <c r="D68" s="484"/>
      <c r="E68" s="484"/>
      <c r="F68" s="484"/>
      <c r="G68" s="542"/>
      <c r="H68" s="490"/>
      <c r="I68" s="490"/>
      <c r="J68" s="948"/>
      <c r="K68" s="12"/>
      <c r="L68" s="12"/>
      <c r="M68" s="12"/>
      <c r="N68" s="12"/>
    </row>
    <row r="69" spans="2:14" ht="25.15" customHeight="1" x14ac:dyDescent="0.35">
      <c r="B69" s="949" t="s">
        <v>447</v>
      </c>
      <c r="C69" s="949"/>
      <c r="D69" s="949"/>
      <c r="E69" s="949"/>
      <c r="F69" s="949"/>
      <c r="G69" s="949"/>
      <c r="H69" s="949"/>
      <c r="I69" s="949"/>
      <c r="K69" s="12"/>
      <c r="L69" s="12"/>
      <c r="M69" s="12"/>
      <c r="N69" s="12"/>
    </row>
    <row r="70" spans="2:14" ht="43" customHeight="1" x14ac:dyDescent="0.35">
      <c r="B70" s="511"/>
      <c r="C70" s="556" t="s">
        <v>415</v>
      </c>
      <c r="D70" s="556" t="s">
        <v>105</v>
      </c>
      <c r="E70" s="556" t="s">
        <v>28</v>
      </c>
      <c r="F70" s="556" t="s">
        <v>106</v>
      </c>
      <c r="G70" s="556" t="s">
        <v>49</v>
      </c>
      <c r="H70" s="556"/>
      <c r="I70" s="511"/>
      <c r="J70" s="511"/>
      <c r="K70" s="12"/>
      <c r="L70" s="12"/>
      <c r="M70" s="12"/>
      <c r="N70" s="12"/>
    </row>
    <row r="71" spans="2:14" ht="21.4" customHeight="1" x14ac:dyDescent="0.35">
      <c r="B71" s="714">
        <v>2020</v>
      </c>
      <c r="C71" s="1">
        <v>0.75</v>
      </c>
      <c r="D71" s="1">
        <v>0.15</v>
      </c>
      <c r="E71" s="1">
        <f t="shared" ref="E71:E72" si="9">G63</f>
        <v>0.26153846153846155</v>
      </c>
      <c r="F71" s="1">
        <v>0.1</v>
      </c>
      <c r="G71" s="1">
        <f>(E63+E55+E47+E39)/(H39+H47+H55+H63)</f>
        <v>0.1984126984126984</v>
      </c>
      <c r="H71" s="546"/>
      <c r="I71" s="546"/>
      <c r="J71" s="546"/>
    </row>
    <row r="72" spans="2:14" ht="21.4" customHeight="1" x14ac:dyDescent="0.35">
      <c r="B72" s="715" t="s">
        <v>96</v>
      </c>
      <c r="C72" s="1">
        <v>0.71</v>
      </c>
      <c r="D72" s="1">
        <v>0.19500000000000001</v>
      </c>
      <c r="E72" s="1">
        <f t="shared" si="9"/>
        <v>0.60377358490566035</v>
      </c>
      <c r="F72" s="1">
        <v>0.47</v>
      </c>
      <c r="G72" s="1">
        <f>(E64+E56+E48+E40)/(H40+H48+H56+H64)</f>
        <v>0.46595083356880473</v>
      </c>
      <c r="H72" s="546"/>
      <c r="I72" s="546"/>
      <c r="J72" s="546"/>
    </row>
    <row r="73" spans="2:14" ht="21.4" customHeight="1" x14ac:dyDescent="0.35">
      <c r="B73" s="716" t="s">
        <v>97</v>
      </c>
      <c r="C73" s="1">
        <v>0.75</v>
      </c>
      <c r="D73" s="1">
        <v>0.30299999999999999</v>
      </c>
      <c r="E73" s="1">
        <f>G65</f>
        <v>0.6033519553072626</v>
      </c>
      <c r="F73" s="1">
        <f>G41</f>
        <v>0.6881342701014832</v>
      </c>
      <c r="G73" s="1">
        <f>(E65+E57+F57+E49+E41+F41)/(H41+H49+H57+H65)</f>
        <v>0.63780586179080401</v>
      </c>
      <c r="H73" s="546"/>
      <c r="I73" s="546"/>
      <c r="J73" s="546"/>
    </row>
    <row r="74" spans="2:14" ht="21.4" customHeight="1" x14ac:dyDescent="0.35">
      <c r="B74" s="716">
        <v>2023</v>
      </c>
      <c r="C74" s="1">
        <v>0.79</v>
      </c>
      <c r="D74" s="1">
        <v>0.34799999999999998</v>
      </c>
      <c r="E74" s="1">
        <f>G66</f>
        <v>0.60641399416909625</v>
      </c>
      <c r="F74" s="1">
        <f t="shared" ref="F74" si="10">G42</f>
        <v>0.71807692307692306</v>
      </c>
      <c r="G74" s="1">
        <f>(E66+E58+F58+E50+E42+F42)/(H42+H50+H58+H66)</f>
        <v>0.66964044336307105</v>
      </c>
      <c r="H74" s="546"/>
      <c r="I74" s="546"/>
      <c r="J74" s="546"/>
    </row>
    <row r="75" spans="2:14" ht="15" customHeight="1" x14ac:dyDescent="0.35">
      <c r="B75" s="715">
        <v>2024</v>
      </c>
      <c r="C75" s="1">
        <f>G51</f>
        <v>0.67207792207792205</v>
      </c>
      <c r="D75" s="1">
        <f>G59</f>
        <v>0.30499999999999999</v>
      </c>
      <c r="E75" s="1">
        <f>G67</f>
        <v>0.6622950819672131</v>
      </c>
      <c r="F75" s="1">
        <f>G43</f>
        <v>0.64001892147587514</v>
      </c>
      <c r="G75" s="1">
        <f>(E67+E59+F59+E51+E43+F43)/(H43+H51+H59+H67)</f>
        <v>0.5976722239698018</v>
      </c>
      <c r="H75" s="1"/>
      <c r="I75" s="1"/>
    </row>
    <row r="77" spans="2:14" ht="29.65" customHeight="1" x14ac:dyDescent="0.35"/>
    <row r="78" spans="2:14" ht="57" customHeight="1" x14ac:dyDescent="0.35"/>
    <row r="79" spans="2:14" ht="80.650000000000006" customHeight="1" x14ac:dyDescent="0.35"/>
    <row r="81" spans="2:3" ht="30.4" customHeight="1" x14ac:dyDescent="0.35"/>
    <row r="82" spans="2:3" ht="15" customHeight="1" x14ac:dyDescent="0.35"/>
    <row r="83" spans="2:3" ht="15" customHeight="1" x14ac:dyDescent="0.35"/>
    <row r="86" spans="2:3" ht="14.25" customHeight="1" x14ac:dyDescent="0.35"/>
    <row r="87" spans="2:3" ht="14.25" customHeight="1" x14ac:dyDescent="0.35"/>
    <row r="89" spans="2:3" x14ac:dyDescent="0.35">
      <c r="B89" s="12"/>
      <c r="C89" s="12"/>
    </row>
    <row r="90" spans="2:3" x14ac:dyDescent="0.35">
      <c r="B90" s="12"/>
      <c r="C90" s="12"/>
    </row>
    <row r="91" spans="2:3" x14ac:dyDescent="0.35">
      <c r="B91" s="12"/>
      <c r="C91" s="12"/>
    </row>
    <row r="92" spans="2:3" x14ac:dyDescent="0.35">
      <c r="B92" s="12"/>
      <c r="C92" s="12"/>
    </row>
  </sheetData>
  <mergeCells count="26">
    <mergeCell ref="J63:J68"/>
    <mergeCell ref="B45:F45"/>
    <mergeCell ref="B61:I61"/>
    <mergeCell ref="B69:I69"/>
    <mergeCell ref="B15:J15"/>
    <mergeCell ref="B36:E36"/>
    <mergeCell ref="B37:F37"/>
    <mergeCell ref="G37:H37"/>
    <mergeCell ref="B30:J30"/>
    <mergeCell ref="J32:J35"/>
    <mergeCell ref="J39:J43"/>
    <mergeCell ref="J47:J51"/>
    <mergeCell ref="J55:J59"/>
    <mergeCell ref="E32:E35"/>
    <mergeCell ref="B53:H53"/>
    <mergeCell ref="B7:F7"/>
    <mergeCell ref="J9:J13"/>
    <mergeCell ref="I23:I24"/>
    <mergeCell ref="I26:I27"/>
    <mergeCell ref="I20:I21"/>
    <mergeCell ref="I17:I18"/>
    <mergeCell ref="B20:B22"/>
    <mergeCell ref="B17:B19"/>
    <mergeCell ref="B23:B25"/>
    <mergeCell ref="B26:B28"/>
    <mergeCell ref="J17:J28"/>
  </mergeCells>
  <pageMargins left="0.7" right="0.7" top="0.75" bottom="0.75" header="0.3" footer="0.3"/>
  <pageSetup paperSize="9" orientation="portrait" r:id="rId1"/>
  <headerFooter scaleWithDoc="0"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Z12"/>
  <sheetViews>
    <sheetView showGridLines="0" zoomScale="50" zoomScaleNormal="50" workbookViewId="0">
      <selection activeCell="G21" sqref="G21"/>
    </sheetView>
  </sheetViews>
  <sheetFormatPr defaultColWidth="9.26953125" defaultRowHeight="14" x14ac:dyDescent="0.35"/>
  <cols>
    <col min="1" max="1" width="3.7265625" style="12" customWidth="1"/>
    <col min="2" max="2" width="10.7265625" style="12" customWidth="1"/>
    <col min="3" max="3" width="13.26953125" style="12" customWidth="1"/>
    <col min="4" max="4" width="11.453125" style="12" customWidth="1"/>
    <col min="5" max="6" width="10.7265625" style="12" customWidth="1"/>
    <col min="7" max="7" width="12.1796875" style="12" customWidth="1"/>
    <col min="8" max="8" width="11.1796875" style="12" customWidth="1"/>
    <col min="9" max="9" width="15.1796875" style="12" customWidth="1"/>
    <col min="10" max="10" width="11.54296875" style="12" customWidth="1"/>
    <col min="11" max="13" width="10.7265625" style="12" customWidth="1"/>
    <col min="14" max="14" width="9.26953125" style="12" customWidth="1"/>
    <col min="15" max="16384" width="9.26953125" style="12"/>
  </cols>
  <sheetData>
    <row r="1" spans="2:26" ht="15" customHeight="1" x14ac:dyDescent="0.35"/>
    <row r="2" spans="2:26" ht="15" customHeight="1" x14ac:dyDescent="0.35"/>
    <row r="3" spans="2:26" ht="15" customHeight="1" x14ac:dyDescent="0.35"/>
    <row r="4" spans="2:26" ht="15" customHeight="1" x14ac:dyDescent="0.35"/>
    <row r="5" spans="2:26" ht="24" customHeight="1" x14ac:dyDescent="0.35">
      <c r="B5" s="951" t="s">
        <v>474</v>
      </c>
      <c r="C5" s="951"/>
      <c r="D5" s="951"/>
      <c r="E5" s="951"/>
      <c r="F5" s="951"/>
      <c r="G5" s="951"/>
      <c r="H5" s="951"/>
      <c r="I5" s="951"/>
      <c r="J5" s="468"/>
      <c r="K5" s="468"/>
      <c r="L5" s="468"/>
      <c r="V5" s="499"/>
      <c r="W5" s="499"/>
      <c r="X5" s="499"/>
      <c r="Y5" s="499"/>
      <c r="Z5" s="499"/>
    </row>
    <row r="6" spans="2:26" ht="44" customHeight="1" x14ac:dyDescent="0.35">
      <c r="B6" s="500"/>
      <c r="C6" s="556" t="s">
        <v>25</v>
      </c>
      <c r="D6" s="556" t="s">
        <v>107</v>
      </c>
      <c r="E6" s="556" t="s">
        <v>415</v>
      </c>
      <c r="F6" s="556" t="s">
        <v>107</v>
      </c>
      <c r="G6" s="556" t="s">
        <v>105</v>
      </c>
      <c r="H6" s="556" t="s">
        <v>107</v>
      </c>
      <c r="I6" s="556" t="s">
        <v>28</v>
      </c>
      <c r="J6" s="556" t="s">
        <v>107</v>
      </c>
      <c r="K6" s="556" t="s">
        <v>49</v>
      </c>
      <c r="L6" s="556"/>
      <c r="M6" s="87" t="s">
        <v>23</v>
      </c>
    </row>
    <row r="7" spans="2:26" ht="25.15" customHeight="1" x14ac:dyDescent="0.35">
      <c r="B7" s="501" t="s">
        <v>96</v>
      </c>
      <c r="C7" s="502">
        <v>57798</v>
      </c>
      <c r="D7" s="502"/>
      <c r="E7" s="502">
        <v>4218.1000000000004</v>
      </c>
      <c r="F7" s="502"/>
      <c r="G7" s="502">
        <v>10021</v>
      </c>
      <c r="H7" s="502"/>
      <c r="I7" s="502">
        <v>21000</v>
      </c>
      <c r="J7" s="109"/>
      <c r="K7" s="109">
        <f>SUM(C7:I7)</f>
        <v>93037.1</v>
      </c>
      <c r="L7" s="109"/>
      <c r="M7" s="948" t="s">
        <v>108</v>
      </c>
    </row>
    <row r="8" spans="2:26" ht="29.25" customHeight="1" x14ac:dyDescent="0.35">
      <c r="B8" s="503" t="s">
        <v>97</v>
      </c>
      <c r="C8" s="473">
        <v>45754</v>
      </c>
      <c r="D8" s="504">
        <f>-1+C8/C7</f>
        <v>-0.20838091283435412</v>
      </c>
      <c r="E8" s="473">
        <v>5129.17</v>
      </c>
      <c r="F8" s="504">
        <f>-1+E8/E7</f>
        <v>0.21599061188686841</v>
      </c>
      <c r="G8" s="473">
        <v>9302</v>
      </c>
      <c r="H8" s="504">
        <f>-1+G8/G7</f>
        <v>-7.1749326414529468E-2</v>
      </c>
      <c r="I8" s="473">
        <v>21860</v>
      </c>
      <c r="J8" s="504">
        <f>-1+I8/I7</f>
        <v>4.0952380952380851E-2</v>
      </c>
      <c r="K8" s="109">
        <f t="shared" ref="K8:K10" si="0">SUM(C8:I8)</f>
        <v>82045.105860372641</v>
      </c>
      <c r="L8" s="109"/>
      <c r="M8" s="948"/>
    </row>
    <row r="9" spans="2:26" ht="21.4" customHeight="1" x14ac:dyDescent="0.35">
      <c r="B9" s="503">
        <v>2023</v>
      </c>
      <c r="C9" s="473">
        <v>42567</v>
      </c>
      <c r="D9" s="504">
        <f>-1+C9/C8</f>
        <v>-6.9655112121344565E-2</v>
      </c>
      <c r="E9" s="473">
        <v>4091</v>
      </c>
      <c r="F9" s="504">
        <f>-1+E9/E8</f>
        <v>-0.2024050674865524</v>
      </c>
      <c r="G9" s="473">
        <v>5983</v>
      </c>
      <c r="H9" s="504">
        <f>-1+G9/G8</f>
        <v>-0.35680498817458606</v>
      </c>
      <c r="I9" s="473">
        <v>13254</v>
      </c>
      <c r="J9" s="504">
        <f t="shared" ref="J9:J10" si="1">-1+I9/I8</f>
        <v>-0.39368709972552607</v>
      </c>
      <c r="K9" s="109">
        <f t="shared" si="0"/>
        <v>65894.37113483221</v>
      </c>
      <c r="L9" s="109"/>
      <c r="M9" s="948"/>
    </row>
    <row r="10" spans="2:26" x14ac:dyDescent="0.35">
      <c r="B10" s="503">
        <v>2024</v>
      </c>
      <c r="C10" s="473">
        <v>39130</v>
      </c>
      <c r="D10" s="504">
        <f>-1+C10/C9</f>
        <v>-8.0743298799539565E-2</v>
      </c>
      <c r="E10" s="428">
        <v>5430</v>
      </c>
      <c r="F10" s="504">
        <f t="shared" ref="F10" si="2">-1+E10/E9</f>
        <v>0.32730383769249571</v>
      </c>
      <c r="G10" s="109">
        <v>7543</v>
      </c>
      <c r="H10" s="504">
        <f t="shared" ref="H10" si="3">-1+G10/G9</f>
        <v>0.26073875981948857</v>
      </c>
      <c r="I10" s="505">
        <v>3427.52</v>
      </c>
      <c r="J10" s="506">
        <f t="shared" si="1"/>
        <v>-0.74139731401840958</v>
      </c>
      <c r="K10" s="109">
        <f t="shared" si="0"/>
        <v>55531.027299298708</v>
      </c>
      <c r="L10" s="109"/>
    </row>
    <row r="11" spans="2:26" x14ac:dyDescent="0.35">
      <c r="I11" s="507"/>
    </row>
    <row r="12" spans="2:26" x14ac:dyDescent="0.35">
      <c r="I12" s="508"/>
      <c r="J12" s="509"/>
    </row>
  </sheetData>
  <mergeCells count="2">
    <mergeCell ref="B5:I5"/>
    <mergeCell ref="M7:M9"/>
  </mergeCells>
  <pageMargins left="0.7" right="0.7" top="0.75" bottom="0.75" header="0.3" footer="0.3"/>
  <headerFooter scaleWithDoc="0" alignWithMargins="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9"/>
  <sheetViews>
    <sheetView showGridLines="0" zoomScale="50" zoomScaleNormal="50" workbookViewId="0">
      <selection activeCell="J31" sqref="J31"/>
    </sheetView>
  </sheetViews>
  <sheetFormatPr defaultColWidth="9.26953125" defaultRowHeight="14" x14ac:dyDescent="0.35"/>
  <cols>
    <col min="1" max="1" width="3.7265625" style="12" customWidth="1"/>
    <col min="2" max="2" width="10.54296875" style="13" customWidth="1"/>
    <col min="3" max="3" width="29.26953125" style="13" customWidth="1"/>
    <col min="4" max="4" width="29.1796875" style="13" customWidth="1"/>
    <col min="5" max="5" width="14.54296875" style="13" customWidth="1"/>
    <col min="6" max="6" width="16.7265625" style="13" customWidth="1"/>
    <col min="7" max="7" width="14.453125" style="13" customWidth="1"/>
    <col min="8" max="9" width="17.1796875" style="13" customWidth="1"/>
    <col min="10" max="10" width="13.1796875" style="13" customWidth="1"/>
    <col min="11" max="11" width="10.7265625" style="13" customWidth="1"/>
    <col min="12" max="12" width="10" style="12" customWidth="1"/>
    <col min="13" max="13" width="9.26953125" style="12" customWidth="1"/>
    <col min="14" max="16384" width="9.26953125" style="12"/>
  </cols>
  <sheetData>
    <row r="1" spans="2:13" ht="15" customHeight="1" x14ac:dyDescent="0.35"/>
    <row r="2" spans="2:13" ht="15" customHeight="1" x14ac:dyDescent="0.35"/>
    <row r="3" spans="2:13" ht="15" customHeight="1" x14ac:dyDescent="0.35"/>
    <row r="4" spans="2:13" ht="15" customHeight="1" x14ac:dyDescent="0.35"/>
    <row r="5" spans="2:13" ht="24" customHeight="1" thickBot="1" x14ac:dyDescent="0.4">
      <c r="B5" s="725" t="s">
        <v>9</v>
      </c>
      <c r="C5" s="11"/>
      <c r="D5" s="11"/>
      <c r="E5" s="11"/>
      <c r="F5" s="11"/>
      <c r="G5" s="11"/>
      <c r="H5" s="11"/>
      <c r="I5" s="11"/>
      <c r="J5" s="11"/>
      <c r="K5" s="11"/>
      <c r="L5" s="11"/>
    </row>
    <row r="6" spans="2:13" ht="15" customHeight="1" thickTop="1" x14ac:dyDescent="0.35"/>
    <row r="7" spans="2:13" ht="25.15" customHeight="1" x14ac:dyDescent="0.35">
      <c r="B7" s="908" t="s">
        <v>448</v>
      </c>
      <c r="C7" s="908"/>
      <c r="D7" s="908"/>
      <c r="E7" s="908"/>
      <c r="F7" s="908"/>
      <c r="G7" s="908"/>
      <c r="H7" s="908"/>
      <c r="I7" s="908"/>
      <c r="J7" s="908"/>
      <c r="K7" s="469"/>
    </row>
    <row r="8" spans="2:13" ht="55.15" customHeight="1" x14ac:dyDescent="0.35">
      <c r="B8" s="470"/>
      <c r="C8" s="524" t="s">
        <v>450</v>
      </c>
      <c r="D8" s="524" t="s">
        <v>451</v>
      </c>
      <c r="E8" s="524" t="s">
        <v>109</v>
      </c>
      <c r="F8" s="524" t="s">
        <v>110</v>
      </c>
      <c r="G8" s="524" t="s">
        <v>111</v>
      </c>
      <c r="H8" s="524" t="s">
        <v>112</v>
      </c>
      <c r="I8" s="524" t="s">
        <v>113</v>
      </c>
      <c r="J8" s="471"/>
      <c r="K8" s="471"/>
      <c r="L8" s="87" t="s">
        <v>23</v>
      </c>
    </row>
    <row r="9" spans="2:13" ht="21.4" customHeight="1" x14ac:dyDescent="0.35">
      <c r="B9" s="527" t="s">
        <v>96</v>
      </c>
      <c r="C9" s="141">
        <v>96970</v>
      </c>
      <c r="D9" s="472">
        <v>0.89</v>
      </c>
      <c r="E9" s="141">
        <v>311000</v>
      </c>
      <c r="F9" s="141">
        <v>104500</v>
      </c>
      <c r="G9" s="141">
        <f>1000*580.1114</f>
        <v>580111.4</v>
      </c>
      <c r="H9" s="141">
        <v>3400</v>
      </c>
      <c r="I9" s="141">
        <v>64400</v>
      </c>
      <c r="J9" s="105"/>
      <c r="K9" s="105"/>
      <c r="L9" s="874" t="s">
        <v>114</v>
      </c>
    </row>
    <row r="10" spans="2:13" ht="21.4" customHeight="1" x14ac:dyDescent="0.35">
      <c r="B10" s="713" t="s">
        <v>97</v>
      </c>
      <c r="C10" s="473">
        <v>103580</v>
      </c>
      <c r="D10" s="474">
        <v>0.92</v>
      </c>
      <c r="E10" s="473">
        <v>287280</v>
      </c>
      <c r="F10" s="473">
        <v>185900</v>
      </c>
      <c r="G10" s="473">
        <f>1000*321.62508</f>
        <v>321625.08</v>
      </c>
      <c r="H10" s="473">
        <v>5100</v>
      </c>
      <c r="I10" s="473">
        <v>72000</v>
      </c>
      <c r="J10" s="284"/>
      <c r="K10" s="284"/>
      <c r="L10" s="874"/>
    </row>
    <row r="11" spans="2:13" ht="21.4" customHeight="1" x14ac:dyDescent="0.35">
      <c r="B11" s="734">
        <v>2023</v>
      </c>
      <c r="C11" s="473">
        <f>1000*117.22</f>
        <v>117220</v>
      </c>
      <c r="D11" s="474">
        <v>0.88</v>
      </c>
      <c r="E11" s="473">
        <f>1000*78.11</f>
        <v>78110</v>
      </c>
      <c r="F11" s="473">
        <f>1000*166.71177</f>
        <v>166711.76999999999</v>
      </c>
      <c r="G11" s="473">
        <f>1000*181.06755</f>
        <v>181067.55000000002</v>
      </c>
      <c r="H11" s="475">
        <f>1000*0.29</f>
        <v>290</v>
      </c>
      <c r="I11" s="473">
        <f>1000*69.66</f>
        <v>69660</v>
      </c>
      <c r="J11" s="284"/>
      <c r="K11" s="284"/>
      <c r="L11" s="874"/>
    </row>
    <row r="12" spans="2:13" ht="21.4" customHeight="1" x14ac:dyDescent="0.35">
      <c r="B12" s="735">
        <v>2024</v>
      </c>
      <c r="C12" s="477">
        <v>111800</v>
      </c>
      <c r="D12" s="478">
        <v>0.73</v>
      </c>
      <c r="E12" s="477">
        <v>87370</v>
      </c>
      <c r="F12" s="477">
        <v>151800</v>
      </c>
      <c r="G12" s="477">
        <v>151760</v>
      </c>
      <c r="H12" s="477">
        <v>5500</v>
      </c>
      <c r="I12" s="477">
        <v>65800</v>
      </c>
      <c r="J12" s="479"/>
      <c r="K12" s="479"/>
      <c r="L12" s="874"/>
    </row>
    <row r="13" spans="2:13" x14ac:dyDescent="0.3">
      <c r="B13" s="742" t="s">
        <v>115</v>
      </c>
      <c r="C13" s="12"/>
      <c r="D13" s="12"/>
      <c r="E13" s="12"/>
      <c r="F13" s="12"/>
      <c r="G13" s="17"/>
      <c r="H13" s="12"/>
      <c r="I13" s="12"/>
      <c r="J13" s="12"/>
      <c r="K13" s="12"/>
      <c r="L13" s="874"/>
      <c r="M13" s="480"/>
    </row>
    <row r="14" spans="2:13" ht="25.15" customHeight="1" x14ac:dyDescent="0.35">
      <c r="B14" s="908" t="s">
        <v>449</v>
      </c>
      <c r="C14" s="908"/>
      <c r="D14" s="908"/>
      <c r="E14" s="908"/>
      <c r="F14" s="908"/>
      <c r="G14" s="908"/>
      <c r="H14" s="908"/>
      <c r="I14" s="908"/>
      <c r="J14" s="908"/>
    </row>
    <row r="15" spans="2:13" ht="55.15" customHeight="1" x14ac:dyDescent="0.35">
      <c r="B15" s="470"/>
      <c r="C15" s="524" t="s">
        <v>116</v>
      </c>
      <c r="D15" s="524" t="s">
        <v>117</v>
      </c>
      <c r="E15" s="524" t="s">
        <v>118</v>
      </c>
      <c r="F15" s="524" t="s">
        <v>119</v>
      </c>
      <c r="G15" s="524" t="s">
        <v>120</v>
      </c>
      <c r="H15" s="524" t="s">
        <v>121</v>
      </c>
      <c r="I15" s="524" t="s">
        <v>122</v>
      </c>
      <c r="J15" s="524" t="s">
        <v>123</v>
      </c>
      <c r="K15" s="524"/>
      <c r="L15" s="87" t="s">
        <v>23</v>
      </c>
    </row>
    <row r="16" spans="2:13" ht="21.4" customHeight="1" x14ac:dyDescent="0.35">
      <c r="B16" s="527" t="s">
        <v>96</v>
      </c>
      <c r="C16" s="141">
        <v>41437</v>
      </c>
      <c r="D16" s="141">
        <v>2780</v>
      </c>
      <c r="E16" s="141">
        <v>13780</v>
      </c>
      <c r="F16" s="141">
        <v>370240</v>
      </c>
      <c r="G16" s="482">
        <v>54170</v>
      </c>
      <c r="H16" s="141">
        <v>20320</v>
      </c>
      <c r="I16" s="141">
        <v>1477</v>
      </c>
      <c r="J16" s="141">
        <v>28880</v>
      </c>
      <c r="K16" s="141"/>
      <c r="L16" s="874" t="s">
        <v>124</v>
      </c>
    </row>
    <row r="17" spans="1:12" ht="21.4" customHeight="1" x14ac:dyDescent="0.35">
      <c r="B17" s="713" t="s">
        <v>97</v>
      </c>
      <c r="C17" s="473">
        <v>37817</v>
      </c>
      <c r="D17" s="473">
        <v>1700</v>
      </c>
      <c r="E17" s="473">
        <v>15340</v>
      </c>
      <c r="F17" s="473">
        <v>211923</v>
      </c>
      <c r="G17" s="483">
        <v>76620</v>
      </c>
      <c r="H17" s="141">
        <v>21615</v>
      </c>
      <c r="I17" s="473">
        <v>1656</v>
      </c>
      <c r="J17" s="473">
        <v>21991</v>
      </c>
      <c r="K17" s="473"/>
      <c r="L17" s="874"/>
    </row>
    <row r="18" spans="1:12" ht="21.4" customHeight="1" x14ac:dyDescent="0.35">
      <c r="B18" s="734">
        <v>2023</v>
      </c>
      <c r="C18" s="473">
        <v>67850</v>
      </c>
      <c r="D18" s="473">
        <v>3311</v>
      </c>
      <c r="E18" s="473">
        <v>9550</v>
      </c>
      <c r="F18" s="473">
        <v>47006</v>
      </c>
      <c r="G18" s="483">
        <v>39650</v>
      </c>
      <c r="H18" s="141">
        <v>22804</v>
      </c>
      <c r="I18" s="473">
        <v>2809</v>
      </c>
      <c r="J18" s="473">
        <v>17700</v>
      </c>
      <c r="K18" s="473"/>
      <c r="L18" s="874"/>
    </row>
    <row r="19" spans="1:12" ht="21.4" customHeight="1" x14ac:dyDescent="0.35">
      <c r="B19" s="735">
        <v>2024</v>
      </c>
      <c r="C19" s="484">
        <v>71325</v>
      </c>
      <c r="D19" s="109">
        <v>4255</v>
      </c>
      <c r="E19" s="109">
        <v>10386</v>
      </c>
      <c r="F19" s="109">
        <v>57225.63</v>
      </c>
      <c r="G19" s="485" t="s">
        <v>42</v>
      </c>
      <c r="H19" s="486" t="s">
        <v>42</v>
      </c>
      <c r="I19" s="487">
        <v>9193.36</v>
      </c>
      <c r="J19" s="109">
        <v>22790</v>
      </c>
      <c r="K19" s="488"/>
      <c r="L19" s="874"/>
    </row>
    <row r="20" spans="1:12" ht="127" customHeight="1" x14ac:dyDescent="0.35">
      <c r="A20" s="12" t="s">
        <v>466</v>
      </c>
      <c r="B20" s="743" t="s">
        <v>115</v>
      </c>
      <c r="C20" s="109"/>
      <c r="D20" s="109"/>
      <c r="E20" s="109"/>
      <c r="F20" s="109"/>
      <c r="G20" s="109"/>
      <c r="H20" s="490"/>
      <c r="I20" s="490"/>
      <c r="J20" s="855" t="s">
        <v>454</v>
      </c>
      <c r="K20" s="490"/>
      <c r="L20" s="874"/>
    </row>
    <row r="21" spans="1:12" ht="25.15" customHeight="1" x14ac:dyDescent="0.35">
      <c r="B21" s="908" t="s">
        <v>452</v>
      </c>
      <c r="C21" s="908"/>
      <c r="D21" s="908"/>
      <c r="E21" s="908"/>
      <c r="F21" s="908"/>
      <c r="G21" s="908"/>
      <c r="H21" s="908"/>
      <c r="I21" s="908"/>
      <c r="J21" s="908"/>
    </row>
    <row r="22" spans="1:12" ht="55.15" customHeight="1" x14ac:dyDescent="0.35">
      <c r="B22" s="470"/>
      <c r="C22" s="958" t="s">
        <v>125</v>
      </c>
      <c r="D22" s="958"/>
      <c r="E22" s="524" t="s">
        <v>117</v>
      </c>
      <c r="F22" s="524" t="s">
        <v>118</v>
      </c>
      <c r="G22" s="524" t="s">
        <v>119</v>
      </c>
      <c r="H22" s="524" t="s">
        <v>121</v>
      </c>
      <c r="I22" s="524" t="s">
        <v>122</v>
      </c>
      <c r="J22" s="524" t="s">
        <v>123</v>
      </c>
      <c r="K22" s="524" t="s">
        <v>453</v>
      </c>
      <c r="L22" s="87" t="s">
        <v>23</v>
      </c>
    </row>
    <row r="23" spans="1:12" ht="21.4" customHeight="1" x14ac:dyDescent="0.35">
      <c r="B23" s="954" t="s">
        <v>96</v>
      </c>
      <c r="C23" s="141" t="s">
        <v>126</v>
      </c>
      <c r="D23" s="491" t="s">
        <v>127</v>
      </c>
      <c r="E23" s="944">
        <v>1085012</v>
      </c>
      <c r="F23" s="944">
        <v>314145</v>
      </c>
      <c r="G23" s="944">
        <v>510911</v>
      </c>
      <c r="H23" s="944">
        <v>4840</v>
      </c>
      <c r="I23" s="944">
        <v>5518</v>
      </c>
      <c r="J23" s="944">
        <v>9310</v>
      </c>
      <c r="K23" s="944">
        <v>25300</v>
      </c>
      <c r="L23" s="874" t="s">
        <v>124</v>
      </c>
    </row>
    <row r="24" spans="1:12" ht="21.4" customHeight="1" x14ac:dyDescent="0.35">
      <c r="B24" s="955"/>
      <c r="C24" s="141" t="s">
        <v>128</v>
      </c>
      <c r="D24" s="491" t="s">
        <v>129</v>
      </c>
      <c r="E24" s="945"/>
      <c r="F24" s="945"/>
      <c r="G24" s="945"/>
      <c r="H24" s="945"/>
      <c r="I24" s="945"/>
      <c r="J24" s="903"/>
      <c r="K24" s="903"/>
      <c r="L24" s="874"/>
    </row>
    <row r="25" spans="1:12" ht="21.4" customHeight="1" x14ac:dyDescent="0.35">
      <c r="B25" s="954" t="s">
        <v>97</v>
      </c>
      <c r="C25" s="473" t="s">
        <v>126</v>
      </c>
      <c r="D25" s="492" t="s">
        <v>130</v>
      </c>
      <c r="E25" s="944">
        <v>710628</v>
      </c>
      <c r="F25" s="944">
        <v>54812</v>
      </c>
      <c r="G25" s="944">
        <v>319061</v>
      </c>
      <c r="H25" s="944">
        <v>1980</v>
      </c>
      <c r="I25" s="944">
        <v>1500</v>
      </c>
      <c r="J25" s="944">
        <v>20760</v>
      </c>
      <c r="K25" s="944">
        <v>25800</v>
      </c>
      <c r="L25" s="874"/>
    </row>
    <row r="26" spans="1:12" ht="21.4" customHeight="1" x14ac:dyDescent="0.35">
      <c r="B26" s="956"/>
      <c r="C26" s="473" t="s">
        <v>128</v>
      </c>
      <c r="D26" s="492" t="s">
        <v>131</v>
      </c>
      <c r="E26" s="903"/>
      <c r="F26" s="903"/>
      <c r="G26" s="903"/>
      <c r="H26" s="903"/>
      <c r="I26" s="903"/>
      <c r="J26" s="903"/>
      <c r="K26" s="903"/>
      <c r="L26" s="874"/>
    </row>
    <row r="27" spans="1:12" ht="21.4" customHeight="1" x14ac:dyDescent="0.35">
      <c r="B27" s="954">
        <v>2023</v>
      </c>
      <c r="C27" s="473" t="s">
        <v>126</v>
      </c>
      <c r="D27" s="492">
        <v>22830</v>
      </c>
      <c r="E27" s="944">
        <v>689713</v>
      </c>
      <c r="F27" s="944">
        <v>66000</v>
      </c>
      <c r="G27" s="944">
        <v>289000</v>
      </c>
      <c r="H27" s="944">
        <v>200</v>
      </c>
      <c r="I27" s="944">
        <v>1293</v>
      </c>
      <c r="J27" s="944">
        <v>9460</v>
      </c>
      <c r="K27" s="944">
        <v>4525</v>
      </c>
      <c r="L27" s="874"/>
    </row>
    <row r="28" spans="1:12" ht="21.4" customHeight="1" x14ac:dyDescent="0.35">
      <c r="B28" s="956"/>
      <c r="C28" s="473" t="s">
        <v>128</v>
      </c>
      <c r="D28" s="492">
        <v>25900</v>
      </c>
      <c r="E28" s="903"/>
      <c r="F28" s="903"/>
      <c r="G28" s="903"/>
      <c r="H28" s="903"/>
      <c r="I28" s="903"/>
      <c r="J28" s="903"/>
      <c r="K28" s="903"/>
      <c r="L28" s="874"/>
    </row>
    <row r="29" spans="1:12" ht="21.4" customHeight="1" x14ac:dyDescent="0.35">
      <c r="B29" s="954">
        <v>2024</v>
      </c>
      <c r="C29" s="493" t="s">
        <v>126</v>
      </c>
      <c r="D29" s="494">
        <v>27590</v>
      </c>
      <c r="E29" s="889">
        <v>374677</v>
      </c>
      <c r="F29" s="889">
        <v>140000</v>
      </c>
      <c r="G29" s="889">
        <v>563870</v>
      </c>
      <c r="H29" s="889">
        <v>180</v>
      </c>
      <c r="I29" s="889">
        <v>1250</v>
      </c>
      <c r="J29" s="889">
        <v>17008</v>
      </c>
      <c r="K29" s="889">
        <v>975</v>
      </c>
      <c r="L29" s="874"/>
    </row>
    <row r="30" spans="1:12" ht="21.4" customHeight="1" x14ac:dyDescent="0.35">
      <c r="B30" s="956">
        <v>2024</v>
      </c>
      <c r="C30" s="493" t="s">
        <v>128</v>
      </c>
      <c r="D30" s="495">
        <v>33790</v>
      </c>
      <c r="E30" s="889"/>
      <c r="F30" s="889"/>
      <c r="G30" s="889"/>
      <c r="H30" s="889"/>
      <c r="I30" s="889"/>
      <c r="J30" s="889"/>
      <c r="K30" s="889"/>
      <c r="L30" s="874"/>
    </row>
    <row r="31" spans="1:12" ht="93.65" customHeight="1" x14ac:dyDescent="0.25">
      <c r="B31" s="496" t="s">
        <v>115</v>
      </c>
      <c r="H31" s="17"/>
      <c r="J31" s="855" t="s">
        <v>132</v>
      </c>
      <c r="L31" s="874"/>
    </row>
    <row r="32" spans="1:12" ht="25.15" customHeight="1" x14ac:dyDescent="0.35">
      <c r="B32" s="957" t="s">
        <v>414</v>
      </c>
      <c r="C32" s="957"/>
      <c r="D32" s="957"/>
      <c r="E32" s="957"/>
      <c r="F32" s="957"/>
      <c r="G32" s="957"/>
      <c r="H32" s="957"/>
      <c r="I32" s="957"/>
      <c r="J32" s="957"/>
    </row>
    <row r="33" spans="2:12" ht="55.15" customHeight="1" x14ac:dyDescent="0.35">
      <c r="B33" s="470"/>
      <c r="C33" s="524" t="s">
        <v>125</v>
      </c>
      <c r="D33" s="524" t="s">
        <v>133</v>
      </c>
      <c r="E33" s="524" t="s">
        <v>134</v>
      </c>
      <c r="F33" s="524" t="s">
        <v>119</v>
      </c>
      <c r="G33" s="524" t="s">
        <v>135</v>
      </c>
      <c r="H33" s="481"/>
      <c r="I33" s="470"/>
      <c r="J33" s="470"/>
      <c r="K33" s="470"/>
      <c r="L33" s="87" t="s">
        <v>23</v>
      </c>
    </row>
    <row r="34" spans="2:12" ht="21.4" customHeight="1" x14ac:dyDescent="0.35">
      <c r="B34" s="527">
        <v>2021</v>
      </c>
      <c r="C34" s="141">
        <v>13480</v>
      </c>
      <c r="D34" s="141">
        <v>3990</v>
      </c>
      <c r="E34" s="141">
        <v>9756</v>
      </c>
      <c r="F34" s="141">
        <v>24795</v>
      </c>
      <c r="G34" s="141">
        <v>40160</v>
      </c>
      <c r="H34" s="141"/>
      <c r="I34" s="141"/>
      <c r="J34" s="141"/>
      <c r="K34" s="141"/>
      <c r="L34" s="874" t="s">
        <v>136</v>
      </c>
    </row>
    <row r="35" spans="2:12" ht="21.4" customHeight="1" x14ac:dyDescent="0.35">
      <c r="B35" s="713">
        <v>2022</v>
      </c>
      <c r="C35" s="473">
        <v>12660</v>
      </c>
      <c r="D35" s="473">
        <v>6610</v>
      </c>
      <c r="E35" s="473">
        <v>13371</v>
      </c>
      <c r="F35" s="473">
        <v>24265</v>
      </c>
      <c r="G35" s="473">
        <v>43600</v>
      </c>
      <c r="H35" s="473"/>
      <c r="I35" s="473"/>
      <c r="J35" s="473"/>
      <c r="K35" s="473"/>
      <c r="L35" s="874"/>
    </row>
    <row r="36" spans="2:12" ht="21.4" customHeight="1" x14ac:dyDescent="0.35">
      <c r="B36" s="713" t="s">
        <v>137</v>
      </c>
      <c r="C36" s="141">
        <v>9217</v>
      </c>
      <c r="D36" s="141">
        <f>6060+2760</f>
        <v>8820</v>
      </c>
      <c r="E36" s="141">
        <v>7664</v>
      </c>
      <c r="F36" s="141">
        <v>35567</v>
      </c>
      <c r="G36" s="141">
        <v>35440</v>
      </c>
      <c r="H36" s="473"/>
      <c r="I36" s="473"/>
      <c r="J36" s="473"/>
      <c r="K36" s="473"/>
      <c r="L36" s="874"/>
    </row>
    <row r="37" spans="2:12" x14ac:dyDescent="0.25">
      <c r="B37" s="713">
        <v>2024</v>
      </c>
      <c r="C37" s="498">
        <v>7761</v>
      </c>
      <c r="D37" s="141">
        <v>5000</v>
      </c>
      <c r="E37" s="498">
        <v>6437</v>
      </c>
      <c r="F37" s="498">
        <v>21070</v>
      </c>
      <c r="G37" s="498">
        <v>33831</v>
      </c>
    </row>
    <row r="39" spans="2:12" x14ac:dyDescent="0.25">
      <c r="B39" s="744" t="s">
        <v>455</v>
      </c>
    </row>
    <row r="40" spans="2:12" x14ac:dyDescent="0.35">
      <c r="F40" s="12"/>
      <c r="G40" s="12"/>
      <c r="H40" s="12"/>
      <c r="I40" s="12"/>
      <c r="J40" s="12"/>
      <c r="K40" s="12"/>
    </row>
    <row r="41" spans="2:12" x14ac:dyDescent="0.35">
      <c r="F41" s="12"/>
      <c r="G41" s="12"/>
      <c r="H41" s="12"/>
      <c r="I41" s="12"/>
      <c r="J41" s="12"/>
      <c r="K41" s="12"/>
    </row>
    <row r="42" spans="2:12" x14ac:dyDescent="0.35">
      <c r="F42" s="12"/>
      <c r="G42" s="12"/>
      <c r="H42" s="12"/>
      <c r="I42" s="12"/>
      <c r="J42" s="12"/>
      <c r="K42" s="12"/>
    </row>
    <row r="43" spans="2:12" x14ac:dyDescent="0.35">
      <c r="F43" s="12"/>
      <c r="G43" s="12"/>
      <c r="H43" s="12"/>
      <c r="I43" s="12"/>
      <c r="J43" s="12"/>
      <c r="K43" s="12"/>
    </row>
    <row r="44" spans="2:12" x14ac:dyDescent="0.35">
      <c r="F44" s="12"/>
      <c r="G44" s="12"/>
      <c r="H44" s="12"/>
      <c r="I44" s="12"/>
      <c r="J44" s="12"/>
      <c r="K44" s="12"/>
    </row>
    <row r="45" spans="2:12" x14ac:dyDescent="0.35">
      <c r="B45" s="12"/>
      <c r="C45" s="12"/>
      <c r="D45" s="12"/>
      <c r="E45" s="12"/>
      <c r="F45" s="12"/>
      <c r="G45" s="12"/>
      <c r="H45" s="12"/>
      <c r="I45" s="12"/>
      <c r="J45" s="12"/>
      <c r="K45" s="12"/>
    </row>
    <row r="46" spans="2:12" x14ac:dyDescent="0.35">
      <c r="B46" s="12"/>
      <c r="C46" s="12"/>
      <c r="D46" s="12"/>
      <c r="E46" s="12"/>
      <c r="F46" s="12"/>
      <c r="G46" s="12"/>
      <c r="H46" s="12"/>
      <c r="I46" s="12"/>
      <c r="J46" s="12"/>
      <c r="K46" s="12"/>
    </row>
    <row r="47" spans="2:12" x14ac:dyDescent="0.35">
      <c r="B47" s="12"/>
      <c r="C47" s="12"/>
      <c r="D47" s="12"/>
      <c r="E47" s="12"/>
      <c r="F47" s="12"/>
      <c r="G47" s="12"/>
      <c r="H47" s="12"/>
      <c r="I47" s="12"/>
      <c r="J47" s="12"/>
      <c r="K47" s="12"/>
    </row>
    <row r="48" spans="2:12" x14ac:dyDescent="0.35">
      <c r="B48" s="12"/>
      <c r="C48" s="12"/>
      <c r="D48" s="12"/>
      <c r="E48" s="12"/>
      <c r="F48" s="12"/>
      <c r="G48" s="12"/>
      <c r="H48" s="12"/>
      <c r="I48" s="12"/>
      <c r="J48" s="12"/>
      <c r="K48" s="12"/>
    </row>
    <row r="49" s="12" customFormat="1" x14ac:dyDescent="0.35"/>
  </sheetData>
  <mergeCells count="41">
    <mergeCell ref="G29:G30"/>
    <mergeCell ref="C22:D22"/>
    <mergeCell ref="I23:I24"/>
    <mergeCell ref="E25:E26"/>
    <mergeCell ref="L9:L13"/>
    <mergeCell ref="L16:L20"/>
    <mergeCell ref="K23:K24"/>
    <mergeCell ref="K25:K26"/>
    <mergeCell ref="H27:H28"/>
    <mergeCell ref="J29:J30"/>
    <mergeCell ref="K29:K30"/>
    <mergeCell ref="L34:L36"/>
    <mergeCell ref="B32:J32"/>
    <mergeCell ref="K27:K28"/>
    <mergeCell ref="L23:L31"/>
    <mergeCell ref="F25:F26"/>
    <mergeCell ref="I27:I28"/>
    <mergeCell ref="J27:J28"/>
    <mergeCell ref="B29:B30"/>
    <mergeCell ref="B27:B28"/>
    <mergeCell ref="E27:E28"/>
    <mergeCell ref="F27:F28"/>
    <mergeCell ref="G27:G28"/>
    <mergeCell ref="H29:H30"/>
    <mergeCell ref="I29:I30"/>
    <mergeCell ref="E29:E30"/>
    <mergeCell ref="F29:F30"/>
    <mergeCell ref="B7:J7"/>
    <mergeCell ref="B14:J14"/>
    <mergeCell ref="B21:J21"/>
    <mergeCell ref="J23:J24"/>
    <mergeCell ref="J25:J26"/>
    <mergeCell ref="I25:I26"/>
    <mergeCell ref="H25:H26"/>
    <mergeCell ref="G25:G26"/>
    <mergeCell ref="E23:E24"/>
    <mergeCell ref="F23:F24"/>
    <mergeCell ref="G23:G24"/>
    <mergeCell ref="H23:H24"/>
    <mergeCell ref="B23:B24"/>
    <mergeCell ref="B25:B26"/>
  </mergeCells>
  <pageMargins left="0.7" right="0.7" top="0.75" bottom="0.75" header="0.3" footer="0.3"/>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24</vt:i4>
      </vt:variant>
      <vt:variant>
        <vt:lpstr>טווחים בעלי שם</vt:lpstr>
      </vt:variant>
      <vt:variant>
        <vt:i4>1</vt:i4>
      </vt:variant>
    </vt:vector>
  </HeadingPairs>
  <TitlesOfParts>
    <vt:vector size="25" baseType="lpstr">
      <vt:lpstr>Introduction</vt:lpstr>
      <vt:lpstr>Bezeq Group targets</vt:lpstr>
      <vt:lpstr>Home</vt:lpstr>
      <vt:lpstr>Environment &gt;&gt;&gt;</vt:lpstr>
      <vt:lpstr>GHG emissions</vt:lpstr>
      <vt:lpstr>Intensity</vt:lpstr>
      <vt:lpstr>Energy consumption</vt:lpstr>
      <vt:lpstr>Water</vt:lpstr>
      <vt:lpstr>Waste</vt:lpstr>
      <vt:lpstr>Society &gt;&gt;&gt; </vt:lpstr>
      <vt:lpstr>Human resources</vt:lpstr>
      <vt:lpstr>Nature of employment</vt:lpstr>
      <vt:lpstr>No. of employment years</vt:lpstr>
      <vt:lpstr>Employee churn</vt:lpstr>
      <vt:lpstr>Diversity and inclusion</vt:lpstr>
      <vt:lpstr>Training, feedback, and evaluat</vt:lpstr>
      <vt:lpstr>Health and safety</vt:lpstr>
      <vt:lpstr>Corporate governance &gt;&gt;&gt;</vt:lpstr>
      <vt:lpstr>Holdings structure</vt:lpstr>
      <vt:lpstr>Board members</vt:lpstr>
      <vt:lpstr>Annual bonus for officers</vt:lpstr>
      <vt:lpstr>Inquiries to the auditor</vt:lpstr>
      <vt:lpstr>Financial performance</vt:lpstr>
      <vt:lpstr>Grievances</vt:lpstr>
      <vt:lpstr>'Board members'!_ftnref1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2025-09-29T11:54:19Z</dcterms:modified>
  <cp:category/>
</cp:coreProperties>
</file>