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9\Q3 2019\Metrics\Metrics -Q3 2019- without formulas\"/>
    </mc:Choice>
  </mc:AlternateContent>
  <bookViews>
    <workbookView xWindow="0" yWindow="0" windowWidth="12240" windowHeight="9240"/>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_ftn1" localSheetId="3">'III - KPIs'!$AP$91</definedName>
    <definedName name="_ftn2" localSheetId="3">'III - KPIs'!$AP$92</definedName>
    <definedName name="_ftnref1" localSheetId="3">'III - KPIs'!$AP$85</definedName>
    <definedName name="_ftnref2" localSheetId="3">'III - KPIs'!$AP$86</definedName>
    <definedName name="ProjectName">{"Client Name or Project Name"}</definedName>
    <definedName name="_xlnm.Print_Area" localSheetId="1">'I - Financials'!$A$1:$BH$546</definedName>
    <definedName name="_xlnm.Print_Area" localSheetId="2">'II- Other income-exp'!$A$4:$AE$38</definedName>
    <definedName name="_xlnm.Print_Area" localSheetId="3">'III - KPIs'!$A$1:$BH$130</definedName>
    <definedName name="_xlnm.Print_Area" localSheetId="0">Index!$A$1:$K$32</definedName>
    <definedName name="_xlnm.Print_Area" localSheetId="4">'IV - Dividends'!$A$10:$D$42</definedName>
    <definedName name="_xlnm.Print_Area" localSheetId="5">'V - Glossary '!$A$1:$M$21</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Financials'!$A$1:$R$513</definedName>
    <definedName name="Z_44BC518B_F505_4956_BE42_792973965029_.wvu.PrintArea" localSheetId="3" hidden="1">'III - KPIs'!$A$1:$R$128</definedName>
    <definedName name="Z_44BC518B_F505_4956_BE42_792973965029_.wvu.PrintArea" localSheetId="0" hidden="1">Index!$A$1:$K$32</definedName>
    <definedName name="Z_44BC518B_F505_4956_BE42_792973965029_.wvu.PrintArea" localSheetId="5" hidden="1">'V - Glossary '!$A$1:$M$22</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Financials'!$A$1:$AD$513</definedName>
    <definedName name="Z_67DDFA58_7FF7_4BDB_BFFF_31DB4021D095_.wvu.PrintArea" localSheetId="3" hidden="1">'III - KPIs'!$A$1:$AD$128</definedName>
    <definedName name="Z_67DDFA58_7FF7_4BDB_BFFF_31DB4021D095_.wvu.PrintArea" localSheetId="0" hidden="1">Index!$A$1:$K$32</definedName>
    <definedName name="Z_67DDFA58_7FF7_4BDB_BFFF_31DB4021D095_.wvu.PrintArea" localSheetId="5" hidden="1">'V - Glossary '!$A$1:$M$22</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Financials'!$A$1:$J$513</definedName>
    <definedName name="Z_6A44E415_E6EC_4CA2_8B4C_A374F00F0261_.wvu.PrintArea" localSheetId="3" hidden="1">'III - KPIs'!$A$1:$I$128</definedName>
    <definedName name="Z_6A44E415_E6EC_4CA2_8B4C_A374F00F0261_.wvu.PrintArea" localSheetId="0" hidden="1">Index!$A$1:$K$32</definedName>
    <definedName name="Z_6A44E415_E6EC_4CA2_8B4C_A374F00F0261_.wvu.PrintArea" localSheetId="5" hidden="1">'V - Glossary '!$A$1:$M$21</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Financials'!$A$1:$AD$513</definedName>
    <definedName name="Z_7DC6D345_C4C0_4162_8636_D495A245EBF8_.wvu.PrintArea" localSheetId="3" hidden="1">'III - KPIs'!$A$1:$AD$128</definedName>
    <definedName name="Z_7DC6D345_C4C0_4162_8636_D495A245EBF8_.wvu.PrintArea" localSheetId="0" hidden="1">Index!$A$1:$K$32</definedName>
    <definedName name="Z_7DC6D345_C4C0_4162_8636_D495A245EBF8_.wvu.PrintArea" localSheetId="5" hidden="1">'V - Glossary '!$A$1:$M$22</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Financials'!$A$1:$R$513</definedName>
    <definedName name="Z_C32ED439_2914_4073_BFBF_7718D6CFE811_.wvu.PrintArea" localSheetId="3" hidden="1">'III - KPIs'!$A$1:$R$128</definedName>
    <definedName name="Z_C32ED439_2914_4073_BFBF_7718D6CFE811_.wvu.PrintArea" localSheetId="0" hidden="1">Index!$A$1:$K$32</definedName>
    <definedName name="Z_C32ED439_2914_4073_BFBF_7718D6CFE811_.wvu.PrintArea" localSheetId="5" hidden="1">'V - Glossary '!$A$1:$M$22</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Financials'!$A$1:$O$513</definedName>
    <definedName name="Z_C6BBAF30_1E81_42FB_BA93_01B6813E2C8C_.wvu.PrintArea" localSheetId="3" hidden="1">'III - KPIs'!$A$1:$O$128</definedName>
    <definedName name="Z_C6BBAF30_1E81_42FB_BA93_01B6813E2C8C_.wvu.PrintArea" localSheetId="0" hidden="1">Index!$A$1:$K$32</definedName>
    <definedName name="Z_C6BBAF30_1E81_42FB_BA93_01B6813E2C8C_.wvu.PrintArea" localSheetId="5" hidden="1">'V - Glossary '!$A$1:$M$21</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Financials'!$A$1:$M$513</definedName>
    <definedName name="Z_F07085DA_2B2D_4BE1_891D_F25D604A092E_.wvu.PrintArea" localSheetId="3" hidden="1">'III - KPIs'!$A$1:$M$128</definedName>
    <definedName name="Z_F07085DA_2B2D_4BE1_891D_F25D604A092E_.wvu.PrintArea" localSheetId="0" hidden="1">Index!$A$1:$K$32</definedName>
    <definedName name="Z_F07085DA_2B2D_4BE1_891D_F25D604A092E_.wvu.PrintArea" localSheetId="5" hidden="1">'V - Glossary '!$A$1:$M$21</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I452" i="2" l="1"/>
  <c r="AH452" i="2"/>
  <c r="AJ451" i="2"/>
  <c r="AI449" i="2"/>
  <c r="AH449" i="2"/>
  <c r="AJ448" i="2"/>
  <c r="AI398" i="2"/>
  <c r="AH398" i="2"/>
  <c r="AG398" i="2"/>
  <c r="AF398" i="2"/>
  <c r="AI397" i="2"/>
  <c r="AH397" i="2"/>
  <c r="AD397" i="2"/>
  <c r="AC397" i="2"/>
  <c r="AJ396" i="2"/>
  <c r="AE396" i="2"/>
  <c r="AE397" i="2" s="1"/>
  <c r="AI323" i="2"/>
  <c r="AH323" i="2"/>
  <c r="AG323" i="2"/>
  <c r="AF323" i="2"/>
  <c r="AA323" i="2"/>
  <c r="V323" i="2"/>
  <c r="Q323" i="2"/>
  <c r="L323" i="2"/>
  <c r="G323" i="2"/>
  <c r="AI322" i="2"/>
  <c r="AH322" i="2"/>
  <c r="AD322" i="2"/>
  <c r="AC322" i="2"/>
  <c r="AJ321" i="2"/>
  <c r="AJ323" i="2" s="1"/>
  <c r="AE321" i="2"/>
  <c r="AG322" i="2" s="1"/>
  <c r="AJ449" i="2" l="1"/>
  <c r="AJ452" i="2"/>
  <c r="AG397" i="2"/>
  <c r="AJ398" i="2"/>
  <c r="AJ397" i="2"/>
  <c r="AE322" i="2"/>
  <c r="AJ322" i="2"/>
  <c r="S256" i="2" l="1"/>
  <c r="S254" i="2"/>
  <c r="S253" i="2"/>
  <c r="Q253" i="2"/>
  <c r="D253" i="2"/>
  <c r="E253" i="2"/>
  <c r="D256" i="2"/>
  <c r="E256" i="2"/>
  <c r="C256" i="2"/>
  <c r="C253" i="2"/>
  <c r="AF511" i="2"/>
  <c r="AD511" i="2"/>
  <c r="AC511" i="2"/>
  <c r="AB511" i="2"/>
  <c r="AA511" i="2"/>
  <c r="Y511" i="2"/>
  <c r="X511" i="2"/>
  <c r="W511" i="2"/>
  <c r="V511" i="2"/>
  <c r="Q511" i="2"/>
  <c r="AD510" i="2"/>
  <c r="AC510" i="2"/>
  <c r="Y510" i="2"/>
  <c r="X510" i="2"/>
  <c r="T510" i="2"/>
  <c r="S510" i="2"/>
  <c r="AE509" i="2"/>
  <c r="AE510" i="2" s="1"/>
  <c r="Z509" i="2"/>
  <c r="Z510" i="2" s="1"/>
  <c r="U509" i="2"/>
  <c r="U510" i="2" s="1"/>
  <c r="AF437" i="2"/>
  <c r="AD437" i="2"/>
  <c r="AC437" i="2"/>
  <c r="AB437" i="2"/>
  <c r="AA437" i="2"/>
  <c r="Y437" i="2"/>
  <c r="X437" i="2"/>
  <c r="W437" i="2"/>
  <c r="V437" i="2"/>
  <c r="Q437" i="2"/>
  <c r="AD436" i="2"/>
  <c r="AC436" i="2"/>
  <c r="Y436" i="2"/>
  <c r="X436" i="2"/>
  <c r="T436" i="2"/>
  <c r="S436" i="2"/>
  <c r="AE435" i="2"/>
  <c r="AE436" i="2" s="1"/>
  <c r="Z435" i="2"/>
  <c r="Z436" i="2" s="1"/>
  <c r="U435" i="2"/>
  <c r="W436" i="2" s="1"/>
  <c r="AF360" i="2"/>
  <c r="AD360" i="2"/>
  <c r="AC360" i="2"/>
  <c r="AB360" i="2"/>
  <c r="AA360" i="2"/>
  <c r="Y360" i="2"/>
  <c r="X360" i="2"/>
  <c r="W360" i="2"/>
  <c r="V360" i="2"/>
  <c r="Q360" i="2"/>
  <c r="AD359" i="2"/>
  <c r="AC359" i="2"/>
  <c r="Y359" i="2"/>
  <c r="X359" i="2"/>
  <c r="T359" i="2"/>
  <c r="S359" i="2"/>
  <c r="AE358" i="2"/>
  <c r="AE359" i="2" s="1"/>
  <c r="Z358" i="2"/>
  <c r="Z359" i="2" s="1"/>
  <c r="U358" i="2"/>
  <c r="U359" i="2" s="1"/>
  <c r="F364" i="2"/>
  <c r="K364" i="2"/>
  <c r="P364" i="2"/>
  <c r="U364" i="2"/>
  <c r="Z364" i="2"/>
  <c r="AE364" i="2"/>
  <c r="AJ364" i="2"/>
  <c r="U436" i="2" l="1"/>
  <c r="W510" i="2"/>
  <c r="AB510" i="2"/>
  <c r="Z511" i="2"/>
  <c r="AE511" i="2"/>
  <c r="Z437" i="2"/>
  <c r="AB436" i="2"/>
  <c r="AE437" i="2"/>
  <c r="W359" i="2"/>
  <c r="AB359" i="2"/>
  <c r="Z360" i="2"/>
  <c r="AE360" i="2"/>
  <c r="AI334" i="2" l="1"/>
  <c r="AF334" i="2"/>
  <c r="B171" i="2" l="1"/>
  <c r="G171" i="2"/>
  <c r="F171" i="2"/>
  <c r="E171" i="2"/>
  <c r="D171" i="2"/>
  <c r="C171" i="2"/>
  <c r="L171" i="2"/>
  <c r="K171" i="2"/>
  <c r="J171" i="2"/>
  <c r="I171" i="2"/>
  <c r="H171" i="2"/>
  <c r="Q171" i="2"/>
  <c r="P171" i="2"/>
  <c r="O171" i="2"/>
  <c r="N171" i="2"/>
  <c r="M171" i="2"/>
  <c r="V171" i="2"/>
  <c r="U171" i="2"/>
  <c r="T171" i="2"/>
  <c r="S171" i="2"/>
  <c r="R171" i="2"/>
  <c r="AA171" i="2"/>
  <c r="Z171" i="2"/>
  <c r="Y171" i="2"/>
  <c r="X171" i="2"/>
  <c r="W171" i="2"/>
  <c r="AF171" i="2"/>
  <c r="AE171" i="2"/>
  <c r="AD171" i="2"/>
  <c r="AC171" i="2"/>
  <c r="AB171" i="2"/>
  <c r="AJ171" i="2"/>
  <c r="AI171" i="2"/>
  <c r="AH171" i="2"/>
  <c r="AG171" i="2"/>
  <c r="AF222" i="2" l="1"/>
  <c r="Q72" i="3" l="1"/>
  <c r="AJ244" i="2" l="1"/>
  <c r="AE244" i="2"/>
  <c r="Z244" i="2"/>
  <c r="U244" i="2"/>
  <c r="P244" i="2"/>
  <c r="K244" i="2"/>
  <c r="D244" i="2"/>
  <c r="C244" i="2"/>
  <c r="F244" i="2" l="1"/>
  <c r="G37" i="3" l="1"/>
  <c r="L37" i="3"/>
  <c r="Q37" i="3"/>
  <c r="G22" i="3"/>
  <c r="L22" i="3"/>
  <c r="Q22" i="3"/>
  <c r="G48" i="3"/>
  <c r="L48" i="3"/>
  <c r="Q48" i="3"/>
  <c r="B125" i="2" l="1"/>
  <c r="C125" i="2"/>
  <c r="D125" i="2"/>
  <c r="E125" i="2"/>
  <c r="F125" i="2"/>
  <c r="G125" i="2"/>
  <c r="H125" i="2"/>
  <c r="I125" i="2"/>
  <c r="J125" i="2"/>
  <c r="L125" i="2"/>
  <c r="M125" i="2"/>
  <c r="N125" i="2"/>
  <c r="O125" i="2"/>
  <c r="Q125" i="2"/>
  <c r="R125" i="2"/>
  <c r="S125" i="2"/>
  <c r="T125" i="2"/>
  <c r="B126" i="2"/>
  <c r="C126" i="2"/>
  <c r="D126" i="2"/>
  <c r="E126" i="2"/>
  <c r="F126" i="2"/>
  <c r="G126" i="2"/>
  <c r="H126" i="2"/>
  <c r="I126" i="2"/>
  <c r="J126" i="2"/>
  <c r="L126" i="2"/>
  <c r="M126" i="2"/>
  <c r="N126" i="2"/>
  <c r="O126" i="2"/>
  <c r="Q126" i="2"/>
  <c r="R126" i="2"/>
  <c r="S126" i="2"/>
  <c r="T126" i="2"/>
  <c r="T96" i="2"/>
  <c r="S96" i="2"/>
  <c r="R96" i="2"/>
  <c r="Q96" i="2"/>
  <c r="O96" i="2"/>
  <c r="N96" i="2"/>
  <c r="M96" i="2"/>
  <c r="L96" i="2"/>
  <c r="J96" i="2"/>
  <c r="I96" i="2"/>
  <c r="H96" i="2"/>
  <c r="G96" i="2"/>
  <c r="T95" i="2"/>
  <c r="S95" i="2"/>
  <c r="O95" i="2"/>
  <c r="N95" i="2"/>
  <c r="J95" i="2"/>
  <c r="I95" i="2"/>
  <c r="E95" i="2"/>
  <c r="D95" i="2"/>
  <c r="U94" i="2"/>
  <c r="P94" i="2"/>
  <c r="K94" i="2"/>
  <c r="K95" i="2" s="1"/>
  <c r="F94" i="2"/>
  <c r="H95" i="2" s="1"/>
  <c r="U52" i="2"/>
  <c r="Q52" i="2"/>
  <c r="L52" i="2"/>
  <c r="Q78" i="2"/>
  <c r="T77" i="2"/>
  <c r="S77" i="2"/>
  <c r="U76" i="2"/>
  <c r="P96" i="2" l="1"/>
  <c r="U95" i="2"/>
  <c r="U96" i="2"/>
  <c r="F95" i="2"/>
  <c r="M95" i="2"/>
  <c r="R95" i="2"/>
  <c r="K96" i="2"/>
  <c r="P95" i="2"/>
  <c r="U77" i="2"/>
  <c r="AF473" i="2" l="1"/>
  <c r="G473" i="2"/>
  <c r="AA473" i="2"/>
  <c r="V473" i="2"/>
  <c r="Q473" i="2"/>
  <c r="L473" i="2"/>
  <c r="AF218" i="2"/>
  <c r="AA218" i="2"/>
  <c r="V218" i="2"/>
  <c r="Q218" i="2"/>
  <c r="L218" i="2"/>
  <c r="G218" i="2"/>
  <c r="U36" i="7" l="1"/>
  <c r="T36" i="7" l="1"/>
  <c r="S36" i="7" l="1"/>
  <c r="Q24" i="7"/>
  <c r="Q18" i="7"/>
  <c r="AJ493" i="2"/>
  <c r="AJ442" i="2"/>
  <c r="AI508" i="2"/>
  <c r="AH508" i="2"/>
  <c r="AG508" i="2"/>
  <c r="AF493" i="2"/>
  <c r="AD493" i="2"/>
  <c r="AD496" i="2" s="1"/>
  <c r="AC493" i="2"/>
  <c r="AC508" i="2" s="1"/>
  <c r="AB493" i="2"/>
  <c r="AB508" i="2" s="1"/>
  <c r="AE442" i="2"/>
  <c r="AG443" i="2" s="1"/>
  <c r="AA493" i="2"/>
  <c r="Y493" i="2"/>
  <c r="Y496" i="2" s="1"/>
  <c r="Y500" i="2" s="1"/>
  <c r="X493" i="2"/>
  <c r="W493" i="2"/>
  <c r="W508" i="2" s="1"/>
  <c r="Z442" i="2"/>
  <c r="AB443" i="2" s="1"/>
  <c r="Y508" i="2"/>
  <c r="V493" i="2"/>
  <c r="U442" i="2"/>
  <c r="U508" i="2" s="1"/>
  <c r="T493" i="2"/>
  <c r="T508" i="2" s="1"/>
  <c r="S493" i="2"/>
  <c r="S508" i="2" s="1"/>
  <c r="R493" i="2"/>
  <c r="Q493" i="2"/>
  <c r="Q508" i="2" s="1"/>
  <c r="O493" i="2"/>
  <c r="O496" i="2" s="1"/>
  <c r="O500" i="2" s="1"/>
  <c r="N493" i="2"/>
  <c r="N495" i="2" s="1"/>
  <c r="M493" i="2"/>
  <c r="M508" i="2" s="1"/>
  <c r="P442" i="2"/>
  <c r="R443" i="2" s="1"/>
  <c r="L493" i="2"/>
  <c r="L508" i="2" s="1"/>
  <c r="J493" i="2"/>
  <c r="J508" i="2" s="1"/>
  <c r="H493" i="2"/>
  <c r="H91" i="2" s="1"/>
  <c r="H128" i="2" s="1"/>
  <c r="K442" i="2"/>
  <c r="I508" i="2"/>
  <c r="G493" i="2"/>
  <c r="G496" i="2" s="1"/>
  <c r="G500" i="2" s="1"/>
  <c r="E493" i="2"/>
  <c r="E508" i="2" s="1"/>
  <c r="D493" i="2"/>
  <c r="I495" i="2" s="1"/>
  <c r="F442" i="2"/>
  <c r="H443" i="2" s="1"/>
  <c r="C508" i="2"/>
  <c r="B493" i="2"/>
  <c r="B508" i="2" s="1"/>
  <c r="AI420" i="2"/>
  <c r="AH420" i="2"/>
  <c r="AH434" i="2" s="1"/>
  <c r="AG420" i="2"/>
  <c r="AG434" i="2" s="1"/>
  <c r="AF420" i="2"/>
  <c r="AD420" i="2"/>
  <c r="AD423" i="2" s="1"/>
  <c r="AI425" i="2" s="1"/>
  <c r="AC420" i="2"/>
  <c r="AC423" i="2" s="1"/>
  <c r="AB420" i="2"/>
  <c r="AB434" i="2" s="1"/>
  <c r="AA420" i="2"/>
  <c r="AA434" i="2" s="1"/>
  <c r="Y420" i="2"/>
  <c r="Y423" i="2" s="1"/>
  <c r="X420" i="2"/>
  <c r="W420" i="2"/>
  <c r="W434" i="2" s="1"/>
  <c r="AB365" i="2"/>
  <c r="V420" i="2"/>
  <c r="T420" i="2"/>
  <c r="T434" i="2" s="1"/>
  <c r="S420" i="2"/>
  <c r="S434" i="2" s="1"/>
  <c r="R420" i="2"/>
  <c r="R434" i="2" s="1"/>
  <c r="Q420" i="2"/>
  <c r="Q434" i="2" s="1"/>
  <c r="O420" i="2"/>
  <c r="O434" i="2" s="1"/>
  <c r="N420" i="2"/>
  <c r="N434" i="2" s="1"/>
  <c r="M420" i="2"/>
  <c r="M423" i="2" s="1"/>
  <c r="R365" i="2"/>
  <c r="L420" i="2"/>
  <c r="L434" i="2" s="1"/>
  <c r="J420" i="2"/>
  <c r="J434" i="2" s="1"/>
  <c r="I420" i="2"/>
  <c r="H420" i="2"/>
  <c r="H434" i="2" s="1"/>
  <c r="K365" i="2"/>
  <c r="G420" i="2"/>
  <c r="E420" i="2"/>
  <c r="E434" i="2" s="1"/>
  <c r="D420" i="2"/>
  <c r="D434" i="2" s="1"/>
  <c r="C420" i="2"/>
  <c r="C434" i="2" s="1"/>
  <c r="B420" i="2"/>
  <c r="B434" i="2" s="1"/>
  <c r="AI343" i="2"/>
  <c r="AI345" i="2" s="1"/>
  <c r="AG343" i="2"/>
  <c r="AG345" i="2" s="1"/>
  <c r="AI288" i="2"/>
  <c r="AI354" i="2" s="1"/>
  <c r="AH288" i="2"/>
  <c r="AG288" i="2"/>
  <c r="AG354" i="2" s="1"/>
  <c r="AF288" i="2"/>
  <c r="AC343" i="2"/>
  <c r="AD288" i="2"/>
  <c r="AD357" i="2" s="1"/>
  <c r="AC288" i="2"/>
  <c r="AC355" i="2" s="1"/>
  <c r="AB288" i="2"/>
  <c r="AB357" i="2" s="1"/>
  <c r="AA288" i="2"/>
  <c r="AA290" i="2" s="1"/>
  <c r="X343" i="2"/>
  <c r="Z343" i="2" s="1"/>
  <c r="AB344" i="2" s="1"/>
  <c r="Y288" i="2"/>
  <c r="Y357" i="2" s="1"/>
  <c r="W288" i="2"/>
  <c r="W357" i="2" s="1"/>
  <c r="V343" i="2"/>
  <c r="T343" i="2"/>
  <c r="T344" i="2" s="1"/>
  <c r="T288" i="2"/>
  <c r="R288" i="2"/>
  <c r="R357" i="2" s="1"/>
  <c r="S357" i="2"/>
  <c r="Q343" i="2"/>
  <c r="Q288" i="2"/>
  <c r="O343" i="2"/>
  <c r="O346" i="2" s="1"/>
  <c r="N343" i="2"/>
  <c r="M343" i="2"/>
  <c r="M345" i="2" s="1"/>
  <c r="O288" i="2"/>
  <c r="N288" i="2"/>
  <c r="N355" i="2" s="1"/>
  <c r="M288" i="2"/>
  <c r="L343" i="2"/>
  <c r="L346" i="2" s="1"/>
  <c r="L288" i="2"/>
  <c r="I343" i="2"/>
  <c r="I344" i="2" s="1"/>
  <c r="J288" i="2"/>
  <c r="I288" i="2"/>
  <c r="H288" i="2"/>
  <c r="H357" i="2" s="1"/>
  <c r="G343" i="2"/>
  <c r="G346" i="2" s="1"/>
  <c r="G288" i="2"/>
  <c r="G354" i="2" s="1"/>
  <c r="D343" i="2"/>
  <c r="D346" i="2" s="1"/>
  <c r="E357" i="2"/>
  <c r="C357" i="2"/>
  <c r="B343" i="2"/>
  <c r="B346" i="2" s="1"/>
  <c r="B288" i="2"/>
  <c r="AI241" i="2"/>
  <c r="AI179" i="2"/>
  <c r="AH241" i="2"/>
  <c r="AH179" i="2"/>
  <c r="AG179" i="2"/>
  <c r="AF241" i="2"/>
  <c r="AF179" i="2"/>
  <c r="AD241" i="2"/>
  <c r="AD179" i="2"/>
  <c r="AC241" i="2"/>
  <c r="AC179" i="2"/>
  <c r="AB241" i="2"/>
  <c r="AB179" i="2"/>
  <c r="AA241" i="2"/>
  <c r="AA179" i="2"/>
  <c r="AA253" i="2" s="1"/>
  <c r="Y241" i="2"/>
  <c r="Y179" i="2"/>
  <c r="Y253" i="2" s="1"/>
  <c r="X241" i="2"/>
  <c r="X179" i="2"/>
  <c r="X253" i="2" s="1"/>
  <c r="W241" i="2"/>
  <c r="W179" i="2"/>
  <c r="W253" i="2" s="1"/>
  <c r="V241" i="2"/>
  <c r="V179" i="2"/>
  <c r="T241" i="2"/>
  <c r="T179" i="2"/>
  <c r="T253" i="2" s="1"/>
  <c r="R241" i="2"/>
  <c r="R179" i="2"/>
  <c r="Q241" i="2"/>
  <c r="Q256" i="2" s="1"/>
  <c r="O241" i="2"/>
  <c r="O179" i="2"/>
  <c r="O253" i="2" s="1"/>
  <c r="N241" i="2"/>
  <c r="N179" i="2"/>
  <c r="N253" i="2" s="1"/>
  <c r="M241" i="2"/>
  <c r="M179" i="2"/>
  <c r="M253" i="2" s="1"/>
  <c r="L241" i="2"/>
  <c r="L179" i="2"/>
  <c r="J179" i="2"/>
  <c r="I241" i="2"/>
  <c r="I179" i="2"/>
  <c r="I253" i="2" s="1"/>
  <c r="H241" i="2"/>
  <c r="H179" i="2"/>
  <c r="H253" i="2" s="1"/>
  <c r="G241" i="2"/>
  <c r="G187" i="2"/>
  <c r="G184" i="2"/>
  <c r="G190" i="2"/>
  <c r="B241" i="2"/>
  <c r="B179" i="2"/>
  <c r="B253" i="2" s="1"/>
  <c r="T91" i="2"/>
  <c r="T128" i="2" s="1"/>
  <c r="S91" i="2"/>
  <c r="S128" i="2" s="1"/>
  <c r="R91" i="2"/>
  <c r="R128" i="2" s="1"/>
  <c r="Q91" i="2"/>
  <c r="Q128" i="2" s="1"/>
  <c r="O91" i="2"/>
  <c r="O128" i="2" s="1"/>
  <c r="N91" i="2"/>
  <c r="M91" i="2"/>
  <c r="M128" i="2" s="1"/>
  <c r="L91" i="2"/>
  <c r="L128" i="2" s="1"/>
  <c r="J91" i="2"/>
  <c r="J128" i="2" s="1"/>
  <c r="I91" i="2"/>
  <c r="C91" i="2"/>
  <c r="C128" i="2" s="1"/>
  <c r="B36" i="2"/>
  <c r="R36" i="7"/>
  <c r="Q47" i="3"/>
  <c r="L47" i="3"/>
  <c r="G47" i="3"/>
  <c r="U47" i="3"/>
  <c r="T47" i="3"/>
  <c r="S47" i="3"/>
  <c r="R47" i="3"/>
  <c r="U46" i="3"/>
  <c r="T46" i="3"/>
  <c r="S46" i="3"/>
  <c r="R46" i="3"/>
  <c r="P47" i="3"/>
  <c r="O47" i="3"/>
  <c r="N47" i="3"/>
  <c r="M47" i="3"/>
  <c r="P46" i="3"/>
  <c r="O46" i="3"/>
  <c r="N46" i="3"/>
  <c r="M46" i="3"/>
  <c r="K47" i="3"/>
  <c r="J47" i="3"/>
  <c r="I47" i="3"/>
  <c r="H47" i="3"/>
  <c r="K46" i="3"/>
  <c r="J46" i="3"/>
  <c r="I46" i="3"/>
  <c r="H46" i="3"/>
  <c r="F46" i="3"/>
  <c r="E46" i="3"/>
  <c r="D46" i="3"/>
  <c r="G36" i="2"/>
  <c r="L36" i="2"/>
  <c r="Q36" i="2"/>
  <c r="Q39" i="2" s="1"/>
  <c r="O36" i="2"/>
  <c r="N36" i="2"/>
  <c r="M36" i="2"/>
  <c r="T36" i="2"/>
  <c r="S36" i="2"/>
  <c r="R36" i="2"/>
  <c r="AJ393" i="2"/>
  <c r="AJ394" i="2" s="1"/>
  <c r="AE393" i="2"/>
  <c r="AG394" i="2" s="1"/>
  <c r="AI395" i="2"/>
  <c r="AH395" i="2"/>
  <c r="AG395" i="2"/>
  <c r="AF395" i="2"/>
  <c r="AA395" i="2"/>
  <c r="V395" i="2"/>
  <c r="Q395" i="2"/>
  <c r="L395" i="2"/>
  <c r="G395" i="2"/>
  <c r="AI394" i="2"/>
  <c r="AH394" i="2"/>
  <c r="AD394" i="2"/>
  <c r="AC394" i="2"/>
  <c r="AJ318" i="2"/>
  <c r="AE318" i="2"/>
  <c r="AG319" i="2" s="1"/>
  <c r="AI320" i="2"/>
  <c r="AH320" i="2"/>
  <c r="AG320" i="2"/>
  <c r="AI319" i="2"/>
  <c r="AH319" i="2"/>
  <c r="AF320" i="2"/>
  <c r="AD319" i="2"/>
  <c r="AC319" i="2"/>
  <c r="AA320" i="2"/>
  <c r="V320" i="2"/>
  <c r="Q320" i="2"/>
  <c r="L320" i="2"/>
  <c r="G320" i="2"/>
  <c r="T31" i="2"/>
  <c r="S31" i="2"/>
  <c r="R31" i="2"/>
  <c r="Q31" i="2"/>
  <c r="O31" i="2"/>
  <c r="N31" i="2"/>
  <c r="M31" i="2"/>
  <c r="L31" i="2"/>
  <c r="J31" i="2"/>
  <c r="I31" i="2"/>
  <c r="H31" i="2"/>
  <c r="T30" i="2"/>
  <c r="S30" i="2"/>
  <c r="O30" i="2"/>
  <c r="N30" i="2"/>
  <c r="J30" i="2"/>
  <c r="I30" i="2"/>
  <c r="G31" i="2"/>
  <c r="E30" i="2"/>
  <c r="D30" i="2"/>
  <c r="F29" i="2"/>
  <c r="H30" i="2" s="1"/>
  <c r="K29" i="2"/>
  <c r="M30" i="2" s="1"/>
  <c r="P29" i="2"/>
  <c r="U29" i="2"/>
  <c r="U30" i="2" s="1"/>
  <c r="P36" i="7"/>
  <c r="O36" i="7"/>
  <c r="N36" i="7"/>
  <c r="M36" i="7"/>
  <c r="K36" i="7"/>
  <c r="J36" i="7"/>
  <c r="I36" i="7"/>
  <c r="H36" i="7"/>
  <c r="F36" i="7"/>
  <c r="E36" i="7"/>
  <c r="D36" i="7"/>
  <c r="C36" i="7"/>
  <c r="B36" i="7"/>
  <c r="L24" i="7"/>
  <c r="L22" i="7"/>
  <c r="G22" i="7"/>
  <c r="G36" i="7" s="1"/>
  <c r="L18" i="7"/>
  <c r="Q116" i="2"/>
  <c r="B474" i="2"/>
  <c r="G474" i="2"/>
  <c r="L474" i="2"/>
  <c r="Q474" i="2"/>
  <c r="V474" i="2"/>
  <c r="AA474" i="2"/>
  <c r="AF474" i="2"/>
  <c r="AH474" i="2"/>
  <c r="AH475" i="2" s="1"/>
  <c r="AI474" i="2"/>
  <c r="AJ475" i="2" s="1"/>
  <c r="AF407" i="2"/>
  <c r="AF410" i="2" s="1"/>
  <c r="AJ390" i="2"/>
  <c r="AJ391" i="2" s="1"/>
  <c r="AD457" i="2"/>
  <c r="AC457" i="2"/>
  <c r="AH459" i="2" s="1"/>
  <c r="AB457" i="2"/>
  <c r="AB459" i="2" s="1"/>
  <c r="AD463" i="2"/>
  <c r="AC463" i="2"/>
  <c r="AB463" i="2"/>
  <c r="AG465" i="2" s="1"/>
  <c r="AD454" i="2"/>
  <c r="AC454" i="2"/>
  <c r="AB454" i="2"/>
  <c r="AG456" i="2" s="1"/>
  <c r="AJ414" i="2"/>
  <c r="AJ417" i="2"/>
  <c r="AJ419" i="2" s="1"/>
  <c r="AJ340" i="2"/>
  <c r="AJ342" i="2" s="1"/>
  <c r="AJ238" i="2"/>
  <c r="AJ240" i="2" s="1"/>
  <c r="AJ490" i="2"/>
  <c r="AJ487" i="2"/>
  <c r="AJ445" i="2"/>
  <c r="AJ463" i="2"/>
  <c r="AJ460" i="2"/>
  <c r="AJ461" i="2" s="1"/>
  <c r="AJ454" i="2"/>
  <c r="AJ477" i="2"/>
  <c r="AJ384" i="2"/>
  <c r="AJ404" i="2"/>
  <c r="AJ405" i="2" s="1"/>
  <c r="AJ337" i="2"/>
  <c r="AJ338" i="2" s="1"/>
  <c r="AJ312" i="2"/>
  <c r="AJ313" i="2" s="1"/>
  <c r="AJ309" i="2"/>
  <c r="AJ303" i="2"/>
  <c r="AJ304" i="2" s="1"/>
  <c r="AJ328" i="2"/>
  <c r="AJ294" i="2"/>
  <c r="AJ295" i="2" s="1"/>
  <c r="AJ291" i="2"/>
  <c r="AJ279" i="2"/>
  <c r="AJ276" i="2"/>
  <c r="AJ273" i="2"/>
  <c r="AJ270" i="2"/>
  <c r="AJ267" i="2"/>
  <c r="AJ264" i="2"/>
  <c r="AJ235" i="2"/>
  <c r="AJ213" i="2"/>
  <c r="AJ214" i="2" s="1"/>
  <c r="AJ209" i="2"/>
  <c r="AJ206" i="2"/>
  <c r="AJ203" i="2"/>
  <c r="AJ204" i="2" s="1"/>
  <c r="AJ210" i="2"/>
  <c r="AJ194" i="2"/>
  <c r="AJ188" i="2"/>
  <c r="AJ189" i="2" s="1"/>
  <c r="AJ182" i="2"/>
  <c r="AJ185" i="2"/>
  <c r="AJ9" i="2"/>
  <c r="AI341" i="2"/>
  <c r="AI506" i="2"/>
  <c r="AI505" i="2"/>
  <c r="AI492" i="2"/>
  <c r="AI491" i="2"/>
  <c r="AI489" i="2"/>
  <c r="AI488" i="2"/>
  <c r="AI480" i="2"/>
  <c r="AI507" i="2" s="1"/>
  <c r="AI447" i="2"/>
  <c r="AI446" i="2"/>
  <c r="AI464" i="2"/>
  <c r="AI462" i="2"/>
  <c r="AI461" i="2"/>
  <c r="AI455" i="2"/>
  <c r="AI479" i="2"/>
  <c r="AI478" i="2"/>
  <c r="AI470" i="2"/>
  <c r="AI469" i="2"/>
  <c r="AI458" i="2"/>
  <c r="AI444" i="2"/>
  <c r="AI443" i="2"/>
  <c r="AI432" i="2"/>
  <c r="AI431" i="2"/>
  <c r="AI419" i="2"/>
  <c r="AI418" i="2"/>
  <c r="AI386" i="2"/>
  <c r="AI385" i="2"/>
  <c r="AI380" i="2"/>
  <c r="AI379" i="2"/>
  <c r="AI406" i="2"/>
  <c r="AI405" i="2"/>
  <c r="AI403" i="2"/>
  <c r="AI402" i="2"/>
  <c r="AI383" i="2"/>
  <c r="AI382" i="2"/>
  <c r="AI366" i="2"/>
  <c r="AI365" i="2"/>
  <c r="AI342" i="2"/>
  <c r="AI339" i="2"/>
  <c r="AI338" i="2"/>
  <c r="AI317" i="2"/>
  <c r="AI316" i="2"/>
  <c r="AI314" i="2"/>
  <c r="AI313" i="2"/>
  <c r="AI311" i="2"/>
  <c r="AI310" i="2"/>
  <c r="AI305" i="2"/>
  <c r="AI304" i="2"/>
  <c r="AI330" i="2"/>
  <c r="AI329" i="2"/>
  <c r="AI326" i="2"/>
  <c r="AI307" i="2"/>
  <c r="AI296" i="2"/>
  <c r="AI295" i="2"/>
  <c r="AI293" i="2"/>
  <c r="AI292" i="2"/>
  <c r="AI281" i="2"/>
  <c r="AI280" i="2"/>
  <c r="AI278" i="2"/>
  <c r="AI277" i="2"/>
  <c r="AI266" i="2"/>
  <c r="AI265" i="2"/>
  <c r="AI275" i="2"/>
  <c r="AI274" i="2"/>
  <c r="AI272" i="2"/>
  <c r="AI271" i="2"/>
  <c r="AI269" i="2"/>
  <c r="AI268" i="2"/>
  <c r="AI261" i="2"/>
  <c r="AI240" i="2"/>
  <c r="AI239" i="2"/>
  <c r="AI237" i="2"/>
  <c r="AI236" i="2"/>
  <c r="AI223" i="2"/>
  <c r="AI255" i="2" s="1"/>
  <c r="AI215" i="2"/>
  <c r="AI214" i="2"/>
  <c r="AI208" i="2"/>
  <c r="AI207" i="2"/>
  <c r="AI205" i="2"/>
  <c r="AI204" i="2"/>
  <c r="AI212" i="2"/>
  <c r="AI211" i="2"/>
  <c r="AI196" i="2"/>
  <c r="AI195" i="2"/>
  <c r="AI190" i="2"/>
  <c r="AI189" i="2"/>
  <c r="AI184" i="2"/>
  <c r="AI183" i="2"/>
  <c r="AI187" i="2"/>
  <c r="AI186" i="2"/>
  <c r="AI10" i="2"/>
  <c r="AH480" i="2"/>
  <c r="AH507" i="2" s="1"/>
  <c r="AC480" i="2"/>
  <c r="AI220" i="2"/>
  <c r="AC387" i="2"/>
  <c r="AC388" i="2" s="1"/>
  <c r="AH346" i="2"/>
  <c r="AH331" i="2"/>
  <c r="AH334" i="2" s="1"/>
  <c r="AH211" i="2"/>
  <c r="AH506" i="2"/>
  <c r="AH505" i="2"/>
  <c r="AH492" i="2"/>
  <c r="AH491" i="2"/>
  <c r="AH489" i="2"/>
  <c r="AH488" i="2"/>
  <c r="AH447" i="2"/>
  <c r="AH446" i="2"/>
  <c r="AH464" i="2"/>
  <c r="AH462" i="2"/>
  <c r="AH461" i="2"/>
  <c r="AH455" i="2"/>
  <c r="AH479" i="2"/>
  <c r="AH478" i="2"/>
  <c r="AH470" i="2"/>
  <c r="AH469" i="2"/>
  <c r="AH444" i="2"/>
  <c r="AH443" i="2"/>
  <c r="AH432" i="2"/>
  <c r="AH419" i="2"/>
  <c r="AH418" i="2"/>
  <c r="AH386" i="2"/>
  <c r="AH385" i="2"/>
  <c r="AH380" i="2"/>
  <c r="AH379" i="2"/>
  <c r="AH406" i="2"/>
  <c r="AH405" i="2"/>
  <c r="AH366" i="2"/>
  <c r="AH365" i="2"/>
  <c r="AH342" i="2"/>
  <c r="AH341" i="2"/>
  <c r="AH339" i="2"/>
  <c r="AH338" i="2"/>
  <c r="AH314" i="2"/>
  <c r="AH313" i="2"/>
  <c r="AH311" i="2"/>
  <c r="AH310" i="2"/>
  <c r="AH305" i="2"/>
  <c r="AH304" i="2"/>
  <c r="AH330" i="2"/>
  <c r="AH329" i="2"/>
  <c r="AH296" i="2"/>
  <c r="AH295" i="2"/>
  <c r="AH293" i="2"/>
  <c r="AH292" i="2"/>
  <c r="AH281" i="2"/>
  <c r="AH280" i="2"/>
  <c r="AH278" i="2"/>
  <c r="AH277" i="2"/>
  <c r="AH266" i="2"/>
  <c r="AH265" i="2"/>
  <c r="AH275" i="2"/>
  <c r="AH274" i="2"/>
  <c r="AH272" i="2"/>
  <c r="AH271" i="2"/>
  <c r="AH269" i="2"/>
  <c r="AH268" i="2"/>
  <c r="AH261" i="2"/>
  <c r="AH240" i="2"/>
  <c r="AH239" i="2"/>
  <c r="AH237" i="2"/>
  <c r="AH236" i="2"/>
  <c r="AH223" i="2"/>
  <c r="AH215" i="2"/>
  <c r="AH214" i="2"/>
  <c r="AH208" i="2"/>
  <c r="AH207" i="2"/>
  <c r="AH205" i="2"/>
  <c r="AH204" i="2"/>
  <c r="AH212" i="2"/>
  <c r="AH196" i="2"/>
  <c r="AH195" i="2"/>
  <c r="AH190" i="2"/>
  <c r="AH189" i="2"/>
  <c r="AH184" i="2"/>
  <c r="AH183" i="2"/>
  <c r="AH187" i="2"/>
  <c r="AH186" i="2"/>
  <c r="AH10" i="2"/>
  <c r="AB480" i="2"/>
  <c r="AG315" i="2"/>
  <c r="AG245" i="2"/>
  <c r="AG249" i="2" s="1"/>
  <c r="AG202" i="3"/>
  <c r="AG205" i="3" s="1"/>
  <c r="AG311" i="2"/>
  <c r="AG506" i="2"/>
  <c r="AG505" i="2"/>
  <c r="AG492" i="2"/>
  <c r="AG489" i="2"/>
  <c r="AG480" i="2"/>
  <c r="AG507" i="2" s="1"/>
  <c r="AG447" i="2"/>
  <c r="AG462" i="2"/>
  <c r="AG479" i="2"/>
  <c r="AG470" i="2"/>
  <c r="AG444" i="2"/>
  <c r="AG432" i="2"/>
  <c r="AG431" i="2"/>
  <c r="AG419" i="2"/>
  <c r="AG418" i="2"/>
  <c r="AG389" i="2"/>
  <c r="AG386" i="2"/>
  <c r="AG380" i="2"/>
  <c r="AG406" i="2"/>
  <c r="AG403" i="2"/>
  <c r="AG383" i="2"/>
  <c r="AG366" i="2"/>
  <c r="AG342" i="2"/>
  <c r="AG341" i="2"/>
  <c r="AG339" i="2"/>
  <c r="AG314" i="2"/>
  <c r="AG305" i="2"/>
  <c r="AG330" i="2"/>
  <c r="AG296" i="2"/>
  <c r="AG293" i="2"/>
  <c r="AG281" i="2"/>
  <c r="AG278" i="2"/>
  <c r="AG266" i="2"/>
  <c r="AG275" i="2"/>
  <c r="AG272" i="2"/>
  <c r="AG269" i="2"/>
  <c r="AG261" i="2"/>
  <c r="AG240" i="2"/>
  <c r="AG239" i="2"/>
  <c r="AG237" i="2"/>
  <c r="AG223" i="2"/>
  <c r="AG215" i="2"/>
  <c r="AG208" i="2"/>
  <c r="AG205" i="2"/>
  <c r="AG212" i="2"/>
  <c r="AG196" i="2"/>
  <c r="AG190" i="2"/>
  <c r="AG184" i="2"/>
  <c r="AG187" i="2"/>
  <c r="AA387" i="2"/>
  <c r="AF387" i="2"/>
  <c r="AA480" i="2"/>
  <c r="AA507" i="2" s="1"/>
  <c r="AF417" i="2"/>
  <c r="AF419" i="2" s="1"/>
  <c r="AF340" i="2"/>
  <c r="AF238" i="2"/>
  <c r="AF492" i="2"/>
  <c r="AF489" i="2"/>
  <c r="AF447" i="2"/>
  <c r="AF465" i="2"/>
  <c r="AF462" i="2"/>
  <c r="AF456" i="2"/>
  <c r="AF479" i="2"/>
  <c r="AF444" i="2"/>
  <c r="AF459" i="2"/>
  <c r="AF404" i="2"/>
  <c r="AE404" i="2" s="1"/>
  <c r="AG405" i="2" s="1"/>
  <c r="AF414" i="2"/>
  <c r="V387" i="2"/>
  <c r="U387" i="2" s="1"/>
  <c r="AD387" i="2"/>
  <c r="AF378" i="2"/>
  <c r="AE378" i="2" s="1"/>
  <c r="AG379" i="2" s="1"/>
  <c r="AE240" i="2"/>
  <c r="U26" i="3"/>
  <c r="T26" i="3"/>
  <c r="S26" i="3"/>
  <c r="R26" i="3"/>
  <c r="Q26" i="3"/>
  <c r="P26" i="3"/>
  <c r="O26" i="3"/>
  <c r="N26" i="3"/>
  <c r="M26" i="3"/>
  <c r="L26" i="3"/>
  <c r="K26" i="3"/>
  <c r="J26" i="3"/>
  <c r="I26" i="3"/>
  <c r="H26" i="3"/>
  <c r="U25" i="3"/>
  <c r="T25" i="3"/>
  <c r="S25" i="3"/>
  <c r="R25" i="3"/>
  <c r="P25" i="3"/>
  <c r="O25" i="3"/>
  <c r="N25" i="3"/>
  <c r="M25" i="3"/>
  <c r="K25" i="3"/>
  <c r="J25" i="3"/>
  <c r="I25" i="3"/>
  <c r="H25" i="3"/>
  <c r="F25" i="3"/>
  <c r="E25" i="3"/>
  <c r="D25" i="3"/>
  <c r="G376" i="2"/>
  <c r="G374" i="2"/>
  <c r="L376" i="2"/>
  <c r="L374" i="2"/>
  <c r="Q376" i="2"/>
  <c r="Q374" i="2"/>
  <c r="V376" i="2"/>
  <c r="V374" i="2"/>
  <c r="AF376" i="2"/>
  <c r="AF374" i="2"/>
  <c r="G371" i="2"/>
  <c r="G369" i="2"/>
  <c r="V371" i="2"/>
  <c r="AF371" i="2"/>
  <c r="AF369" i="2"/>
  <c r="L371" i="2"/>
  <c r="L369" i="2"/>
  <c r="Q371" i="2"/>
  <c r="Q369" i="2"/>
  <c r="V369" i="2"/>
  <c r="AA371" i="2"/>
  <c r="AA369" i="2"/>
  <c r="AA376" i="2"/>
  <c r="AA374" i="2"/>
  <c r="V301" i="2"/>
  <c r="V299" i="2"/>
  <c r="Q201" i="2"/>
  <c r="Q199" i="2"/>
  <c r="Q102" i="3"/>
  <c r="L102" i="3"/>
  <c r="G102" i="3"/>
  <c r="L127" i="3"/>
  <c r="Q127" i="3"/>
  <c r="AF506" i="2"/>
  <c r="AF502" i="2"/>
  <c r="AF261" i="2"/>
  <c r="AF263" i="2" s="1"/>
  <c r="AE490" i="2"/>
  <c r="AG488" i="2"/>
  <c r="AE445" i="2"/>
  <c r="AG446" i="2" s="1"/>
  <c r="AE460" i="2"/>
  <c r="AG461" i="2" s="1"/>
  <c r="AE477" i="2"/>
  <c r="AG478" i="2" s="1"/>
  <c r="AF386" i="2"/>
  <c r="AE384" i="2"/>
  <c r="AE385" i="2" s="1"/>
  <c r="AF366" i="2"/>
  <c r="AF350" i="2"/>
  <c r="AF345" i="2"/>
  <c r="AF339" i="2"/>
  <c r="AE337" i="2"/>
  <c r="AG338" i="2" s="1"/>
  <c r="AF317" i="2"/>
  <c r="AF314" i="2"/>
  <c r="AE312" i="2"/>
  <c r="AG313" i="2" s="1"/>
  <c r="AF311" i="2"/>
  <c r="AE309" i="2"/>
  <c r="AF305" i="2"/>
  <c r="AE303" i="2"/>
  <c r="AF330" i="2"/>
  <c r="AE328" i="2"/>
  <c r="AF296" i="2"/>
  <c r="AE294" i="2"/>
  <c r="AG295" i="2" s="1"/>
  <c r="AF293" i="2"/>
  <c r="AE291" i="2"/>
  <c r="AE292" i="2" s="1"/>
  <c r="AF284" i="2"/>
  <c r="AE282" i="2"/>
  <c r="AE283" i="2" s="1"/>
  <c r="AF281" i="2"/>
  <c r="AE279" i="2"/>
  <c r="AE280" i="2" s="1"/>
  <c r="AF278" i="2"/>
  <c r="AE276" i="2"/>
  <c r="AF266" i="2"/>
  <c r="AE264" i="2"/>
  <c r="AG265" i="2" s="1"/>
  <c r="AF275" i="2"/>
  <c r="AE273" i="2"/>
  <c r="AF272" i="2"/>
  <c r="AE270" i="2"/>
  <c r="AF269" i="2"/>
  <c r="AE267" i="2"/>
  <c r="AE268" i="2" s="1"/>
  <c r="AE239" i="2"/>
  <c r="AF237" i="2"/>
  <c r="AE235" i="2"/>
  <c r="AE236" i="2" s="1"/>
  <c r="AF223" i="2"/>
  <c r="AF215" i="2"/>
  <c r="AE213" i="2"/>
  <c r="AE209" i="2"/>
  <c r="AF208" i="2"/>
  <c r="AE206" i="2"/>
  <c r="AE207" i="2" s="1"/>
  <c r="AF205" i="2"/>
  <c r="AE203" i="2"/>
  <c r="AE204" i="2" s="1"/>
  <c r="AF212" i="2"/>
  <c r="AE210" i="2"/>
  <c r="AF196" i="2"/>
  <c r="AE194" i="2"/>
  <c r="AF190" i="2"/>
  <c r="AE188" i="2"/>
  <c r="AG189" i="2" s="1"/>
  <c r="AF184" i="2"/>
  <c r="AE182" i="2"/>
  <c r="AE183" i="2" s="1"/>
  <c r="AF187" i="2"/>
  <c r="AE185" i="2"/>
  <c r="AG186" i="2" s="1"/>
  <c r="AE9" i="2"/>
  <c r="AG10" i="2" s="1"/>
  <c r="D12" i="3"/>
  <c r="E12" i="3"/>
  <c r="F12" i="3"/>
  <c r="H12" i="3"/>
  <c r="I12" i="3"/>
  <c r="J12" i="3"/>
  <c r="K12" i="3"/>
  <c r="M12" i="3"/>
  <c r="N12" i="3"/>
  <c r="O12" i="3"/>
  <c r="P12" i="3"/>
  <c r="R12" i="3"/>
  <c r="S12" i="3"/>
  <c r="T12" i="3"/>
  <c r="U12" i="3"/>
  <c r="G13" i="3"/>
  <c r="H13" i="3"/>
  <c r="I13" i="3"/>
  <c r="J13" i="3"/>
  <c r="K13" i="3"/>
  <c r="L13" i="3"/>
  <c r="M13" i="3"/>
  <c r="N13" i="3"/>
  <c r="O13" i="3"/>
  <c r="P13" i="3"/>
  <c r="Q13" i="3"/>
  <c r="R13" i="3"/>
  <c r="S13" i="3"/>
  <c r="T13" i="3"/>
  <c r="U13" i="3"/>
  <c r="F15" i="3"/>
  <c r="F16" i="3" s="1"/>
  <c r="K15" i="3"/>
  <c r="P15" i="3"/>
  <c r="P16" i="3" s="1"/>
  <c r="U15" i="3"/>
  <c r="D16" i="3"/>
  <c r="E16" i="3"/>
  <c r="I16" i="3"/>
  <c r="J16" i="3"/>
  <c r="N16" i="3"/>
  <c r="O16" i="3"/>
  <c r="S16" i="3"/>
  <c r="T16" i="3"/>
  <c r="G17" i="3"/>
  <c r="H17" i="3"/>
  <c r="I17" i="3"/>
  <c r="J17" i="3"/>
  <c r="L17" i="3"/>
  <c r="M17" i="3"/>
  <c r="N17" i="3"/>
  <c r="O17" i="3"/>
  <c r="Q17" i="3"/>
  <c r="R17" i="3"/>
  <c r="S17" i="3"/>
  <c r="T17" i="3"/>
  <c r="D20" i="3"/>
  <c r="E20" i="3"/>
  <c r="F20" i="3"/>
  <c r="H20" i="3"/>
  <c r="I20" i="3"/>
  <c r="J20" i="3"/>
  <c r="K20" i="3"/>
  <c r="M20" i="3"/>
  <c r="N20" i="3"/>
  <c r="O20" i="3"/>
  <c r="P20" i="3"/>
  <c r="R20" i="3"/>
  <c r="S20" i="3"/>
  <c r="T20" i="3"/>
  <c r="U20" i="3"/>
  <c r="G21" i="3"/>
  <c r="H21" i="3"/>
  <c r="I21" i="3"/>
  <c r="J21" i="3"/>
  <c r="K21" i="3"/>
  <c r="L21" i="3"/>
  <c r="M21" i="3"/>
  <c r="N21" i="3"/>
  <c r="O21" i="3"/>
  <c r="P21" i="3"/>
  <c r="Q21" i="3"/>
  <c r="S21" i="3"/>
  <c r="T21" i="3"/>
  <c r="U21" i="3"/>
  <c r="D29" i="3"/>
  <c r="E29" i="3"/>
  <c r="F29" i="3"/>
  <c r="H29" i="3"/>
  <c r="I29" i="3"/>
  <c r="J29" i="3"/>
  <c r="K29" i="3"/>
  <c r="M29" i="3"/>
  <c r="N29" i="3"/>
  <c r="O29" i="3"/>
  <c r="P29" i="3"/>
  <c r="R29" i="3"/>
  <c r="S29" i="3"/>
  <c r="T29" i="3"/>
  <c r="U29" i="3"/>
  <c r="G30" i="3"/>
  <c r="H30" i="3"/>
  <c r="I30" i="3"/>
  <c r="J30" i="3"/>
  <c r="K30" i="3"/>
  <c r="L30" i="3"/>
  <c r="M30" i="3"/>
  <c r="N30" i="3"/>
  <c r="O30" i="3"/>
  <c r="P30" i="3"/>
  <c r="Q30" i="3"/>
  <c r="R30" i="3"/>
  <c r="S30" i="3"/>
  <c r="T30" i="3"/>
  <c r="U30" i="3"/>
  <c r="D35" i="3"/>
  <c r="E35" i="3"/>
  <c r="F35" i="3"/>
  <c r="H35" i="3"/>
  <c r="I35" i="3"/>
  <c r="J35" i="3"/>
  <c r="K35" i="3"/>
  <c r="M35" i="3"/>
  <c r="N35" i="3"/>
  <c r="O35" i="3"/>
  <c r="P35" i="3"/>
  <c r="R35" i="3"/>
  <c r="S35" i="3"/>
  <c r="T35" i="3"/>
  <c r="U35" i="3"/>
  <c r="G36" i="3"/>
  <c r="H36" i="3"/>
  <c r="I36" i="3"/>
  <c r="J36" i="3"/>
  <c r="K36" i="3"/>
  <c r="L36" i="3"/>
  <c r="M36" i="3"/>
  <c r="N36" i="3"/>
  <c r="O36" i="3"/>
  <c r="P36" i="3"/>
  <c r="Q36" i="3"/>
  <c r="R36" i="3"/>
  <c r="S36" i="3"/>
  <c r="T36" i="3"/>
  <c r="U36" i="3"/>
  <c r="D51" i="3"/>
  <c r="E51" i="3"/>
  <c r="F51" i="3"/>
  <c r="H51" i="3"/>
  <c r="I51" i="3"/>
  <c r="J51" i="3"/>
  <c r="K51" i="3"/>
  <c r="M51" i="3"/>
  <c r="N51" i="3"/>
  <c r="O51" i="3"/>
  <c r="P51" i="3"/>
  <c r="R51" i="3"/>
  <c r="S51" i="3"/>
  <c r="T51" i="3"/>
  <c r="U51" i="3"/>
  <c r="G52" i="3"/>
  <c r="H52" i="3"/>
  <c r="I52" i="3"/>
  <c r="J52" i="3"/>
  <c r="K52" i="3"/>
  <c r="L52" i="3"/>
  <c r="M52" i="3"/>
  <c r="N52" i="3"/>
  <c r="O52" i="3"/>
  <c r="P52" i="3"/>
  <c r="Q52" i="3"/>
  <c r="R52" i="3"/>
  <c r="S52" i="3"/>
  <c r="T52" i="3"/>
  <c r="U52" i="3"/>
  <c r="D54" i="3"/>
  <c r="E54" i="3"/>
  <c r="F54" i="3"/>
  <c r="H54" i="3"/>
  <c r="I54" i="3"/>
  <c r="J54" i="3"/>
  <c r="K54" i="3"/>
  <c r="M54" i="3"/>
  <c r="N54" i="3"/>
  <c r="O54" i="3"/>
  <c r="P54" i="3"/>
  <c r="R54" i="3"/>
  <c r="S54" i="3"/>
  <c r="T54" i="3"/>
  <c r="U54" i="3"/>
  <c r="G55" i="3"/>
  <c r="H55" i="3"/>
  <c r="I55" i="3"/>
  <c r="J55" i="3"/>
  <c r="K55" i="3"/>
  <c r="L55" i="3"/>
  <c r="M55" i="3"/>
  <c r="N55" i="3"/>
  <c r="O55" i="3"/>
  <c r="P55" i="3"/>
  <c r="Q55" i="3"/>
  <c r="R55" i="3"/>
  <c r="S55" i="3"/>
  <c r="T55" i="3"/>
  <c r="U55" i="3"/>
  <c r="G58" i="3"/>
  <c r="L58" i="3"/>
  <c r="Q58" i="3"/>
  <c r="K69" i="3"/>
  <c r="M70" i="3" s="1"/>
  <c r="P69" i="3"/>
  <c r="R70" i="3" s="1"/>
  <c r="D70" i="3"/>
  <c r="E70" i="3"/>
  <c r="F70" i="3"/>
  <c r="H70" i="3"/>
  <c r="I70" i="3"/>
  <c r="J70" i="3"/>
  <c r="K70" i="3"/>
  <c r="N70" i="3"/>
  <c r="O70" i="3"/>
  <c r="S70" i="3"/>
  <c r="T70" i="3"/>
  <c r="U70" i="3"/>
  <c r="G71" i="3"/>
  <c r="H71" i="3"/>
  <c r="I71" i="3"/>
  <c r="J71" i="3"/>
  <c r="L71" i="3"/>
  <c r="M71" i="3"/>
  <c r="N71" i="3"/>
  <c r="O71" i="3"/>
  <c r="Q71" i="3"/>
  <c r="R71" i="3"/>
  <c r="S71" i="3"/>
  <c r="T71" i="3"/>
  <c r="N85" i="3"/>
  <c r="O85" i="3"/>
  <c r="P85" i="3"/>
  <c r="R85" i="3"/>
  <c r="S85" i="3"/>
  <c r="T85" i="3"/>
  <c r="U85" i="3"/>
  <c r="R86" i="3"/>
  <c r="S86" i="3"/>
  <c r="T86" i="3"/>
  <c r="U86" i="3"/>
  <c r="D116" i="3"/>
  <c r="E116" i="3"/>
  <c r="F116" i="3"/>
  <c r="H116" i="3"/>
  <c r="I116" i="3"/>
  <c r="J116" i="3"/>
  <c r="K116" i="3"/>
  <c r="M116" i="3"/>
  <c r="N116" i="3"/>
  <c r="O116" i="3"/>
  <c r="P116" i="3"/>
  <c r="R116" i="3"/>
  <c r="S116" i="3"/>
  <c r="T116" i="3"/>
  <c r="U116" i="3"/>
  <c r="G117" i="3"/>
  <c r="H117" i="3"/>
  <c r="I117" i="3"/>
  <c r="J117" i="3"/>
  <c r="K117" i="3"/>
  <c r="L117" i="3"/>
  <c r="M117" i="3"/>
  <c r="N117" i="3"/>
  <c r="O117" i="3"/>
  <c r="P117" i="3"/>
  <c r="Q117" i="3"/>
  <c r="R117" i="3"/>
  <c r="S117" i="3"/>
  <c r="T117" i="3"/>
  <c r="U117" i="3"/>
  <c r="D121" i="3"/>
  <c r="E121" i="3"/>
  <c r="F121" i="3"/>
  <c r="H121" i="3"/>
  <c r="I121" i="3"/>
  <c r="J121" i="3"/>
  <c r="K121" i="3"/>
  <c r="M121" i="3"/>
  <c r="N121" i="3"/>
  <c r="O121" i="3"/>
  <c r="P121" i="3"/>
  <c r="R121" i="3"/>
  <c r="S121" i="3"/>
  <c r="T121" i="3"/>
  <c r="U121" i="3"/>
  <c r="G122" i="3"/>
  <c r="H122" i="3"/>
  <c r="I122" i="3"/>
  <c r="J122" i="3"/>
  <c r="K122" i="3"/>
  <c r="L122" i="3"/>
  <c r="M122" i="3"/>
  <c r="N122" i="3"/>
  <c r="O122" i="3"/>
  <c r="P122" i="3"/>
  <c r="Q122" i="3"/>
  <c r="R122" i="3"/>
  <c r="S122" i="3"/>
  <c r="T122" i="3"/>
  <c r="U122" i="3"/>
  <c r="O230" i="3"/>
  <c r="T230" i="3"/>
  <c r="T233" i="3" s="1"/>
  <c r="K9" i="2"/>
  <c r="K10" i="2" s="1"/>
  <c r="P9" i="2"/>
  <c r="R10" i="2" s="1"/>
  <c r="U9" i="2"/>
  <c r="U10" i="2" s="1"/>
  <c r="Z9" i="2"/>
  <c r="Z10" i="2" s="1"/>
  <c r="D10" i="2"/>
  <c r="E10" i="2"/>
  <c r="F10" i="2"/>
  <c r="H10" i="2"/>
  <c r="I10" i="2"/>
  <c r="J10" i="2"/>
  <c r="N10" i="2"/>
  <c r="O10" i="2"/>
  <c r="S10" i="2"/>
  <c r="T10" i="2"/>
  <c r="X10" i="2"/>
  <c r="Y10" i="2"/>
  <c r="AC10" i="2"/>
  <c r="AD10" i="2"/>
  <c r="G11" i="2"/>
  <c r="H11" i="2"/>
  <c r="I11" i="2"/>
  <c r="J11" i="2"/>
  <c r="L11" i="2"/>
  <c r="M11" i="2"/>
  <c r="N11" i="2"/>
  <c r="O11" i="2"/>
  <c r="Q11" i="2"/>
  <c r="R11" i="2"/>
  <c r="S11" i="2"/>
  <c r="T11" i="2"/>
  <c r="K20" i="2"/>
  <c r="P20" i="2"/>
  <c r="U20" i="2"/>
  <c r="D21" i="2"/>
  <c r="E21" i="2"/>
  <c r="F21" i="2"/>
  <c r="H21" i="2"/>
  <c r="I21" i="2"/>
  <c r="J21" i="2"/>
  <c r="N21" i="2"/>
  <c r="O21" i="2"/>
  <c r="S21" i="2"/>
  <c r="T21" i="2"/>
  <c r="G22" i="2"/>
  <c r="H22" i="2"/>
  <c r="I22" i="2"/>
  <c r="J22" i="2"/>
  <c r="L22" i="2"/>
  <c r="M22" i="2"/>
  <c r="N22" i="2"/>
  <c r="O22" i="2"/>
  <c r="Q22" i="2"/>
  <c r="R22" i="2"/>
  <c r="S22" i="2"/>
  <c r="T22" i="2"/>
  <c r="K32" i="2"/>
  <c r="K126" i="2" s="1"/>
  <c r="P32" i="2"/>
  <c r="U32" i="2"/>
  <c r="U126" i="2" s="1"/>
  <c r="D33" i="2"/>
  <c r="E33" i="2"/>
  <c r="F33" i="2"/>
  <c r="H33" i="2"/>
  <c r="I33" i="2"/>
  <c r="J33" i="2"/>
  <c r="N33" i="2"/>
  <c r="O33" i="2"/>
  <c r="S33" i="2"/>
  <c r="T33" i="2"/>
  <c r="G34" i="2"/>
  <c r="H34" i="2"/>
  <c r="I34" i="2"/>
  <c r="J34" i="2"/>
  <c r="L34" i="2"/>
  <c r="M34" i="2"/>
  <c r="N34" i="2"/>
  <c r="O34" i="2"/>
  <c r="Q34" i="2"/>
  <c r="R34" i="2"/>
  <c r="S34" i="2"/>
  <c r="T34" i="2"/>
  <c r="F42" i="2"/>
  <c r="L42" i="2"/>
  <c r="K42" i="2" s="1"/>
  <c r="M42" i="2"/>
  <c r="U42" i="2"/>
  <c r="F48" i="2"/>
  <c r="L48" i="2"/>
  <c r="K48" i="2" s="1"/>
  <c r="M48" i="2"/>
  <c r="K12" i="2"/>
  <c r="K14" i="2" s="1"/>
  <c r="P12" i="2"/>
  <c r="U12" i="2"/>
  <c r="U13" i="2" s="1"/>
  <c r="D13" i="2"/>
  <c r="E13" i="2"/>
  <c r="F13" i="2"/>
  <c r="H13" i="2"/>
  <c r="I13" i="2"/>
  <c r="J13" i="2"/>
  <c r="N13" i="2"/>
  <c r="O13" i="2"/>
  <c r="S13" i="2"/>
  <c r="T13" i="2"/>
  <c r="G14" i="2"/>
  <c r="H14" i="2"/>
  <c r="I14" i="2"/>
  <c r="J14" i="2"/>
  <c r="L14" i="2"/>
  <c r="M14" i="2"/>
  <c r="N14" i="2"/>
  <c r="O14" i="2"/>
  <c r="Q14" i="2"/>
  <c r="R14" i="2"/>
  <c r="S14" i="2"/>
  <c r="T14" i="2"/>
  <c r="P15" i="2"/>
  <c r="U15" i="2"/>
  <c r="N16" i="2"/>
  <c r="O16" i="2"/>
  <c r="S16" i="2"/>
  <c r="T16" i="2"/>
  <c r="G17" i="2"/>
  <c r="L17" i="2"/>
  <c r="Q17" i="2"/>
  <c r="R17" i="2"/>
  <c r="S17" i="2"/>
  <c r="T17" i="2"/>
  <c r="P18" i="2"/>
  <c r="U18" i="2"/>
  <c r="P23" i="2"/>
  <c r="U23" i="2"/>
  <c r="U24" i="2" s="1"/>
  <c r="O24" i="2"/>
  <c r="S24" i="2"/>
  <c r="T24" i="2"/>
  <c r="G25" i="2"/>
  <c r="S25" i="2"/>
  <c r="T25" i="2"/>
  <c r="P26" i="2"/>
  <c r="U26" i="2"/>
  <c r="N27" i="2"/>
  <c r="O27" i="2"/>
  <c r="S27" i="2"/>
  <c r="T27" i="2"/>
  <c r="S28" i="2"/>
  <c r="T28" i="2"/>
  <c r="C36" i="2"/>
  <c r="C127" i="2" s="1"/>
  <c r="D36" i="2"/>
  <c r="D127" i="2" s="1"/>
  <c r="E36" i="2"/>
  <c r="E127" i="2" s="1"/>
  <c r="H36" i="2"/>
  <c r="H127" i="2" s="1"/>
  <c r="I36" i="2"/>
  <c r="I127" i="2" s="1"/>
  <c r="J36" i="2"/>
  <c r="J127" i="2" s="1"/>
  <c r="B85" i="2"/>
  <c r="C85" i="2"/>
  <c r="D85" i="2"/>
  <c r="E85" i="2"/>
  <c r="J87" i="2" s="1"/>
  <c r="G85" i="2"/>
  <c r="G87" i="2" s="1"/>
  <c r="H85" i="2"/>
  <c r="M87" i="2" s="1"/>
  <c r="I85" i="2"/>
  <c r="L85" i="2"/>
  <c r="Q87" i="2" s="1"/>
  <c r="P85" i="2"/>
  <c r="U85" i="2"/>
  <c r="U86" i="2" s="1"/>
  <c r="N86" i="2"/>
  <c r="O86" i="2"/>
  <c r="S86" i="2"/>
  <c r="T86" i="2"/>
  <c r="O87" i="2"/>
  <c r="R87" i="2"/>
  <c r="S87" i="2"/>
  <c r="T87" i="2"/>
  <c r="B88" i="2"/>
  <c r="C88" i="2"/>
  <c r="D88" i="2"/>
  <c r="E88" i="2"/>
  <c r="G88" i="2"/>
  <c r="G90" i="2" s="1"/>
  <c r="H88" i="2"/>
  <c r="I88" i="2"/>
  <c r="I90" i="2" s="1"/>
  <c r="J88" i="2"/>
  <c r="L88" i="2"/>
  <c r="Q90" i="2" s="1"/>
  <c r="U88" i="2"/>
  <c r="U90" i="2" s="1"/>
  <c r="N89" i="2"/>
  <c r="O89" i="2"/>
  <c r="P89" i="2"/>
  <c r="R89" i="2"/>
  <c r="S89" i="2"/>
  <c r="T89" i="2"/>
  <c r="R90" i="2"/>
  <c r="S90" i="2"/>
  <c r="T90" i="2"/>
  <c r="L54" i="2"/>
  <c r="P52" i="2"/>
  <c r="P53" i="2" s="1"/>
  <c r="R54" i="2"/>
  <c r="S54" i="2"/>
  <c r="T54" i="2"/>
  <c r="N53" i="2"/>
  <c r="O53" i="2"/>
  <c r="G54" i="2"/>
  <c r="U55" i="2"/>
  <c r="U56" i="2" s="1"/>
  <c r="S56" i="2"/>
  <c r="T56" i="2"/>
  <c r="Q57" i="2"/>
  <c r="U58" i="2"/>
  <c r="U59" i="2" s="1"/>
  <c r="S59" i="2"/>
  <c r="T59" i="2"/>
  <c r="Q60" i="2"/>
  <c r="U61" i="2"/>
  <c r="S62" i="2"/>
  <c r="T62" i="2"/>
  <c r="Q63" i="2"/>
  <c r="U64" i="2"/>
  <c r="U65" i="2" s="1"/>
  <c r="S65" i="2"/>
  <c r="T65" i="2"/>
  <c r="Q66" i="2"/>
  <c r="U67" i="2"/>
  <c r="S68" i="2"/>
  <c r="T68" i="2"/>
  <c r="Q69" i="2"/>
  <c r="U70" i="2"/>
  <c r="S71" i="2"/>
  <c r="T71" i="2"/>
  <c r="Q72" i="2"/>
  <c r="U73" i="2"/>
  <c r="S74" i="2"/>
  <c r="T74" i="2"/>
  <c r="Q75" i="2"/>
  <c r="D180" i="2"/>
  <c r="E180" i="2"/>
  <c r="K185" i="2"/>
  <c r="P185" i="2"/>
  <c r="R186" i="2" s="1"/>
  <c r="U185" i="2"/>
  <c r="W186" i="2" s="1"/>
  <c r="Z185" i="2"/>
  <c r="Z186" i="2" s="1"/>
  <c r="I186" i="2"/>
  <c r="J186" i="2"/>
  <c r="N186" i="2"/>
  <c r="O186" i="2"/>
  <c r="S186" i="2"/>
  <c r="T186" i="2"/>
  <c r="X186" i="2"/>
  <c r="Y186" i="2"/>
  <c r="AC186" i="2"/>
  <c r="AD186" i="2"/>
  <c r="L187" i="2"/>
  <c r="M187" i="2"/>
  <c r="N187" i="2"/>
  <c r="O187" i="2"/>
  <c r="Q187" i="2"/>
  <c r="R187" i="2"/>
  <c r="S187" i="2"/>
  <c r="T187" i="2"/>
  <c r="V187" i="2"/>
  <c r="W187" i="2"/>
  <c r="X187" i="2"/>
  <c r="Y187" i="2"/>
  <c r="AA187" i="2"/>
  <c r="AB187" i="2"/>
  <c r="AC187" i="2"/>
  <c r="AD187" i="2"/>
  <c r="K182" i="2"/>
  <c r="K183" i="2" s="1"/>
  <c r="P182" i="2"/>
  <c r="U182" i="2"/>
  <c r="W183" i="2" s="1"/>
  <c r="Z182" i="2"/>
  <c r="AB183" i="2" s="1"/>
  <c r="I183" i="2"/>
  <c r="J183" i="2"/>
  <c r="N183" i="2"/>
  <c r="O183" i="2"/>
  <c r="S183" i="2"/>
  <c r="T183" i="2"/>
  <c r="X183" i="2"/>
  <c r="Y183" i="2"/>
  <c r="AC183" i="2"/>
  <c r="AD183" i="2"/>
  <c r="L184" i="2"/>
  <c r="M184" i="2"/>
  <c r="N184" i="2"/>
  <c r="O184" i="2"/>
  <c r="Q184" i="2"/>
  <c r="R184" i="2"/>
  <c r="S184" i="2"/>
  <c r="T184" i="2"/>
  <c r="V184" i="2"/>
  <c r="W184" i="2"/>
  <c r="X184" i="2"/>
  <c r="Y184" i="2"/>
  <c r="AA184" i="2"/>
  <c r="AB184" i="2"/>
  <c r="AC184" i="2"/>
  <c r="AD184" i="2"/>
  <c r="K188" i="2"/>
  <c r="P188" i="2"/>
  <c r="R189" i="2" s="1"/>
  <c r="U188" i="2"/>
  <c r="U189" i="2" s="1"/>
  <c r="Z188" i="2"/>
  <c r="Z189" i="2" s="1"/>
  <c r="I189" i="2"/>
  <c r="J189" i="2"/>
  <c r="N189" i="2"/>
  <c r="O189" i="2"/>
  <c r="S189" i="2"/>
  <c r="T189" i="2"/>
  <c r="X189" i="2"/>
  <c r="Y189" i="2"/>
  <c r="AC189" i="2"/>
  <c r="AD189" i="2"/>
  <c r="L190" i="2"/>
  <c r="M190" i="2"/>
  <c r="N190" i="2"/>
  <c r="O190" i="2"/>
  <c r="Q190" i="2"/>
  <c r="R190" i="2"/>
  <c r="S190" i="2"/>
  <c r="T190" i="2"/>
  <c r="V190" i="2"/>
  <c r="W190" i="2"/>
  <c r="X190" i="2"/>
  <c r="Y190" i="2"/>
  <c r="AA190" i="2"/>
  <c r="AB190" i="2"/>
  <c r="AC190" i="2"/>
  <c r="AD190" i="2"/>
  <c r="K194" i="2"/>
  <c r="K195" i="2" s="1"/>
  <c r="P194" i="2"/>
  <c r="U194" i="2"/>
  <c r="Z194" i="2"/>
  <c r="I195" i="2"/>
  <c r="J195" i="2"/>
  <c r="N195" i="2"/>
  <c r="O195" i="2"/>
  <c r="S195" i="2"/>
  <c r="T195" i="2"/>
  <c r="X195" i="2"/>
  <c r="Y195" i="2"/>
  <c r="AC195" i="2"/>
  <c r="AD195" i="2"/>
  <c r="G196" i="2"/>
  <c r="L196" i="2"/>
  <c r="M196" i="2"/>
  <c r="N196" i="2"/>
  <c r="O196" i="2"/>
  <c r="Q196" i="2"/>
  <c r="R196" i="2"/>
  <c r="S196" i="2"/>
  <c r="T196" i="2"/>
  <c r="V196" i="2"/>
  <c r="W196" i="2"/>
  <c r="X196" i="2"/>
  <c r="Y196" i="2"/>
  <c r="AA196" i="2"/>
  <c r="AB196" i="2"/>
  <c r="AC196" i="2"/>
  <c r="AD196" i="2"/>
  <c r="F210" i="2"/>
  <c r="K210" i="2"/>
  <c r="P210" i="2"/>
  <c r="U210" i="2"/>
  <c r="Z210" i="2"/>
  <c r="D211" i="2"/>
  <c r="E211" i="2"/>
  <c r="I211" i="2"/>
  <c r="J211" i="2"/>
  <c r="N211" i="2"/>
  <c r="O211" i="2"/>
  <c r="S211" i="2"/>
  <c r="T211" i="2"/>
  <c r="X211" i="2"/>
  <c r="Y211" i="2"/>
  <c r="AC211" i="2"/>
  <c r="AD211" i="2"/>
  <c r="G212" i="2"/>
  <c r="H212" i="2"/>
  <c r="I212" i="2"/>
  <c r="J212" i="2"/>
  <c r="L212" i="2"/>
  <c r="M212" i="2"/>
  <c r="N212" i="2"/>
  <c r="O212" i="2"/>
  <c r="Q212" i="2"/>
  <c r="R212" i="2"/>
  <c r="S212" i="2"/>
  <c r="T212" i="2"/>
  <c r="V212" i="2"/>
  <c r="W212" i="2"/>
  <c r="X212" i="2"/>
  <c r="Y212" i="2"/>
  <c r="AA212" i="2"/>
  <c r="AB212" i="2"/>
  <c r="AC212" i="2"/>
  <c r="AD212" i="2"/>
  <c r="B219" i="2"/>
  <c r="C219" i="2"/>
  <c r="C254" i="2" s="1"/>
  <c r="D219" i="2"/>
  <c r="D254" i="2" s="1"/>
  <c r="E219" i="2"/>
  <c r="G219" i="2"/>
  <c r="H219" i="2"/>
  <c r="I219" i="2"/>
  <c r="L219" i="2"/>
  <c r="M219" i="2"/>
  <c r="M254" i="2" s="1"/>
  <c r="N219" i="2"/>
  <c r="O219" i="2"/>
  <c r="O254" i="2" s="1"/>
  <c r="Q219" i="2"/>
  <c r="Q254" i="2" s="1"/>
  <c r="R219" i="2"/>
  <c r="T219" i="2"/>
  <c r="W219" i="2"/>
  <c r="W254" i="2" s="1"/>
  <c r="X219" i="2"/>
  <c r="Y219" i="2"/>
  <c r="AA219" i="2"/>
  <c r="F203" i="2"/>
  <c r="K203" i="2"/>
  <c r="P203" i="2"/>
  <c r="U203" i="2"/>
  <c r="U204" i="2" s="1"/>
  <c r="Z203" i="2"/>
  <c r="D204" i="2"/>
  <c r="E204" i="2"/>
  <c r="I204" i="2"/>
  <c r="J204" i="2"/>
  <c r="N204" i="2"/>
  <c r="O204" i="2"/>
  <c r="S204" i="2"/>
  <c r="T204" i="2"/>
  <c r="X204" i="2"/>
  <c r="Y204" i="2"/>
  <c r="AC204" i="2"/>
  <c r="AD204" i="2"/>
  <c r="G205" i="2"/>
  <c r="H205" i="2"/>
  <c r="I205" i="2"/>
  <c r="J205" i="2"/>
  <c r="L205" i="2"/>
  <c r="M205" i="2"/>
  <c r="N205" i="2"/>
  <c r="O205" i="2"/>
  <c r="Q205" i="2"/>
  <c r="R205" i="2"/>
  <c r="S205" i="2"/>
  <c r="T205" i="2"/>
  <c r="V205" i="2"/>
  <c r="W205" i="2"/>
  <c r="X205" i="2"/>
  <c r="Y205" i="2"/>
  <c r="AA205" i="2"/>
  <c r="AB205" i="2"/>
  <c r="AC205" i="2"/>
  <c r="AD205" i="2"/>
  <c r="K206" i="2"/>
  <c r="K207" i="2" s="1"/>
  <c r="P206" i="2"/>
  <c r="U206" i="2"/>
  <c r="U207" i="2" s="1"/>
  <c r="Z206" i="2"/>
  <c r="I207" i="2"/>
  <c r="J207" i="2"/>
  <c r="N207" i="2"/>
  <c r="O207" i="2"/>
  <c r="S207" i="2"/>
  <c r="T207" i="2"/>
  <c r="X207" i="2"/>
  <c r="Y207" i="2"/>
  <c r="AC207" i="2"/>
  <c r="AD207" i="2"/>
  <c r="G208" i="2"/>
  <c r="L208" i="2"/>
  <c r="M208" i="2"/>
  <c r="N208" i="2"/>
  <c r="O208" i="2"/>
  <c r="Q208" i="2"/>
  <c r="R208" i="2"/>
  <c r="S208" i="2"/>
  <c r="T208" i="2"/>
  <c r="V208" i="2"/>
  <c r="W208" i="2"/>
  <c r="X208" i="2"/>
  <c r="Y208" i="2"/>
  <c r="AA208" i="2"/>
  <c r="AB208" i="2"/>
  <c r="AC208" i="2"/>
  <c r="AD208" i="2"/>
  <c r="K209" i="2"/>
  <c r="P209" i="2"/>
  <c r="U209" i="2"/>
  <c r="Z209" i="2"/>
  <c r="K213" i="2"/>
  <c r="P213" i="2"/>
  <c r="U213" i="2"/>
  <c r="U214" i="2" s="1"/>
  <c r="Z213" i="2"/>
  <c r="I214" i="2"/>
  <c r="O214" i="2"/>
  <c r="S214" i="2"/>
  <c r="T214" i="2"/>
  <c r="X214" i="2"/>
  <c r="Y214" i="2"/>
  <c r="AC214" i="2"/>
  <c r="AD214" i="2"/>
  <c r="G215" i="2"/>
  <c r="M215" i="2"/>
  <c r="N215" i="2"/>
  <c r="O215" i="2"/>
  <c r="S215" i="2"/>
  <c r="T215" i="2"/>
  <c r="V215" i="2"/>
  <c r="W215" i="2"/>
  <c r="X215" i="2"/>
  <c r="Y215" i="2"/>
  <c r="AA215" i="2"/>
  <c r="AB215" i="2"/>
  <c r="AC215" i="2"/>
  <c r="AD215" i="2"/>
  <c r="B223" i="2"/>
  <c r="C223" i="2"/>
  <c r="C255" i="2" s="1"/>
  <c r="D223" i="2"/>
  <c r="D255" i="2" s="1"/>
  <c r="E223" i="2"/>
  <c r="E255" i="2" s="1"/>
  <c r="G223" i="2"/>
  <c r="H223" i="2"/>
  <c r="I223" i="2"/>
  <c r="J223" i="2"/>
  <c r="L223" i="2"/>
  <c r="L255" i="2" s="1"/>
  <c r="M223" i="2"/>
  <c r="N223" i="2"/>
  <c r="O223" i="2"/>
  <c r="Q223" i="2"/>
  <c r="Q255" i="2" s="1"/>
  <c r="R223" i="2"/>
  <c r="S223" i="2"/>
  <c r="T223" i="2"/>
  <c r="V223" i="2"/>
  <c r="W223" i="2"/>
  <c r="X223" i="2"/>
  <c r="Y223" i="2"/>
  <c r="AA223" i="2"/>
  <c r="AA255" i="2" s="1"/>
  <c r="AB223" i="2"/>
  <c r="AC223" i="2"/>
  <c r="AD223" i="2"/>
  <c r="K235" i="2"/>
  <c r="M236" i="2" s="1"/>
  <c r="P235" i="2"/>
  <c r="R235" i="2"/>
  <c r="Z235" i="2"/>
  <c r="I236" i="2"/>
  <c r="J236" i="2"/>
  <c r="N236" i="2"/>
  <c r="O236" i="2"/>
  <c r="T236" i="2"/>
  <c r="X236" i="2"/>
  <c r="Y236" i="2"/>
  <c r="AC236" i="2"/>
  <c r="AD236" i="2"/>
  <c r="G237" i="2"/>
  <c r="L237" i="2"/>
  <c r="M237" i="2"/>
  <c r="N237" i="2"/>
  <c r="O237" i="2"/>
  <c r="Q237" i="2"/>
  <c r="S237" i="2"/>
  <c r="T237" i="2"/>
  <c r="V237" i="2"/>
  <c r="X237" i="2"/>
  <c r="Y237" i="2"/>
  <c r="AA237" i="2"/>
  <c r="AB237" i="2"/>
  <c r="AC237" i="2"/>
  <c r="AD237" i="2"/>
  <c r="G238" i="2"/>
  <c r="G240" i="2" s="1"/>
  <c r="K238" i="2"/>
  <c r="M239" i="2" s="1"/>
  <c r="Q238" i="2"/>
  <c r="U238" i="2"/>
  <c r="AA238" i="2"/>
  <c r="AA240" i="2" s="1"/>
  <c r="D239" i="2"/>
  <c r="E239" i="2"/>
  <c r="I239" i="2"/>
  <c r="J239" i="2"/>
  <c r="N239" i="2"/>
  <c r="O239" i="2"/>
  <c r="P239" i="2"/>
  <c r="R239" i="2"/>
  <c r="S239" i="2"/>
  <c r="T239" i="2"/>
  <c r="X239" i="2"/>
  <c r="Y239" i="2"/>
  <c r="Z239" i="2"/>
  <c r="AB239" i="2"/>
  <c r="AC239" i="2"/>
  <c r="AD239" i="2"/>
  <c r="H240" i="2"/>
  <c r="I240" i="2"/>
  <c r="J240" i="2"/>
  <c r="M240" i="2"/>
  <c r="N240" i="2"/>
  <c r="O240" i="2"/>
  <c r="R240" i="2"/>
  <c r="S240" i="2"/>
  <c r="T240" i="2"/>
  <c r="W240" i="2"/>
  <c r="X240" i="2"/>
  <c r="Y240" i="2"/>
  <c r="AB240" i="2"/>
  <c r="AC240" i="2"/>
  <c r="AD240" i="2"/>
  <c r="D242" i="2"/>
  <c r="E242" i="2"/>
  <c r="J243" i="2"/>
  <c r="E245" i="2"/>
  <c r="E246" i="2" s="1"/>
  <c r="J245" i="2"/>
  <c r="S245" i="2"/>
  <c r="D246" i="2"/>
  <c r="U261" i="2"/>
  <c r="U262" i="2" s="1"/>
  <c r="Z261" i="2"/>
  <c r="Z262" i="2" s="1"/>
  <c r="AB261" i="2"/>
  <c r="AB263" i="2" s="1"/>
  <c r="AC261" i="2"/>
  <c r="AD261" i="2"/>
  <c r="S262" i="2"/>
  <c r="T262" i="2"/>
  <c r="X262" i="2"/>
  <c r="Y262" i="2"/>
  <c r="G263" i="2"/>
  <c r="L263" i="2"/>
  <c r="Q263" i="2"/>
  <c r="V263" i="2"/>
  <c r="W263" i="2"/>
  <c r="X263" i="2"/>
  <c r="Y263" i="2"/>
  <c r="AA263" i="2"/>
  <c r="U267" i="2"/>
  <c r="U268" i="2" s="1"/>
  <c r="Z267" i="2"/>
  <c r="S268" i="2"/>
  <c r="T268" i="2"/>
  <c r="X268" i="2"/>
  <c r="Y268" i="2"/>
  <c r="AC268" i="2"/>
  <c r="AD268" i="2"/>
  <c r="Q269" i="2"/>
  <c r="V269" i="2"/>
  <c r="W269" i="2"/>
  <c r="X269" i="2"/>
  <c r="Y269" i="2"/>
  <c r="AA269" i="2"/>
  <c r="AB269" i="2"/>
  <c r="AC269" i="2"/>
  <c r="AD269" i="2"/>
  <c r="U270" i="2"/>
  <c r="W271" i="2" s="1"/>
  <c r="Z270" i="2"/>
  <c r="S271" i="2"/>
  <c r="T271" i="2"/>
  <c r="X271" i="2"/>
  <c r="Y271" i="2"/>
  <c r="AC271" i="2"/>
  <c r="AD271" i="2"/>
  <c r="Q272" i="2"/>
  <c r="V272" i="2"/>
  <c r="W272" i="2"/>
  <c r="X272" i="2"/>
  <c r="Y272" i="2"/>
  <c r="AA272" i="2"/>
  <c r="AB272" i="2"/>
  <c r="AC272" i="2"/>
  <c r="AD272" i="2"/>
  <c r="U273" i="2"/>
  <c r="W274" i="2" s="1"/>
  <c r="Z273" i="2"/>
  <c r="Z274" i="2" s="1"/>
  <c r="S274" i="2"/>
  <c r="T274" i="2"/>
  <c r="X274" i="2"/>
  <c r="Y274" i="2"/>
  <c r="AC274" i="2"/>
  <c r="AD274" i="2"/>
  <c r="Q275" i="2"/>
  <c r="V275" i="2"/>
  <c r="W275" i="2"/>
  <c r="X275" i="2"/>
  <c r="Y275" i="2"/>
  <c r="AA275" i="2"/>
  <c r="AB275" i="2"/>
  <c r="AC275" i="2"/>
  <c r="AD275" i="2"/>
  <c r="U264" i="2"/>
  <c r="Z264" i="2"/>
  <c r="S265" i="2"/>
  <c r="T265" i="2"/>
  <c r="X265" i="2"/>
  <c r="Y265" i="2"/>
  <c r="AC265" i="2"/>
  <c r="AD265" i="2"/>
  <c r="Q266" i="2"/>
  <c r="V266" i="2"/>
  <c r="W266" i="2"/>
  <c r="X266" i="2"/>
  <c r="Y266" i="2"/>
  <c r="AA266" i="2"/>
  <c r="AB266" i="2"/>
  <c r="AC266" i="2"/>
  <c r="AD266" i="2"/>
  <c r="U276" i="2"/>
  <c r="Z276" i="2"/>
  <c r="S277" i="2"/>
  <c r="T277" i="2"/>
  <c r="X277" i="2"/>
  <c r="Y277" i="2"/>
  <c r="AC277" i="2"/>
  <c r="AD277" i="2"/>
  <c r="Q278" i="2"/>
  <c r="V278" i="2"/>
  <c r="W278" i="2"/>
  <c r="X278" i="2"/>
  <c r="Y278" i="2"/>
  <c r="AA278" i="2"/>
  <c r="AB278" i="2"/>
  <c r="AC278" i="2"/>
  <c r="AD278" i="2"/>
  <c r="U279" i="2"/>
  <c r="U280" i="2" s="1"/>
  <c r="Z279" i="2"/>
  <c r="S280" i="2"/>
  <c r="T280" i="2"/>
  <c r="X280" i="2"/>
  <c r="Y280" i="2"/>
  <c r="AC280" i="2"/>
  <c r="AD280" i="2"/>
  <c r="Q281" i="2"/>
  <c r="V281" i="2"/>
  <c r="W281" i="2"/>
  <c r="X281" i="2"/>
  <c r="Y281" i="2"/>
  <c r="AA281" i="2"/>
  <c r="AB281" i="2"/>
  <c r="AC281" i="2"/>
  <c r="AD281" i="2"/>
  <c r="U282" i="2"/>
  <c r="W283" i="2" s="1"/>
  <c r="Z282" i="2"/>
  <c r="AB283" i="2" s="1"/>
  <c r="S283" i="2"/>
  <c r="T283" i="2"/>
  <c r="X283" i="2"/>
  <c r="Y283" i="2"/>
  <c r="AC283" i="2"/>
  <c r="AD283" i="2"/>
  <c r="Q284" i="2"/>
  <c r="V284" i="2"/>
  <c r="W284" i="2"/>
  <c r="X284" i="2"/>
  <c r="Y284" i="2"/>
  <c r="AA284" i="2"/>
  <c r="AB284" i="2"/>
  <c r="AC284" i="2"/>
  <c r="AD284" i="2"/>
  <c r="D289" i="2"/>
  <c r="E289" i="2"/>
  <c r="X290" i="2"/>
  <c r="K291" i="2"/>
  <c r="P291" i="2"/>
  <c r="U291" i="2"/>
  <c r="U292" i="2" s="1"/>
  <c r="Z291" i="2"/>
  <c r="I292" i="2"/>
  <c r="J292" i="2"/>
  <c r="N292" i="2"/>
  <c r="O292" i="2"/>
  <c r="S292" i="2"/>
  <c r="T292" i="2"/>
  <c r="X292" i="2"/>
  <c r="Y292" i="2"/>
  <c r="AC292" i="2"/>
  <c r="AD292" i="2"/>
  <c r="G293" i="2"/>
  <c r="L293" i="2"/>
  <c r="M293" i="2"/>
  <c r="N293" i="2"/>
  <c r="O293" i="2"/>
  <c r="Q293" i="2"/>
  <c r="R293" i="2"/>
  <c r="S293" i="2"/>
  <c r="T293" i="2"/>
  <c r="V293" i="2"/>
  <c r="W293" i="2"/>
  <c r="X293" i="2"/>
  <c r="Y293" i="2"/>
  <c r="AA293" i="2"/>
  <c r="AB293" i="2"/>
  <c r="AC293" i="2"/>
  <c r="AD293" i="2"/>
  <c r="K294" i="2"/>
  <c r="P294" i="2"/>
  <c r="R295" i="2" s="1"/>
  <c r="U294" i="2"/>
  <c r="Z294" i="2"/>
  <c r="I295" i="2"/>
  <c r="J295" i="2"/>
  <c r="N295" i="2"/>
  <c r="O295" i="2"/>
  <c r="S295" i="2"/>
  <c r="T295" i="2"/>
  <c r="X295" i="2"/>
  <c r="Y295" i="2"/>
  <c r="AC295" i="2"/>
  <c r="AD295" i="2"/>
  <c r="G296" i="2"/>
  <c r="L296" i="2"/>
  <c r="M296" i="2"/>
  <c r="N296" i="2"/>
  <c r="O296" i="2"/>
  <c r="Q296" i="2"/>
  <c r="R296" i="2"/>
  <c r="S296" i="2"/>
  <c r="T296" i="2"/>
  <c r="V296" i="2"/>
  <c r="W296" i="2"/>
  <c r="X296" i="2"/>
  <c r="Y296" i="2"/>
  <c r="AA296" i="2"/>
  <c r="AB296" i="2"/>
  <c r="AC296" i="2"/>
  <c r="AD296" i="2"/>
  <c r="K306" i="2"/>
  <c r="P306" i="2"/>
  <c r="P307" i="2" s="1"/>
  <c r="U306" i="2"/>
  <c r="U307" i="2" s="1"/>
  <c r="Z306" i="2"/>
  <c r="I307" i="2"/>
  <c r="J307" i="2"/>
  <c r="N307" i="2"/>
  <c r="O307" i="2"/>
  <c r="S307" i="2"/>
  <c r="T307" i="2"/>
  <c r="X307" i="2"/>
  <c r="Y307" i="2"/>
  <c r="G308" i="2"/>
  <c r="L308" i="2"/>
  <c r="M308" i="2"/>
  <c r="N308" i="2"/>
  <c r="O308" i="2"/>
  <c r="Q308" i="2"/>
  <c r="R308" i="2"/>
  <c r="S308" i="2"/>
  <c r="T308" i="2"/>
  <c r="V308" i="2"/>
  <c r="W308" i="2"/>
  <c r="X308" i="2"/>
  <c r="Y308" i="2"/>
  <c r="AA308" i="2"/>
  <c r="F325" i="2"/>
  <c r="H326" i="2" s="1"/>
  <c r="K325" i="2"/>
  <c r="P325" i="2"/>
  <c r="R326" i="2" s="1"/>
  <c r="U325" i="2"/>
  <c r="W326" i="2" s="1"/>
  <c r="Z325" i="2"/>
  <c r="Z326" i="2" s="1"/>
  <c r="D326" i="2"/>
  <c r="E326" i="2"/>
  <c r="I326" i="2"/>
  <c r="J326" i="2"/>
  <c r="N326" i="2"/>
  <c r="O326" i="2"/>
  <c r="S326" i="2"/>
  <c r="T326" i="2"/>
  <c r="X326" i="2"/>
  <c r="Y326" i="2"/>
  <c r="G327" i="2"/>
  <c r="H327" i="2"/>
  <c r="I327" i="2"/>
  <c r="J327" i="2"/>
  <c r="L327" i="2"/>
  <c r="M327" i="2"/>
  <c r="N327" i="2"/>
  <c r="O327" i="2"/>
  <c r="Q327" i="2"/>
  <c r="R327" i="2"/>
  <c r="S327" i="2"/>
  <c r="T327" i="2"/>
  <c r="V327" i="2"/>
  <c r="W327" i="2"/>
  <c r="X327" i="2"/>
  <c r="Y327" i="2"/>
  <c r="AA327" i="2"/>
  <c r="F328" i="2"/>
  <c r="K328" i="2"/>
  <c r="P328" i="2"/>
  <c r="U328" i="2"/>
  <c r="Z328" i="2"/>
  <c r="D329" i="2"/>
  <c r="E329" i="2"/>
  <c r="I329" i="2"/>
  <c r="J329" i="2"/>
  <c r="N329" i="2"/>
  <c r="O329" i="2"/>
  <c r="S329" i="2"/>
  <c r="T329" i="2"/>
  <c r="X329" i="2"/>
  <c r="Y329" i="2"/>
  <c r="AC329" i="2"/>
  <c r="AD329" i="2"/>
  <c r="G330" i="2"/>
  <c r="H330" i="2"/>
  <c r="I330" i="2"/>
  <c r="J330" i="2"/>
  <c r="L330" i="2"/>
  <c r="M330" i="2"/>
  <c r="N330" i="2"/>
  <c r="O330" i="2"/>
  <c r="Q330" i="2"/>
  <c r="R330" i="2"/>
  <c r="S330" i="2"/>
  <c r="T330" i="2"/>
  <c r="V330" i="2"/>
  <c r="W330" i="2"/>
  <c r="X330" i="2"/>
  <c r="Y330" i="2"/>
  <c r="AA330" i="2"/>
  <c r="AB330" i="2"/>
  <c r="AC330" i="2"/>
  <c r="AD330" i="2"/>
  <c r="K303" i="2"/>
  <c r="M304" i="2" s="1"/>
  <c r="P303" i="2"/>
  <c r="U303" i="2"/>
  <c r="W304" i="2" s="1"/>
  <c r="Z303" i="2"/>
  <c r="Z304" i="2" s="1"/>
  <c r="I304" i="2"/>
  <c r="J304" i="2"/>
  <c r="N304" i="2"/>
  <c r="O304" i="2"/>
  <c r="S304" i="2"/>
  <c r="T304" i="2"/>
  <c r="X304" i="2"/>
  <c r="Y304" i="2"/>
  <c r="AC304" i="2"/>
  <c r="AD304" i="2"/>
  <c r="G305" i="2"/>
  <c r="L305" i="2"/>
  <c r="M305" i="2"/>
  <c r="N305" i="2"/>
  <c r="O305" i="2"/>
  <c r="Q305" i="2"/>
  <c r="R305" i="2"/>
  <c r="S305" i="2"/>
  <c r="T305" i="2"/>
  <c r="V305" i="2"/>
  <c r="W305" i="2"/>
  <c r="X305" i="2"/>
  <c r="Y305" i="2"/>
  <c r="AA305" i="2"/>
  <c r="AB305" i="2"/>
  <c r="AC305" i="2"/>
  <c r="AD305" i="2"/>
  <c r="K309" i="2"/>
  <c r="K310" i="2" s="1"/>
  <c r="P309" i="2"/>
  <c r="U309" i="2"/>
  <c r="U310" i="2" s="1"/>
  <c r="Z309" i="2"/>
  <c r="AB310" i="2" s="1"/>
  <c r="I310" i="2"/>
  <c r="J310" i="2"/>
  <c r="N310" i="2"/>
  <c r="O310" i="2"/>
  <c r="S310" i="2"/>
  <c r="T310" i="2"/>
  <c r="X310" i="2"/>
  <c r="Y310" i="2"/>
  <c r="AC310" i="2"/>
  <c r="AD310" i="2"/>
  <c r="G311" i="2"/>
  <c r="L311" i="2"/>
  <c r="M311" i="2"/>
  <c r="N311" i="2"/>
  <c r="O311" i="2"/>
  <c r="Q311" i="2"/>
  <c r="R311" i="2"/>
  <c r="S311" i="2"/>
  <c r="T311" i="2"/>
  <c r="V311" i="2"/>
  <c r="W311" i="2"/>
  <c r="X311" i="2"/>
  <c r="Y311" i="2"/>
  <c r="AA311" i="2"/>
  <c r="AB311" i="2"/>
  <c r="AC311" i="2"/>
  <c r="AD311" i="2"/>
  <c r="K312" i="2"/>
  <c r="M313" i="2" s="1"/>
  <c r="P312" i="2"/>
  <c r="U312" i="2"/>
  <c r="Z312" i="2"/>
  <c r="Z313" i="2" s="1"/>
  <c r="I313" i="2"/>
  <c r="J313" i="2"/>
  <c r="N313" i="2"/>
  <c r="O313" i="2"/>
  <c r="S313" i="2"/>
  <c r="T313" i="2"/>
  <c r="X313" i="2"/>
  <c r="Y313" i="2"/>
  <c r="AC313" i="2"/>
  <c r="AD313" i="2"/>
  <c r="G314" i="2"/>
  <c r="L314" i="2"/>
  <c r="M314" i="2"/>
  <c r="N314" i="2"/>
  <c r="O314" i="2"/>
  <c r="Q314" i="2"/>
  <c r="R314" i="2"/>
  <c r="S314" i="2"/>
  <c r="T314" i="2"/>
  <c r="V314" i="2"/>
  <c r="W314" i="2"/>
  <c r="X314" i="2"/>
  <c r="Y314" i="2"/>
  <c r="AA314" i="2"/>
  <c r="AB314" i="2"/>
  <c r="AC314" i="2"/>
  <c r="AD314" i="2"/>
  <c r="B315" i="2"/>
  <c r="G315" i="2"/>
  <c r="I315" i="2"/>
  <c r="L315" i="2"/>
  <c r="M315" i="2"/>
  <c r="N315" i="2"/>
  <c r="O315" i="2"/>
  <c r="Q315" i="2"/>
  <c r="V315" i="2"/>
  <c r="X315" i="2"/>
  <c r="AB315" i="2"/>
  <c r="AC315" i="2"/>
  <c r="D316" i="2"/>
  <c r="E316" i="2"/>
  <c r="S316" i="2"/>
  <c r="T316" i="2"/>
  <c r="H317" i="2"/>
  <c r="J317" i="2"/>
  <c r="W317" i="2"/>
  <c r="Y317" i="2"/>
  <c r="AD317" i="2"/>
  <c r="C331" i="2"/>
  <c r="C356" i="2" s="1"/>
  <c r="D331" i="2"/>
  <c r="E331" i="2"/>
  <c r="H331" i="2"/>
  <c r="J331" i="2"/>
  <c r="S331" i="2"/>
  <c r="T331" i="2"/>
  <c r="W331" i="2"/>
  <c r="W333" i="2" s="1"/>
  <c r="Y331" i="2"/>
  <c r="AA331" i="2"/>
  <c r="F337" i="2"/>
  <c r="K337" i="2"/>
  <c r="P337" i="2"/>
  <c r="U337" i="2"/>
  <c r="Z337" i="2"/>
  <c r="D338" i="2"/>
  <c r="E338" i="2"/>
  <c r="I338" i="2"/>
  <c r="J338" i="2"/>
  <c r="N338" i="2"/>
  <c r="O338" i="2"/>
  <c r="S338" i="2"/>
  <c r="T338" i="2"/>
  <c r="X338" i="2"/>
  <c r="Y338" i="2"/>
  <c r="AC338" i="2"/>
  <c r="AD338" i="2"/>
  <c r="G339" i="2"/>
  <c r="H339" i="2"/>
  <c r="I339" i="2"/>
  <c r="J339" i="2"/>
  <c r="L339" i="2"/>
  <c r="M339" i="2"/>
  <c r="N339" i="2"/>
  <c r="O339" i="2"/>
  <c r="Q339" i="2"/>
  <c r="R339" i="2"/>
  <c r="S339" i="2"/>
  <c r="T339" i="2"/>
  <c r="V339" i="2"/>
  <c r="W339" i="2"/>
  <c r="X339" i="2"/>
  <c r="Y339" i="2"/>
  <c r="AA339" i="2"/>
  <c r="AB339" i="2"/>
  <c r="AC339" i="2"/>
  <c r="AD339" i="2"/>
  <c r="B340" i="2"/>
  <c r="G340" i="2"/>
  <c r="F340" i="2" s="1"/>
  <c r="F341" i="2" s="1"/>
  <c r="K340" i="2"/>
  <c r="M341" i="2" s="1"/>
  <c r="Q340" i="2"/>
  <c r="V342" i="2" s="1"/>
  <c r="U340" i="2"/>
  <c r="AA340" i="2"/>
  <c r="AA342" i="2" s="1"/>
  <c r="D341" i="2"/>
  <c r="E341" i="2"/>
  <c r="I341" i="2"/>
  <c r="J341" i="2"/>
  <c r="N341" i="2"/>
  <c r="O341" i="2"/>
  <c r="P341" i="2"/>
  <c r="R341" i="2"/>
  <c r="S341" i="2"/>
  <c r="T341" i="2"/>
  <c r="X341" i="2"/>
  <c r="Y341" i="2"/>
  <c r="AC341" i="2"/>
  <c r="AD341" i="2"/>
  <c r="H342" i="2"/>
  <c r="I342" i="2"/>
  <c r="J342" i="2"/>
  <c r="M342" i="2"/>
  <c r="N342" i="2"/>
  <c r="O342" i="2"/>
  <c r="R342" i="2"/>
  <c r="S342" i="2"/>
  <c r="T342" i="2"/>
  <c r="W342" i="2"/>
  <c r="X342" i="2"/>
  <c r="Y342" i="2"/>
  <c r="AB342" i="2"/>
  <c r="AC342" i="2"/>
  <c r="AD342" i="2"/>
  <c r="S344" i="2"/>
  <c r="H345" i="2"/>
  <c r="J345" i="2"/>
  <c r="W345" i="2"/>
  <c r="AB345" i="2"/>
  <c r="AD345" i="2"/>
  <c r="C346" i="2"/>
  <c r="R346" i="2"/>
  <c r="W346" i="2"/>
  <c r="Y346" i="2"/>
  <c r="AA346" i="2"/>
  <c r="AB346" i="2"/>
  <c r="J348" i="2"/>
  <c r="E350" i="2"/>
  <c r="H350" i="2"/>
  <c r="J350" i="2"/>
  <c r="S350" i="2"/>
  <c r="C354" i="2"/>
  <c r="D354" i="2"/>
  <c r="E354" i="2"/>
  <c r="S354" i="2"/>
  <c r="V354" i="2"/>
  <c r="X354" i="2"/>
  <c r="C355" i="2"/>
  <c r="D355" i="2"/>
  <c r="E355" i="2"/>
  <c r="S355" i="2"/>
  <c r="V355" i="2"/>
  <c r="X355" i="2"/>
  <c r="D365" i="2"/>
  <c r="E365" i="2"/>
  <c r="I365" i="2"/>
  <c r="J365" i="2"/>
  <c r="N365" i="2"/>
  <c r="O365" i="2"/>
  <c r="S365" i="2"/>
  <c r="T365" i="2"/>
  <c r="X365" i="2"/>
  <c r="Y365" i="2"/>
  <c r="AC365" i="2"/>
  <c r="AD365" i="2"/>
  <c r="G366" i="2"/>
  <c r="H366" i="2"/>
  <c r="I366" i="2"/>
  <c r="J366" i="2"/>
  <c r="L366" i="2"/>
  <c r="M366" i="2"/>
  <c r="N366" i="2"/>
  <c r="O366" i="2"/>
  <c r="Q366" i="2"/>
  <c r="R366" i="2"/>
  <c r="S366" i="2"/>
  <c r="T366" i="2"/>
  <c r="V366" i="2"/>
  <c r="W366" i="2"/>
  <c r="X366" i="2"/>
  <c r="Y366" i="2"/>
  <c r="AA366" i="2"/>
  <c r="AB366" i="2"/>
  <c r="AC366" i="2"/>
  <c r="AD366" i="2"/>
  <c r="K381" i="2"/>
  <c r="P381" i="2"/>
  <c r="U381" i="2"/>
  <c r="U382" i="2" s="1"/>
  <c r="Z381" i="2"/>
  <c r="AB382" i="2" s="1"/>
  <c r="AE381" i="2"/>
  <c r="I382" i="2"/>
  <c r="J382" i="2"/>
  <c r="N382" i="2"/>
  <c r="O382" i="2"/>
  <c r="S382" i="2"/>
  <c r="T382" i="2"/>
  <c r="X382" i="2"/>
  <c r="Y382" i="2"/>
  <c r="AC382" i="2"/>
  <c r="G383" i="2"/>
  <c r="L383" i="2"/>
  <c r="M383" i="2"/>
  <c r="N383" i="2"/>
  <c r="O383" i="2"/>
  <c r="Q383" i="2"/>
  <c r="R383" i="2"/>
  <c r="S383" i="2"/>
  <c r="T383" i="2"/>
  <c r="V383" i="2"/>
  <c r="W383" i="2"/>
  <c r="X383" i="2"/>
  <c r="Y383" i="2"/>
  <c r="AA383" i="2"/>
  <c r="AB383" i="2"/>
  <c r="AD383" i="2"/>
  <c r="F401" i="2"/>
  <c r="H402" i="2" s="1"/>
  <c r="K401" i="2"/>
  <c r="P401" i="2"/>
  <c r="U401" i="2"/>
  <c r="W402" i="2" s="1"/>
  <c r="Z401" i="2"/>
  <c r="D402" i="2"/>
  <c r="E402" i="2"/>
  <c r="I402" i="2"/>
  <c r="J402" i="2"/>
  <c r="N402" i="2"/>
  <c r="O402" i="2"/>
  <c r="S402" i="2"/>
  <c r="T402" i="2"/>
  <c r="X402" i="2"/>
  <c r="Y402" i="2"/>
  <c r="G403" i="2"/>
  <c r="H403" i="2"/>
  <c r="I403" i="2"/>
  <c r="J403" i="2"/>
  <c r="L403" i="2"/>
  <c r="M403" i="2"/>
  <c r="N403" i="2"/>
  <c r="O403" i="2"/>
  <c r="Q403" i="2"/>
  <c r="R403" i="2"/>
  <c r="S403" i="2"/>
  <c r="T403" i="2"/>
  <c r="V403" i="2"/>
  <c r="W403" i="2"/>
  <c r="X403" i="2"/>
  <c r="Y403" i="2"/>
  <c r="AA403" i="2"/>
  <c r="AB403" i="2"/>
  <c r="AD403" i="2"/>
  <c r="F404" i="2"/>
  <c r="H405" i="2" s="1"/>
  <c r="K404" i="2"/>
  <c r="P404" i="2"/>
  <c r="R405" i="2" s="1"/>
  <c r="U404" i="2"/>
  <c r="Z404" i="2"/>
  <c r="D405" i="2"/>
  <c r="E405" i="2"/>
  <c r="I405" i="2"/>
  <c r="J405" i="2"/>
  <c r="N405" i="2"/>
  <c r="O405" i="2"/>
  <c r="S405" i="2"/>
  <c r="T405" i="2"/>
  <c r="X405" i="2"/>
  <c r="Y405" i="2"/>
  <c r="AC405" i="2"/>
  <c r="AD405" i="2"/>
  <c r="G406" i="2"/>
  <c r="H406" i="2"/>
  <c r="I406" i="2"/>
  <c r="J406" i="2"/>
  <c r="L406" i="2"/>
  <c r="M406" i="2"/>
  <c r="N406" i="2"/>
  <c r="O406" i="2"/>
  <c r="Q406" i="2"/>
  <c r="R406" i="2"/>
  <c r="S406" i="2"/>
  <c r="T406" i="2"/>
  <c r="V406" i="2"/>
  <c r="W406" i="2"/>
  <c r="X406" i="2"/>
  <c r="Y406" i="2"/>
  <c r="AA406" i="2"/>
  <c r="AB406" i="2"/>
  <c r="AC406" i="2"/>
  <c r="AD406" i="2"/>
  <c r="K378" i="2"/>
  <c r="P378" i="2"/>
  <c r="P379" i="2" s="1"/>
  <c r="U378" i="2"/>
  <c r="W379" i="2" s="1"/>
  <c r="Z378" i="2"/>
  <c r="AB379" i="2" s="1"/>
  <c r="I379" i="2"/>
  <c r="J379" i="2"/>
  <c r="N379" i="2"/>
  <c r="O379" i="2"/>
  <c r="S379" i="2"/>
  <c r="T379" i="2"/>
  <c r="X379" i="2"/>
  <c r="Y379" i="2"/>
  <c r="AC379" i="2"/>
  <c r="AD379" i="2"/>
  <c r="G380" i="2"/>
  <c r="L380" i="2"/>
  <c r="M380" i="2"/>
  <c r="N380" i="2"/>
  <c r="O380" i="2"/>
  <c r="Q380" i="2"/>
  <c r="R380" i="2"/>
  <c r="S380" i="2"/>
  <c r="T380" i="2"/>
  <c r="V380" i="2"/>
  <c r="W380" i="2"/>
  <c r="X380" i="2"/>
  <c r="Y380" i="2"/>
  <c r="AA380" i="2"/>
  <c r="AB380" i="2"/>
  <c r="AC380" i="2"/>
  <c r="AD380" i="2"/>
  <c r="K384" i="2"/>
  <c r="M385" i="2" s="1"/>
  <c r="P384" i="2"/>
  <c r="U384" i="2"/>
  <c r="W385" i="2" s="1"/>
  <c r="Z384" i="2"/>
  <c r="I385" i="2"/>
  <c r="J385" i="2"/>
  <c r="N385" i="2"/>
  <c r="O385" i="2"/>
  <c r="S385" i="2"/>
  <c r="T385" i="2"/>
  <c r="X385" i="2"/>
  <c r="Y385" i="2"/>
  <c r="AC385" i="2"/>
  <c r="AD385" i="2"/>
  <c r="G386" i="2"/>
  <c r="L386" i="2"/>
  <c r="M386" i="2"/>
  <c r="N386" i="2"/>
  <c r="O386" i="2"/>
  <c r="Q386" i="2"/>
  <c r="R386" i="2"/>
  <c r="S386" i="2"/>
  <c r="T386" i="2"/>
  <c r="V386" i="2"/>
  <c r="W386" i="2"/>
  <c r="X386" i="2"/>
  <c r="Y386" i="2"/>
  <c r="AA386" i="2"/>
  <c r="AB386" i="2"/>
  <c r="AC386" i="2"/>
  <c r="AD386" i="2"/>
  <c r="K387" i="2"/>
  <c r="P387" i="2"/>
  <c r="I388" i="2"/>
  <c r="J388" i="2"/>
  <c r="N388" i="2"/>
  <c r="O388" i="2"/>
  <c r="S388" i="2"/>
  <c r="T388" i="2"/>
  <c r="X388" i="2"/>
  <c r="Y388" i="2"/>
  <c r="G389" i="2"/>
  <c r="L389" i="2"/>
  <c r="M389" i="2"/>
  <c r="N389" i="2"/>
  <c r="O389" i="2"/>
  <c r="Q389" i="2"/>
  <c r="R389" i="2"/>
  <c r="S389" i="2"/>
  <c r="T389" i="2"/>
  <c r="W389" i="2"/>
  <c r="X389" i="2"/>
  <c r="Y389" i="2"/>
  <c r="AB389" i="2"/>
  <c r="B390" i="2"/>
  <c r="B407" i="2" s="1"/>
  <c r="B433" i="2" s="1"/>
  <c r="D390" i="2"/>
  <c r="E390" i="2"/>
  <c r="E407" i="2" s="1"/>
  <c r="G390" i="2"/>
  <c r="H390" i="2"/>
  <c r="H392" i="2" s="1"/>
  <c r="I390" i="2"/>
  <c r="I407" i="2" s="1"/>
  <c r="J390" i="2"/>
  <c r="L390" i="2"/>
  <c r="M390" i="2"/>
  <c r="N391" i="2" s="1"/>
  <c r="Q390" i="2"/>
  <c r="R390" i="2"/>
  <c r="S390" i="2"/>
  <c r="T390" i="2"/>
  <c r="T392" i="2" s="1"/>
  <c r="V390" i="2"/>
  <c r="W390" i="2"/>
  <c r="X390" i="2"/>
  <c r="Y390" i="2"/>
  <c r="Y392" i="2" s="1"/>
  <c r="AA390" i="2"/>
  <c r="AA407" i="2" s="1"/>
  <c r="AB390" i="2"/>
  <c r="AC390" i="2"/>
  <c r="AC407" i="2" s="1"/>
  <c r="AC433" i="2" s="1"/>
  <c r="AD390" i="2"/>
  <c r="O391" i="2"/>
  <c r="C407" i="2"/>
  <c r="C433" i="2" s="1"/>
  <c r="N407" i="2"/>
  <c r="O407" i="2"/>
  <c r="O433" i="2" s="1"/>
  <c r="F414" i="2"/>
  <c r="H414" i="2"/>
  <c r="I415" i="2" s="1"/>
  <c r="L414" i="2"/>
  <c r="L416" i="2" s="1"/>
  <c r="M414" i="2"/>
  <c r="N414" i="2"/>
  <c r="O415" i="2" s="1"/>
  <c r="Q414" i="2"/>
  <c r="R414" i="2"/>
  <c r="S414" i="2"/>
  <c r="T414" i="2"/>
  <c r="V414" i="2"/>
  <c r="V416" i="2" s="1"/>
  <c r="W414" i="2"/>
  <c r="X414" i="2"/>
  <c r="X416" i="2" s="1"/>
  <c r="Y414" i="2"/>
  <c r="AA414" i="2"/>
  <c r="AA416" i="2" s="1"/>
  <c r="AB414" i="2"/>
  <c r="AC414" i="2"/>
  <c r="AC416" i="2" s="1"/>
  <c r="AD414" i="2"/>
  <c r="AD416" i="2" s="1"/>
  <c r="D415" i="2"/>
  <c r="E415" i="2"/>
  <c r="J415" i="2"/>
  <c r="G416" i="2"/>
  <c r="I416" i="2"/>
  <c r="J416" i="2"/>
  <c r="O416" i="2"/>
  <c r="B417" i="2"/>
  <c r="G419" i="2" s="1"/>
  <c r="F417" i="2"/>
  <c r="K417" i="2"/>
  <c r="K418" i="2" s="1"/>
  <c r="U417" i="2"/>
  <c r="U419" i="2" s="1"/>
  <c r="Z417" i="2"/>
  <c r="D418" i="2"/>
  <c r="E418" i="2"/>
  <c r="I418" i="2"/>
  <c r="J418" i="2"/>
  <c r="N418" i="2"/>
  <c r="O418" i="2"/>
  <c r="P418" i="2"/>
  <c r="R418" i="2"/>
  <c r="S418" i="2"/>
  <c r="T418" i="2"/>
  <c r="X418" i="2"/>
  <c r="Y418" i="2"/>
  <c r="AC418" i="2"/>
  <c r="AD418" i="2"/>
  <c r="H419" i="2"/>
  <c r="I419" i="2"/>
  <c r="J419" i="2"/>
  <c r="L419" i="2"/>
  <c r="M419" i="2"/>
  <c r="N419" i="2"/>
  <c r="O419" i="2"/>
  <c r="Q419" i="2"/>
  <c r="R419" i="2"/>
  <c r="S419" i="2"/>
  <c r="T419" i="2"/>
  <c r="V419" i="2"/>
  <c r="W419" i="2"/>
  <c r="X419" i="2"/>
  <c r="Y419" i="2"/>
  <c r="AA419" i="2"/>
  <c r="AB419" i="2"/>
  <c r="AC419" i="2"/>
  <c r="AD419" i="2"/>
  <c r="C423" i="2"/>
  <c r="D423" i="2"/>
  <c r="D427" i="2" s="1"/>
  <c r="B431" i="2"/>
  <c r="C431" i="2"/>
  <c r="D431" i="2"/>
  <c r="E431" i="2"/>
  <c r="G431" i="2"/>
  <c r="H431" i="2"/>
  <c r="I431" i="2"/>
  <c r="J431" i="2"/>
  <c r="L431" i="2"/>
  <c r="M431" i="2"/>
  <c r="N431" i="2"/>
  <c r="O431" i="2"/>
  <c r="Q431" i="2"/>
  <c r="R431" i="2"/>
  <c r="S431" i="2"/>
  <c r="T431" i="2"/>
  <c r="V431" i="2"/>
  <c r="W431" i="2"/>
  <c r="X431" i="2"/>
  <c r="Y431" i="2"/>
  <c r="AA431" i="2"/>
  <c r="AB431" i="2"/>
  <c r="AC431" i="2"/>
  <c r="AD431" i="2"/>
  <c r="B432" i="2"/>
  <c r="C432" i="2"/>
  <c r="D432" i="2"/>
  <c r="E432" i="2"/>
  <c r="G432" i="2"/>
  <c r="H432" i="2"/>
  <c r="I432" i="2"/>
  <c r="J432" i="2"/>
  <c r="L432" i="2"/>
  <c r="M432" i="2"/>
  <c r="N432" i="2"/>
  <c r="O432" i="2"/>
  <c r="Q432" i="2"/>
  <c r="R432" i="2"/>
  <c r="S432" i="2"/>
  <c r="T432" i="2"/>
  <c r="V432" i="2"/>
  <c r="W432" i="2"/>
  <c r="X432" i="2"/>
  <c r="Y432" i="2"/>
  <c r="AA432" i="2"/>
  <c r="AB432" i="2"/>
  <c r="AC432" i="2"/>
  <c r="AD432" i="2"/>
  <c r="D443" i="2"/>
  <c r="E443" i="2"/>
  <c r="I443" i="2"/>
  <c r="J443" i="2"/>
  <c r="N443" i="2"/>
  <c r="O443" i="2"/>
  <c r="S443" i="2"/>
  <c r="T443" i="2"/>
  <c r="X443" i="2"/>
  <c r="Y443" i="2"/>
  <c r="AC443" i="2"/>
  <c r="AD443" i="2"/>
  <c r="G444" i="2"/>
  <c r="H444" i="2"/>
  <c r="I444" i="2"/>
  <c r="J444" i="2"/>
  <c r="L444" i="2"/>
  <c r="M444" i="2"/>
  <c r="N444" i="2"/>
  <c r="O444" i="2"/>
  <c r="Q444" i="2"/>
  <c r="R444" i="2"/>
  <c r="S444" i="2"/>
  <c r="T444" i="2"/>
  <c r="V444" i="2"/>
  <c r="W444" i="2"/>
  <c r="X444" i="2"/>
  <c r="Y444" i="2"/>
  <c r="AB444" i="2"/>
  <c r="AC444" i="2"/>
  <c r="AD444" i="2"/>
  <c r="K457" i="2"/>
  <c r="P457" i="2"/>
  <c r="U457" i="2"/>
  <c r="Z457" i="2"/>
  <c r="I458" i="2"/>
  <c r="J458" i="2"/>
  <c r="N458" i="2"/>
  <c r="O458" i="2"/>
  <c r="S458" i="2"/>
  <c r="T458" i="2"/>
  <c r="X458" i="2"/>
  <c r="Y458" i="2"/>
  <c r="G459" i="2"/>
  <c r="L459" i="2"/>
  <c r="M459" i="2"/>
  <c r="N459" i="2"/>
  <c r="O459" i="2"/>
  <c r="Q459" i="2"/>
  <c r="R459" i="2"/>
  <c r="S459" i="2"/>
  <c r="T459" i="2"/>
  <c r="V459" i="2"/>
  <c r="W459" i="2"/>
  <c r="X459" i="2"/>
  <c r="Y459" i="2"/>
  <c r="AA459" i="2"/>
  <c r="F468" i="2"/>
  <c r="K468" i="2"/>
  <c r="K469" i="2" s="1"/>
  <c r="P468" i="2"/>
  <c r="Z468" i="2"/>
  <c r="D469" i="2"/>
  <c r="E469" i="2"/>
  <c r="I469" i="2"/>
  <c r="J469" i="2"/>
  <c r="N469" i="2"/>
  <c r="O469" i="2"/>
  <c r="S469" i="2"/>
  <c r="T469" i="2"/>
  <c r="U469" i="2"/>
  <c r="W469" i="2"/>
  <c r="X469" i="2"/>
  <c r="Y469" i="2"/>
  <c r="G470" i="2"/>
  <c r="H470" i="2"/>
  <c r="I470" i="2"/>
  <c r="J470" i="2"/>
  <c r="L470" i="2"/>
  <c r="M470" i="2"/>
  <c r="N470" i="2"/>
  <c r="O470" i="2"/>
  <c r="Q470" i="2"/>
  <c r="R470" i="2"/>
  <c r="S470" i="2"/>
  <c r="T470" i="2"/>
  <c r="V470" i="2"/>
  <c r="W470" i="2"/>
  <c r="X470" i="2"/>
  <c r="Y470" i="2"/>
  <c r="AB470" i="2"/>
  <c r="F477" i="2"/>
  <c r="H478" i="2" s="1"/>
  <c r="K477" i="2"/>
  <c r="P477" i="2"/>
  <c r="P478" i="2" s="1"/>
  <c r="U477" i="2"/>
  <c r="Z477" i="2"/>
  <c r="D478" i="2"/>
  <c r="E478" i="2"/>
  <c r="I478" i="2"/>
  <c r="J478" i="2"/>
  <c r="N478" i="2"/>
  <c r="O478" i="2"/>
  <c r="S478" i="2"/>
  <c r="T478" i="2"/>
  <c r="X478" i="2"/>
  <c r="Y478" i="2"/>
  <c r="AC478" i="2"/>
  <c r="AD478" i="2"/>
  <c r="G479" i="2"/>
  <c r="H479" i="2"/>
  <c r="I479" i="2"/>
  <c r="J479" i="2"/>
  <c r="L479" i="2"/>
  <c r="M479" i="2"/>
  <c r="N479" i="2"/>
  <c r="O479" i="2"/>
  <c r="Q479" i="2"/>
  <c r="R479" i="2"/>
  <c r="S479" i="2"/>
  <c r="T479" i="2"/>
  <c r="V479" i="2"/>
  <c r="W479" i="2"/>
  <c r="X479" i="2"/>
  <c r="Y479" i="2"/>
  <c r="AB479" i="2"/>
  <c r="AC479" i="2"/>
  <c r="AD479" i="2"/>
  <c r="K454" i="2"/>
  <c r="P454" i="2"/>
  <c r="U454" i="2"/>
  <c r="Z454" i="2"/>
  <c r="I455" i="2"/>
  <c r="J455" i="2"/>
  <c r="N455" i="2"/>
  <c r="O455" i="2"/>
  <c r="S455" i="2"/>
  <c r="T455" i="2"/>
  <c r="X455" i="2"/>
  <c r="Y455" i="2"/>
  <c r="G456" i="2"/>
  <c r="L456" i="2"/>
  <c r="M456" i="2"/>
  <c r="N456" i="2"/>
  <c r="O456" i="2"/>
  <c r="Q456" i="2"/>
  <c r="R456" i="2"/>
  <c r="S456" i="2"/>
  <c r="T456" i="2"/>
  <c r="V456" i="2"/>
  <c r="W456" i="2"/>
  <c r="X456" i="2"/>
  <c r="Y456" i="2"/>
  <c r="AA456" i="2"/>
  <c r="K460" i="2"/>
  <c r="P460" i="2"/>
  <c r="U460" i="2"/>
  <c r="Z460" i="2"/>
  <c r="I461" i="2"/>
  <c r="J461" i="2"/>
  <c r="N461" i="2"/>
  <c r="O461" i="2"/>
  <c r="S461" i="2"/>
  <c r="T461" i="2"/>
  <c r="X461" i="2"/>
  <c r="Y461" i="2"/>
  <c r="AC461" i="2"/>
  <c r="AD461" i="2"/>
  <c r="G462" i="2"/>
  <c r="L462" i="2"/>
  <c r="M462" i="2"/>
  <c r="N462" i="2"/>
  <c r="O462" i="2"/>
  <c r="Q462" i="2"/>
  <c r="R462" i="2"/>
  <c r="S462" i="2"/>
  <c r="T462" i="2"/>
  <c r="V462" i="2"/>
  <c r="W462" i="2"/>
  <c r="X462" i="2"/>
  <c r="Y462" i="2"/>
  <c r="AA462" i="2"/>
  <c r="AB462" i="2"/>
  <c r="AC462" i="2"/>
  <c r="AD462" i="2"/>
  <c r="K463" i="2"/>
  <c r="P463" i="2"/>
  <c r="U463" i="2"/>
  <c r="Z463" i="2"/>
  <c r="I464" i="2"/>
  <c r="J464" i="2"/>
  <c r="N464" i="2"/>
  <c r="O464" i="2"/>
  <c r="S464" i="2"/>
  <c r="T464" i="2"/>
  <c r="X464" i="2"/>
  <c r="Y464" i="2"/>
  <c r="G465" i="2"/>
  <c r="L465" i="2"/>
  <c r="M465" i="2"/>
  <c r="N465" i="2"/>
  <c r="O465" i="2"/>
  <c r="Q465" i="2"/>
  <c r="R465" i="2"/>
  <c r="S465" i="2"/>
  <c r="T465" i="2"/>
  <c r="V465" i="2"/>
  <c r="W465" i="2"/>
  <c r="X465" i="2"/>
  <c r="Y465" i="2"/>
  <c r="AA465" i="2"/>
  <c r="F445" i="2"/>
  <c r="K445" i="2"/>
  <c r="P445" i="2"/>
  <c r="P446" i="2" s="1"/>
  <c r="U445" i="2"/>
  <c r="Z445" i="2"/>
  <c r="AB446" i="2" s="1"/>
  <c r="D446" i="2"/>
  <c r="E446" i="2"/>
  <c r="I446" i="2"/>
  <c r="J446" i="2"/>
  <c r="N446" i="2"/>
  <c r="O446" i="2"/>
  <c r="S446" i="2"/>
  <c r="T446" i="2"/>
  <c r="X446" i="2"/>
  <c r="Y446" i="2"/>
  <c r="AC446" i="2"/>
  <c r="AD446" i="2"/>
  <c r="G447" i="2"/>
  <c r="H447" i="2"/>
  <c r="I447" i="2"/>
  <c r="J447" i="2"/>
  <c r="L447" i="2"/>
  <c r="M447" i="2"/>
  <c r="N447" i="2"/>
  <c r="O447" i="2"/>
  <c r="Q447" i="2"/>
  <c r="R447" i="2"/>
  <c r="S447" i="2"/>
  <c r="T447" i="2"/>
  <c r="V447" i="2"/>
  <c r="W447" i="2"/>
  <c r="X447" i="2"/>
  <c r="Y447" i="2"/>
  <c r="AB447" i="2"/>
  <c r="AC447" i="2"/>
  <c r="AD447" i="2"/>
  <c r="B480" i="2"/>
  <c r="B507" i="2" s="1"/>
  <c r="C480" i="2"/>
  <c r="D480" i="2"/>
  <c r="D507" i="2" s="1"/>
  <c r="E480" i="2"/>
  <c r="G480" i="2"/>
  <c r="G507" i="2" s="1"/>
  <c r="H480" i="2"/>
  <c r="I480" i="2"/>
  <c r="I507" i="2" s="1"/>
  <c r="J480" i="2"/>
  <c r="J507" i="2" s="1"/>
  <c r="L480" i="2"/>
  <c r="L507" i="2" s="1"/>
  <c r="M480" i="2"/>
  <c r="M507" i="2" s="1"/>
  <c r="N480" i="2"/>
  <c r="O480" i="2"/>
  <c r="Q480" i="2"/>
  <c r="Q507" i="2" s="1"/>
  <c r="R480" i="2"/>
  <c r="S480" i="2"/>
  <c r="T480" i="2"/>
  <c r="T482" i="2" s="1"/>
  <c r="V480" i="2"/>
  <c r="V507" i="2" s="1"/>
  <c r="X480" i="2"/>
  <c r="Y480" i="2"/>
  <c r="Y507" i="2" s="1"/>
  <c r="W481" i="2"/>
  <c r="F487" i="2"/>
  <c r="H488" i="2" s="1"/>
  <c r="K487" i="2"/>
  <c r="P487" i="2"/>
  <c r="U487" i="2"/>
  <c r="W488" i="2" s="1"/>
  <c r="Z487" i="2"/>
  <c r="D488" i="2"/>
  <c r="E488" i="2"/>
  <c r="I488" i="2"/>
  <c r="J488" i="2"/>
  <c r="N488" i="2"/>
  <c r="O488" i="2"/>
  <c r="S488" i="2"/>
  <c r="T488" i="2"/>
  <c r="X488" i="2"/>
  <c r="Y488" i="2"/>
  <c r="AC488" i="2"/>
  <c r="AD488" i="2"/>
  <c r="G489" i="2"/>
  <c r="H489" i="2"/>
  <c r="I489" i="2"/>
  <c r="J489" i="2"/>
  <c r="L489" i="2"/>
  <c r="M489" i="2"/>
  <c r="N489" i="2"/>
  <c r="O489" i="2"/>
  <c r="Q489" i="2"/>
  <c r="R489" i="2"/>
  <c r="S489" i="2"/>
  <c r="T489" i="2"/>
  <c r="V489" i="2"/>
  <c r="W489" i="2"/>
  <c r="X489" i="2"/>
  <c r="Y489" i="2"/>
  <c r="AB489" i="2"/>
  <c r="AC489" i="2"/>
  <c r="AD489" i="2"/>
  <c r="F490" i="2"/>
  <c r="K490" i="2"/>
  <c r="K491" i="2" s="1"/>
  <c r="Q490" i="2"/>
  <c r="V490" i="2"/>
  <c r="U490" i="2" s="1"/>
  <c r="U491" i="2" s="1"/>
  <c r="Z490" i="2"/>
  <c r="AB491" i="2" s="1"/>
  <c r="D491" i="2"/>
  <c r="E491" i="2"/>
  <c r="I491" i="2"/>
  <c r="J491" i="2"/>
  <c r="N491" i="2"/>
  <c r="O491" i="2"/>
  <c r="S491" i="2"/>
  <c r="T491" i="2"/>
  <c r="X491" i="2"/>
  <c r="Y491" i="2"/>
  <c r="AC491" i="2"/>
  <c r="AD491" i="2"/>
  <c r="G492" i="2"/>
  <c r="H492" i="2"/>
  <c r="I492" i="2"/>
  <c r="J492" i="2"/>
  <c r="L492" i="2"/>
  <c r="M492" i="2"/>
  <c r="N492" i="2"/>
  <c r="O492" i="2"/>
  <c r="R492" i="2"/>
  <c r="S492" i="2"/>
  <c r="T492" i="2"/>
  <c r="W492" i="2"/>
  <c r="X492" i="2"/>
  <c r="Y492" i="2"/>
  <c r="AB492" i="2"/>
  <c r="AC492" i="2"/>
  <c r="AD492" i="2"/>
  <c r="D496" i="2"/>
  <c r="C500" i="2"/>
  <c r="I500" i="2"/>
  <c r="B505" i="2"/>
  <c r="C505" i="2"/>
  <c r="D505" i="2"/>
  <c r="E505" i="2"/>
  <c r="G505" i="2"/>
  <c r="H505" i="2"/>
  <c r="I505" i="2"/>
  <c r="J505" i="2"/>
  <c r="L505" i="2"/>
  <c r="M505" i="2"/>
  <c r="N505" i="2"/>
  <c r="O505" i="2"/>
  <c r="Q505" i="2"/>
  <c r="R505" i="2"/>
  <c r="S505" i="2"/>
  <c r="T505" i="2"/>
  <c r="V505" i="2"/>
  <c r="W505" i="2"/>
  <c r="X505" i="2"/>
  <c r="Y505" i="2"/>
  <c r="AA505" i="2"/>
  <c r="AB505" i="2"/>
  <c r="B506" i="2"/>
  <c r="C506" i="2"/>
  <c r="D506" i="2"/>
  <c r="E506" i="2"/>
  <c r="G506" i="2"/>
  <c r="H506" i="2"/>
  <c r="I506" i="2"/>
  <c r="J506" i="2"/>
  <c r="L506" i="2"/>
  <c r="M506" i="2"/>
  <c r="N506" i="2"/>
  <c r="O506" i="2"/>
  <c r="Q506" i="2"/>
  <c r="R506" i="2"/>
  <c r="S506" i="2"/>
  <c r="T506" i="2"/>
  <c r="V506" i="2"/>
  <c r="W506" i="2"/>
  <c r="X506" i="2"/>
  <c r="Y506" i="2"/>
  <c r="AB506" i="2"/>
  <c r="AC506" i="2"/>
  <c r="AD506" i="2"/>
  <c r="W507" i="2"/>
  <c r="AE341" i="2"/>
  <c r="AC505" i="2"/>
  <c r="AC403" i="2"/>
  <c r="AD402" i="2"/>
  <c r="AC383" i="2"/>
  <c r="AD382" i="2"/>
  <c r="AD220" i="2"/>
  <c r="AC402" i="2"/>
  <c r="AC469" i="2"/>
  <c r="AC470" i="2"/>
  <c r="AD350" i="2"/>
  <c r="AE418" i="2"/>
  <c r="AD480" i="2"/>
  <c r="AD505" i="2"/>
  <c r="AD470" i="2"/>
  <c r="AD469" i="2"/>
  <c r="AE347" i="2"/>
  <c r="AE468" i="2"/>
  <c r="AF480" i="2"/>
  <c r="AF507" i="2" s="1"/>
  <c r="AF470" i="2"/>
  <c r="AF505" i="2"/>
  <c r="AG427" i="2"/>
  <c r="AH458" i="2"/>
  <c r="AH220" i="2"/>
  <c r="AH307" i="2"/>
  <c r="AH382" i="2"/>
  <c r="AH407" i="2"/>
  <c r="AH415" i="2"/>
  <c r="AH383" i="2"/>
  <c r="AH402" i="2"/>
  <c r="AH431" i="2"/>
  <c r="AH403" i="2"/>
  <c r="AH326" i="2"/>
  <c r="AI221" i="2"/>
  <c r="AI391" i="2"/>
  <c r="AI415" i="2"/>
  <c r="AF383" i="2"/>
  <c r="AE488" i="2"/>
  <c r="AE401" i="2"/>
  <c r="AF403" i="2"/>
  <c r="AF431" i="2"/>
  <c r="AJ457" i="2"/>
  <c r="AJ381" i="2"/>
  <c r="AJ401" i="2"/>
  <c r="AJ378" i="2"/>
  <c r="AJ379" i="2" s="1"/>
  <c r="AJ468" i="2"/>
  <c r="AJ306" i="2"/>
  <c r="AJ307" i="2" s="1"/>
  <c r="AJ325" i="2"/>
  <c r="AG221" i="2"/>
  <c r="AJ387" i="2"/>
  <c r="AH388" i="2"/>
  <c r="AI388" i="2"/>
  <c r="AH221" i="2"/>
  <c r="AC220" i="2"/>
  <c r="AH424" i="2"/>
  <c r="AH427" i="2"/>
  <c r="AI407" i="2"/>
  <c r="AI427" i="2"/>
  <c r="AI424" i="2"/>
  <c r="AE219" i="2"/>
  <c r="AG407" i="2"/>
  <c r="AH391" i="2"/>
  <c r="AG500" i="2"/>
  <c r="AH494" i="2"/>
  <c r="AI494" i="2"/>
  <c r="K16" i="3"/>
  <c r="AH500" i="2"/>
  <c r="AH497" i="2"/>
  <c r="AI497" i="2"/>
  <c r="AI500" i="2"/>
  <c r="AB255" i="2" l="1"/>
  <c r="T254" i="2"/>
  <c r="AD256" i="2"/>
  <c r="L254" i="2"/>
  <c r="N256" i="2"/>
  <c r="N254" i="2"/>
  <c r="AD226" i="2"/>
  <c r="AD255" i="2"/>
  <c r="O226" i="2"/>
  <c r="O255" i="2"/>
  <c r="X221" i="2"/>
  <c r="X254" i="2"/>
  <c r="J221" i="2"/>
  <c r="E254" i="2"/>
  <c r="AB211" i="2"/>
  <c r="AC226" i="2"/>
  <c r="AC228" i="2" s="1"/>
  <c r="AC255" i="2"/>
  <c r="X226" i="2"/>
  <c r="X255" i="2"/>
  <c r="S226" i="2"/>
  <c r="S228" i="2" s="1"/>
  <c r="S255" i="2"/>
  <c r="N226" i="2"/>
  <c r="N255" i="2"/>
  <c r="I226" i="2"/>
  <c r="I255" i="2"/>
  <c r="I254" i="2"/>
  <c r="W211" i="2"/>
  <c r="B245" i="2"/>
  <c r="B249" i="2" s="1"/>
  <c r="B256" i="2"/>
  <c r="I256" i="2"/>
  <c r="R256" i="2"/>
  <c r="V245" i="2"/>
  <c r="V249" i="2" s="1"/>
  <c r="V256" i="2"/>
  <c r="X243" i="2"/>
  <c r="X256" i="2"/>
  <c r="AA256" i="2"/>
  <c r="AC245" i="2"/>
  <c r="AC256" i="2"/>
  <c r="AF245" i="2"/>
  <c r="AF249" i="2" s="1"/>
  <c r="AF256" i="2"/>
  <c r="AI254" i="2"/>
  <c r="AI253" i="2"/>
  <c r="Y226" i="2"/>
  <c r="Y255" i="2"/>
  <c r="F211" i="2"/>
  <c r="L245" i="2"/>
  <c r="L249" i="2" s="1"/>
  <c r="L256" i="2"/>
  <c r="S180" i="2"/>
  <c r="R253" i="2"/>
  <c r="V254" i="2"/>
  <c r="V253" i="2"/>
  <c r="AC254" i="2"/>
  <c r="AC253" i="2"/>
  <c r="AF201" i="2"/>
  <c r="AF254" i="2"/>
  <c r="AF253" i="2"/>
  <c r="AH242" i="2"/>
  <c r="AH256" i="2"/>
  <c r="W226" i="2"/>
  <c r="W255" i="2"/>
  <c r="R226" i="2"/>
  <c r="R255" i="2"/>
  <c r="M226" i="2"/>
  <c r="M255" i="2"/>
  <c r="H226" i="2"/>
  <c r="H255" i="2"/>
  <c r="AF221" i="2"/>
  <c r="AA254" i="2"/>
  <c r="H221" i="2"/>
  <c r="H254" i="2"/>
  <c r="J254" i="2"/>
  <c r="J253" i="2"/>
  <c r="J256" i="2"/>
  <c r="M245" i="2"/>
  <c r="M249" i="2" s="1"/>
  <c r="M256" i="2"/>
  <c r="O243" i="2"/>
  <c r="O256" i="2"/>
  <c r="AB254" i="2"/>
  <c r="AB253" i="2"/>
  <c r="AD254" i="2"/>
  <c r="AD253" i="2"/>
  <c r="AG256" i="2"/>
  <c r="AG254" i="2"/>
  <c r="AG253" i="2"/>
  <c r="AI256" i="2"/>
  <c r="T226" i="2"/>
  <c r="T255" i="2"/>
  <c r="J226" i="2"/>
  <c r="J227" i="2" s="1"/>
  <c r="J255" i="2"/>
  <c r="AG220" i="2"/>
  <c r="V255" i="2"/>
  <c r="G226" i="2"/>
  <c r="B226" i="2"/>
  <c r="B255" i="2"/>
  <c r="AD221" i="2"/>
  <c r="Y254" i="2"/>
  <c r="R254" i="2"/>
  <c r="B254" i="2"/>
  <c r="AF226" i="2"/>
  <c r="AF255" i="2"/>
  <c r="AG226" i="2"/>
  <c r="AG255" i="2"/>
  <c r="AH226" i="2"/>
  <c r="AH255" i="2"/>
  <c r="AJ211" i="2"/>
  <c r="H245" i="2"/>
  <c r="H247" i="2" s="1"/>
  <c r="H256" i="2"/>
  <c r="Q181" i="2"/>
  <c r="L253" i="2"/>
  <c r="T245" i="2"/>
  <c r="T249" i="2" s="1"/>
  <c r="T256" i="2"/>
  <c r="W245" i="2"/>
  <c r="W256" i="2"/>
  <c r="Y245" i="2"/>
  <c r="Y249" i="2" s="1"/>
  <c r="Y256" i="2"/>
  <c r="AB245" i="2"/>
  <c r="AB249" i="2" s="1"/>
  <c r="AB256" i="2"/>
  <c r="AH254" i="2"/>
  <c r="AH253" i="2"/>
  <c r="W350" i="2"/>
  <c r="AH317" i="2"/>
  <c r="AH316" i="2"/>
  <c r="T317" i="2"/>
  <c r="J316" i="2"/>
  <c r="Z329" i="2"/>
  <c r="H329" i="2"/>
  <c r="X331" i="2"/>
  <c r="X333" i="2" s="1"/>
  <c r="G331" i="2"/>
  <c r="AH350" i="2"/>
  <c r="AD348" i="2"/>
  <c r="R317" i="2"/>
  <c r="B331" i="2"/>
  <c r="B356" i="2" s="1"/>
  <c r="P329" i="2"/>
  <c r="AG329" i="2"/>
  <c r="G350" i="2"/>
  <c r="O348" i="2"/>
  <c r="O482" i="2"/>
  <c r="AI231" i="2"/>
  <c r="AI226" i="2"/>
  <c r="M127" i="2"/>
  <c r="M39" i="2"/>
  <c r="L127" i="2"/>
  <c r="L39" i="2"/>
  <c r="B127" i="2"/>
  <c r="B39" i="2"/>
  <c r="AB231" i="2"/>
  <c r="AB226" i="2"/>
  <c r="R127" i="2"/>
  <c r="R39" i="2"/>
  <c r="N127" i="2"/>
  <c r="N39" i="2"/>
  <c r="G127" i="2"/>
  <c r="G39" i="2"/>
  <c r="AA231" i="2"/>
  <c r="AA226" i="2"/>
  <c r="V225" i="2"/>
  <c r="V226" i="2"/>
  <c r="Q231" i="2"/>
  <c r="Q226" i="2"/>
  <c r="L231" i="2"/>
  <c r="L226" i="2"/>
  <c r="S127" i="2"/>
  <c r="S39" i="2"/>
  <c r="O127" i="2"/>
  <c r="O39" i="2"/>
  <c r="T127" i="2"/>
  <c r="T39" i="2"/>
  <c r="L36" i="7"/>
  <c r="Q36" i="7"/>
  <c r="AC496" i="2"/>
  <c r="AD497" i="2" s="1"/>
  <c r="U507" i="2"/>
  <c r="H90" i="2"/>
  <c r="P70" i="3"/>
  <c r="H16" i="3"/>
  <c r="S495" i="2"/>
  <c r="AH495" i="2"/>
  <c r="AJ494" i="2"/>
  <c r="AH245" i="2"/>
  <c r="AH249" i="2" s="1"/>
  <c r="AH250" i="2" s="1"/>
  <c r="K71" i="3"/>
  <c r="P17" i="3"/>
  <c r="U16" i="3"/>
  <c r="W416" i="2"/>
  <c r="K17" i="3"/>
  <c r="M16" i="3"/>
  <c r="AD494" i="2"/>
  <c r="R16" i="3"/>
  <c r="P71" i="3"/>
  <c r="U71" i="3"/>
  <c r="U17" i="3"/>
  <c r="AB423" i="2"/>
  <c r="AG425" i="2" s="1"/>
  <c r="O245" i="2"/>
  <c r="O249" i="2" s="1"/>
  <c r="R356" i="2"/>
  <c r="R355" i="2"/>
  <c r="N354" i="2"/>
  <c r="Y495" i="2"/>
  <c r="T423" i="2"/>
  <c r="T427" i="2" s="1"/>
  <c r="AI495" i="2"/>
  <c r="U494" i="2"/>
  <c r="O508" i="2"/>
  <c r="Q355" i="2"/>
  <c r="T496" i="2"/>
  <c r="T500" i="2" s="1"/>
  <c r="U501" i="2" s="1"/>
  <c r="Q290" i="2"/>
  <c r="T495" i="2"/>
  <c r="T290" i="2"/>
  <c r="P443" i="2"/>
  <c r="AD508" i="2"/>
  <c r="K125" i="2"/>
  <c r="W496" i="2"/>
  <c r="W500" i="2" s="1"/>
  <c r="W501" i="2" s="1"/>
  <c r="U506" i="2"/>
  <c r="I494" i="2"/>
  <c r="AA423" i="2"/>
  <c r="AA427" i="2" s="1"/>
  <c r="W494" i="2"/>
  <c r="Q496" i="2"/>
  <c r="Q500" i="2" s="1"/>
  <c r="U444" i="2"/>
  <c r="W443" i="2"/>
  <c r="U505" i="2"/>
  <c r="P505" i="2"/>
  <c r="U443" i="2"/>
  <c r="O345" i="2"/>
  <c r="W423" i="2"/>
  <c r="M365" i="2"/>
  <c r="R33" i="2"/>
  <c r="P126" i="2"/>
  <c r="U21" i="2"/>
  <c r="U125" i="2"/>
  <c r="Q173" i="2"/>
  <c r="Q127" i="2"/>
  <c r="R21" i="2"/>
  <c r="P125" i="2"/>
  <c r="I97" i="2"/>
  <c r="I128" i="2"/>
  <c r="N97" i="2"/>
  <c r="N101" i="2" s="1"/>
  <c r="N128" i="2"/>
  <c r="M45" i="2"/>
  <c r="AF173" i="2"/>
  <c r="Q97" i="2"/>
  <c r="Q101" i="2" s="1"/>
  <c r="AH344" i="2"/>
  <c r="AF199" i="2"/>
  <c r="S289" i="2"/>
  <c r="L423" i="2"/>
  <c r="R45" i="2"/>
  <c r="N45" i="2"/>
  <c r="AA173" i="2"/>
  <c r="G45" i="2"/>
  <c r="G173" i="2" s="1"/>
  <c r="C97" i="2"/>
  <c r="C101" i="2" s="1"/>
  <c r="M97" i="2"/>
  <c r="M101" i="2" s="1"/>
  <c r="R97" i="2"/>
  <c r="R101" i="2" s="1"/>
  <c r="Q93" i="2"/>
  <c r="W355" i="2"/>
  <c r="S45" i="2"/>
  <c r="O45" i="2"/>
  <c r="V173" i="2"/>
  <c r="S97" i="2"/>
  <c r="S101" i="2" s="1"/>
  <c r="L45" i="2"/>
  <c r="L173" i="2" s="1"/>
  <c r="L97" i="2"/>
  <c r="L101" i="2" s="1"/>
  <c r="AG346" i="2"/>
  <c r="J494" i="2"/>
  <c r="X289" i="2"/>
  <c r="O423" i="2"/>
  <c r="AC289" i="2"/>
  <c r="W290" i="2"/>
  <c r="J97" i="2"/>
  <c r="J101" i="2" s="1"/>
  <c r="O97" i="2"/>
  <c r="O101" i="2" s="1"/>
  <c r="T97" i="2"/>
  <c r="T101" i="2" s="1"/>
  <c r="H97" i="2"/>
  <c r="G495" i="2"/>
  <c r="AJ219" i="2"/>
  <c r="S290" i="2"/>
  <c r="N290" i="2"/>
  <c r="J496" i="2"/>
  <c r="J497" i="2" s="1"/>
  <c r="L356" i="2"/>
  <c r="AC243" i="2"/>
  <c r="L299" i="2"/>
  <c r="Y356" i="2"/>
  <c r="O495" i="2"/>
  <c r="H355" i="2"/>
  <c r="L354" i="2"/>
  <c r="T180" i="2"/>
  <c r="B355" i="2"/>
  <c r="X345" i="2"/>
  <c r="O494" i="2"/>
  <c r="N508" i="2"/>
  <c r="AC494" i="2"/>
  <c r="Y434" i="2"/>
  <c r="AJ277" i="2"/>
  <c r="O422" i="2"/>
  <c r="AE186" i="2"/>
  <c r="AE338" i="2"/>
  <c r="V389" i="2"/>
  <c r="AG243" i="2"/>
  <c r="AJ481" i="2"/>
  <c r="L90" i="2"/>
  <c r="V392" i="2"/>
  <c r="AD421" i="2"/>
  <c r="R423" i="2"/>
  <c r="R427" i="2" s="1"/>
  <c r="AJ496" i="2"/>
  <c r="AJ497" i="2" s="1"/>
  <c r="AG422" i="2"/>
  <c r="AC389" i="2"/>
  <c r="AC481" i="2"/>
  <c r="AI355" i="2"/>
  <c r="AB290" i="2"/>
  <c r="AG236" i="2"/>
  <c r="X242" i="2"/>
  <c r="T494" i="2"/>
  <c r="AD495" i="2"/>
  <c r="S421" i="2"/>
  <c r="N496" i="2"/>
  <c r="N500" i="2" s="1"/>
  <c r="N502" i="2" s="1"/>
  <c r="AJ265" i="2"/>
  <c r="W354" i="2"/>
  <c r="S423" i="2"/>
  <c r="R354" i="2"/>
  <c r="AB355" i="2"/>
  <c r="B423" i="2"/>
  <c r="B427" i="2" s="1"/>
  <c r="K432" i="2"/>
  <c r="AB306" i="2"/>
  <c r="AB308" i="2" s="1"/>
  <c r="AJ272" i="2"/>
  <c r="AA243" i="2"/>
  <c r="O289" i="2"/>
  <c r="AE366" i="2"/>
  <c r="AF422" i="2"/>
  <c r="J180" i="2"/>
  <c r="F443" i="2"/>
  <c r="U27" i="2"/>
  <c r="J423" i="2"/>
  <c r="Y243" i="2"/>
  <c r="W207" i="2"/>
  <c r="AI242" i="2"/>
  <c r="J344" i="2"/>
  <c r="I346" i="2"/>
  <c r="AJ329" i="2"/>
  <c r="AJ292" i="2"/>
  <c r="AJ195" i="2"/>
  <c r="N180" i="2"/>
  <c r="W181" i="2"/>
  <c r="AJ241" i="2"/>
  <c r="AA422" i="2"/>
  <c r="H181" i="2"/>
  <c r="AC242" i="2"/>
  <c r="AH243" i="2"/>
  <c r="O354" i="2"/>
  <c r="L38" i="2"/>
  <c r="O355" i="2"/>
  <c r="AJ183" i="2"/>
  <c r="AG355" i="2"/>
  <c r="AH421" i="2"/>
  <c r="AD434" i="2"/>
  <c r="L495" i="2"/>
  <c r="J181" i="2"/>
  <c r="Q301" i="2"/>
  <c r="Y354" i="2"/>
  <c r="AH422" i="2"/>
  <c r="AC290" i="2"/>
  <c r="T355" i="2"/>
  <c r="AI346" i="2"/>
  <c r="L301" i="2"/>
  <c r="T354" i="2"/>
  <c r="M93" i="2"/>
  <c r="Q299" i="2"/>
  <c r="T289" i="2"/>
  <c r="Q422" i="2"/>
  <c r="AJ271" i="2"/>
  <c r="P366" i="2"/>
  <c r="Y355" i="2"/>
  <c r="T421" i="2"/>
  <c r="H290" i="2"/>
  <c r="AA245" i="2"/>
  <c r="AA249" i="2" s="1"/>
  <c r="AJ310" i="2"/>
  <c r="L355" i="2"/>
  <c r="L496" i="2"/>
  <c r="L498" i="2" s="1"/>
  <c r="AB465" i="2"/>
  <c r="Q354" i="2"/>
  <c r="X245" i="2"/>
  <c r="Z241" i="2"/>
  <c r="Y422" i="2"/>
  <c r="V290" i="2"/>
  <c r="W422" i="2"/>
  <c r="P433" i="2"/>
  <c r="H423" i="2"/>
  <c r="M425" i="2" s="1"/>
  <c r="AI344" i="2"/>
  <c r="AF243" i="2"/>
  <c r="P365" i="2"/>
  <c r="H356" i="2"/>
  <c r="H93" i="2"/>
  <c r="N242" i="2"/>
  <c r="R38" i="2"/>
  <c r="N37" i="2"/>
  <c r="L482" i="2"/>
  <c r="AG290" i="2"/>
  <c r="T422" i="2"/>
  <c r="Q495" i="2"/>
  <c r="Q423" i="2"/>
  <c r="Y289" i="2"/>
  <c r="H354" i="2"/>
  <c r="AJ339" i="2"/>
  <c r="R93" i="2"/>
  <c r="Y290" i="2"/>
  <c r="AJ196" i="2"/>
  <c r="I289" i="2"/>
  <c r="O242" i="2"/>
  <c r="T243" i="2"/>
  <c r="Y181" i="2"/>
  <c r="Q345" i="2"/>
  <c r="R345" i="2"/>
  <c r="B354" i="2"/>
  <c r="Q346" i="2"/>
  <c r="K179" i="2"/>
  <c r="K180" i="2" s="1"/>
  <c r="I355" i="2"/>
  <c r="T346" i="2"/>
  <c r="I345" i="2"/>
  <c r="I181" i="2"/>
  <c r="I290" i="2"/>
  <c r="AJ365" i="2"/>
  <c r="AB496" i="2"/>
  <c r="AG498" i="2" s="1"/>
  <c r="AB456" i="2"/>
  <c r="AE179" i="2"/>
  <c r="AE254" i="2" s="1"/>
  <c r="H243" i="2"/>
  <c r="AC180" i="2"/>
  <c r="N90" i="2"/>
  <c r="AI181" i="2"/>
  <c r="AG181" i="2"/>
  <c r="I180" i="2"/>
  <c r="AB186" i="2"/>
  <c r="Y242" i="2"/>
  <c r="AI356" i="2"/>
  <c r="Z344" i="2"/>
  <c r="D421" i="2"/>
  <c r="X346" i="2"/>
  <c r="AD422" i="2"/>
  <c r="AJ341" i="2"/>
  <c r="L201" i="2"/>
  <c r="T93" i="2"/>
  <c r="AI245" i="2"/>
  <c r="AI249" i="2" s="1"/>
  <c r="Q245" i="2"/>
  <c r="Q249" i="2" s="1"/>
  <c r="L345" i="2"/>
  <c r="M243" i="2"/>
  <c r="AD290" i="2"/>
  <c r="M346" i="2"/>
  <c r="AJ446" i="2"/>
  <c r="E344" i="2"/>
  <c r="Y344" i="2"/>
  <c r="AJ239" i="2"/>
  <c r="S181" i="2"/>
  <c r="Q243" i="2"/>
  <c r="AB243" i="2"/>
  <c r="AB181" i="2"/>
  <c r="AD181" i="2"/>
  <c r="S221" i="2"/>
  <c r="K236" i="2"/>
  <c r="P241" i="2"/>
  <c r="I354" i="2"/>
  <c r="AD355" i="2"/>
  <c r="D344" i="2"/>
  <c r="AD289" i="2"/>
  <c r="T345" i="2"/>
  <c r="AJ478" i="2"/>
  <c r="AI290" i="2"/>
  <c r="L199" i="2"/>
  <c r="AB313" i="2"/>
  <c r="AE313" i="2"/>
  <c r="AE295" i="2"/>
  <c r="AB189" i="2"/>
  <c r="AD180" i="2"/>
  <c r="AA221" i="2"/>
  <c r="V243" i="2"/>
  <c r="AD306" i="2"/>
  <c r="Y345" i="2"/>
  <c r="X344" i="2"/>
  <c r="AJ385" i="2"/>
  <c r="AJ190" i="2"/>
  <c r="I92" i="2"/>
  <c r="J421" i="2"/>
  <c r="M495" i="2"/>
  <c r="Y494" i="2"/>
  <c r="T407" i="2"/>
  <c r="T409" i="2" s="1"/>
  <c r="AG481" i="2"/>
  <c r="T242" i="2"/>
  <c r="U183" i="2"/>
  <c r="S243" i="2"/>
  <c r="J495" i="2"/>
  <c r="AB495" i="2"/>
  <c r="E496" i="2"/>
  <c r="E497" i="2" s="1"/>
  <c r="AG495" i="2"/>
  <c r="AB422" i="2"/>
  <c r="H496" i="2"/>
  <c r="H498" i="2" s="1"/>
  <c r="O93" i="2"/>
  <c r="AC421" i="2"/>
  <c r="B496" i="2"/>
  <c r="B500" i="2" s="1"/>
  <c r="N245" i="2"/>
  <c r="S247" i="2" s="1"/>
  <c r="AG207" i="2"/>
  <c r="U211" i="2"/>
  <c r="W418" i="2"/>
  <c r="N181" i="2"/>
  <c r="O421" i="2"/>
  <c r="AH389" i="2"/>
  <c r="H495" i="2"/>
  <c r="S496" i="2"/>
  <c r="S500" i="2" s="1"/>
  <c r="N423" i="2"/>
  <c r="U366" i="2"/>
  <c r="P444" i="2"/>
  <c r="AG225" i="2"/>
  <c r="AJ10" i="2"/>
  <c r="Q476" i="2"/>
  <c r="M181" i="2"/>
  <c r="T53" i="2"/>
  <c r="AI481" i="2"/>
  <c r="Z212" i="2"/>
  <c r="I225" i="2"/>
  <c r="X220" i="2"/>
  <c r="Q221" i="2"/>
  <c r="F488" i="2"/>
  <c r="AH481" i="2"/>
  <c r="U488" i="2"/>
  <c r="D347" i="2"/>
  <c r="Z459" i="2"/>
  <c r="AJ205" i="2"/>
  <c r="AG357" i="2"/>
  <c r="AJ380" i="2"/>
  <c r="AE329" i="2"/>
  <c r="AG263" i="2"/>
  <c r="AE212" i="2"/>
  <c r="P187" i="2"/>
  <c r="M310" i="2"/>
  <c r="W382" i="2"/>
  <c r="Z211" i="2"/>
  <c r="L243" i="2"/>
  <c r="W243" i="2"/>
  <c r="U179" i="2"/>
  <c r="U253" i="2" s="1"/>
  <c r="AC345" i="2"/>
  <c r="Q54" i="2"/>
  <c r="X415" i="2"/>
  <c r="P186" i="2"/>
  <c r="P189" i="2"/>
  <c r="V221" i="2"/>
  <c r="F326" i="2"/>
  <c r="W458" i="2"/>
  <c r="U418" i="2"/>
  <c r="Z183" i="2"/>
  <c r="AD498" i="2"/>
  <c r="U465" i="2"/>
  <c r="I220" i="2"/>
  <c r="U212" i="2"/>
  <c r="U184" i="2"/>
  <c r="E86" i="2"/>
  <c r="AF225" i="2"/>
  <c r="AI224" i="2"/>
  <c r="Z184" i="2"/>
  <c r="U458" i="2"/>
  <c r="AB304" i="2"/>
  <c r="H211" i="2"/>
  <c r="AI225" i="2"/>
  <c r="P205" i="2"/>
  <c r="K212" i="2"/>
  <c r="N93" i="2"/>
  <c r="E89" i="2"/>
  <c r="I37" i="2"/>
  <c r="AE196" i="2"/>
  <c r="AI357" i="2"/>
  <c r="AE187" i="2"/>
  <c r="T37" i="2"/>
  <c r="AA225" i="2"/>
  <c r="L240" i="2"/>
  <c r="P432" i="2"/>
  <c r="Y407" i="2"/>
  <c r="T507" i="2"/>
  <c r="P408" i="2"/>
  <c r="Y350" i="2"/>
  <c r="AD352" i="2" s="1"/>
  <c r="M407" i="2"/>
  <c r="M433" i="2" s="1"/>
  <c r="S53" i="2"/>
  <c r="AF240" i="2"/>
  <c r="G317" i="2"/>
  <c r="O350" i="2"/>
  <c r="O352" i="2" s="1"/>
  <c r="N221" i="2"/>
  <c r="Q225" i="2"/>
  <c r="Z208" i="2"/>
  <c r="F238" i="2"/>
  <c r="H239" i="2" s="1"/>
  <c r="AG268" i="2"/>
  <c r="U74" i="2"/>
  <c r="U14" i="2"/>
  <c r="AJ415" i="2"/>
  <c r="I317" i="2"/>
  <c r="G243" i="2"/>
  <c r="AG183" i="2"/>
  <c r="I316" i="2"/>
  <c r="AF406" i="2"/>
  <c r="S38" i="2"/>
  <c r="V492" i="2"/>
  <c r="U489" i="2"/>
  <c r="J356" i="2"/>
  <c r="AE387" i="2"/>
  <c r="AG388" i="2" s="1"/>
  <c r="AJ187" i="2"/>
  <c r="U36" i="2"/>
  <c r="U127" i="2" s="1"/>
  <c r="AE379" i="2"/>
  <c r="N421" i="2"/>
  <c r="O331" i="2"/>
  <c r="O333" i="2" s="1"/>
  <c r="O37" i="2"/>
  <c r="AJ236" i="2"/>
  <c r="AF432" i="2"/>
  <c r="O507" i="2"/>
  <c r="AE405" i="2"/>
  <c r="AF380" i="2"/>
  <c r="P295" i="2"/>
  <c r="AG331" i="2"/>
  <c r="AC459" i="2"/>
  <c r="S224" i="2"/>
  <c r="U283" i="2"/>
  <c r="R495" i="2"/>
  <c r="I331" i="2"/>
  <c r="K331" i="2" s="1"/>
  <c r="K332" i="2" s="1"/>
  <c r="O317" i="2"/>
  <c r="AJ237" i="2"/>
  <c r="AF423" i="2"/>
  <c r="AF427" i="2" s="1"/>
  <c r="AE237" i="2"/>
  <c r="P212" i="2"/>
  <c r="T38" i="2"/>
  <c r="S37" i="2"/>
  <c r="W307" i="2"/>
  <c r="U481" i="2"/>
  <c r="AB329" i="2"/>
  <c r="F329" i="2"/>
  <c r="T332" i="2"/>
  <c r="Z190" i="2"/>
  <c r="J89" i="2"/>
  <c r="U87" i="2"/>
  <c r="AG482" i="2"/>
  <c r="AB507" i="2"/>
  <c r="D407" i="2"/>
  <c r="D433" i="2" s="1"/>
  <c r="D391" i="2"/>
  <c r="R338" i="2"/>
  <c r="P338" i="2"/>
  <c r="AB277" i="2"/>
  <c r="Z277" i="2"/>
  <c r="Z268" i="2"/>
  <c r="AB268" i="2"/>
  <c r="P27" i="2"/>
  <c r="R27" i="2"/>
  <c r="Z387" i="2"/>
  <c r="Z388" i="2" s="1"/>
  <c r="AF389" i="2"/>
  <c r="AG231" i="2"/>
  <c r="AJ223" i="2"/>
  <c r="AI262" i="2"/>
  <c r="AH262" i="2"/>
  <c r="O92" i="2"/>
  <c r="U91" i="2"/>
  <c r="T92" i="2"/>
  <c r="S93" i="2"/>
  <c r="I245" i="2"/>
  <c r="I242" i="2"/>
  <c r="AD243" i="2"/>
  <c r="AD245" i="2"/>
  <c r="AD249" i="2" s="1"/>
  <c r="AI243" i="2"/>
  <c r="AJ179" i="2"/>
  <c r="AJ253" i="2" s="1"/>
  <c r="S345" i="2"/>
  <c r="N346" i="2"/>
  <c r="AH354" i="2"/>
  <c r="AI289" i="2"/>
  <c r="P308" i="2"/>
  <c r="AJ212" i="2"/>
  <c r="AE241" i="2"/>
  <c r="AE265" i="2"/>
  <c r="U342" i="2"/>
  <c r="U341" i="2"/>
  <c r="P240" i="2"/>
  <c r="K239" i="2"/>
  <c r="P236" i="2"/>
  <c r="P237" i="2"/>
  <c r="Z207" i="2"/>
  <c r="AB207" i="2"/>
  <c r="AB204" i="2"/>
  <c r="Z204" i="2"/>
  <c r="AB221" i="2"/>
  <c r="O221" i="2"/>
  <c r="O220" i="2"/>
  <c r="I221" i="2"/>
  <c r="J220" i="2"/>
  <c r="D220" i="2"/>
  <c r="W195" i="2"/>
  <c r="U196" i="2"/>
  <c r="Z196" i="2"/>
  <c r="U195" i="2"/>
  <c r="M189" i="2"/>
  <c r="K189" i="2"/>
  <c r="P190" i="2"/>
  <c r="M186" i="2"/>
  <c r="K186" i="2"/>
  <c r="R16" i="2"/>
  <c r="P16" i="2"/>
  <c r="P33" i="2"/>
  <c r="P10" i="2"/>
  <c r="AE189" i="2"/>
  <c r="AE190" i="2"/>
  <c r="AG211" i="2"/>
  <c r="AE211" i="2"/>
  <c r="AE208" i="2"/>
  <c r="W388" i="2"/>
  <c r="U388" i="2"/>
  <c r="U389" i="2"/>
  <c r="AH456" i="2"/>
  <c r="AC455" i="2"/>
  <c r="AD455" i="2"/>
  <c r="AC456" i="2"/>
  <c r="AI465" i="2"/>
  <c r="AD465" i="2"/>
  <c r="D497" i="2"/>
  <c r="I498" i="2"/>
  <c r="D500" i="2"/>
  <c r="Z315" i="2"/>
  <c r="X317" i="2"/>
  <c r="X316" i="2"/>
  <c r="U33" i="2"/>
  <c r="W10" i="2"/>
  <c r="U11" i="2"/>
  <c r="AG310" i="2"/>
  <c r="AE310" i="2"/>
  <c r="O180" i="2"/>
  <c r="N289" i="2"/>
  <c r="AC495" i="2"/>
  <c r="I421" i="2"/>
  <c r="G345" i="2"/>
  <c r="AJ261" i="2"/>
  <c r="AE506" i="2"/>
  <c r="R181" i="2"/>
  <c r="U271" i="2"/>
  <c r="Y316" i="2"/>
  <c r="F315" i="2"/>
  <c r="P339" i="2"/>
  <c r="Z310" i="2"/>
  <c r="X494" i="2"/>
  <c r="E494" i="2"/>
  <c r="W341" i="2"/>
  <c r="W280" i="2"/>
  <c r="S507" i="2"/>
  <c r="T481" i="2"/>
  <c r="N392" i="2"/>
  <c r="I392" i="2"/>
  <c r="S317" i="2"/>
  <c r="N317" i="2"/>
  <c r="R307" i="2"/>
  <c r="U308" i="2"/>
  <c r="U17" i="2"/>
  <c r="K21" i="2"/>
  <c r="M21" i="2"/>
  <c r="K22" i="2"/>
  <c r="AJ479" i="2"/>
  <c r="AE478" i="2"/>
  <c r="AJ492" i="2"/>
  <c r="J92" i="2"/>
  <c r="Y180" i="2"/>
  <c r="X180" i="2"/>
  <c r="AA181" i="2"/>
  <c r="Z179" i="2"/>
  <c r="AB180" i="2" s="1"/>
  <c r="AH180" i="2"/>
  <c r="K366" i="2"/>
  <c r="F365" i="2"/>
  <c r="F431" i="2"/>
  <c r="H365" i="2"/>
  <c r="U28" i="2"/>
  <c r="AJ330" i="2"/>
  <c r="AH263" i="2"/>
  <c r="AJ311" i="2"/>
  <c r="K241" i="2"/>
  <c r="U34" i="2"/>
  <c r="P91" i="2"/>
  <c r="T181" i="2"/>
  <c r="K91" i="2"/>
  <c r="K128" i="2" s="1"/>
  <c r="AE443" i="2"/>
  <c r="Y482" i="2"/>
  <c r="Z311" i="2"/>
  <c r="AE330" i="2"/>
  <c r="AH224" i="2"/>
  <c r="AJ314" i="2"/>
  <c r="AJ293" i="2"/>
  <c r="AD242" i="2"/>
  <c r="I89" i="2"/>
  <c r="S92" i="2"/>
  <c r="O181" i="2"/>
  <c r="I391" i="2"/>
  <c r="W365" i="2"/>
  <c r="K444" i="2"/>
  <c r="Q38" i="2"/>
  <c r="L348" i="2"/>
  <c r="P36" i="2"/>
  <c r="P127" i="2" s="1"/>
  <c r="R455" i="2"/>
  <c r="P455" i="2"/>
  <c r="R469" i="2"/>
  <c r="P469" i="2"/>
  <c r="V231" i="2"/>
  <c r="AI456" i="2"/>
  <c r="AD456" i="2"/>
  <c r="AG459" i="2"/>
  <c r="AC458" i="2"/>
  <c r="K505" i="2"/>
  <c r="J391" i="2"/>
  <c r="P313" i="2"/>
  <c r="R313" i="2"/>
  <c r="J247" i="2"/>
  <c r="H422" i="2"/>
  <c r="U205" i="2"/>
  <c r="W221" i="2"/>
  <c r="N220" i="2"/>
  <c r="L221" i="2"/>
  <c r="D86" i="2"/>
  <c r="U25" i="2"/>
  <c r="AJ296" i="2"/>
  <c r="AE305" i="2"/>
  <c r="AB458" i="2"/>
  <c r="S422" i="2"/>
  <c r="Y391" i="2"/>
  <c r="T391" i="2"/>
  <c r="K315" i="2"/>
  <c r="AI263" i="2"/>
  <c r="E220" i="2"/>
  <c r="U71" i="2"/>
  <c r="R13" i="2"/>
  <c r="P13" i="2"/>
  <c r="AG274" i="2"/>
  <c r="AE274" i="2"/>
  <c r="AJ278" i="2"/>
  <c r="AG277" i="2"/>
  <c r="AE277" i="2"/>
  <c r="AE278" i="2"/>
  <c r="AJ447" i="2"/>
  <c r="AE446" i="2"/>
  <c r="AF416" i="2"/>
  <c r="AE414" i="2"/>
  <c r="AG415" i="2" s="1"/>
  <c r="T45" i="2"/>
  <c r="Q45" i="2"/>
  <c r="N92" i="2"/>
  <c r="F241" i="2"/>
  <c r="G245" i="2"/>
  <c r="I243" i="2"/>
  <c r="J242" i="2"/>
  <c r="N243" i="2"/>
  <c r="P179" i="2"/>
  <c r="P180" i="2" s="1"/>
  <c r="R245" i="2"/>
  <c r="S242" i="2"/>
  <c r="R243" i="2"/>
  <c r="U241" i="2"/>
  <c r="V201" i="2"/>
  <c r="V199" i="2"/>
  <c r="V181" i="2"/>
  <c r="AC181" i="2"/>
  <c r="X181" i="2"/>
  <c r="AA201" i="2"/>
  <c r="AF181" i="2"/>
  <c r="AA199" i="2"/>
  <c r="AH181" i="2"/>
  <c r="AI180" i="2"/>
  <c r="F288" i="2"/>
  <c r="L290" i="2"/>
  <c r="G290" i="2"/>
  <c r="G355" i="2"/>
  <c r="G301" i="2"/>
  <c r="G299" i="2"/>
  <c r="J357" i="2"/>
  <c r="O290" i="2"/>
  <c r="J290" i="2"/>
  <c r="J355" i="2"/>
  <c r="J354" i="2"/>
  <c r="J289" i="2"/>
  <c r="M355" i="2"/>
  <c r="M290" i="2"/>
  <c r="M354" i="2"/>
  <c r="R290" i="2"/>
  <c r="N344" i="2"/>
  <c r="N345" i="2"/>
  <c r="O344" i="2"/>
  <c r="V357" i="2"/>
  <c r="AA345" i="2"/>
  <c r="V345" i="2"/>
  <c r="V346" i="2"/>
  <c r="AA357" i="2"/>
  <c r="AA354" i="2"/>
  <c r="AA301" i="2"/>
  <c r="AA299" i="2"/>
  <c r="AA355" i="2"/>
  <c r="AE343" i="2"/>
  <c r="AE345" i="2" s="1"/>
  <c r="AC344" i="2"/>
  <c r="AC346" i="2"/>
  <c r="AH345" i="2"/>
  <c r="AD344" i="2"/>
  <c r="AH357" i="2"/>
  <c r="AH289" i="2"/>
  <c r="AH290" i="2"/>
  <c r="AH355" i="2"/>
  <c r="G434" i="2"/>
  <c r="G423" i="2"/>
  <c r="L422" i="2"/>
  <c r="G422" i="2"/>
  <c r="I434" i="2"/>
  <c r="I423" i="2"/>
  <c r="I425" i="2" s="1"/>
  <c r="N422" i="2"/>
  <c r="I422" i="2"/>
  <c r="M434" i="2"/>
  <c r="R422" i="2"/>
  <c r="M422" i="2"/>
  <c r="U365" i="2"/>
  <c r="V434" i="2"/>
  <c r="V423" i="2"/>
  <c r="V422" i="2"/>
  <c r="X434" i="2"/>
  <c r="X423" i="2"/>
  <c r="X427" i="2" s="1"/>
  <c r="X421" i="2"/>
  <c r="X422" i="2"/>
  <c r="AC422" i="2"/>
  <c r="Y421" i="2"/>
  <c r="AE365" i="2"/>
  <c r="AE432" i="2"/>
  <c r="AG365" i="2"/>
  <c r="AJ366" i="2"/>
  <c r="AF434" i="2"/>
  <c r="D508" i="2"/>
  <c r="D494" i="2"/>
  <c r="M443" i="2"/>
  <c r="K443" i="2"/>
  <c r="K506" i="2"/>
  <c r="N494" i="2"/>
  <c r="M496" i="2"/>
  <c r="M500" i="2" s="1"/>
  <c r="R508" i="2"/>
  <c r="S494" i="2"/>
  <c r="W495" i="2"/>
  <c r="R496" i="2"/>
  <c r="R500" i="2" s="1"/>
  <c r="V508" i="2"/>
  <c r="V496" i="2"/>
  <c r="V500" i="2" s="1"/>
  <c r="V495" i="2"/>
  <c r="X495" i="2"/>
  <c r="X496" i="2"/>
  <c r="X500" i="2" s="1"/>
  <c r="AF508" i="2"/>
  <c r="AF495" i="2"/>
  <c r="AJ443" i="2"/>
  <c r="AJ507" i="2"/>
  <c r="AJ444" i="2"/>
  <c r="AJ506" i="2"/>
  <c r="W292" i="2"/>
  <c r="AB262" i="2"/>
  <c r="AE314" i="2"/>
  <c r="Y220" i="2"/>
  <c r="AB416" i="2"/>
  <c r="AG416" i="2"/>
  <c r="G407" i="2"/>
  <c r="G392" i="2"/>
  <c r="P385" i="2"/>
  <c r="R385" i="2"/>
  <c r="U386" i="2"/>
  <c r="R30" i="2"/>
  <c r="P30" i="2"/>
  <c r="AB338" i="2"/>
  <c r="Z338" i="2"/>
  <c r="AE339" i="2"/>
  <c r="H338" i="2"/>
  <c r="F338" i="2"/>
  <c r="R304" i="2"/>
  <c r="P304" i="2"/>
  <c r="K307" i="2"/>
  <c r="M307" i="2"/>
  <c r="AB265" i="2"/>
  <c r="Z265" i="2"/>
  <c r="AB236" i="2"/>
  <c r="Z236" i="2"/>
  <c r="P196" i="2"/>
  <c r="U54" i="2"/>
  <c r="G221" i="2"/>
  <c r="AE447" i="2"/>
  <c r="U190" i="2"/>
  <c r="Z187" i="2"/>
  <c r="M195" i="2"/>
  <c r="K339" i="2"/>
  <c r="S482" i="2"/>
  <c r="AE284" i="2"/>
  <c r="W310" i="2"/>
  <c r="Q492" i="2"/>
  <c r="P490" i="2"/>
  <c r="R491" i="2" s="1"/>
  <c r="R488" i="2"/>
  <c r="P488" i="2"/>
  <c r="N482" i="2"/>
  <c r="O481" i="2"/>
  <c r="N507" i="2"/>
  <c r="U459" i="2"/>
  <c r="R458" i="2"/>
  <c r="C427" i="2"/>
  <c r="D424" i="2"/>
  <c r="AJ186" i="2"/>
  <c r="AJ491" i="2"/>
  <c r="K419" i="2"/>
  <c r="F390" i="2"/>
  <c r="F391" i="2" s="1"/>
  <c r="F432" i="2"/>
  <c r="U311" i="2"/>
  <c r="Z266" i="2"/>
  <c r="G356" i="2"/>
  <c r="AC415" i="2"/>
  <c r="S415" i="2"/>
  <c r="U470" i="2"/>
  <c r="Y415" i="2"/>
  <c r="AJ343" i="2"/>
  <c r="AJ288" i="2"/>
  <c r="AC262" i="2"/>
  <c r="AI428" i="2"/>
  <c r="K492" i="2"/>
  <c r="M491" i="2"/>
  <c r="C507" i="2"/>
  <c r="D481" i="2"/>
  <c r="R464" i="2"/>
  <c r="P464" i="2"/>
  <c r="K461" i="2"/>
  <c r="M461" i="2"/>
  <c r="Z455" i="2"/>
  <c r="AB455" i="2"/>
  <c r="H469" i="2"/>
  <c r="F505" i="2"/>
  <c r="F469" i="2"/>
  <c r="K458" i="2"/>
  <c r="M458" i="2"/>
  <c r="Y427" i="2"/>
  <c r="AB407" i="2"/>
  <c r="AC408" i="2" s="1"/>
  <c r="AG392" i="2"/>
  <c r="P388" i="2"/>
  <c r="R388" i="2"/>
  <c r="AB405" i="2"/>
  <c r="AE406" i="2"/>
  <c r="P431" i="2"/>
  <c r="P402" i="2"/>
  <c r="U403" i="2"/>
  <c r="R402" i="2"/>
  <c r="AE382" i="2"/>
  <c r="K382" i="2"/>
  <c r="AB350" i="2"/>
  <c r="S347" i="2"/>
  <c r="R350" i="2"/>
  <c r="S351" i="2" s="1"/>
  <c r="W348" i="2"/>
  <c r="AF333" i="2"/>
  <c r="S356" i="2"/>
  <c r="S332" i="2"/>
  <c r="AC316" i="2"/>
  <c r="U314" i="2"/>
  <c r="Z314" i="2"/>
  <c r="S249" i="2"/>
  <c r="V240" i="2"/>
  <c r="Q240" i="2"/>
  <c r="U235" i="2"/>
  <c r="W237" i="2"/>
  <c r="AC225" i="2"/>
  <c r="AC224" i="2"/>
  <c r="X225" i="2"/>
  <c r="Y224" i="2"/>
  <c r="S231" i="2"/>
  <c r="U223" i="2"/>
  <c r="S225" i="2"/>
  <c r="N231" i="2"/>
  <c r="N224" i="2"/>
  <c r="N225" i="2"/>
  <c r="I231" i="2"/>
  <c r="I224" i="2"/>
  <c r="F223" i="2"/>
  <c r="D224" i="2"/>
  <c r="K214" i="2"/>
  <c r="P215" i="2"/>
  <c r="P208" i="2"/>
  <c r="M207" i="2"/>
  <c r="K205" i="2"/>
  <c r="K204" i="2"/>
  <c r="M204" i="2"/>
  <c r="AG402" i="2"/>
  <c r="AE431" i="2"/>
  <c r="AE402" i="2"/>
  <c r="AH433" i="2"/>
  <c r="AH408" i="2"/>
  <c r="AH409" i="2"/>
  <c r="M382" i="2"/>
  <c r="AI408" i="2"/>
  <c r="AI433" i="2"/>
  <c r="AB247" i="2"/>
  <c r="W249" i="2"/>
  <c r="AB251" i="2" s="1"/>
  <c r="E433" i="2"/>
  <c r="L350" i="2"/>
  <c r="AC357" i="2"/>
  <c r="Z219" i="2"/>
  <c r="AC221" i="2"/>
  <c r="H333" i="2"/>
  <c r="AE311" i="2"/>
  <c r="P296" i="2"/>
  <c r="AE454" i="2"/>
  <c r="AG455" i="2" s="1"/>
  <c r="AC464" i="2"/>
  <c r="AE457" i="2"/>
  <c r="AJ459" i="2" s="1"/>
  <c r="K343" i="2"/>
  <c r="AB348" i="2"/>
  <c r="E224" i="2"/>
  <c r="AE269" i="2"/>
  <c r="K313" i="2"/>
  <c r="H507" i="2"/>
  <c r="H482" i="2"/>
  <c r="K446" i="2"/>
  <c r="P447" i="2"/>
  <c r="M446" i="2"/>
  <c r="P314" i="2"/>
  <c r="W356" i="2"/>
  <c r="P86" i="2"/>
  <c r="R86" i="2"/>
  <c r="V331" i="2"/>
  <c r="U331" i="2" s="1"/>
  <c r="U315" i="2"/>
  <c r="AA317" i="2"/>
  <c r="U304" i="2"/>
  <c r="Z305" i="2"/>
  <c r="U329" i="2"/>
  <c r="Z330" i="2"/>
  <c r="W329" i="2"/>
  <c r="B231" i="2"/>
  <c r="R211" i="2"/>
  <c r="P211" i="2"/>
  <c r="P195" i="2"/>
  <c r="R195" i="2"/>
  <c r="R183" i="2"/>
  <c r="P183" i="2"/>
  <c r="U62" i="2"/>
  <c r="U464" i="2"/>
  <c r="W464" i="2"/>
  <c r="P461" i="2"/>
  <c r="P462" i="2"/>
  <c r="K455" i="2"/>
  <c r="P456" i="2"/>
  <c r="M455" i="2"/>
  <c r="F506" i="2"/>
  <c r="K479" i="2"/>
  <c r="P470" i="2"/>
  <c r="M469" i="2"/>
  <c r="K470" i="2"/>
  <c r="P458" i="2"/>
  <c r="P459" i="2"/>
  <c r="M418" i="2"/>
  <c r="P419" i="2"/>
  <c r="N433" i="2"/>
  <c r="O408" i="2"/>
  <c r="AH392" i="2"/>
  <c r="AC391" i="2"/>
  <c r="AC392" i="2"/>
  <c r="X392" i="2"/>
  <c r="X407" i="2"/>
  <c r="X433" i="2" s="1"/>
  <c r="S407" i="2"/>
  <c r="S391" i="2"/>
  <c r="S392" i="2"/>
  <c r="M379" i="2"/>
  <c r="K379" i="2"/>
  <c r="U402" i="2"/>
  <c r="U431" i="2"/>
  <c r="N38" i="2"/>
  <c r="I38" i="2"/>
  <c r="D37" i="2"/>
  <c r="AF231" i="2"/>
  <c r="Q416" i="2"/>
  <c r="U305" i="2"/>
  <c r="U208" i="2"/>
  <c r="F219" i="2"/>
  <c r="L87" i="2"/>
  <c r="F85" i="2"/>
  <c r="AF496" i="2"/>
  <c r="AG382" i="2"/>
  <c r="AD459" i="2"/>
  <c r="L317" i="2"/>
  <c r="P330" i="2"/>
  <c r="K219" i="2"/>
  <c r="E91" i="2"/>
  <c r="H508" i="2"/>
  <c r="AJ274" i="2"/>
  <c r="AC306" i="2"/>
  <c r="AC308" i="2" s="1"/>
  <c r="F30" i="2"/>
  <c r="B91" i="2"/>
  <c r="G179" i="2"/>
  <c r="G253" i="2" s="1"/>
  <c r="AD500" i="2"/>
  <c r="AI502" i="2" s="1"/>
  <c r="AI498" i="2"/>
  <c r="F491" i="2"/>
  <c r="H491" i="2"/>
  <c r="AE489" i="2"/>
  <c r="AB488" i="2"/>
  <c r="M488" i="2"/>
  <c r="K488" i="2"/>
  <c r="P489" i="2"/>
  <c r="R507" i="2"/>
  <c r="R482" i="2"/>
  <c r="S481" i="2"/>
  <c r="M482" i="2"/>
  <c r="P480" i="2"/>
  <c r="P507" i="2" s="1"/>
  <c r="N481" i="2"/>
  <c r="L392" i="2"/>
  <c r="L407" i="2"/>
  <c r="L433" i="2" s="1"/>
  <c r="AF433" i="2"/>
  <c r="AF409" i="2"/>
  <c r="W407" i="2"/>
  <c r="AB392" i="2"/>
  <c r="T231" i="2"/>
  <c r="T225" i="2"/>
  <c r="T224" i="2"/>
  <c r="O231" i="2"/>
  <c r="P223" i="2"/>
  <c r="O224" i="2"/>
  <c r="R214" i="2"/>
  <c r="U215" i="2"/>
  <c r="P214" i="2"/>
  <c r="P204" i="2"/>
  <c r="R204" i="2"/>
  <c r="S220" i="2"/>
  <c r="U219" i="2"/>
  <c r="R221" i="2"/>
  <c r="P219" i="2"/>
  <c r="M221" i="2"/>
  <c r="M211" i="2"/>
  <c r="K211" i="2"/>
  <c r="P184" i="2"/>
  <c r="M183" i="2"/>
  <c r="U186" i="2"/>
  <c r="U187" i="2"/>
  <c r="M38" i="2"/>
  <c r="H38" i="2"/>
  <c r="K36" i="2"/>
  <c r="K127" i="2" s="1"/>
  <c r="K13" i="2"/>
  <c r="M13" i="2"/>
  <c r="P14" i="2"/>
  <c r="P21" i="2"/>
  <c r="P22" i="2"/>
  <c r="AB10" i="2"/>
  <c r="AE10" i="2"/>
  <c r="AJ184" i="2"/>
  <c r="AE184" i="2"/>
  <c r="AE195" i="2"/>
  <c r="AG195" i="2"/>
  <c r="AE205" i="2"/>
  <c r="AG204" i="2"/>
  <c r="M427" i="2"/>
  <c r="U446" i="2"/>
  <c r="W446" i="2"/>
  <c r="AI416" i="2"/>
  <c r="AD415" i="2"/>
  <c r="T415" i="2"/>
  <c r="T416" i="2"/>
  <c r="N416" i="2"/>
  <c r="N415" i="2"/>
  <c r="S416" i="2"/>
  <c r="F415" i="2"/>
  <c r="H415" i="2"/>
  <c r="AF392" i="2"/>
  <c r="Z390" i="2"/>
  <c r="AB391" i="2" s="1"/>
  <c r="M388" i="2"/>
  <c r="P389" i="2"/>
  <c r="K388" i="2"/>
  <c r="AB385" i="2"/>
  <c r="Z385" i="2"/>
  <c r="W405" i="2"/>
  <c r="U432" i="2"/>
  <c r="U405" i="2"/>
  <c r="K402" i="2"/>
  <c r="M402" i="2"/>
  <c r="AA350" i="2"/>
  <c r="AF352" i="2" s="1"/>
  <c r="AF348" i="2"/>
  <c r="C350" i="2"/>
  <c r="H352" i="2" s="1"/>
  <c r="H348" i="2"/>
  <c r="P342" i="2"/>
  <c r="K341" i="2"/>
  <c r="U338" i="2"/>
  <c r="U339" i="2"/>
  <c r="D332" i="2"/>
  <c r="D356" i="2"/>
  <c r="AG317" i="2"/>
  <c r="AB317" i="2"/>
  <c r="AE315" i="2"/>
  <c r="P310" i="2"/>
  <c r="P311" i="2"/>
  <c r="R310" i="2"/>
  <c r="K304" i="2"/>
  <c r="P305" i="2"/>
  <c r="K326" i="2"/>
  <c r="K327" i="2"/>
  <c r="Z307" i="2"/>
  <c r="Z308" i="2"/>
  <c r="W295" i="2"/>
  <c r="U296" i="2"/>
  <c r="U295" i="2"/>
  <c r="R292" i="2"/>
  <c r="P292" i="2"/>
  <c r="P293" i="2"/>
  <c r="U293" i="2"/>
  <c r="Z278" i="2"/>
  <c r="W277" i="2"/>
  <c r="W268" i="2"/>
  <c r="Z269" i="2"/>
  <c r="R237" i="2"/>
  <c r="S236" i="2"/>
  <c r="R236" i="2"/>
  <c r="AC231" i="2"/>
  <c r="AH225" i="2"/>
  <c r="AE223" i="2"/>
  <c r="X231" i="2"/>
  <c r="X224" i="2"/>
  <c r="W491" i="2"/>
  <c r="U379" i="2"/>
  <c r="X391" i="2"/>
  <c r="W189" i="2"/>
  <c r="W338" i="2"/>
  <c r="U277" i="2"/>
  <c r="AJ505" i="2"/>
  <c r="AJ469" i="2"/>
  <c r="I481" i="2"/>
  <c r="K480" i="2"/>
  <c r="K481" i="2" s="1"/>
  <c r="J481" i="2"/>
  <c r="AI475" i="2"/>
  <c r="B45" i="2"/>
  <c r="B173" i="2" s="1"/>
  <c r="AG247" i="2"/>
  <c r="AA389" i="2"/>
  <c r="AE462" i="2"/>
  <c r="AG251" i="2"/>
  <c r="AJ207" i="2"/>
  <c r="AJ269" i="2"/>
  <c r="AJ462" i="2"/>
  <c r="AJ275" i="2"/>
  <c r="AJ268" i="2"/>
  <c r="K489" i="2"/>
  <c r="I482" i="2"/>
  <c r="B357" i="2"/>
  <c r="F343" i="2"/>
  <c r="AJ208" i="2"/>
  <c r="AE461" i="2"/>
  <c r="Z296" i="2"/>
  <c r="AD224" i="2"/>
  <c r="AJ326" i="2"/>
  <c r="AB469" i="2"/>
  <c r="Z505" i="2"/>
  <c r="Z458" i="2"/>
  <c r="AB418" i="2"/>
  <c r="AE419" i="2"/>
  <c r="Z414" i="2"/>
  <c r="AB415" i="2" s="1"/>
  <c r="Y416" i="2"/>
  <c r="Z382" i="2"/>
  <c r="AE383" i="2"/>
  <c r="Z383" i="2"/>
  <c r="R24" i="2"/>
  <c r="P24" i="2"/>
  <c r="R446" i="2"/>
  <c r="U447" i="2"/>
  <c r="U462" i="2"/>
  <c r="W461" i="2"/>
  <c r="U461" i="2"/>
  <c r="M478" i="2"/>
  <c r="K478" i="2"/>
  <c r="AI392" i="2"/>
  <c r="AE390" i="2"/>
  <c r="AJ392" i="2" s="1"/>
  <c r="AD391" i="2"/>
  <c r="AD407" i="2"/>
  <c r="AD408" i="2" s="1"/>
  <c r="AD392" i="2"/>
  <c r="V407" i="2"/>
  <c r="AA409" i="2" s="1"/>
  <c r="U390" i="2"/>
  <c r="Q407" i="2"/>
  <c r="Q433" i="2" s="1"/>
  <c r="P390" i="2"/>
  <c r="Q392" i="2"/>
  <c r="J392" i="2"/>
  <c r="O392" i="2"/>
  <c r="J407" i="2"/>
  <c r="J409" i="2" s="1"/>
  <c r="U385" i="2"/>
  <c r="Z386" i="2"/>
  <c r="R379" i="2"/>
  <c r="P380" i="2"/>
  <c r="U406" i="2"/>
  <c r="P406" i="2"/>
  <c r="P405" i="2"/>
  <c r="AE403" i="2"/>
  <c r="AB402" i="2"/>
  <c r="F402" i="2"/>
  <c r="K403" i="2"/>
  <c r="AB195" i="2"/>
  <c r="Z195" i="2"/>
  <c r="U68" i="2"/>
  <c r="O90" i="2"/>
  <c r="J90" i="2"/>
  <c r="J86" i="2"/>
  <c r="N87" i="2"/>
  <c r="I87" i="2"/>
  <c r="Z339" i="2"/>
  <c r="M295" i="2"/>
  <c r="K295" i="2"/>
  <c r="AB292" i="2"/>
  <c r="Z292" i="2"/>
  <c r="AD262" i="2"/>
  <c r="AC263" i="2"/>
  <c r="R231" i="2"/>
  <c r="R225" i="2"/>
  <c r="M231" i="2"/>
  <c r="M225" i="2"/>
  <c r="H231" i="2"/>
  <c r="H225" i="2"/>
  <c r="AB214" i="2"/>
  <c r="Z214" i="2"/>
  <c r="AJ382" i="2"/>
  <c r="AJ383" i="2"/>
  <c r="AE481" i="2"/>
  <c r="AD481" i="2"/>
  <c r="H416" i="2"/>
  <c r="K414" i="2"/>
  <c r="M415" i="2" s="1"/>
  <c r="T356" i="2"/>
  <c r="Y333" i="2"/>
  <c r="E356" i="2"/>
  <c r="J333" i="2"/>
  <c r="E332" i="2"/>
  <c r="AC317" i="2"/>
  <c r="AD316" i="2"/>
  <c r="M317" i="2"/>
  <c r="M331" i="2"/>
  <c r="M356" i="2" s="1"/>
  <c r="N316" i="2"/>
  <c r="P326" i="2"/>
  <c r="P327" i="2"/>
  <c r="AG304" i="2"/>
  <c r="AE304" i="2"/>
  <c r="AJ305" i="2"/>
  <c r="AE492" i="2"/>
  <c r="AE491" i="2"/>
  <c r="AG491" i="2"/>
  <c r="AD389" i="2"/>
  <c r="AD388" i="2"/>
  <c r="AI389" i="2"/>
  <c r="AA476" i="2"/>
  <c r="G476" i="2"/>
  <c r="U31" i="2"/>
  <c r="AJ418" i="2"/>
  <c r="AJ432" i="2"/>
  <c r="N357" i="2"/>
  <c r="T357" i="2"/>
  <c r="AJ406" i="2"/>
  <c r="AH428" i="2"/>
  <c r="Z462" i="2"/>
  <c r="X357" i="2"/>
  <c r="G482" i="2"/>
  <c r="U414" i="2"/>
  <c r="D91" i="2"/>
  <c r="O357" i="2"/>
  <c r="U420" i="2"/>
  <c r="AE420" i="2"/>
  <c r="E391" i="2"/>
  <c r="U380" i="2"/>
  <c r="O316" i="2"/>
  <c r="Z215" i="2"/>
  <c r="P31" i="2"/>
  <c r="I357" i="2"/>
  <c r="U383" i="2"/>
  <c r="G38" i="2"/>
  <c r="Q357" i="2"/>
  <c r="U288" i="2"/>
  <c r="AJ402" i="2"/>
  <c r="AJ403" i="2"/>
  <c r="AE469" i="2"/>
  <c r="AJ470" i="2"/>
  <c r="AF357" i="2"/>
  <c r="AE288" i="2"/>
  <c r="AF301" i="2"/>
  <c r="AF356" i="2"/>
  <c r="AF306" i="2"/>
  <c r="AF290" i="2"/>
  <c r="AF299" i="2"/>
  <c r="E423" i="2"/>
  <c r="E421" i="2"/>
  <c r="AI434" i="2"/>
  <c r="AI422" i="2"/>
  <c r="AI421" i="2"/>
  <c r="AE444" i="2"/>
  <c r="AA508" i="2"/>
  <c r="AA496" i="2"/>
  <c r="AA433" i="2"/>
  <c r="AC427" i="2"/>
  <c r="AH425" i="2"/>
  <c r="AG469" i="2"/>
  <c r="AE470" i="2"/>
  <c r="AJ431" i="2"/>
  <c r="J422" i="2"/>
  <c r="AE505" i="2"/>
  <c r="M464" i="2"/>
  <c r="K464" i="2"/>
  <c r="P465" i="2"/>
  <c r="U455" i="2"/>
  <c r="U456" i="2"/>
  <c r="Z456" i="2"/>
  <c r="R478" i="2"/>
  <c r="P506" i="2"/>
  <c r="P479" i="2"/>
  <c r="M416" i="2"/>
  <c r="R416" i="2"/>
  <c r="H407" i="2"/>
  <c r="K390" i="2"/>
  <c r="P386" i="2"/>
  <c r="K385" i="2"/>
  <c r="Z380" i="2"/>
  <c r="Z379" i="2"/>
  <c r="AE380" i="2"/>
  <c r="B350" i="2"/>
  <c r="G348" i="2"/>
  <c r="AF342" i="2"/>
  <c r="Z340" i="2"/>
  <c r="L342" i="2"/>
  <c r="G342" i="2"/>
  <c r="R329" i="2"/>
  <c r="U330" i="2"/>
  <c r="U326" i="2"/>
  <c r="Z327" i="2"/>
  <c r="U327" i="2"/>
  <c r="K292" i="2"/>
  <c r="M292" i="2"/>
  <c r="Z284" i="2"/>
  <c r="Z283" i="2"/>
  <c r="U265" i="2"/>
  <c r="W265" i="2"/>
  <c r="AB274" i="2"/>
  <c r="AE275" i="2"/>
  <c r="R207" i="2"/>
  <c r="P207" i="2"/>
  <c r="W204" i="2"/>
  <c r="Z205" i="2"/>
  <c r="U89" i="2"/>
  <c r="M90" i="2"/>
  <c r="K88" i="2"/>
  <c r="D89" i="2"/>
  <c r="F88" i="2"/>
  <c r="H87" i="2"/>
  <c r="K85" i="2"/>
  <c r="I86" i="2"/>
  <c r="J38" i="2"/>
  <c r="O38" i="2"/>
  <c r="J37" i="2"/>
  <c r="F36" i="2"/>
  <c r="E37" i="2"/>
  <c r="K34" i="2"/>
  <c r="P34" i="2"/>
  <c r="M10" i="2"/>
  <c r="K11" i="2"/>
  <c r="AG214" i="2"/>
  <c r="AE214" i="2"/>
  <c r="AJ215" i="2"/>
  <c r="AE215" i="2"/>
  <c r="AE266" i="2"/>
  <c r="AJ266" i="2"/>
  <c r="AG280" i="2"/>
  <c r="AJ281" i="2"/>
  <c r="AE293" i="2"/>
  <c r="AG292" i="2"/>
  <c r="AJ386" i="2"/>
  <c r="AG385" i="2"/>
  <c r="AE386" i="2"/>
  <c r="AI332" i="2"/>
  <c r="AH356" i="2"/>
  <c r="AC507" i="2"/>
  <c r="AH482" i="2"/>
  <c r="AJ455" i="2"/>
  <c r="AJ464" i="2"/>
  <c r="AJ488" i="2"/>
  <c r="I433" i="2"/>
  <c r="N409" i="2"/>
  <c r="W455" i="2"/>
  <c r="P414" i="2"/>
  <c r="P415" i="2" s="1"/>
  <c r="Z461" i="2"/>
  <c r="AB461" i="2"/>
  <c r="AJ388" i="2"/>
  <c r="AF355" i="2"/>
  <c r="R392" i="2"/>
  <c r="R407" i="2"/>
  <c r="W392" i="2"/>
  <c r="J352" i="2"/>
  <c r="K351" i="2"/>
  <c r="J249" i="2"/>
  <c r="AH231" i="2"/>
  <c r="AJ280" i="2"/>
  <c r="AD464" i="2"/>
  <c r="AC465" i="2"/>
  <c r="AH465" i="2"/>
  <c r="AE463" i="2"/>
  <c r="AE465" i="2" s="1"/>
  <c r="AI459" i="2"/>
  <c r="AD458" i="2"/>
  <c r="AF476" i="2"/>
  <c r="AJ458" i="2"/>
  <c r="AE479" i="2"/>
  <c r="AB478" i="2"/>
  <c r="Y231" i="2"/>
  <c r="Y225" i="2"/>
  <c r="AJ315" i="2"/>
  <c r="U16" i="2"/>
  <c r="W214" i="2"/>
  <c r="L225" i="2"/>
  <c r="Z223" i="2"/>
  <c r="N331" i="2"/>
  <c r="R461" i="2"/>
  <c r="F478" i="2"/>
  <c r="AF482" i="2"/>
  <c r="V482" i="2"/>
  <c r="Q482" i="2"/>
  <c r="M405" i="2"/>
  <c r="K405" i="2"/>
  <c r="F204" i="2"/>
  <c r="H204" i="2"/>
  <c r="R53" i="2"/>
  <c r="AJ319" i="2"/>
  <c r="L357" i="2"/>
  <c r="G508" i="2"/>
  <c r="G91" i="2"/>
  <c r="G128" i="2" s="1"/>
  <c r="K431" i="2"/>
  <c r="AH416" i="2"/>
  <c r="Z293" i="2"/>
  <c r="M326" i="2"/>
  <c r="Q342" i="2"/>
  <c r="AA392" i="2"/>
  <c r="M392" i="2"/>
  <c r="K31" i="2"/>
  <c r="K30" i="2"/>
  <c r="Z288" i="2"/>
  <c r="K493" i="2"/>
  <c r="AE394" i="2"/>
  <c r="F493" i="2"/>
  <c r="Z493" i="2"/>
  <c r="AJ320" i="2"/>
  <c r="D357" i="2"/>
  <c r="K420" i="2"/>
  <c r="AJ508" i="2"/>
  <c r="AI501" i="2"/>
  <c r="AJ500" i="2"/>
  <c r="AH501" i="2"/>
  <c r="AD427" i="2"/>
  <c r="AD425" i="2"/>
  <c r="AD424" i="2"/>
  <c r="X481" i="2"/>
  <c r="X482" i="2"/>
  <c r="Z480" i="2"/>
  <c r="AB481" i="2" s="1"/>
  <c r="AC482" i="2"/>
  <c r="X507" i="2"/>
  <c r="Y481" i="2"/>
  <c r="E507" i="2"/>
  <c r="E481" i="2"/>
  <c r="J482" i="2"/>
  <c r="F480" i="2"/>
  <c r="H446" i="2"/>
  <c r="F446" i="2"/>
  <c r="K447" i="2"/>
  <c r="AB464" i="2"/>
  <c r="Z464" i="2"/>
  <c r="Z465" i="2"/>
  <c r="K406" i="2"/>
  <c r="F405" i="2"/>
  <c r="P382" i="2"/>
  <c r="R382" i="2"/>
  <c r="P383" i="2"/>
  <c r="Q331" i="2"/>
  <c r="P315" i="2"/>
  <c r="V317" i="2"/>
  <c r="Q317" i="2"/>
  <c r="L333" i="2"/>
  <c r="F331" i="2"/>
  <c r="G333" i="2"/>
  <c r="M329" i="2"/>
  <c r="K329" i="2"/>
  <c r="K330" i="2"/>
  <c r="Z295" i="2"/>
  <c r="AE296" i="2"/>
  <c r="AB295" i="2"/>
  <c r="Z280" i="2"/>
  <c r="Z281" i="2"/>
  <c r="AE281" i="2"/>
  <c r="AB280" i="2"/>
  <c r="U274" i="2"/>
  <c r="Z275" i="2"/>
  <c r="AB271" i="2"/>
  <c r="Z272" i="2"/>
  <c r="Z271" i="2"/>
  <c r="AE261" i="2"/>
  <c r="AD263" i="2"/>
  <c r="W262" i="2"/>
  <c r="Z263" i="2"/>
  <c r="W239" i="2"/>
  <c r="U239" i="2"/>
  <c r="U240" i="2"/>
  <c r="Z240" i="2"/>
  <c r="J231" i="2"/>
  <c r="J225" i="2"/>
  <c r="O225" i="2"/>
  <c r="K223" i="2"/>
  <c r="J224" i="2"/>
  <c r="T220" i="2"/>
  <c r="Y221" i="2"/>
  <c r="T221" i="2"/>
  <c r="F346" i="2"/>
  <c r="E347" i="2"/>
  <c r="D350" i="2"/>
  <c r="AE220" i="2"/>
  <c r="AD482" i="2"/>
  <c r="AD507" i="2"/>
  <c r="AI482" i="2"/>
  <c r="H341" i="2"/>
  <c r="K342" i="2"/>
  <c r="AG433" i="2"/>
  <c r="AG271" i="2"/>
  <c r="AE272" i="2"/>
  <c r="P11" i="2"/>
  <c r="M33" i="2"/>
  <c r="M338" i="2"/>
  <c r="K338" i="2"/>
  <c r="W231" i="2"/>
  <c r="W225" i="2"/>
  <c r="AB225" i="2"/>
  <c r="U22" i="2"/>
  <c r="K33" i="2"/>
  <c r="AE271" i="2"/>
  <c r="H418" i="2"/>
  <c r="F418" i="2"/>
  <c r="U313" i="2"/>
  <c r="W313" i="2"/>
  <c r="AD231" i="2"/>
  <c r="AD225" i="2"/>
  <c r="G231" i="2"/>
  <c r="G225" i="2"/>
  <c r="V476" i="2"/>
  <c r="AJ395" i="2"/>
  <c r="AE319" i="2"/>
  <c r="G357" i="2"/>
  <c r="K288" i="2"/>
  <c r="K355" i="2" s="1"/>
  <c r="P288" i="2"/>
  <c r="M357" i="2"/>
  <c r="X508" i="2"/>
  <c r="U343" i="2"/>
  <c r="P420" i="2"/>
  <c r="AJ420" i="2"/>
  <c r="AC434" i="2"/>
  <c r="P343" i="2"/>
  <c r="F420" i="2"/>
  <c r="Z420" i="2"/>
  <c r="P493" i="2"/>
  <c r="AE493" i="2"/>
  <c r="P255" i="2" l="1"/>
  <c r="L352" i="2"/>
  <c r="R228" i="2"/>
  <c r="Y332" i="2"/>
  <c r="Y227" i="2"/>
  <c r="O227" i="2"/>
  <c r="AC500" i="2"/>
  <c r="AH502" i="2" s="1"/>
  <c r="I227" i="2"/>
  <c r="P254" i="2"/>
  <c r="W228" i="2"/>
  <c r="Z331" i="2"/>
  <c r="Z332" i="2" s="1"/>
  <c r="S227" i="2"/>
  <c r="AH228" i="2"/>
  <c r="O228" i="2"/>
  <c r="K254" i="2"/>
  <c r="AD251" i="2"/>
  <c r="AD227" i="2"/>
  <c r="T246" i="2"/>
  <c r="AF251" i="2"/>
  <c r="T227" i="2"/>
  <c r="N228" i="2"/>
  <c r="G247" i="2"/>
  <c r="Z253" i="2"/>
  <c r="Z254" i="2"/>
  <c r="K256" i="2"/>
  <c r="G255" i="2"/>
  <c r="AC246" i="2"/>
  <c r="G256" i="2"/>
  <c r="X227" i="2"/>
  <c r="AD228" i="2"/>
  <c r="Z255" i="2"/>
  <c r="AE256" i="2"/>
  <c r="K253" i="2"/>
  <c r="G228" i="2"/>
  <c r="K255" i="2"/>
  <c r="T228" i="2"/>
  <c r="AH227" i="2"/>
  <c r="M228" i="2"/>
  <c r="R242" i="2"/>
  <c r="P256" i="2"/>
  <c r="X332" i="2"/>
  <c r="R247" i="2"/>
  <c r="AJ242" i="2"/>
  <c r="AJ256" i="2"/>
  <c r="Y247" i="2"/>
  <c r="G352" i="2"/>
  <c r="X356" i="2"/>
  <c r="AC249" i="2"/>
  <c r="AH251" i="2" s="1"/>
  <c r="W242" i="2"/>
  <c r="U256" i="2"/>
  <c r="AJ255" i="2"/>
  <c r="M247" i="2"/>
  <c r="H249" i="2"/>
  <c r="M251" i="2" s="1"/>
  <c r="AB242" i="2"/>
  <c r="Z256" i="2"/>
  <c r="Y228" i="2"/>
  <c r="AG228" i="2"/>
  <c r="N227" i="2"/>
  <c r="X228" i="2"/>
  <c r="G254" i="2"/>
  <c r="AE253" i="2"/>
  <c r="AG224" i="2"/>
  <c r="AE255" i="2"/>
  <c r="AC247" i="2"/>
  <c r="AJ254" i="2"/>
  <c r="U220" i="2"/>
  <c r="U254" i="2"/>
  <c r="U224" i="2"/>
  <c r="U255" i="2"/>
  <c r="K245" i="2"/>
  <c r="K246" i="2" s="1"/>
  <c r="P253" i="2"/>
  <c r="K316" i="2"/>
  <c r="R348" i="2"/>
  <c r="Q350" i="2"/>
  <c r="I347" i="2"/>
  <c r="AI348" i="2"/>
  <c r="AG350" i="2"/>
  <c r="AH351" i="2" s="1"/>
  <c r="AE316" i="2"/>
  <c r="X350" i="2"/>
  <c r="X352" i="2" s="1"/>
  <c r="T350" i="2"/>
  <c r="T351" i="2" s="1"/>
  <c r="Z316" i="2"/>
  <c r="S348" i="2"/>
  <c r="Q233" i="2"/>
  <c r="AE226" i="2"/>
  <c r="AG227" i="2" s="1"/>
  <c r="P39" i="2"/>
  <c r="AH498" i="2"/>
  <c r="M350" i="2"/>
  <c r="R352" i="2" s="1"/>
  <c r="AA233" i="2"/>
  <c r="AF233" i="2"/>
  <c r="AH332" i="2"/>
  <c r="AG334" i="2"/>
  <c r="AJ334" i="2" s="1"/>
  <c r="AI233" i="2"/>
  <c r="AJ407" i="2"/>
  <c r="AJ408" i="2" s="1"/>
  <c r="AC232" i="2"/>
  <c r="T424" i="2"/>
  <c r="Q228" i="2"/>
  <c r="P226" i="2"/>
  <c r="AA228" i="2"/>
  <c r="Z226" i="2"/>
  <c r="AB227" i="2" s="1"/>
  <c r="AB228" i="2"/>
  <c r="U39" i="2"/>
  <c r="AF228" i="2"/>
  <c r="AI228" i="2"/>
  <c r="AI227" i="2"/>
  <c r="AC227" i="2"/>
  <c r="AJ226" i="2"/>
  <c r="L228" i="2"/>
  <c r="K226" i="2"/>
  <c r="V228" i="2"/>
  <c r="U226" i="2"/>
  <c r="L500" i="2"/>
  <c r="Q502" i="2" s="1"/>
  <c r="AJ221" i="2"/>
  <c r="AC424" i="2"/>
  <c r="AH247" i="2"/>
  <c r="AH246" i="2"/>
  <c r="AF247" i="2"/>
  <c r="AB427" i="2"/>
  <c r="AG429" i="2" s="1"/>
  <c r="G47" i="2"/>
  <c r="AJ344" i="2"/>
  <c r="E500" i="2"/>
  <c r="F500" i="2" s="1"/>
  <c r="F501" i="2" s="1"/>
  <c r="Q47" i="2"/>
  <c r="S46" i="2"/>
  <c r="T433" i="2"/>
  <c r="AJ220" i="2"/>
  <c r="O99" i="2"/>
  <c r="R425" i="2"/>
  <c r="Y425" i="2"/>
  <c r="Z245" i="2"/>
  <c r="Z246" i="2" s="1"/>
  <c r="X247" i="2"/>
  <c r="K97" i="2"/>
  <c r="M98" i="2" s="1"/>
  <c r="T502" i="2"/>
  <c r="AB425" i="2"/>
  <c r="U497" i="2"/>
  <c r="Y498" i="2"/>
  <c r="T498" i="2"/>
  <c r="N350" i="2"/>
  <c r="S352" i="2" s="1"/>
  <c r="T425" i="2"/>
  <c r="W427" i="2"/>
  <c r="W429" i="2" s="1"/>
  <c r="T247" i="2"/>
  <c r="F496" i="2"/>
  <c r="H497" i="2" s="1"/>
  <c r="O247" i="2"/>
  <c r="AA425" i="2"/>
  <c r="U492" i="2"/>
  <c r="P243" i="2"/>
  <c r="H99" i="2"/>
  <c r="P242" i="2"/>
  <c r="AI347" i="2"/>
  <c r="O427" i="2"/>
  <c r="W497" i="2"/>
  <c r="O424" i="2"/>
  <c r="G498" i="2"/>
  <c r="J500" i="2"/>
  <c r="J501" i="2" s="1"/>
  <c r="O46" i="2"/>
  <c r="O501" i="2"/>
  <c r="Y497" i="2"/>
  <c r="AB307" i="2"/>
  <c r="AA251" i="2"/>
  <c r="T99" i="2"/>
  <c r="J498" i="2"/>
  <c r="AB325" i="2"/>
  <c r="AB331" i="2" s="1"/>
  <c r="AB334" i="2" s="1"/>
  <c r="W425" i="2"/>
  <c r="T347" i="2"/>
  <c r="O425" i="2"/>
  <c r="M180" i="2"/>
  <c r="F407" i="2"/>
  <c r="F408" i="2" s="1"/>
  <c r="L47" i="2"/>
  <c r="P492" i="2"/>
  <c r="Y348" i="2"/>
  <c r="U346" i="2"/>
  <c r="T47" i="2"/>
  <c r="T348" i="2"/>
  <c r="B97" i="2"/>
  <c r="B101" i="2" s="1"/>
  <c r="B128" i="2"/>
  <c r="Q425" i="2"/>
  <c r="F127" i="2"/>
  <c r="D97" i="2"/>
  <c r="D128" i="2"/>
  <c r="E97" i="2"/>
  <c r="E128" i="2"/>
  <c r="P92" i="2"/>
  <c r="P128" i="2"/>
  <c r="T98" i="2"/>
  <c r="S47" i="2"/>
  <c r="R47" i="2"/>
  <c r="U128" i="2"/>
  <c r="Y409" i="2"/>
  <c r="P37" i="2"/>
  <c r="AG347" i="2"/>
  <c r="N46" i="2"/>
  <c r="Z423" i="2"/>
  <c r="AB424" i="2" s="1"/>
  <c r="H101" i="2"/>
  <c r="H103" i="2" s="1"/>
  <c r="U180" i="2"/>
  <c r="AH347" i="2"/>
  <c r="L427" i="2"/>
  <c r="Q99" i="2"/>
  <c r="O498" i="2"/>
  <c r="X348" i="2"/>
  <c r="AG348" i="2"/>
  <c r="V433" i="2"/>
  <c r="AG242" i="2"/>
  <c r="AJ224" i="2"/>
  <c r="AE242" i="2"/>
  <c r="K346" i="2"/>
  <c r="U37" i="2"/>
  <c r="P45" i="2"/>
  <c r="P46" i="2" s="1"/>
  <c r="H425" i="2"/>
  <c r="I409" i="2"/>
  <c r="F239" i="2"/>
  <c r="Y424" i="2"/>
  <c r="H427" i="2"/>
  <c r="M429" i="2" s="1"/>
  <c r="I350" i="2"/>
  <c r="AC425" i="2"/>
  <c r="M348" i="2"/>
  <c r="AJ243" i="2"/>
  <c r="S424" i="2"/>
  <c r="AA348" i="2"/>
  <c r="T46" i="2"/>
  <c r="AJ357" i="2"/>
  <c r="AJ245" i="2"/>
  <c r="AJ246" i="2" s="1"/>
  <c r="F245" i="2"/>
  <c r="H246" i="2" s="1"/>
  <c r="U242" i="2"/>
  <c r="K507" i="2"/>
  <c r="AB498" i="2"/>
  <c r="N347" i="2"/>
  <c r="J347" i="2"/>
  <c r="S427" i="2"/>
  <c r="X429" i="2" s="1"/>
  <c r="AJ416" i="2"/>
  <c r="P491" i="2"/>
  <c r="I424" i="2"/>
  <c r="I348" i="2"/>
  <c r="AA247" i="2"/>
  <c r="AG308" i="2"/>
  <c r="K240" i="2"/>
  <c r="Z180" i="2"/>
  <c r="N249" i="2"/>
  <c r="O250" i="2" s="1"/>
  <c r="V427" i="2"/>
  <c r="AG233" i="2"/>
  <c r="I98" i="2"/>
  <c r="K92" i="2"/>
  <c r="O497" i="2"/>
  <c r="M481" i="2"/>
  <c r="AI409" i="2"/>
  <c r="Z181" i="2"/>
  <c r="Z500" i="2"/>
  <c r="P423" i="2"/>
  <c r="R424" i="2" s="1"/>
  <c r="G249" i="2"/>
  <c r="G251" i="2" s="1"/>
  <c r="AE221" i="2"/>
  <c r="AE243" i="2"/>
  <c r="X246" i="2"/>
  <c r="AB352" i="2"/>
  <c r="AI350" i="2"/>
  <c r="U243" i="2"/>
  <c r="P181" i="2"/>
  <c r="J427" i="2"/>
  <c r="X497" i="2"/>
  <c r="Y246" i="2"/>
  <c r="S98" i="2"/>
  <c r="AJ331" i="2"/>
  <c r="AJ332" i="2" s="1"/>
  <c r="Z221" i="2"/>
  <c r="R180" i="2"/>
  <c r="U181" i="2"/>
  <c r="X501" i="2"/>
  <c r="Z242" i="2"/>
  <c r="N497" i="2"/>
  <c r="S502" i="2"/>
  <c r="Q352" i="2"/>
  <c r="R103" i="2"/>
  <c r="H500" i="2"/>
  <c r="H502" i="2" s="1"/>
  <c r="L247" i="2"/>
  <c r="X249" i="2"/>
  <c r="AC251" i="2" s="1"/>
  <c r="K496" i="2"/>
  <c r="M497" i="2" s="1"/>
  <c r="AC498" i="2"/>
  <c r="N498" i="2"/>
  <c r="AB220" i="2"/>
  <c r="Q498" i="2"/>
  <c r="Q427" i="2"/>
  <c r="O246" i="2"/>
  <c r="AC497" i="2"/>
  <c r="U45" i="2"/>
  <c r="U46" i="2" s="1"/>
  <c r="AJ262" i="2"/>
  <c r="AB500" i="2"/>
  <c r="Y347" i="2"/>
  <c r="N102" i="2"/>
  <c r="G233" i="2"/>
  <c r="T497" i="2"/>
  <c r="N246" i="2"/>
  <c r="U97" i="2"/>
  <c r="Z346" i="2"/>
  <c r="AC348" i="2"/>
  <c r="M99" i="2"/>
  <c r="AE415" i="2"/>
  <c r="V348" i="2"/>
  <c r="X347" i="2"/>
  <c r="Q348" i="2"/>
  <c r="G425" i="2"/>
  <c r="R99" i="2"/>
  <c r="T250" i="2"/>
  <c r="E408" i="2"/>
  <c r="AE181" i="2"/>
  <c r="Q247" i="2"/>
  <c r="D408" i="2"/>
  <c r="U92" i="2"/>
  <c r="V251" i="2"/>
  <c r="Q251" i="2"/>
  <c r="N233" i="2"/>
  <c r="G433" i="2"/>
  <c r="AJ181" i="2"/>
  <c r="V247" i="2"/>
  <c r="AE180" i="2"/>
  <c r="AG180" i="2"/>
  <c r="AD308" i="2"/>
  <c r="AI308" i="2"/>
  <c r="AD325" i="2"/>
  <c r="P496" i="2"/>
  <c r="U498" i="2" s="1"/>
  <c r="O233" i="2"/>
  <c r="AC325" i="2"/>
  <c r="AG391" i="2"/>
  <c r="X498" i="2"/>
  <c r="P245" i="2"/>
  <c r="I232" i="2"/>
  <c r="W498" i="2"/>
  <c r="T501" i="2"/>
  <c r="AD307" i="2"/>
  <c r="AE391" i="2"/>
  <c r="AI246" i="2"/>
  <c r="T333" i="2"/>
  <c r="R498" i="2"/>
  <c r="V356" i="2"/>
  <c r="K317" i="2"/>
  <c r="S498" i="2"/>
  <c r="X233" i="2"/>
  <c r="X502" i="2"/>
  <c r="N247" i="2"/>
  <c r="N98" i="2"/>
  <c r="S425" i="2"/>
  <c r="AD246" i="2"/>
  <c r="N427" i="2"/>
  <c r="N428" i="2" s="1"/>
  <c r="N424" i="2"/>
  <c r="I497" i="2"/>
  <c r="AE225" i="2"/>
  <c r="M242" i="2"/>
  <c r="P97" i="2"/>
  <c r="R98" i="2" s="1"/>
  <c r="P416" i="2"/>
  <c r="AE357" i="2"/>
  <c r="U407" i="2"/>
  <c r="W408" i="2" s="1"/>
  <c r="M409" i="2"/>
  <c r="U38" i="2"/>
  <c r="AD501" i="2"/>
  <c r="AE344" i="2"/>
  <c r="AE224" i="2"/>
  <c r="S99" i="2"/>
  <c r="I356" i="2"/>
  <c r="G409" i="2"/>
  <c r="M332" i="2"/>
  <c r="AC502" i="2"/>
  <c r="AG409" i="2"/>
  <c r="V498" i="2"/>
  <c r="AJ225" i="2"/>
  <c r="V333" i="2"/>
  <c r="I246" i="2"/>
  <c r="AJ354" i="2"/>
  <c r="AE456" i="2"/>
  <c r="I101" i="2"/>
  <c r="J102" i="2" s="1"/>
  <c r="J246" i="2"/>
  <c r="W180" i="2"/>
  <c r="U245" i="2"/>
  <c r="U246" i="2" s="1"/>
  <c r="K423" i="2"/>
  <c r="AJ345" i="2"/>
  <c r="R249" i="2"/>
  <c r="R251" i="2" s="1"/>
  <c r="R415" i="2"/>
  <c r="Y233" i="2"/>
  <c r="AJ355" i="2"/>
  <c r="AA333" i="2"/>
  <c r="AE455" i="2"/>
  <c r="U93" i="2"/>
  <c r="V233" i="2"/>
  <c r="K242" i="2"/>
  <c r="P225" i="2"/>
  <c r="Q409" i="2"/>
  <c r="AJ456" i="2"/>
  <c r="AJ289" i="2"/>
  <c r="AJ290" i="2"/>
  <c r="S246" i="2"/>
  <c r="W247" i="2"/>
  <c r="AG344" i="2"/>
  <c r="W502" i="2"/>
  <c r="K243" i="2"/>
  <c r="Y408" i="2"/>
  <c r="P482" i="2"/>
  <c r="F357" i="2"/>
  <c r="R233" i="2"/>
  <c r="AC233" i="2"/>
  <c r="T233" i="2"/>
  <c r="AH232" i="2"/>
  <c r="AG458" i="2"/>
  <c r="P38" i="2"/>
  <c r="AI247" i="2"/>
  <c r="AE388" i="2"/>
  <c r="AD247" i="2"/>
  <c r="AE392" i="2"/>
  <c r="AG316" i="2"/>
  <c r="AD250" i="2"/>
  <c r="Z317" i="2"/>
  <c r="M333" i="2"/>
  <c r="S497" i="2"/>
  <c r="W220" i="2"/>
  <c r="N408" i="2"/>
  <c r="W316" i="2"/>
  <c r="U317" i="2"/>
  <c r="AB433" i="2"/>
  <c r="AE423" i="2"/>
  <c r="AG424" i="2" s="1"/>
  <c r="X425" i="2"/>
  <c r="O98" i="2"/>
  <c r="AF425" i="2"/>
  <c r="W352" i="2"/>
  <c r="U416" i="2"/>
  <c r="R481" i="2"/>
  <c r="N333" i="2"/>
  <c r="AH233" i="2"/>
  <c r="AE317" i="2"/>
  <c r="W224" i="2"/>
  <c r="F423" i="2"/>
  <c r="F424" i="2" s="1"/>
  <c r="L425" i="2"/>
  <c r="R92" i="2"/>
  <c r="Y433" i="2"/>
  <c r="M92" i="2"/>
  <c r="P93" i="2"/>
  <c r="N348" i="2"/>
  <c r="AB316" i="2"/>
  <c r="O356" i="2"/>
  <c r="J332" i="2"/>
  <c r="AE416" i="2"/>
  <c r="M498" i="2"/>
  <c r="U423" i="2"/>
  <c r="W424" i="2" s="1"/>
  <c r="AE389" i="2"/>
  <c r="V425" i="2"/>
  <c r="X232" i="2"/>
  <c r="R333" i="2"/>
  <c r="I332" i="2"/>
  <c r="U316" i="2"/>
  <c r="X424" i="2"/>
  <c r="H391" i="2"/>
  <c r="AE458" i="2"/>
  <c r="V350" i="2"/>
  <c r="AE245" i="2"/>
  <c r="K392" i="2"/>
  <c r="J424" i="2"/>
  <c r="G427" i="2"/>
  <c r="M316" i="2"/>
  <c r="AI251" i="2"/>
  <c r="AE459" i="2"/>
  <c r="AB409" i="2"/>
  <c r="I333" i="2"/>
  <c r="Y428" i="2"/>
  <c r="AJ389" i="2"/>
  <c r="Q103" i="2"/>
  <c r="AG356" i="2"/>
  <c r="R37" i="2"/>
  <c r="O347" i="2"/>
  <c r="P346" i="2"/>
  <c r="AJ180" i="2"/>
  <c r="AB388" i="2"/>
  <c r="Z389" i="2"/>
  <c r="U392" i="2"/>
  <c r="I247" i="2"/>
  <c r="I249" i="2"/>
  <c r="F316" i="2"/>
  <c r="H316" i="2"/>
  <c r="I427" i="2"/>
  <c r="N425" i="2"/>
  <c r="F355" i="2"/>
  <c r="F289" i="2"/>
  <c r="F354" i="2"/>
  <c r="H289" i="2"/>
  <c r="N332" i="2"/>
  <c r="U53" i="2"/>
  <c r="AC350" i="2"/>
  <c r="AE350" i="2" s="1"/>
  <c r="AC347" i="2"/>
  <c r="AD347" i="2"/>
  <c r="AH348" i="2"/>
  <c r="F242" i="2"/>
  <c r="H242" i="2"/>
  <c r="Z243" i="2"/>
  <c r="N232" i="2"/>
  <c r="T232" i="2"/>
  <c r="O232" i="2"/>
  <c r="S233" i="2"/>
  <c r="R409" i="2"/>
  <c r="S333" i="2"/>
  <c r="J232" i="2"/>
  <c r="Z220" i="2"/>
  <c r="U231" i="2"/>
  <c r="U232" i="2" s="1"/>
  <c r="S232" i="2"/>
  <c r="P231" i="2"/>
  <c r="R232" i="2" s="1"/>
  <c r="O332" i="2"/>
  <c r="U221" i="2"/>
  <c r="L409" i="2"/>
  <c r="W236" i="2"/>
  <c r="U237" i="2"/>
  <c r="Z237" i="2"/>
  <c r="U236" i="2"/>
  <c r="M344" i="2"/>
  <c r="K344" i="2"/>
  <c r="F224" i="2"/>
  <c r="H224" i="2"/>
  <c r="K220" i="2"/>
  <c r="M220" i="2"/>
  <c r="K221" i="2"/>
  <c r="F86" i="2"/>
  <c r="H86" i="2"/>
  <c r="L233" i="2"/>
  <c r="AE496" i="2"/>
  <c r="J98" i="2"/>
  <c r="N99" i="2"/>
  <c r="J93" i="2"/>
  <c r="AJ423" i="2"/>
  <c r="F220" i="2"/>
  <c r="H220" i="2"/>
  <c r="S433" i="2"/>
  <c r="S409" i="2"/>
  <c r="T408" i="2"/>
  <c r="G199" i="2"/>
  <c r="L181" i="2"/>
  <c r="F179" i="2"/>
  <c r="F253" i="2" s="1"/>
  <c r="G181" i="2"/>
  <c r="G201" i="2"/>
  <c r="AH308" i="2"/>
  <c r="AC307" i="2"/>
  <c r="AC409" i="2"/>
  <c r="X409" i="2"/>
  <c r="K231" i="2"/>
  <c r="K232" i="2" s="1"/>
  <c r="W409" i="2"/>
  <c r="X408" i="2"/>
  <c r="H344" i="2"/>
  <c r="F344" i="2"/>
  <c r="K345" i="2"/>
  <c r="K37" i="2"/>
  <c r="M37" i="2"/>
  <c r="Y232" i="2"/>
  <c r="AD433" i="2"/>
  <c r="AE407" i="2"/>
  <c r="AG408" i="2" s="1"/>
  <c r="W433" i="2"/>
  <c r="Z407" i="2"/>
  <c r="AB408" i="2" s="1"/>
  <c r="R224" i="2"/>
  <c r="U225" i="2"/>
  <c r="P224" i="2"/>
  <c r="P481" i="2"/>
  <c r="U482" i="2"/>
  <c r="M233" i="2"/>
  <c r="AF429" i="2"/>
  <c r="AD409" i="2"/>
  <c r="AI250" i="2"/>
  <c r="P221" i="2"/>
  <c r="P220" i="2"/>
  <c r="R220" i="2"/>
  <c r="V409" i="2"/>
  <c r="K416" i="2"/>
  <c r="K415" i="2"/>
  <c r="J433" i="2"/>
  <c r="O409" i="2"/>
  <c r="J408" i="2"/>
  <c r="R391" i="2"/>
  <c r="P391" i="2"/>
  <c r="U391" i="2"/>
  <c r="W391" i="2"/>
  <c r="AI232" i="2"/>
  <c r="AJ231" i="2"/>
  <c r="U354" i="2"/>
  <c r="W289" i="2"/>
  <c r="U355" i="2"/>
  <c r="U289" i="2"/>
  <c r="U415" i="2"/>
  <c r="W415" i="2"/>
  <c r="I93" i="2"/>
  <c r="E92" i="2"/>
  <c r="D92" i="2"/>
  <c r="AB233" i="2"/>
  <c r="AE434" i="2"/>
  <c r="AG421" i="2"/>
  <c r="AE421" i="2"/>
  <c r="U434" i="2"/>
  <c r="U421" i="2"/>
  <c r="W421" i="2"/>
  <c r="T251" i="2"/>
  <c r="Y251" i="2"/>
  <c r="Z224" i="2"/>
  <c r="Z225" i="2"/>
  <c r="AB224" i="2"/>
  <c r="H89" i="2"/>
  <c r="F89" i="2"/>
  <c r="E427" i="2"/>
  <c r="E424" i="2"/>
  <c r="O251" i="2"/>
  <c r="K508" i="2"/>
  <c r="M494" i="2"/>
  <c r="K494" i="2"/>
  <c r="K495" i="2"/>
  <c r="Z354" i="2"/>
  <c r="AB289" i="2"/>
  <c r="Z289" i="2"/>
  <c r="Z290" i="2"/>
  <c r="Z355" i="2"/>
  <c r="AB341" i="2"/>
  <c r="AE342" i="2"/>
  <c r="Z342" i="2"/>
  <c r="Z341" i="2"/>
  <c r="AH429" i="2"/>
  <c r="AC429" i="2"/>
  <c r="AF498" i="2"/>
  <c r="Z496" i="2"/>
  <c r="Z356" i="2"/>
  <c r="K434" i="2"/>
  <c r="K421" i="2"/>
  <c r="M421" i="2"/>
  <c r="Z508" i="2"/>
  <c r="AB494" i="2"/>
  <c r="Z357" i="2"/>
  <c r="AE464" i="2"/>
  <c r="AG464" i="2"/>
  <c r="AJ465" i="2"/>
  <c r="M86" i="2"/>
  <c r="P87" i="2"/>
  <c r="K87" i="2"/>
  <c r="K86" i="2"/>
  <c r="K89" i="2"/>
  <c r="P90" i="2"/>
  <c r="M89" i="2"/>
  <c r="K90" i="2"/>
  <c r="M391" i="2"/>
  <c r="K391" i="2"/>
  <c r="P392" i="2"/>
  <c r="F508" i="2"/>
  <c r="H494" i="2"/>
  <c r="F494" i="2"/>
  <c r="L93" i="2"/>
  <c r="G97" i="2"/>
  <c r="G93" i="2"/>
  <c r="F91" i="2"/>
  <c r="F128" i="2" s="1"/>
  <c r="AJ317" i="2"/>
  <c r="AJ316" i="2"/>
  <c r="R433" i="2"/>
  <c r="R408" i="2"/>
  <c r="S408" i="2"/>
  <c r="F37" i="2"/>
  <c r="H37" i="2"/>
  <c r="K38" i="2"/>
  <c r="H409" i="2"/>
  <c r="H433" i="2"/>
  <c r="I408" i="2"/>
  <c r="J425" i="2"/>
  <c r="K407" i="2"/>
  <c r="AE249" i="2"/>
  <c r="S102" i="2"/>
  <c r="T102" i="2"/>
  <c r="S103" i="2"/>
  <c r="AJ346" i="2"/>
  <c r="AE306" i="2"/>
  <c r="AF308" i="2"/>
  <c r="AF325" i="2"/>
  <c r="AE290" i="2"/>
  <c r="AG289" i="2"/>
  <c r="AE289" i="2"/>
  <c r="AE355" i="2"/>
  <c r="AE508" i="2"/>
  <c r="AE495" i="2"/>
  <c r="AG494" i="2"/>
  <c r="AE494" i="2"/>
  <c r="AJ495" i="2"/>
  <c r="P357" i="2"/>
  <c r="R344" i="2"/>
  <c r="P345" i="2"/>
  <c r="P344" i="2"/>
  <c r="P354" i="2"/>
  <c r="R289" i="2"/>
  <c r="P289" i="2"/>
  <c r="P355" i="2"/>
  <c r="P290" i="2"/>
  <c r="U290" i="2"/>
  <c r="W233" i="2"/>
  <c r="F347" i="2"/>
  <c r="H347" i="2"/>
  <c r="U356" i="2"/>
  <c r="U332" i="2"/>
  <c r="W332" i="2"/>
  <c r="AJ501" i="2"/>
  <c r="P508" i="2"/>
  <c r="P494" i="2"/>
  <c r="P495" i="2"/>
  <c r="R494" i="2"/>
  <c r="U495" i="2"/>
  <c r="AJ434" i="2"/>
  <c r="AJ421" i="2"/>
  <c r="AJ422" i="2"/>
  <c r="AD233" i="2"/>
  <c r="AD232" i="2"/>
  <c r="M224" i="2"/>
  <c r="K225" i="2"/>
  <c r="K224" i="2"/>
  <c r="F356" i="2"/>
  <c r="F332" i="2"/>
  <c r="K333" i="2"/>
  <c r="H332" i="2"/>
  <c r="P316" i="2"/>
  <c r="P317" i="2"/>
  <c r="R316" i="2"/>
  <c r="T103" i="2"/>
  <c r="O103" i="2"/>
  <c r="P101" i="2"/>
  <c r="O102" i="2"/>
  <c r="Z333" i="2"/>
  <c r="Z434" i="2"/>
  <c r="AE422" i="2"/>
  <c r="AB421" i="2"/>
  <c r="P434" i="2"/>
  <c r="P422" i="2"/>
  <c r="U422" i="2"/>
  <c r="R421" i="2"/>
  <c r="P421" i="2"/>
  <c r="K357" i="2"/>
  <c r="M289" i="2"/>
  <c r="K290" i="2"/>
  <c r="K289" i="2"/>
  <c r="K354" i="2"/>
  <c r="K356" i="2"/>
  <c r="S501" i="2"/>
  <c r="R502" i="2"/>
  <c r="E351" i="2"/>
  <c r="D351" i="2"/>
  <c r="F350" i="2"/>
  <c r="Q356" i="2"/>
  <c r="Q333" i="2"/>
  <c r="P331" i="2"/>
  <c r="U333" i="2" s="1"/>
  <c r="AD429" i="2"/>
  <c r="AI429" i="2"/>
  <c r="AD428" i="2"/>
  <c r="U101" i="2"/>
  <c r="F434" i="2"/>
  <c r="K422" i="2"/>
  <c r="H421" i="2"/>
  <c r="F421" i="2"/>
  <c r="U357" i="2"/>
  <c r="W344" i="2"/>
  <c r="Z345" i="2"/>
  <c r="U344" i="2"/>
  <c r="U345" i="2"/>
  <c r="AE231" i="2"/>
  <c r="Z231" i="2"/>
  <c r="AJ249" i="2"/>
  <c r="V502" i="2"/>
  <c r="P500" i="2"/>
  <c r="AG262" i="2"/>
  <c r="AE263" i="2"/>
  <c r="AJ263" i="2"/>
  <c r="AE262" i="2"/>
  <c r="H481" i="2"/>
  <c r="K482" i="2"/>
  <c r="F481" i="2"/>
  <c r="F507" i="2"/>
  <c r="N501" i="2"/>
  <c r="AC501" i="2" l="1"/>
  <c r="Q429" i="2"/>
  <c r="I250" i="2"/>
  <c r="AC250" i="2"/>
  <c r="F254" i="2"/>
  <c r="M246" i="2"/>
  <c r="F256" i="2"/>
  <c r="P247" i="2"/>
  <c r="F255" i="2"/>
  <c r="X351" i="2"/>
  <c r="Y351" i="2"/>
  <c r="Z350" i="2"/>
  <c r="Z351" i="2" s="1"/>
  <c r="T352" i="2"/>
  <c r="Y352" i="2"/>
  <c r="AG352" i="2"/>
  <c r="K347" i="2"/>
  <c r="W347" i="2"/>
  <c r="AB347" i="2"/>
  <c r="M352" i="2"/>
  <c r="AE227" i="2"/>
  <c r="M351" i="2"/>
  <c r="AE228" i="2"/>
  <c r="L502" i="2"/>
  <c r="AJ433" i="2"/>
  <c r="U228" i="2"/>
  <c r="U227" i="2"/>
  <c r="W227" i="2"/>
  <c r="P227" i="2"/>
  <c r="P228" i="2"/>
  <c r="R227" i="2"/>
  <c r="AJ228" i="2"/>
  <c r="AJ227" i="2"/>
  <c r="K227" i="2"/>
  <c r="M227" i="2"/>
  <c r="Z228" i="2"/>
  <c r="Z227" i="2"/>
  <c r="AG173" i="2"/>
  <c r="AI173" i="2"/>
  <c r="AH173" i="2"/>
  <c r="AJ173" i="2"/>
  <c r="AB246" i="2"/>
  <c r="AI351" i="2"/>
  <c r="AD326" i="2"/>
  <c r="Y250" i="2"/>
  <c r="AE408" i="2"/>
  <c r="AC428" i="2"/>
  <c r="AE427" i="2"/>
  <c r="AG428" i="2" s="1"/>
  <c r="F497" i="2"/>
  <c r="AE247" i="2"/>
  <c r="K98" i="2"/>
  <c r="P350" i="2"/>
  <c r="P351" i="2" s="1"/>
  <c r="N351" i="2"/>
  <c r="I428" i="2"/>
  <c r="U347" i="2"/>
  <c r="Z427" i="2"/>
  <c r="AB428" i="2" s="1"/>
  <c r="N352" i="2"/>
  <c r="P249" i="2"/>
  <c r="R250" i="2" s="1"/>
  <c r="O351" i="2"/>
  <c r="H408" i="2"/>
  <c r="M103" i="2"/>
  <c r="F433" i="2"/>
  <c r="R46" i="2"/>
  <c r="P424" i="2"/>
  <c r="Z347" i="2"/>
  <c r="L251" i="2"/>
  <c r="I352" i="2"/>
  <c r="Z249" i="2"/>
  <c r="Z250" i="2" s="1"/>
  <c r="Z348" i="2"/>
  <c r="R246" i="2"/>
  <c r="O429" i="2"/>
  <c r="AG327" i="2"/>
  <c r="X250" i="2"/>
  <c r="X251" i="2"/>
  <c r="AE348" i="2"/>
  <c r="P246" i="2"/>
  <c r="O502" i="2"/>
  <c r="J502" i="2"/>
  <c r="I351" i="2"/>
  <c r="AB354" i="2"/>
  <c r="AB326" i="2"/>
  <c r="AB327" i="2"/>
  <c r="L429" i="2"/>
  <c r="AI352" i="2"/>
  <c r="O428" i="2"/>
  <c r="AB502" i="2"/>
  <c r="M347" i="2"/>
  <c r="AJ350" i="2"/>
  <c r="AJ351" i="2" s="1"/>
  <c r="AG502" i="2"/>
  <c r="U98" i="2"/>
  <c r="AE500" i="2"/>
  <c r="AG501" i="2" s="1"/>
  <c r="P98" i="2"/>
  <c r="K348" i="2"/>
  <c r="AB501" i="2"/>
  <c r="J351" i="2"/>
  <c r="U47" i="2"/>
  <c r="P425" i="2"/>
  <c r="Z247" i="2"/>
  <c r="S251" i="2"/>
  <c r="F246" i="2"/>
  <c r="K247" i="2"/>
  <c r="N250" i="2"/>
  <c r="U427" i="2"/>
  <c r="U428" i="2" s="1"/>
  <c r="K498" i="2"/>
  <c r="S429" i="2"/>
  <c r="P427" i="2"/>
  <c r="P428" i="2" s="1"/>
  <c r="M502" i="2"/>
  <c r="I501" i="2"/>
  <c r="K497" i="2"/>
  <c r="AJ356" i="2"/>
  <c r="K500" i="2"/>
  <c r="M501" i="2" s="1"/>
  <c r="U433" i="2"/>
  <c r="H424" i="2"/>
  <c r="AC354" i="2"/>
  <c r="AE352" i="2"/>
  <c r="N251" i="2"/>
  <c r="P497" i="2"/>
  <c r="AJ247" i="2"/>
  <c r="R497" i="2"/>
  <c r="U99" i="2"/>
  <c r="U409" i="2"/>
  <c r="AC326" i="2"/>
  <c r="U249" i="2"/>
  <c r="U250" i="2" s="1"/>
  <c r="AH327" i="2"/>
  <c r="AE425" i="2"/>
  <c r="AC331" i="2"/>
  <c r="AC327" i="2"/>
  <c r="U425" i="2"/>
  <c r="P498" i="2"/>
  <c r="AJ232" i="2"/>
  <c r="U424" i="2"/>
  <c r="AD327" i="2"/>
  <c r="AD354" i="2"/>
  <c r="AI327" i="2"/>
  <c r="AD331" i="2"/>
  <c r="AD334" i="2" s="1"/>
  <c r="I102" i="2"/>
  <c r="W246" i="2"/>
  <c r="F427" i="2"/>
  <c r="H428" i="2" s="1"/>
  <c r="AE424" i="2"/>
  <c r="U408" i="2"/>
  <c r="P99" i="2"/>
  <c r="AJ233" i="2"/>
  <c r="U247" i="2"/>
  <c r="K101" i="2"/>
  <c r="P103" i="2" s="1"/>
  <c r="N103" i="2"/>
  <c r="J250" i="2"/>
  <c r="S250" i="2"/>
  <c r="W251" i="2"/>
  <c r="P233" i="2"/>
  <c r="K427" i="2"/>
  <c r="K424" i="2"/>
  <c r="M424" i="2"/>
  <c r="P232" i="2"/>
  <c r="K425" i="2"/>
  <c r="AG246" i="2"/>
  <c r="AE246" i="2"/>
  <c r="AJ409" i="2"/>
  <c r="AE433" i="2"/>
  <c r="U350" i="2"/>
  <c r="V352" i="2"/>
  <c r="AA352" i="2"/>
  <c r="K249" i="2"/>
  <c r="P347" i="2"/>
  <c r="P348" i="2"/>
  <c r="U348" i="2"/>
  <c r="R347" i="2"/>
  <c r="AE409" i="2"/>
  <c r="AH352" i="2"/>
  <c r="AD351" i="2"/>
  <c r="AC352" i="2"/>
  <c r="M232" i="2"/>
  <c r="U233" i="2"/>
  <c r="AC351" i="2"/>
  <c r="N429" i="2"/>
  <c r="I429" i="2"/>
  <c r="J428" i="2"/>
  <c r="W232" i="2"/>
  <c r="AE351" i="2"/>
  <c r="AG351" i="2"/>
  <c r="AJ427" i="2"/>
  <c r="H180" i="2"/>
  <c r="F180" i="2"/>
  <c r="K181" i="2"/>
  <c r="AJ425" i="2"/>
  <c r="AJ424" i="2"/>
  <c r="J99" i="2"/>
  <c r="E101" i="2"/>
  <c r="J103" i="2" s="1"/>
  <c r="AG497" i="2"/>
  <c r="AE497" i="2"/>
  <c r="AJ498" i="2"/>
  <c r="AB333" i="2"/>
  <c r="AB332" i="2"/>
  <c r="AG333" i="2"/>
  <c r="AB356" i="2"/>
  <c r="J429" i="2"/>
  <c r="I99" i="2"/>
  <c r="D98" i="2"/>
  <c r="D101" i="2"/>
  <c r="E98" i="2"/>
  <c r="H501" i="2"/>
  <c r="AG250" i="2"/>
  <c r="AE250" i="2"/>
  <c r="F92" i="2"/>
  <c r="H92" i="2"/>
  <c r="K93" i="2"/>
  <c r="AB497" i="2"/>
  <c r="AE498" i="2"/>
  <c r="AE308" i="2"/>
  <c r="AE307" i="2"/>
  <c r="AJ308" i="2"/>
  <c r="AG307" i="2"/>
  <c r="K433" i="2"/>
  <c r="K409" i="2"/>
  <c r="K408" i="2"/>
  <c r="M408" i="2"/>
  <c r="AF354" i="2"/>
  <c r="AF327" i="2"/>
  <c r="AE325" i="2"/>
  <c r="AJ348" i="2"/>
  <c r="AJ347" i="2"/>
  <c r="G99" i="2"/>
  <c r="F97" i="2"/>
  <c r="G101" i="2"/>
  <c r="L99" i="2"/>
  <c r="Z233" i="2"/>
  <c r="Z232" i="2"/>
  <c r="AB232" i="2"/>
  <c r="P102" i="2"/>
  <c r="R102" i="2"/>
  <c r="AE232" i="2"/>
  <c r="AE233" i="2"/>
  <c r="AG232" i="2"/>
  <c r="AJ251" i="2"/>
  <c r="AJ250" i="2"/>
  <c r="F351" i="2"/>
  <c r="K352" i="2"/>
  <c r="H351" i="2"/>
  <c r="P501" i="2"/>
  <c r="U502" i="2"/>
  <c r="U102" i="2"/>
  <c r="U103" i="2"/>
  <c r="R332" i="2"/>
  <c r="P356" i="2"/>
  <c r="P333" i="2"/>
  <c r="P332" i="2"/>
  <c r="R501" i="2"/>
  <c r="AB351" i="2" l="1"/>
  <c r="AC333" i="2"/>
  <c r="AC334" i="2"/>
  <c r="AE334" i="2" s="1"/>
  <c r="AE502" i="2"/>
  <c r="AE428" i="2"/>
  <c r="P352" i="2"/>
  <c r="AE429" i="2"/>
  <c r="AE251" i="2"/>
  <c r="P250" i="2"/>
  <c r="P251" i="2"/>
  <c r="AJ352" i="2"/>
  <c r="AB250" i="2"/>
  <c r="AE501" i="2"/>
  <c r="AD332" i="2"/>
  <c r="W428" i="2"/>
  <c r="K502" i="2"/>
  <c r="P502" i="2"/>
  <c r="K501" i="2"/>
  <c r="P429" i="2"/>
  <c r="U251" i="2"/>
  <c r="AC356" i="2"/>
  <c r="AC332" i="2"/>
  <c r="M102" i="2"/>
  <c r="AH333" i="2"/>
  <c r="AE331" i="2"/>
  <c r="AJ333" i="2" s="1"/>
  <c r="K102" i="2"/>
  <c r="W250" i="2"/>
  <c r="Z251" i="2"/>
  <c r="AD356" i="2"/>
  <c r="AI333" i="2"/>
  <c r="AD333" i="2"/>
  <c r="K429" i="2"/>
  <c r="M428" i="2"/>
  <c r="K428" i="2"/>
  <c r="U351" i="2"/>
  <c r="Z352" i="2"/>
  <c r="W351" i="2"/>
  <c r="K250" i="2"/>
  <c r="M250" i="2"/>
  <c r="AJ429" i="2"/>
  <c r="AJ428" i="2"/>
  <c r="I103" i="2"/>
  <c r="E102" i="2"/>
  <c r="D102" i="2"/>
  <c r="F101" i="2"/>
  <c r="G103" i="2"/>
  <c r="L103" i="2"/>
  <c r="F98" i="2"/>
  <c r="H98" i="2"/>
  <c r="K99" i="2"/>
  <c r="AG326" i="2"/>
  <c r="AE326" i="2"/>
  <c r="AJ327" i="2"/>
  <c r="AE354" i="2"/>
  <c r="AE327" i="2"/>
  <c r="AG332" i="2" l="1"/>
  <c r="AE332" i="2"/>
  <c r="AE333" i="2"/>
  <c r="AE356" i="2"/>
  <c r="F102" i="2"/>
  <c r="H102" i="2"/>
  <c r="K103" i="2"/>
</calcChain>
</file>

<file path=xl/sharedStrings.xml><?xml version="1.0" encoding="utf-8"?>
<sst xmlns="http://schemas.openxmlformats.org/spreadsheetml/2006/main" count="4386" uniqueCount="303">
  <si>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</si>
  <si>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</si>
  <si>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</si>
  <si>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</si>
  <si>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</si>
  <si>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</si>
  <si>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</si>
  <si>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</si>
  <si>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</si>
  <si>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</si>
  <si>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</si>
  <si>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</si>
  <si>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</si>
  <si>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</si>
  <si>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</si>
  <si>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</si>
  <si>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</si>
  <si>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</si>
  <si>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</si>
  <si>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</si>
  <si>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</si>
  <si>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</si>
  <si>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</si>
  <si>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</si>
  <si>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</si>
  <si>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</si>
  <si>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</si>
  <si>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</si>
  <si>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</si>
  <si>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</si>
  <si>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</si>
  <si>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</si>
  <si>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</si>
  <si>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</si>
  <si>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</si>
  <si>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</si>
  <si>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</si>
  <si>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</si>
  <si>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</si>
  <si>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</si>
  <si>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</si>
  <si>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</si>
  <si>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</si>
  <si>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</si>
  <si>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</si>
  <si>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</si>
  <si>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</si>
  <si>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</si>
  <si>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</si>
  <si>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</si>
  <si>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</si>
  <si>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</si>
  <si>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</si>
  <si>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</si>
  <si>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</si>
  <si>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</si>
  <si>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</si>
  <si>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</si>
  <si>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</si>
  <si>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</si>
  <si>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</si>
  <si>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</si>
  <si>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</si>
  <si>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</si>
  <si>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</si>
  <si>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</si>
  <si>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</si>
  <si>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</si>
  <si>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</si>
  <si>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</si>
  <si>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</si>
  <si>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</si>
  <si>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</si>
  <si>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</si>
  <si>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</si>
  <si>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</si>
  <si>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</si>
  <si>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</si>
  <si>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</si>
  <si>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</si>
  <si>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</si>
  <si>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</si>
  <si>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</si>
  <si>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</si>
  <si>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</si>
  <si>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</si>
  <si>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</si>
  <si>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</si>
  <si>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</si>
  <si>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</si>
  <si>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</si>
  <si>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r>
      <t xml:space="preserve">Bezeq Group </t>
    </r>
    <r>
      <rPr>
        <b/>
        <vertAlign val="superscript"/>
        <sz val="10"/>
        <rFont val="Arial"/>
        <family val="2"/>
      </rPr>
      <t>(1)</t>
    </r>
  </si>
  <si>
    <t xml:space="preserve">Salaries </t>
  </si>
  <si>
    <r>
      <t>Bezeq Group</t>
    </r>
    <r>
      <rPr>
        <b/>
        <sz val="11"/>
        <rFont val="Arial"/>
        <family val="2"/>
      </rPr>
      <t xml:space="preserve"> (cont'd)</t>
    </r>
  </si>
  <si>
    <t>Vehicle maintenance</t>
  </si>
  <si>
    <t>Marketing &amp; general</t>
  </si>
  <si>
    <t>Other operating expenses (income)</t>
  </si>
  <si>
    <t>Dividend History</t>
  </si>
  <si>
    <t>Gross profit</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</si>
  <si>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</si>
  <si>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</si>
  <si>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</si>
  <si>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</si>
  <si>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</si>
  <si>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</si>
  <si>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</si>
  <si>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</si>
  <si>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</si>
  <si>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</si>
  <si>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</si>
  <si>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</si>
  <si>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</si>
  <si>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</si>
  <si>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</si>
  <si>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</si>
  <si>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</si>
  <si>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</si>
  <si>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</si>
  <si>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</si>
  <si>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</si>
  <si>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</si>
  <si>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</si>
  <si>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</si>
  <si>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</si>
  <si>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</si>
  <si>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</si>
  <si>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</si>
  <si>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</si>
  <si>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</si>
  <si>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</si>
  <si>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</si>
  <si>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</si>
  <si>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</si>
  <si>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</si>
  <si>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</si>
  <si>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</si>
  <si>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</si>
  <si>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</si>
  <si>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</si>
  <si>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</si>
  <si>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</si>
  <si>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</si>
  <si>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</si>
  <si>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</si>
  <si>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</si>
  <si>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</si>
  <si>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</si>
  <si>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</si>
  <si>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</si>
  <si>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</si>
  <si>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</si>
  <si>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</si>
  <si>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</si>
  <si>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</si>
  <si>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</si>
  <si>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</si>
  <si>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</si>
  <si>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</si>
  <si>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</si>
  <si>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</si>
  <si>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</si>
  <si>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</si>
  <si>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</si>
  <si>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</si>
  <si>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</si>
  <si>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</si>
  <si>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</si>
  <si>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</si>
  <si>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</si>
  <si>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</si>
  <si>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</si>
  <si>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</si>
  <si>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</si>
  <si>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</si>
  <si>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</si>
  <si>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</si>
  <si>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</si>
  <si>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</si>
  <si>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</si>
  <si>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</si>
  <si>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Expenses for a collective agreement at Pelephone</t>
  </si>
  <si>
    <t>Loss from the discontinuation of a software development project</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</si>
  <si>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</si>
  <si>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</si>
  <si>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</si>
  <si>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</si>
  <si>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</si>
  <si>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</si>
  <si>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</si>
  <si>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</si>
  <si>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</si>
  <si>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</si>
  <si>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</si>
  <si>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</si>
  <si>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</si>
  <si>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 xml:space="preserve">Sheet V-  </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</si>
  <si>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</si>
  <si>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</si>
  <si>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</si>
  <si>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</si>
  <si>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</si>
  <si>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</si>
  <si>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</si>
  <si>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</si>
  <si>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</si>
  <si>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</si>
  <si>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</si>
  <si>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</si>
  <si>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</si>
  <si>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</si>
  <si>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</si>
  <si>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</si>
  <si>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</si>
  <si>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</si>
  <si>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</si>
  <si>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</si>
  <si>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</si>
  <si>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</si>
  <si>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</si>
  <si>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</si>
  <si>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</si>
  <si>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</si>
  <si>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</si>
  <si>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</si>
  <si>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</si>
  <si>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</si>
  <si>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</si>
  <si>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</si>
  <si>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</si>
  <si>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</si>
  <si>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</si>
  <si>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</si>
  <si>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</si>
  <si>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</si>
  <si>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</si>
  <si>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</si>
  <si>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</si>
  <si>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</si>
  <si>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</si>
  <si>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</si>
  <si>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</si>
  <si>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</si>
  <si>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</si>
  <si>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</si>
  <si>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</si>
  <si>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</si>
  <si>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</si>
  <si>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</si>
  <si>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</si>
  <si>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</si>
  <si>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</si>
  <si>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</si>
  <si>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</si>
  <si>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 xml:space="preserve">Cash flow from operating activities less changes in working capital and payments for leases </t>
  </si>
  <si>
    <t>October 10, 2018</t>
  </si>
  <si>
    <t>Investment property</t>
  </si>
  <si>
    <t>Wholesale lines as % of total broadband lines</t>
  </si>
  <si>
    <t>Net profit, reported</t>
  </si>
  <si>
    <t>ADJUSTED EBITDA (excluding IFRS 16)</t>
  </si>
  <si>
    <r>
      <t>Depreciation &amp; amortization</t>
    </r>
    <r>
      <rPr>
        <b/>
        <sz val="8"/>
        <rFont val="Arial"/>
        <family val="2"/>
      </rPr>
      <t xml:space="preserve"> </t>
    </r>
  </si>
  <si>
    <r>
      <t>ADJUSTED net profit</t>
    </r>
    <r>
      <rPr>
        <b/>
        <sz val="8"/>
        <rFont val="Arial"/>
        <family val="2"/>
      </rPr>
      <t xml:space="preserve">  (excluding other operating income/expenses)</t>
    </r>
  </si>
  <si>
    <t>Operating profit (loss)</t>
  </si>
  <si>
    <r>
      <t xml:space="preserve">ADJUSTED EBITDA </t>
    </r>
    <r>
      <rPr>
        <b/>
        <sz val="8"/>
        <rFont val="Arial"/>
        <family val="2"/>
      </rPr>
      <t>(excluding IFRS 16 and other operating income/expenses)</t>
    </r>
  </si>
  <si>
    <r>
      <t>ADJUSTED EBITDA</t>
    </r>
    <r>
      <rPr>
        <b/>
        <sz val="9"/>
        <rFont val="Arial"/>
        <family val="2"/>
      </rPr>
      <t xml:space="preserve"> (excluding IFRS 16)</t>
    </r>
  </si>
  <si>
    <t>Profit from the sale of affiliate</t>
  </si>
  <si>
    <t>Other operating expenses (income), net</t>
  </si>
  <si>
    <t>Net debt / Adjusted EBITDA (ttm)</t>
  </si>
  <si>
    <t>Adjusted EBITDA (excl. IFRS 16 &amp; impairment)</t>
  </si>
  <si>
    <t>Other (mainly legal claims)</t>
  </si>
  <si>
    <t>ADJUSTED EBITDA (excluding IFRS 16, other operating income/expenses and impairment)</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</si>
  <si>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</si>
  <si>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</si>
  <si>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</si>
  <si>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</si>
  <si>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EBITDA excluding other operating income/expenses and one-time loss from impairment</t>
  </si>
  <si>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</si>
  <si>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</si>
  <si>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</si>
  <si>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</si>
  <si>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</si>
  <si>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</si>
  <si>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</si>
  <si>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and ongoing losses from impairment of fixed and intangible assets</t>
  </si>
  <si>
    <t>Earnings Before Interest, taxes, depreciation, amortization and ongoing losses from impairment of fixed and intangible assets</t>
  </si>
  <si>
    <t>and the effect of the adoption of accounting standard IFRS 16</t>
  </si>
  <si>
    <t xml:space="preserve">Adjusted EBITDA in this ratio is EBITDA excluding other income/expenses, one-time loss from impairment </t>
  </si>
  <si>
    <t>Total operating &amp; general expenses</t>
  </si>
  <si>
    <t>Expenses for a collective agreement at yes</t>
  </si>
  <si>
    <t>Provision for early retirement agreement</t>
  </si>
  <si>
    <t>Cash and short-term investments</t>
  </si>
  <si>
    <t>Gross debt</t>
  </si>
  <si>
    <t>https://ir.bezeq.co.il</t>
  </si>
  <si>
    <t>yes - Proforma (Excluding Impairment Loss)</t>
  </si>
  <si>
    <t xml:space="preserve">yes - Reported </t>
  </si>
  <si>
    <t xml:space="preserve">Depreciation &amp; amortization </t>
  </si>
  <si>
    <t>Net profit (loss), reported</t>
  </si>
  <si>
    <t>Bezeq Facts &amp; Figures Q3 2019</t>
  </si>
  <si>
    <t>Three months ending September 30, 2019</t>
  </si>
  <si>
    <t xml:space="preserve">Total operating &amp; general expenses </t>
  </si>
  <si>
    <t xml:space="preserve">Operating &amp; general expenses </t>
  </si>
  <si>
    <t>Operating, general &amp; impairment expenses</t>
  </si>
  <si>
    <t>Expenses for a collective agreement at Bezeq International</t>
  </si>
  <si>
    <r>
      <t xml:space="preserve">Adjusted EBITDA </t>
    </r>
    <r>
      <rPr>
        <b/>
        <sz val="8"/>
        <rFont val="Arial"/>
        <family val="2"/>
      </rPr>
      <t>(excluding other operating income/expenses)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</si>
</sst>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s>
  <fonts count="49">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38">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7"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8"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165" fontId="0" fillId="0" borderId="0" xfId="0" applyNumberFormat="1" applyFill="1" applyBorder="1"/>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abSelected="1" topLeftCell="F1" workbookViewId="0">
      <selection activeCell="BH122" sqref="BH122"/>
    </sheetView>
  </sheetViews>
  <sheetFormatPr defaultColWidth="8.6640625" defaultRowHeight="13.2"/>
  <cols>
    <col min="2" max="2" width="15.6640625" customWidth="1"/>
    <col min="3" max="3" width="9.33203125" customWidth="1"/>
    <col min="4" max="4" width="5.6640625" customWidth="1"/>
    <col min="5" max="5" width="9.33203125" hidden="1" customWidth="1"/>
    <col min="6" max="6" width="9.33203125" customWidth="1"/>
    <col min="7" max="7" width="23.33203125" customWidth="1"/>
    <col min="8" max="8" width="9" customWidth="1"/>
    <col min="9" max="9" width="13.33203125" customWidth="1"/>
    <col min="10" max="10" width="12.33203125" customWidth="1"/>
    <col min="11" max="11" width="26.44140625" customWidth="1"/>
    <col min="12" max="12" width="10.33203125" customWidth="1"/>
    <col min="13" max="13" width="9.33203125" customWidth="1"/>
  </cols>
  <sheetData>
    <row r="2" spans="4:15">
      <c r="D2" s="4"/>
      <c r="E2" s="4"/>
      <c r="F2" s="4"/>
      <c r="G2" s="4"/>
      <c r="H2" s="4"/>
      <c r="M2" s="4"/>
      <c r="N2" s="4"/>
      <c r="O2" s="4"/>
    </row>
    <row r="3" spans="4:15" ht="24.6">
      <c r="D3" s="4"/>
      <c r="E3" s="4"/>
      <c r="F3" s="4"/>
      <c r="G3" s="4"/>
      <c r="H3" s="5"/>
      <c r="M3" s="13"/>
      <c r="N3" s="4"/>
      <c r="O3" s="4"/>
    </row>
    <row r="4" spans="4:15">
      <c r="D4" s="4"/>
      <c r="E4" s="4"/>
      <c r="F4" s="4"/>
      <c r="G4" s="4"/>
      <c r="H4" s="4"/>
      <c r="M4" s="4"/>
      <c r="N4" s="4"/>
      <c r="O4" s="4"/>
    </row>
    <row r="5" spans="4:15">
      <c r="D5" s="4"/>
      <c r="E5" s="4"/>
      <c r="F5" s="4"/>
      <c r="G5" s="4"/>
      <c r="H5" s="4"/>
      <c r="M5" s="4"/>
      <c r="N5" s="4"/>
      <c r="O5" s="4"/>
    </row>
    <row r="6" spans="4:15">
      <c r="D6" s="4"/>
      <c r="E6" s="4"/>
      <c r="F6" s="4"/>
      <c r="G6" s="4"/>
      <c r="H6" s="4"/>
      <c r="M6" s="4"/>
      <c r="N6" s="4"/>
      <c r="O6" s="4"/>
    </row>
    <row r="7" spans="4:15">
      <c r="D7" s="4"/>
      <c r="E7" s="4"/>
      <c r="F7" s="4"/>
      <c r="G7" s="4"/>
      <c r="H7" s="4"/>
      <c r="M7" s="4"/>
      <c r="N7" s="4"/>
      <c r="O7" s="4"/>
    </row>
    <row r="8" spans="4:15">
      <c r="D8" s="4"/>
      <c r="E8" s="4"/>
      <c r="F8" s="4"/>
      <c r="G8" s="4"/>
      <c r="H8" s="4"/>
      <c r="M8" s="4"/>
      <c r="N8" s="4"/>
      <c r="O8" s="4"/>
    </row>
    <row r="9" spans="4:15">
      <c r="D9" s="4"/>
      <c r="E9" s="4"/>
      <c r="F9" s="4"/>
      <c r="G9" s="4"/>
      <c r="H9" s="4"/>
      <c r="M9" s="4"/>
      <c r="N9" s="4"/>
      <c r="O9" s="4"/>
    </row>
    <row r="10" spans="4:15">
      <c r="D10" s="4"/>
      <c r="E10" s="4"/>
      <c r="F10" s="4"/>
      <c r="G10" s="4"/>
      <c r="H10" s="4"/>
      <c r="N10" s="4"/>
      <c r="O10" s="4"/>
    </row>
    <row r="11" spans="4:15">
      <c r="D11" s="4"/>
      <c r="E11" s="4"/>
      <c r="F11" s="4"/>
      <c r="G11" s="4"/>
      <c r="H11" s="4"/>
      <c r="N11" s="4"/>
      <c r="O11" s="4"/>
    </row>
    <row r="12" spans="4:15" ht="30.75" customHeight="1">
      <c r="D12" s="4"/>
      <c r="E12" s="4"/>
      <c r="F12" s="4"/>
      <c r="I12" s="142" t="s">
        <v>296</v>
      </c>
      <c r="J12" s="140"/>
      <c r="K12" s="140"/>
      <c r="M12" s="6"/>
      <c r="N12" s="4"/>
      <c r="O12" s="4"/>
    </row>
    <row r="13" spans="4:15" ht="15.6">
      <c r="D13" s="4"/>
      <c r="E13" s="4"/>
      <c r="F13" s="4"/>
      <c r="I13" s="141" t="s">
        <v>297</v>
      </c>
      <c r="J13" s="141"/>
      <c r="K13" s="141"/>
      <c r="M13" s="6"/>
      <c r="N13" s="4"/>
      <c r="O13" s="4"/>
    </row>
    <row r="14" spans="4:15" ht="15.6">
      <c r="D14" s="4"/>
      <c r="E14" s="4"/>
      <c r="F14" s="4"/>
      <c r="G14" s="4"/>
      <c r="H14" s="16"/>
      <c r="I14" s="17"/>
      <c r="J14" s="17"/>
      <c r="K14" s="17"/>
      <c r="M14" s="6"/>
      <c r="N14" s="4"/>
      <c r="O14" s="4"/>
    </row>
    <row r="15" spans="4:15" ht="15.6">
      <c r="D15" s="4"/>
      <c r="E15" s="4"/>
      <c r="F15" s="4"/>
      <c r="G15" s="4"/>
      <c r="H15" s="18" t="s">
        <v>26</v>
      </c>
      <c r="I15" s="17"/>
      <c r="J15" s="17"/>
      <c r="K15" s="17"/>
      <c r="M15" s="4"/>
      <c r="N15" s="4"/>
      <c r="O15" s="4"/>
    </row>
    <row r="16" spans="4:15" ht="15.6">
      <c r="D16" s="4"/>
      <c r="E16" s="4"/>
      <c r="F16" s="4"/>
      <c r="G16" s="4"/>
      <c r="H16" s="19"/>
      <c r="I16" s="17"/>
      <c r="J16" s="17"/>
      <c r="K16" s="17"/>
      <c r="M16" s="4"/>
      <c r="N16" s="4"/>
      <c r="O16" s="4"/>
    </row>
    <row r="17" spans="4:15" ht="15.6">
      <c r="D17" s="4"/>
      <c r="E17" s="4"/>
      <c r="F17" s="4"/>
      <c r="G17" s="4"/>
      <c r="H17" s="19" t="s">
        <v>191</v>
      </c>
      <c r="I17" s="185" t="s">
        <v>184</v>
      </c>
      <c r="J17" s="17"/>
      <c r="K17" s="17"/>
      <c r="M17" s="7"/>
      <c r="N17" s="4"/>
      <c r="O17" s="4"/>
    </row>
    <row r="18" spans="4:15" ht="15.6">
      <c r="D18" s="4"/>
      <c r="E18" s="4"/>
      <c r="F18" s="4"/>
      <c r="G18" s="4"/>
      <c r="H18" s="19" t="s">
        <v>190</v>
      </c>
      <c r="I18" s="185" t="s">
        <v>185</v>
      </c>
      <c r="K18" s="15"/>
      <c r="M18" s="4"/>
      <c r="N18" s="4"/>
    </row>
    <row r="19" spans="4:15" ht="15.6">
      <c r="D19" s="4"/>
      <c r="E19" s="4"/>
      <c r="F19" s="4"/>
      <c r="G19" s="4"/>
      <c r="H19" s="19" t="s">
        <v>189</v>
      </c>
      <c r="I19" s="185" t="s">
        <v>186</v>
      </c>
      <c r="M19" s="14"/>
      <c r="N19" s="4"/>
    </row>
    <row r="20" spans="4:15" ht="15.6">
      <c r="D20" s="4"/>
      <c r="E20" s="4"/>
      <c r="F20" s="4"/>
      <c r="G20" s="4"/>
      <c r="H20" s="19" t="s">
        <v>188</v>
      </c>
      <c r="I20" s="185" t="s">
        <v>187</v>
      </c>
      <c r="J20" s="15"/>
      <c r="M20" s="14"/>
      <c r="N20" s="4"/>
    </row>
    <row r="21" spans="4:15" ht="15.6">
      <c r="D21" s="4"/>
      <c r="E21" s="4"/>
      <c r="F21" s="4"/>
      <c r="G21" s="4"/>
      <c r="H21" s="19" t="s">
        <v>195</v>
      </c>
      <c r="I21" s="185" t="s">
        <v>37</v>
      </c>
      <c r="M21" s="4"/>
      <c r="N21" s="4"/>
      <c r="O21" s="4"/>
    </row>
    <row r="22" spans="4:15">
      <c r="D22" s="4"/>
      <c r="E22" s="4"/>
      <c r="F22" s="4"/>
      <c r="G22" s="4"/>
      <c r="M22" s="4"/>
      <c r="N22" s="4"/>
      <c r="O22" s="4"/>
    </row>
    <row r="23" spans="4:15">
      <c r="D23" s="4"/>
      <c r="E23" s="4"/>
      <c r="F23" s="4"/>
      <c r="G23" s="4"/>
      <c r="H23" s="4"/>
      <c r="M23" s="4"/>
      <c r="N23" s="4"/>
      <c r="O23" s="4"/>
    </row>
    <row r="24" spans="4:15">
      <c r="D24" s="4"/>
      <c r="E24" s="4"/>
      <c r="F24" s="4"/>
      <c r="G24" s="4"/>
      <c r="H24" s="4"/>
      <c r="M24" s="4"/>
      <c r="N24" s="4"/>
      <c r="O24" s="4"/>
    </row>
    <row r="25" spans="4:15">
      <c r="D25" s="4"/>
      <c r="E25" s="4"/>
      <c r="F25" s="4"/>
      <c r="G25" s="4"/>
      <c r="H25" s="8" t="s">
        <v>22</v>
      </c>
      <c r="M25" s="4"/>
      <c r="N25" s="4"/>
      <c r="O25" s="4"/>
    </row>
    <row r="26" spans="4:15">
      <c r="D26" s="4"/>
      <c r="E26" s="4"/>
      <c r="F26" s="4"/>
      <c r="G26" s="4"/>
      <c r="H26" s="10" t="s">
        <v>21</v>
      </c>
      <c r="M26" s="4"/>
      <c r="N26" s="4"/>
      <c r="O26" s="4"/>
    </row>
    <row r="27" spans="4:15">
      <c r="D27" s="4"/>
      <c r="E27" s="4"/>
      <c r="F27" s="4"/>
      <c r="G27" s="4"/>
      <c r="H27" s="10" t="s">
        <v>23</v>
      </c>
      <c r="M27" s="4"/>
      <c r="N27" s="4"/>
      <c r="O27" s="4"/>
    </row>
    <row r="28" spans="4:15">
      <c r="D28" s="9"/>
      <c r="E28" s="4"/>
      <c r="F28" s="4"/>
      <c r="G28" s="4"/>
      <c r="H28" s="12" t="s">
        <v>38</v>
      </c>
      <c r="O28" s="9"/>
    </row>
    <row r="29" spans="4:15">
      <c r="D29" s="9"/>
      <c r="E29" s="4"/>
      <c r="F29" s="4"/>
      <c r="G29" s="4"/>
      <c r="H29" s="12" t="s">
        <v>291</v>
      </c>
      <c r="O29" s="9"/>
    </row>
    <row r="30" spans="4:15">
      <c r="E30" s="11"/>
      <c r="F30" s="4"/>
      <c r="G30" s="4"/>
      <c r="O30" s="9"/>
    </row>
    <row r="31" spans="4:15" ht="119.25" customHeight="1">
      <c r="E31" s="11"/>
      <c r="F31" s="4"/>
      <c r="G31" s="4"/>
      <c r="H31" s="234" t="s">
        <v>194</v>
      </c>
      <c r="I31" s="235"/>
      <c r="J31" s="235"/>
      <c r="K31" s="235"/>
      <c r="O31" s="9"/>
    </row>
    <row r="32" spans="4:15">
      <c r="D32" s="9"/>
      <c r="E32" s="4"/>
      <c r="F32" s="4"/>
      <c r="G32" s="4"/>
      <c r="H32" s="4"/>
      <c r="O32" s="9"/>
    </row>
    <row r="33" spans="4:15">
      <c r="D33" s="9"/>
      <c r="E33" s="4"/>
      <c r="F33" s="4"/>
      <c r="G33" s="4"/>
      <c r="O33" s="9"/>
    </row>
    <row r="36" spans="4:15">
      <c r="D36" s="66"/>
    </row>
    <row r="61" ht="6" customHeight="1"/>
    <row r="63" ht="7.5" customHeight="1"/>
    <row r="249" spans="22:22">
      <c r="V249" s="66"/>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46"/>
  <sheetViews>
    <sheetView showGridLines="0" tabSelected="1" zoomScale="110" zoomScaleNormal="110" zoomScaleSheetLayoutView="100" workbookViewId="0">
      <pane xSplit="1" ySplit="4" topLeftCell="AK5" activePane="bottomRight" state="frozen"/>
      <selection activeCell="BH122" sqref="BH122"/>
      <selection pane="topRight" activeCell="BH122" sqref="BH122"/>
      <selection pane="bottomLeft" activeCell="BH122" sqref="BH122"/>
      <selection pane="bottomRight" activeCell="BH122" sqref="BH122"/>
    </sheetView>
  </sheetViews>
  <sheetFormatPr defaultColWidth="8.6640625" defaultRowHeight="13.2"/>
  <cols>
    <col min="1" max="1" width="45.6640625" customWidth="1"/>
    <col min="2" max="2" width="10.6640625" hidden="1" customWidth="1"/>
    <col min="3" max="10" width="10.44140625" style="3" hidden="1" customWidth="1"/>
    <col min="11" max="16" width="9.33203125" style="3" hidden="1" customWidth="1"/>
    <col min="17" max="17" width="8.6640625" style="3" hidden="1" customWidth="1"/>
    <col min="18" max="21" width="9.33203125" style="3" hidden="1" customWidth="1"/>
    <col min="22" max="22" width="8.6640625" style="3" hidden="1" customWidth="1"/>
    <col min="23" max="26" width="9.33203125" style="3" hidden="1" customWidth="1"/>
    <col min="27" max="27" width="8.6640625" style="3" hidden="1" customWidth="1"/>
    <col min="28" max="28" width="9.33203125" style="3" hidden="1" customWidth="1"/>
    <col min="29" max="29" width="11" style="3" hidden="1" customWidth="1"/>
    <col min="30" max="31" width="9.33203125" style="3" hidden="1" customWidth="1"/>
    <col min="32" max="32" width="8.6640625" style="3" hidden="1" customWidth="1"/>
    <col min="33" max="36" width="9.33203125" style="3" hidden="1" customWidth="1"/>
    <col min="37" max="37" width="8.6640625" style="3" customWidth="1"/>
    <col min="38" max="41" width="8.6640625" style="3" hidden="1" customWidth="1"/>
    <col min="42" max="42" width="9.44140625" style="3" bestFit="1" customWidth="1"/>
    <col min="43" max="44" width="8.6640625" style="3" hidden="1" customWidth="1"/>
    <col min="45" max="45" width="9.44140625" style="3" hidden="1" customWidth="1"/>
    <col min="46" max="46" width="8.6640625" style="3" hidden="1" customWidth="1"/>
    <col min="47" max="47" width="9.44140625" style="3" bestFit="1" customWidth="1"/>
    <col min="48" max="51" width="8.6640625" style="3"/>
    <col min="52" max="52" width="9" style="3" bestFit="1" customWidth="1"/>
    <col min="53" max="56" width="8.6640625" style="3"/>
    <col min="57" max="58" width="9.5546875" style="3" bestFit="1" customWidth="1"/>
    <col min="59" max="16384" width="8.6640625" style="3"/>
  </cols>
  <sheetData>
    <row r="1" spans="1:60" ht="15.6">
      <c r="A1" s="29"/>
      <c r="B1" s="29"/>
      <c r="C1" s="64"/>
      <c r="D1" s="64"/>
      <c r="E1" s="64"/>
      <c r="F1" s="64"/>
      <c r="G1" s="64"/>
      <c r="H1" s="64"/>
      <c r="I1" s="64"/>
      <c r="J1" s="64"/>
      <c r="K1" s="64"/>
      <c r="L1" s="64"/>
      <c r="M1" s="31"/>
      <c r="N1" s="31"/>
      <c r="O1" s="31"/>
    </row>
    <row r="2" spans="1:60" ht="15.6">
      <c r="A2" s="29"/>
      <c r="B2" s="29"/>
      <c r="C2" s="31"/>
      <c r="D2" s="64"/>
      <c r="E2" s="64"/>
      <c r="F2" s="64"/>
      <c r="G2" s="64"/>
      <c r="H2" s="31"/>
      <c r="I2" s="31"/>
      <c r="J2" s="31"/>
      <c r="K2" s="31"/>
      <c r="L2" s="31"/>
      <c r="M2" s="31"/>
      <c r="N2" s="31"/>
      <c r="O2" s="31"/>
    </row>
    <row r="3" spans="1:60" s="24" customFormat="1">
      <c r="A3" s="30"/>
      <c r="B3" s="46" t="s">
        <v>5</v>
      </c>
      <c r="C3" s="46" t="s">
        <v>6</v>
      </c>
      <c r="D3" s="46" t="s">
        <v>0</v>
      </c>
      <c r="E3" s="46" t="s">
        <v>1</v>
      </c>
      <c r="F3" s="46" t="s">
        <v>2</v>
      </c>
      <c r="G3" s="46" t="s">
        <v>5</v>
      </c>
      <c r="H3" s="46" t="s">
        <v>6</v>
      </c>
      <c r="I3" s="46" t="s">
        <v>0</v>
      </c>
      <c r="J3" s="46" t="s">
        <v>1</v>
      </c>
      <c r="K3" s="46" t="s">
        <v>2</v>
      </c>
      <c r="L3" s="46" t="s">
        <v>5</v>
      </c>
      <c r="M3" s="46" t="s">
        <v>6</v>
      </c>
      <c r="N3" s="46" t="s">
        <v>0</v>
      </c>
      <c r="O3" s="46" t="s">
        <v>1</v>
      </c>
      <c r="P3" s="46" t="s">
        <v>2</v>
      </c>
      <c r="Q3" s="46" t="s">
        <v>5</v>
      </c>
      <c r="R3" s="46" t="s">
        <v>6</v>
      </c>
      <c r="S3" s="46" t="s">
        <v>0</v>
      </c>
      <c r="T3" s="46" t="s">
        <v>1</v>
      </c>
      <c r="U3" s="46" t="s">
        <v>2</v>
      </c>
      <c r="V3" s="46" t="s">
        <v>5</v>
      </c>
      <c r="W3" s="46" t="s">
        <v>6</v>
      </c>
      <c r="X3" s="46" t="s">
        <v>0</v>
      </c>
      <c r="Y3" s="46" t="s">
        <v>1</v>
      </c>
      <c r="Z3" s="46" t="s">
        <v>2</v>
      </c>
      <c r="AA3" s="46" t="s">
        <v>5</v>
      </c>
      <c r="AB3" s="46" t="s">
        <v>90</v>
      </c>
      <c r="AC3" s="46" t="s">
        <v>0</v>
      </c>
      <c r="AD3" s="46" t="s">
        <v>1</v>
      </c>
      <c r="AE3" s="46" t="s">
        <v>2</v>
      </c>
      <c r="AF3" s="46" t="s">
        <v>5</v>
      </c>
      <c r="AG3" s="46" t="s">
        <v>90</v>
      </c>
      <c r="AH3" s="46" t="s">
        <v>0</v>
      </c>
      <c r="AI3" s="46" t="s">
        <v>1</v>
      </c>
      <c r="AJ3" s="46" t="s">
        <v>2</v>
      </c>
      <c r="AK3" s="46" t="s">
        <v>5</v>
      </c>
      <c r="AL3" s="46" t="s">
        <v>90</v>
      </c>
      <c r="AM3" s="46" t="s">
        <v>0</v>
      </c>
      <c r="AN3" s="46" t="s">
        <v>1</v>
      </c>
      <c r="AO3" s="46" t="s">
        <v>2</v>
      </c>
      <c r="AP3" s="46" t="s">
        <v>5</v>
      </c>
      <c r="AQ3" s="46" t="s">
        <v>90</v>
      </c>
      <c r="AR3" s="46" t="s">
        <v>0</v>
      </c>
      <c r="AS3" s="46" t="s">
        <v>1</v>
      </c>
      <c r="AT3" s="46" t="s">
        <v>2</v>
      </c>
      <c r="AU3" s="46" t="s">
        <v>5</v>
      </c>
      <c r="AV3" s="46" t="s">
        <v>90</v>
      </c>
      <c r="AW3" s="46" t="s">
        <v>0</v>
      </c>
      <c r="AX3" s="46" t="s">
        <v>1</v>
      </c>
      <c r="AY3" s="46" t="s">
        <v>2</v>
      </c>
      <c r="AZ3" s="46" t="s">
        <v>5</v>
      </c>
      <c r="BA3" s="46" t="s">
        <v>90</v>
      </c>
      <c r="BB3" s="46" t="s">
        <v>0</v>
      </c>
      <c r="BC3" s="46" t="s">
        <v>1</v>
      </c>
      <c r="BD3" s="46" t="s">
        <v>2</v>
      </c>
      <c r="BE3" s="46" t="s">
        <v>5</v>
      </c>
      <c r="BF3" s="46" t="s">
        <v>90</v>
      </c>
      <c r="BG3" s="46" t="s">
        <v>0</v>
      </c>
      <c r="BH3" s="46" t="s">
        <v>1</v>
      </c>
    </row>
    <row r="4" spans="1:60" s="55" customFormat="1" ht="12" customHeight="1">
      <c r="A4" s="56" t="s">
        <v>42</v>
      </c>
      <c r="B4" s="46">
        <v>2007</v>
      </c>
      <c r="C4" s="46">
        <v>2008</v>
      </c>
      <c r="D4" s="46">
        <v>2008</v>
      </c>
      <c r="E4" s="46">
        <v>2008</v>
      </c>
      <c r="F4" s="46">
        <v>2008</v>
      </c>
      <c r="G4" s="46">
        <v>2008</v>
      </c>
      <c r="H4" s="46">
        <v>2009</v>
      </c>
      <c r="I4" s="46">
        <v>2009</v>
      </c>
      <c r="J4" s="46">
        <v>2009</v>
      </c>
      <c r="K4" s="46">
        <v>2009</v>
      </c>
      <c r="L4" s="46">
        <v>2009</v>
      </c>
      <c r="M4" s="46">
        <v>2010</v>
      </c>
      <c r="N4" s="46">
        <v>2010</v>
      </c>
      <c r="O4" s="46">
        <v>2010</v>
      </c>
      <c r="P4" s="46">
        <v>2010</v>
      </c>
      <c r="Q4" s="46">
        <v>2010</v>
      </c>
      <c r="R4" s="46">
        <v>2011</v>
      </c>
      <c r="S4" s="46">
        <v>2011</v>
      </c>
      <c r="T4" s="46">
        <v>2011</v>
      </c>
      <c r="U4" s="46">
        <v>2011</v>
      </c>
      <c r="V4" s="46">
        <v>2011</v>
      </c>
      <c r="W4" s="46">
        <v>2012</v>
      </c>
      <c r="X4" s="46">
        <v>2012</v>
      </c>
      <c r="Y4" s="46">
        <v>2012</v>
      </c>
      <c r="Z4" s="46">
        <v>2012</v>
      </c>
      <c r="AA4" s="46">
        <v>2012</v>
      </c>
      <c r="AB4" s="46">
        <v>2013</v>
      </c>
      <c r="AC4" s="46">
        <v>2013</v>
      </c>
      <c r="AD4" s="46">
        <v>2013</v>
      </c>
      <c r="AE4" s="46">
        <v>2013</v>
      </c>
      <c r="AF4" s="46">
        <v>2013</v>
      </c>
      <c r="AG4" s="46">
        <v>2014</v>
      </c>
      <c r="AH4" s="46">
        <v>2014</v>
      </c>
      <c r="AI4" s="46">
        <v>2014</v>
      </c>
      <c r="AJ4" s="46">
        <v>2014</v>
      </c>
      <c r="AK4" s="46">
        <v>2014</v>
      </c>
      <c r="AL4" s="46">
        <v>2015</v>
      </c>
      <c r="AM4" s="46">
        <v>2015</v>
      </c>
      <c r="AN4" s="46">
        <v>2015</v>
      </c>
      <c r="AO4" s="46">
        <v>2015</v>
      </c>
      <c r="AP4" s="46">
        <v>2015</v>
      </c>
      <c r="AQ4" s="46">
        <v>2016</v>
      </c>
      <c r="AR4" s="46">
        <v>2016</v>
      </c>
      <c r="AS4" s="46">
        <v>2016</v>
      </c>
      <c r="AT4" s="46">
        <v>2016</v>
      </c>
      <c r="AU4" s="46">
        <v>2016</v>
      </c>
      <c r="AV4" s="46">
        <v>2017</v>
      </c>
      <c r="AW4" s="46">
        <v>2017</v>
      </c>
      <c r="AX4" s="46">
        <v>2017</v>
      </c>
      <c r="AY4" s="46">
        <v>2017</v>
      </c>
      <c r="AZ4" s="46">
        <v>2017</v>
      </c>
      <c r="BA4" s="46">
        <v>2018</v>
      </c>
      <c r="BB4" s="46">
        <v>2018</v>
      </c>
      <c r="BC4" s="46">
        <v>2018</v>
      </c>
      <c r="BD4" s="46">
        <v>2018</v>
      </c>
      <c r="BE4" s="46">
        <v>2018</v>
      </c>
      <c r="BF4" s="46">
        <v>2019</v>
      </c>
      <c r="BG4" s="46">
        <v>2019</v>
      </c>
      <c r="BH4" s="46">
        <v>2019</v>
      </c>
    </row>
    <row r="5" spans="1:60" s="24" customFormat="1" ht="4.5" customHeight="1">
      <c r="A5" s="43"/>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row>
    <row r="6" spans="1:60" ht="21">
      <c r="A6" s="34" t="s">
        <v>91</v>
      </c>
      <c r="B6" s="34"/>
      <c r="C6" s="26"/>
      <c r="D6" s="26"/>
      <c r="E6" s="26"/>
      <c r="F6" s="26"/>
      <c r="G6" s="26"/>
      <c r="H6" s="26"/>
      <c r="I6" s="26"/>
      <c r="J6" s="26"/>
      <c r="K6" s="26"/>
      <c r="L6" s="26"/>
      <c r="M6" s="26"/>
      <c r="N6" s="26"/>
      <c r="O6" s="26"/>
      <c r="P6" s="26"/>
      <c r="Q6" s="26"/>
      <c r="R6" s="26"/>
      <c r="S6" s="26"/>
      <c r="T6" s="26"/>
      <c r="U6" s="20"/>
      <c r="V6" s="20"/>
      <c r="W6" s="26"/>
      <c r="X6" s="26"/>
      <c r="Y6" s="26"/>
      <c r="Z6" s="20"/>
      <c r="AA6" s="20"/>
      <c r="AB6" s="20"/>
      <c r="AC6" s="26"/>
      <c r="AD6" s="26"/>
      <c r="AE6" s="20"/>
      <c r="AF6" s="20"/>
      <c r="AG6" s="20"/>
      <c r="AH6" s="26"/>
      <c r="AI6" s="26"/>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0" ht="1.2" customHeight="1">
      <c r="A7" s="59"/>
      <c r="B7" s="59"/>
      <c r="C7" s="60"/>
      <c r="D7" s="60"/>
      <c r="E7" s="60"/>
      <c r="F7" s="60"/>
      <c r="G7" s="60"/>
      <c r="H7" s="60"/>
      <c r="I7" s="60"/>
      <c r="J7" s="60"/>
      <c r="K7" s="60"/>
      <c r="L7" s="60"/>
      <c r="M7" s="60"/>
      <c r="N7" s="60"/>
      <c r="O7" s="60"/>
      <c r="P7" s="60"/>
      <c r="Q7" s="60"/>
      <c r="R7" s="60"/>
      <c r="S7" s="60"/>
      <c r="T7" s="60"/>
      <c r="U7" s="59"/>
      <c r="V7" s="59"/>
      <c r="W7" s="60"/>
      <c r="X7" s="60"/>
      <c r="Y7" s="60"/>
      <c r="Z7" s="59"/>
      <c r="AA7" s="59"/>
      <c r="AB7" s="59"/>
      <c r="AC7" s="60"/>
      <c r="AD7" s="60"/>
      <c r="AE7" s="59"/>
      <c r="AF7" s="59"/>
      <c r="AG7" s="59"/>
      <c r="AH7" s="60"/>
      <c r="AI7" s="60"/>
      <c r="AJ7" s="59"/>
      <c r="AK7" s="59"/>
      <c r="AL7" s="59"/>
      <c r="AM7" s="59"/>
      <c r="AN7" s="59"/>
      <c r="AO7" s="59"/>
      <c r="AP7" s="59"/>
      <c r="AQ7" s="59"/>
      <c r="AR7" s="59"/>
      <c r="AS7" s="59"/>
      <c r="AT7" s="59"/>
      <c r="AU7" s="59"/>
      <c r="AV7" s="59"/>
      <c r="AW7" s="59"/>
      <c r="AX7" s="59"/>
      <c r="AY7" s="59"/>
      <c r="AZ7" s="59"/>
      <c r="BA7" s="59"/>
      <c r="BB7" s="59"/>
      <c r="BC7" s="59"/>
      <c r="BD7" s="59"/>
      <c r="BE7" s="59"/>
      <c r="BF7" s="59"/>
      <c r="BG7" s="59"/>
      <c r="BH7" s="59"/>
    </row>
    <row r="8" spans="1:60">
      <c r="A8" s="39" t="s">
        <v>27</v>
      </c>
      <c r="B8" s="39"/>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row>
    <row r="9" spans="1:60" s="35" customFormat="1">
      <c r="A9" s="67" t="s">
        <v>16</v>
      </c>
      <c r="B9" s="63">
        <v>11136</v>
      </c>
      <c r="C9" s="68">
        <v>2760</v>
      </c>
      <c r="D9" s="68">
        <v>2748</v>
      </c>
      <c r="E9" s="68">
        <v>2806</v>
      </c>
      <c r="F9" s="68">
        <v>2701</v>
      </c>
      <c r="G9" s="63">
        <v>11015</v>
      </c>
      <c r="H9" s="68">
        <v>2791</v>
      </c>
      <c r="I9" s="68">
        <v>2872</v>
      </c>
      <c r="J9" s="68">
        <v>2924</v>
      </c>
      <c r="K9" s="68">
        <f>L9-J9-I9-H9</f>
        <v>2932</v>
      </c>
      <c r="L9" s="63">
        <v>11519</v>
      </c>
      <c r="M9" s="68">
        <v>2915</v>
      </c>
      <c r="N9" s="68">
        <v>2981</v>
      </c>
      <c r="O9" s="68">
        <v>3033</v>
      </c>
      <c r="P9" s="68">
        <f>Q9-O9-N9-M9</f>
        <v>3058</v>
      </c>
      <c r="Q9" s="63">
        <v>11987</v>
      </c>
      <c r="R9" s="68">
        <v>2913</v>
      </c>
      <c r="S9" s="68">
        <v>2893</v>
      </c>
      <c r="T9" s="68">
        <v>2917</v>
      </c>
      <c r="U9" s="68">
        <f>V9-T9-S9-R9</f>
        <v>2650</v>
      </c>
      <c r="V9" s="63">
        <v>11373</v>
      </c>
      <c r="W9" s="68">
        <v>2740</v>
      </c>
      <c r="X9" s="68">
        <v>2595</v>
      </c>
      <c r="Y9" s="68">
        <v>2494</v>
      </c>
      <c r="Z9" s="68">
        <f>AA9-Y9-X9-W9</f>
        <v>2449</v>
      </c>
      <c r="AA9" s="63">
        <v>10278</v>
      </c>
      <c r="AB9" s="68">
        <v>2405</v>
      </c>
      <c r="AC9" s="68">
        <v>2351</v>
      </c>
      <c r="AD9" s="68">
        <v>2398</v>
      </c>
      <c r="AE9" s="68">
        <f>AF9-AD9-AC9-AB9</f>
        <v>2409</v>
      </c>
      <c r="AF9" s="63">
        <v>9563</v>
      </c>
      <c r="AG9" s="68">
        <v>2311</v>
      </c>
      <c r="AH9" s="68">
        <v>2250</v>
      </c>
      <c r="AI9" s="68">
        <v>2232</v>
      </c>
      <c r="AJ9" s="68">
        <f>AK9-AI9-AH9-AG9</f>
        <v>2262</v>
      </c>
      <c r="AK9" s="63">
        <v>9055</v>
      </c>
      <c r="AL9" s="68">
        <v>2174</v>
      </c>
      <c r="AM9" s="68">
        <v>2603</v>
      </c>
      <c r="AN9" s="68">
        <v>2602</v>
      </c>
      <c r="AO9" s="68">
        <v>2606</v>
      </c>
      <c r="AP9" s="63">
        <v>9985</v>
      </c>
      <c r="AQ9" s="68">
        <v>2559</v>
      </c>
      <c r="AR9" s="68">
        <v>2511</v>
      </c>
      <c r="AS9" s="68">
        <v>2510</v>
      </c>
      <c r="AT9" s="68">
        <v>2504</v>
      </c>
      <c r="AU9" s="63">
        <v>10084</v>
      </c>
      <c r="AV9" s="68">
        <v>2453</v>
      </c>
      <c r="AW9" s="68">
        <v>2463</v>
      </c>
      <c r="AX9" s="68">
        <v>2415</v>
      </c>
      <c r="AY9" s="68">
        <v>2458</v>
      </c>
      <c r="AZ9" s="63">
        <v>9789</v>
      </c>
      <c r="BA9" s="68">
        <v>2361</v>
      </c>
      <c r="BB9" s="68">
        <v>2333</v>
      </c>
      <c r="BC9" s="68">
        <v>2301</v>
      </c>
      <c r="BD9" s="68">
        <v>2326</v>
      </c>
      <c r="BE9" s="63">
        <v>9321</v>
      </c>
      <c r="BF9" s="68">
        <v>2256</v>
      </c>
      <c r="BG9" s="68">
        <v>2224</v>
      </c>
      <c r="BH9" s="68">
        <v>2247</v>
      </c>
    </row>
    <row r="10" spans="1:60">
      <c r="A10" s="69" t="s">
        <v>7</v>
      </c>
      <c r="B10" s="23"/>
      <c r="C10" s="70"/>
      <c r="D10" s="70">
        <f>D9/C9-1</f>
        <v>-4.3478260869564966E-3</v>
      </c>
      <c r="E10" s="70">
        <f>E9/D9-1</f>
        <v>2.1106259097525504E-2</v>
      </c>
      <c r="F10" s="70">
        <f>F9/E9-1</f>
        <v>-3.7419814682822516E-2</v>
      </c>
      <c r="G10" s="23"/>
      <c r="H10" s="70">
        <f>H9/F9-1</f>
        <v>3.3320992225101875E-2</v>
      </c>
      <c r="I10" s="70">
        <f>I9/H9-1</f>
        <v>2.9021855965603693E-2</v>
      </c>
      <c r="J10" s="70">
        <f>J9/I9-1</f>
        <v>1.8105849582172651E-2</v>
      </c>
      <c r="K10" s="70">
        <f>K9/J9-1</f>
        <v>2.7359781121751858E-3</v>
      </c>
      <c r="L10" s="23"/>
      <c r="M10" s="70">
        <f>M9/K9-1</f>
        <v>-5.7980900409276837E-3</v>
      </c>
      <c r="N10" s="70">
        <f>N9/M9-1</f>
        <v>2.2641509433962259E-2</v>
      </c>
      <c r="O10" s="70">
        <f>O9/N9-1</f>
        <v>1.7443810801744286E-2</v>
      </c>
      <c r="P10" s="70">
        <f>P9/O9-1</f>
        <v>8.2426640290140796E-3</v>
      </c>
      <c r="Q10" s="23"/>
      <c r="R10" s="70">
        <f>R9/P9-1</f>
        <v>-4.7416612164813632E-2</v>
      </c>
      <c r="S10" s="70">
        <f>S9/R9-1</f>
        <v>-6.8657741160316199E-3</v>
      </c>
      <c r="T10" s="70">
        <f>T9/S9-1</f>
        <v>8.295886622882831E-3</v>
      </c>
      <c r="U10" s="70">
        <f>U9/T9-1</f>
        <v>-9.1532396297566043E-2</v>
      </c>
      <c r="V10" s="23"/>
      <c r="W10" s="70">
        <f>W9/U9-1</f>
        <v>3.3962264150943389E-2</v>
      </c>
      <c r="X10" s="70">
        <f>X9/W9-1</f>
        <v>-5.2919708029197099E-2</v>
      </c>
      <c r="Y10" s="70">
        <f>Y9/X9-1</f>
        <v>-3.8921001926782273E-2</v>
      </c>
      <c r="Z10" s="70">
        <f>Z9/Y9-1</f>
        <v>-1.8043303929430654E-2</v>
      </c>
      <c r="AA10" s="23"/>
      <c r="AB10" s="70">
        <f>AB9/Z9-1</f>
        <v>-1.7966516945692068E-2</v>
      </c>
      <c r="AC10" s="70">
        <f>AC9/AB9-1</f>
        <v>-2.2453222453222454E-2</v>
      </c>
      <c r="AD10" s="70">
        <f>AD9/AC9-1</f>
        <v>1.9991492981709991E-2</v>
      </c>
      <c r="AE10" s="70">
        <f>AE9/AD9-1</f>
        <v>4.5871559633028358E-3</v>
      </c>
      <c r="AF10" s="23"/>
      <c r="AG10" s="70">
        <f>AG9/AE9-1</f>
        <v>-4.0680780406807782E-2</v>
      </c>
      <c r="AH10" s="70">
        <f>AH9/AG9-1</f>
        <v>-2.6395499783643417E-2</v>
      </c>
      <c r="AI10" s="70">
        <f>AI9/AH9-1</f>
        <v>-8.0000000000000071E-3</v>
      </c>
      <c r="AJ10" s="70">
        <f>AJ9/AI9-1</f>
        <v>1.3440860215053752E-2</v>
      </c>
      <c r="AK10" s="23"/>
      <c r="AL10" s="70">
        <v>-3.89036251105217E-2</v>
      </c>
      <c r="AM10" s="70">
        <v>0.19733210671573143</v>
      </c>
      <c r="AN10" s="70">
        <v>-3.8417210910490773E-4</v>
      </c>
      <c r="AO10" s="70">
        <v>1.537279016141424E-3</v>
      </c>
      <c r="AP10" s="23"/>
      <c r="AQ10" s="70">
        <v>-1.8035303146584858E-2</v>
      </c>
      <c r="AR10" s="70">
        <v>-1.8757327080890951E-2</v>
      </c>
      <c r="AS10" s="70">
        <v>-3.9824771007568316E-4</v>
      </c>
      <c r="AT10" s="70">
        <v>-2.3904382470119057E-3</v>
      </c>
      <c r="AU10" s="23"/>
      <c r="AV10" s="70">
        <v>-2.0367412140575025E-2</v>
      </c>
      <c r="AW10" s="70">
        <v>4.0766408479413485E-3</v>
      </c>
      <c r="AX10" s="70">
        <v>-1.948842874543244E-2</v>
      </c>
      <c r="AY10" s="70">
        <v>1.7805383022774235E-2</v>
      </c>
      <c r="AZ10" s="23"/>
      <c r="BA10" s="70">
        <v>-3.9462978030919471E-2</v>
      </c>
      <c r="BB10" s="70">
        <v>-1.185938161795852E-2</v>
      </c>
      <c r="BC10" s="70">
        <v>-1.3716245177882502E-2</v>
      </c>
      <c r="BD10" s="70">
        <v>1.0864841373315892E-2</v>
      </c>
      <c r="BE10" s="23"/>
      <c r="BF10" s="70">
        <v>-3.009458297506451E-2</v>
      </c>
      <c r="BG10" s="70">
        <v>-1.4184397163120588E-2</v>
      </c>
      <c r="BH10" s="70">
        <v>1.0341726618705138E-2</v>
      </c>
    </row>
    <row r="11" spans="1:60" ht="10.95" customHeight="1">
      <c r="A11" s="69" t="s">
        <v>8</v>
      </c>
      <c r="B11" s="23"/>
      <c r="C11" s="71"/>
      <c r="D11" s="71"/>
      <c r="E11" s="71"/>
      <c r="F11" s="71"/>
      <c r="G11" s="23">
        <f t="shared" ref="G11:N11" si="0">G9/B9-1</f>
        <v>-1.0865660919540221E-2</v>
      </c>
      <c r="H11" s="71">
        <f t="shared" si="0"/>
        <v>1.1231884057971042E-2</v>
      </c>
      <c r="I11" s="71">
        <f t="shared" si="0"/>
        <v>4.512372634643369E-2</v>
      </c>
      <c r="J11" s="71">
        <f t="shared" si="0"/>
        <v>4.2052744119743357E-2</v>
      </c>
      <c r="K11" s="71">
        <f t="shared" si="0"/>
        <v>8.5523880044428013E-2</v>
      </c>
      <c r="L11" s="23">
        <f t="shared" si="0"/>
        <v>4.5755787562414829E-2</v>
      </c>
      <c r="M11" s="71">
        <f t="shared" si="0"/>
        <v>4.4428520243640302E-2</v>
      </c>
      <c r="N11" s="71">
        <f t="shared" si="0"/>
        <v>3.79526462395543E-2</v>
      </c>
      <c r="O11" s="71">
        <f t="shared" ref="O11:U11" si="1">O9/J9-1</f>
        <v>3.7277701778385852E-2</v>
      </c>
      <c r="P11" s="71">
        <f t="shared" si="1"/>
        <v>4.2974079126875786E-2</v>
      </c>
      <c r="Q11" s="23">
        <f t="shared" si="1"/>
        <v>4.0628526781838703E-2</v>
      </c>
      <c r="R11" s="71">
        <f t="shared" si="1"/>
        <v>-6.8610634648369473E-4</v>
      </c>
      <c r="S11" s="71">
        <f t="shared" si="1"/>
        <v>-2.9520295202952074E-2</v>
      </c>
      <c r="T11" s="71">
        <f t="shared" si="1"/>
        <v>-3.8245961094625747E-2</v>
      </c>
      <c r="U11" s="71">
        <f t="shared" si="1"/>
        <v>-0.13342053629823414</v>
      </c>
      <c r="V11" s="23">
        <v>-5.1222157337115215E-2</v>
      </c>
      <c r="W11" s="71">
        <v>-5.9388946103673179E-2</v>
      </c>
      <c r="X11" s="71">
        <v>-0.10300725890079498</v>
      </c>
      <c r="Y11" s="71">
        <v>-0.14501199862872816</v>
      </c>
      <c r="Z11" s="71">
        <v>-7.5849056603773612E-2</v>
      </c>
      <c r="AA11" s="23">
        <v>-9.6280664732260601E-2</v>
      </c>
      <c r="AB11" s="71">
        <v>-0.12226277372262773</v>
      </c>
      <c r="AC11" s="71">
        <v>-9.4026974951830433E-2</v>
      </c>
      <c r="AD11" s="71">
        <v>-3.8492381716118684E-2</v>
      </c>
      <c r="AE11" s="71">
        <v>-1.6333197223356466E-2</v>
      </c>
      <c r="AF11" s="23">
        <v>-6.9566063436466208E-2</v>
      </c>
      <c r="AG11" s="71">
        <v>-3.9085239085239087E-2</v>
      </c>
      <c r="AH11" s="71">
        <v>-4.2960442364951112E-2</v>
      </c>
      <c r="AI11" s="71">
        <v>-6.9224353628023372E-2</v>
      </c>
      <c r="AJ11" s="71">
        <v>-6.1021170610211728E-2</v>
      </c>
      <c r="AK11" s="23">
        <v>-5.3121405416710288E-2</v>
      </c>
      <c r="AL11" s="71">
        <v>-5.928169623539592E-2</v>
      </c>
      <c r="AM11" s="71">
        <v>0.15688888888888886</v>
      </c>
      <c r="AN11" s="71">
        <v>0.16577060931899634</v>
      </c>
      <c r="AO11" s="71">
        <v>0.15207780725022113</v>
      </c>
      <c r="AP11" s="23">
        <v>0.10270568746548858</v>
      </c>
      <c r="AQ11" s="71">
        <v>0.17709291628334856</v>
      </c>
      <c r="AR11" s="71">
        <v>-3.5343834037648847E-2</v>
      </c>
      <c r="AS11" s="71">
        <v>-3.5357417371252864E-2</v>
      </c>
      <c r="AT11" s="71">
        <v>-3.9140445126630841E-2</v>
      </c>
      <c r="AU11" s="23">
        <v>9.9148723084627743E-3</v>
      </c>
      <c r="AV11" s="71">
        <v>-4.14224306369676E-2</v>
      </c>
      <c r="AW11" s="71">
        <v>-1.9115890083632014E-2</v>
      </c>
      <c r="AX11" s="71">
        <v>-3.7848605577689209E-2</v>
      </c>
      <c r="AY11" s="71">
        <v>-1.8370607028754038E-2</v>
      </c>
      <c r="AZ11" s="23">
        <v>-2.9254264180880618E-2</v>
      </c>
      <c r="BA11" s="71">
        <v>-3.7505095801059873E-2</v>
      </c>
      <c r="BB11" s="71">
        <v>-5.2781161185546099E-2</v>
      </c>
      <c r="BC11" s="71">
        <v>-4.7204968944099424E-2</v>
      </c>
      <c r="BD11" s="71">
        <v>-5.3702196908055333E-2</v>
      </c>
      <c r="BE11" s="23">
        <v>-4.7808764940239001E-2</v>
      </c>
      <c r="BF11" s="71">
        <v>-4.4472681067344366E-2</v>
      </c>
      <c r="BG11" s="71">
        <v>-4.6720960137162426E-2</v>
      </c>
      <c r="BH11" s="71">
        <v>-2.3468057366362483E-2</v>
      </c>
    </row>
    <row r="12" spans="1:60" s="35" customFormat="1">
      <c r="A12" s="67" t="s">
        <v>271</v>
      </c>
      <c r="B12" s="63">
        <v>1509</v>
      </c>
      <c r="C12" s="68">
        <v>368</v>
      </c>
      <c r="D12" s="68">
        <v>361</v>
      </c>
      <c r="E12" s="68">
        <v>365</v>
      </c>
      <c r="F12" s="68">
        <v>364</v>
      </c>
      <c r="G12" s="63">
        <v>1458</v>
      </c>
      <c r="H12" s="68">
        <v>371</v>
      </c>
      <c r="I12" s="68">
        <v>377</v>
      </c>
      <c r="J12" s="68">
        <v>361</v>
      </c>
      <c r="K12" s="68">
        <f>L12-J12-I12-H12</f>
        <v>376</v>
      </c>
      <c r="L12" s="63">
        <v>1485</v>
      </c>
      <c r="M12" s="68">
        <v>343</v>
      </c>
      <c r="N12" s="68">
        <v>348</v>
      </c>
      <c r="O12" s="68">
        <v>350</v>
      </c>
      <c r="P12" s="68">
        <f>Q12-O12-N12-M12</f>
        <v>368</v>
      </c>
      <c r="Q12" s="63">
        <v>1409</v>
      </c>
      <c r="R12" s="68">
        <v>335</v>
      </c>
      <c r="S12" s="68">
        <v>348</v>
      </c>
      <c r="T12" s="68">
        <v>357</v>
      </c>
      <c r="U12" s="68">
        <f>V12-T12-S12-R12</f>
        <v>355</v>
      </c>
      <c r="V12" s="63">
        <v>1395</v>
      </c>
      <c r="W12" s="68">
        <v>358</v>
      </c>
      <c r="X12" s="68">
        <v>358</v>
      </c>
      <c r="Y12" s="68">
        <v>359</v>
      </c>
      <c r="Z12" s="68">
        <v>361</v>
      </c>
      <c r="AA12" s="63">
        <v>1436</v>
      </c>
      <c r="AB12" s="68">
        <v>328</v>
      </c>
      <c r="AC12" s="68">
        <v>326</v>
      </c>
      <c r="AD12" s="68">
        <v>329</v>
      </c>
      <c r="AE12" s="68">
        <v>328</v>
      </c>
      <c r="AF12" s="63">
        <v>1311</v>
      </c>
      <c r="AG12" s="68">
        <v>314</v>
      </c>
      <c r="AH12" s="68">
        <v>319</v>
      </c>
      <c r="AI12" s="68">
        <v>327</v>
      </c>
      <c r="AJ12" s="68">
        <v>321</v>
      </c>
      <c r="AK12" s="63">
        <v>1281</v>
      </c>
      <c r="AL12" s="68">
        <v>317</v>
      </c>
      <c r="AM12" s="68">
        <v>451</v>
      </c>
      <c r="AN12" s="68">
        <v>457</v>
      </c>
      <c r="AO12" s="68">
        <v>459</v>
      </c>
      <c r="AP12" s="63">
        <v>1684</v>
      </c>
      <c r="AQ12" s="68">
        <v>449</v>
      </c>
      <c r="AR12" s="68">
        <v>440</v>
      </c>
      <c r="AS12" s="68">
        <v>442</v>
      </c>
      <c r="AT12" s="68">
        <v>408</v>
      </c>
      <c r="AU12" s="63">
        <v>1739</v>
      </c>
      <c r="AV12" s="68">
        <v>428</v>
      </c>
      <c r="AW12" s="68">
        <v>424</v>
      </c>
      <c r="AX12" s="68">
        <v>436</v>
      </c>
      <c r="AY12" s="68">
        <v>427</v>
      </c>
      <c r="AZ12" s="63">
        <v>1715</v>
      </c>
      <c r="BA12" s="68">
        <v>525</v>
      </c>
      <c r="BB12" s="68">
        <v>537</v>
      </c>
      <c r="BC12" s="68">
        <v>547</v>
      </c>
      <c r="BD12" s="68">
        <v>580</v>
      </c>
      <c r="BE12" s="63">
        <v>2189</v>
      </c>
      <c r="BF12" s="68">
        <v>466</v>
      </c>
      <c r="BG12" s="68">
        <v>478</v>
      </c>
      <c r="BH12" s="68">
        <v>481</v>
      </c>
    </row>
    <row r="13" spans="1:60">
      <c r="A13" s="69" t="s">
        <v>7</v>
      </c>
      <c r="B13" s="23"/>
      <c r="C13" s="70"/>
      <c r="D13" s="70">
        <f>D12/C12-1</f>
        <v>-1.9021739130434812E-2</v>
      </c>
      <c r="E13" s="70">
        <f>E12/D12-1</f>
        <v>1.1080332409972193E-2</v>
      </c>
      <c r="F13" s="70">
        <f>F12/E12-1</f>
        <v>-2.739726027397249E-3</v>
      </c>
      <c r="G13" s="23"/>
      <c r="H13" s="70">
        <f>H12/F12-1</f>
        <v>1.9230769230769162E-2</v>
      </c>
      <c r="I13" s="70">
        <f>I12/H12-1</f>
        <v>1.6172506738544534E-2</v>
      </c>
      <c r="J13" s="70">
        <f>J12/I12-1</f>
        <v>-4.2440318302387259E-2</v>
      </c>
      <c r="K13" s="70">
        <f>K12/J12-1</f>
        <v>4.1551246537396169E-2</v>
      </c>
      <c r="L13" s="23"/>
      <c r="M13" s="70">
        <f>M12/K12-1</f>
        <v>-8.7765957446808485E-2</v>
      </c>
      <c r="N13" s="70">
        <f>N12/M12-1</f>
        <v>1.4577259475218707E-2</v>
      </c>
      <c r="O13" s="70">
        <f>O12/N12-1</f>
        <v>5.7471264367816577E-3</v>
      </c>
      <c r="P13" s="70">
        <f>P12/O12-1</f>
        <v>5.1428571428571379E-2</v>
      </c>
      <c r="Q13" s="23"/>
      <c r="R13" s="70">
        <f>R12/P12-1</f>
        <v>-8.9673913043478271E-2</v>
      </c>
      <c r="S13" s="70">
        <f>S12/R12-1</f>
        <v>3.8805970149253799E-2</v>
      </c>
      <c r="T13" s="70">
        <f>T12/S12-1</f>
        <v>2.5862068965517349E-2</v>
      </c>
      <c r="U13" s="70">
        <f>U12/T12-1</f>
        <v>-5.6022408963585235E-3</v>
      </c>
      <c r="V13" s="23"/>
      <c r="W13" s="70">
        <v>8.4507042253521014E-3</v>
      </c>
      <c r="X13" s="70">
        <v>0</v>
      </c>
      <c r="Y13" s="70">
        <v>2.7932960893854997E-3</v>
      </c>
      <c r="Z13" s="70">
        <v>5.5710306406684396E-3</v>
      </c>
      <c r="AA13" s="23"/>
      <c r="AB13" s="70">
        <v>-9.1412742382271484E-2</v>
      </c>
      <c r="AC13" s="70">
        <v>-6.0975609756097615E-3</v>
      </c>
      <c r="AD13" s="70">
        <v>9.2024539877300082E-3</v>
      </c>
      <c r="AE13" s="70">
        <v>-3.0395136778115228E-3</v>
      </c>
      <c r="AF13" s="23"/>
      <c r="AG13" s="70">
        <v>-4.2682926829268331E-2</v>
      </c>
      <c r="AH13" s="70">
        <v>1.5923566878980999E-2</v>
      </c>
      <c r="AI13" s="70">
        <v>2.5078369905956022E-2</v>
      </c>
      <c r="AJ13" s="70">
        <v>-1.834862385321101E-2</v>
      </c>
      <c r="AK13" s="23"/>
      <c r="AL13" s="70">
        <v>-1.2461059190031154E-2</v>
      </c>
      <c r="AM13" s="70">
        <v>0.42271293375394325</v>
      </c>
      <c r="AN13" s="70">
        <v>1.3303769401330268E-2</v>
      </c>
      <c r="AO13" s="70">
        <v>4.3763676148795838E-3</v>
      </c>
      <c r="AP13" s="23"/>
      <c r="AQ13" s="70">
        <v>-2.1786492374727628E-2</v>
      </c>
      <c r="AR13" s="70">
        <v>-2.0044543429844075E-2</v>
      </c>
      <c r="AS13" s="70">
        <v>4.5454545454546302E-3</v>
      </c>
      <c r="AT13" s="70">
        <v>-7.6923076923076872E-2</v>
      </c>
      <c r="AU13" s="23"/>
      <c r="AV13" s="70">
        <v>4.9019607843137303E-2</v>
      </c>
      <c r="AW13" s="70">
        <v>-9.3457943925233655E-3</v>
      </c>
      <c r="AX13" s="70">
        <v>2.8301886792452935E-2</v>
      </c>
      <c r="AY13" s="70">
        <v>-2.0642201834862428E-2</v>
      </c>
      <c r="AZ13" s="23"/>
      <c r="BA13" s="70">
        <v>0.22950819672131151</v>
      </c>
      <c r="BB13" s="70">
        <v>2.2857142857142909E-2</v>
      </c>
      <c r="BC13" s="70">
        <v>1.862197392923659E-2</v>
      </c>
      <c r="BD13" s="70">
        <v>6.0329067641681888E-2</v>
      </c>
      <c r="BE13" s="23"/>
      <c r="BF13" s="70">
        <v>-0.19655172413793098</v>
      </c>
      <c r="BG13" s="70">
        <v>2.5751072961373467E-2</v>
      </c>
      <c r="BH13" s="70">
        <v>6.2761506276149959E-3</v>
      </c>
    </row>
    <row r="14" spans="1:60" ht="10.95" customHeight="1">
      <c r="A14" s="69" t="s">
        <v>8</v>
      </c>
      <c r="B14" s="23"/>
      <c r="C14" s="71"/>
      <c r="D14" s="71"/>
      <c r="E14" s="71"/>
      <c r="F14" s="71"/>
      <c r="G14" s="23">
        <f t="shared" ref="G14:N14" si="2">G12/B12-1</f>
        <v>-3.379721669980118E-2</v>
      </c>
      <c r="H14" s="71">
        <f t="shared" si="2"/>
        <v>8.152173913043459E-3</v>
      </c>
      <c r="I14" s="71">
        <f t="shared" si="2"/>
        <v>4.4321329639889218E-2</v>
      </c>
      <c r="J14" s="71">
        <f t="shared" si="2"/>
        <v>-1.0958904109588996E-2</v>
      </c>
      <c r="K14" s="71">
        <f t="shared" si="2"/>
        <v>3.2967032967033072E-2</v>
      </c>
      <c r="L14" s="23">
        <f t="shared" si="2"/>
        <v>1.8518518518518601E-2</v>
      </c>
      <c r="M14" s="71">
        <f t="shared" si="2"/>
        <v>-7.547169811320753E-2</v>
      </c>
      <c r="N14" s="71">
        <f t="shared" si="2"/>
        <v>-7.6923076923076872E-2</v>
      </c>
      <c r="O14" s="71">
        <f t="shared" ref="O14:U14" si="3">O12/J12-1</f>
        <v>-3.0470914127423865E-2</v>
      </c>
      <c r="P14" s="71">
        <f t="shared" si="3"/>
        <v>-2.1276595744680882E-2</v>
      </c>
      <c r="Q14" s="23">
        <f t="shared" si="3"/>
        <v>-5.1178451178451212E-2</v>
      </c>
      <c r="R14" s="71">
        <f t="shared" si="3"/>
        <v>-2.3323615160349864E-2</v>
      </c>
      <c r="S14" s="71">
        <f t="shared" si="3"/>
        <v>0</v>
      </c>
      <c r="T14" s="71">
        <f t="shared" si="3"/>
        <v>2.0000000000000018E-2</v>
      </c>
      <c r="U14" s="71">
        <f t="shared" si="3"/>
        <v>-3.5326086956521729E-2</v>
      </c>
      <c r="V14" s="23">
        <v>-9.936124911284594E-3</v>
      </c>
      <c r="W14" s="71">
        <v>6.8656716417910379E-2</v>
      </c>
      <c r="X14" s="71">
        <v>2.8735632183908066E-2</v>
      </c>
      <c r="Y14" s="71">
        <v>5.6022408963585235E-3</v>
      </c>
      <c r="Z14" s="71">
        <v>1.6901408450704203E-2</v>
      </c>
      <c r="AA14" s="23">
        <v>2.9390681003584218E-2</v>
      </c>
      <c r="AB14" s="71">
        <v>-8.3798882681564213E-2</v>
      </c>
      <c r="AC14" s="71">
        <v>-8.9385474860335212E-2</v>
      </c>
      <c r="AD14" s="71">
        <v>-8.3565459610027815E-2</v>
      </c>
      <c r="AE14" s="71">
        <v>-9.1412742382271484E-2</v>
      </c>
      <c r="AF14" s="23">
        <v>-8.70473537604457E-2</v>
      </c>
      <c r="AG14" s="71">
        <v>-4.2682926829268331E-2</v>
      </c>
      <c r="AH14" s="71">
        <v>-2.1472392638036797E-2</v>
      </c>
      <c r="AI14" s="71">
        <v>-6.0790273556230456E-3</v>
      </c>
      <c r="AJ14" s="71">
        <v>-2.1341463414634165E-2</v>
      </c>
      <c r="AK14" s="23">
        <v>-2.2883295194508046E-2</v>
      </c>
      <c r="AL14" s="71">
        <v>9.5541401273886439E-3</v>
      </c>
      <c r="AM14" s="71">
        <v>0.4137931034482758</v>
      </c>
      <c r="AN14" s="71">
        <v>0.39755351681957185</v>
      </c>
      <c r="AO14" s="71">
        <v>0.42990654205607481</v>
      </c>
      <c r="AP14" s="23">
        <v>0.31459797033567516</v>
      </c>
      <c r="AQ14" s="71">
        <v>0.41640378548895907</v>
      </c>
      <c r="AR14" s="71">
        <v>-2.4390243902439046E-2</v>
      </c>
      <c r="AS14" s="71">
        <v>-3.2822757111597323E-2</v>
      </c>
      <c r="AT14" s="71">
        <v>-0.11111111111111116</v>
      </c>
      <c r="AU14" s="23">
        <v>3.2660332541567749E-2</v>
      </c>
      <c r="AV14" s="71">
        <v>-4.6770601336302842E-2</v>
      </c>
      <c r="AW14" s="71">
        <v>-3.6363636363636376E-2</v>
      </c>
      <c r="AX14" s="71">
        <v>-1.3574660633484115E-2</v>
      </c>
      <c r="AY14" s="71">
        <v>4.6568627450980449E-2</v>
      </c>
      <c r="AZ14" s="23">
        <v>-1.3801035077630863E-2</v>
      </c>
      <c r="BA14" s="71">
        <v>0.22663551401869153</v>
      </c>
      <c r="BB14" s="71">
        <v>0.26650943396226423</v>
      </c>
      <c r="BC14" s="71">
        <v>0.25458715596330284</v>
      </c>
      <c r="BD14" s="71">
        <v>0.35831381733021073</v>
      </c>
      <c r="BE14" s="23">
        <v>0.27638483965014582</v>
      </c>
      <c r="BF14" s="71">
        <v>-0.11238095238095236</v>
      </c>
      <c r="BG14" s="71">
        <v>-0.1098696461824954</v>
      </c>
      <c r="BH14" s="71">
        <v>-0.12065813528336378</v>
      </c>
    </row>
    <row r="15" spans="1:60">
      <c r="A15" s="67" t="s">
        <v>77</v>
      </c>
      <c r="B15" s="63">
        <v>2192</v>
      </c>
      <c r="C15" s="78" t="s">
        <v>49</v>
      </c>
      <c r="D15" s="78" t="s">
        <v>49</v>
      </c>
      <c r="E15" s="78" t="s">
        <v>49</v>
      </c>
      <c r="F15" s="78" t="s">
        <v>49</v>
      </c>
      <c r="G15" s="63">
        <v>2161</v>
      </c>
      <c r="H15" s="116" t="s">
        <v>41</v>
      </c>
      <c r="I15" s="116" t="s">
        <v>41</v>
      </c>
      <c r="J15" s="116" t="s">
        <v>41</v>
      </c>
      <c r="K15" s="116" t="s">
        <v>41</v>
      </c>
      <c r="L15" s="63">
        <v>1990</v>
      </c>
      <c r="M15" s="68">
        <v>505</v>
      </c>
      <c r="N15" s="68">
        <v>489</v>
      </c>
      <c r="O15" s="68">
        <v>492</v>
      </c>
      <c r="P15" s="68">
        <f>Q15-O15-N15-M15</f>
        <v>538</v>
      </c>
      <c r="Q15" s="63">
        <v>2024</v>
      </c>
      <c r="R15" s="68">
        <v>532</v>
      </c>
      <c r="S15" s="68">
        <v>540</v>
      </c>
      <c r="T15" s="68">
        <v>540</v>
      </c>
      <c r="U15" s="68">
        <f>V15-T15-S15-R15</f>
        <v>478</v>
      </c>
      <c r="V15" s="63">
        <v>2090</v>
      </c>
      <c r="W15" s="68">
        <v>511</v>
      </c>
      <c r="X15" s="68">
        <v>505</v>
      </c>
      <c r="Y15" s="68">
        <v>511</v>
      </c>
      <c r="Z15" s="68">
        <v>449</v>
      </c>
      <c r="AA15" s="63">
        <v>1976</v>
      </c>
      <c r="AB15" s="68">
        <v>499</v>
      </c>
      <c r="AC15" s="68">
        <v>468</v>
      </c>
      <c r="AD15" s="68">
        <v>464</v>
      </c>
      <c r="AE15" s="68">
        <v>441</v>
      </c>
      <c r="AF15" s="63">
        <v>1872</v>
      </c>
      <c r="AG15" s="68">
        <v>448</v>
      </c>
      <c r="AH15" s="68">
        <v>443</v>
      </c>
      <c r="AI15" s="68">
        <v>437</v>
      </c>
      <c r="AJ15" s="68">
        <v>440</v>
      </c>
      <c r="AK15" s="63">
        <v>1768</v>
      </c>
      <c r="AL15" s="68">
        <v>439</v>
      </c>
      <c r="AM15" s="68">
        <v>497</v>
      </c>
      <c r="AN15" s="68">
        <v>506</v>
      </c>
      <c r="AO15" s="68">
        <v>515</v>
      </c>
      <c r="AP15" s="63">
        <v>1957</v>
      </c>
      <c r="AQ15" s="68">
        <v>513</v>
      </c>
      <c r="AR15" s="68">
        <v>495</v>
      </c>
      <c r="AS15" s="68">
        <v>501</v>
      </c>
      <c r="AT15" s="68">
        <v>503</v>
      </c>
      <c r="AU15" s="63">
        <v>2012</v>
      </c>
      <c r="AV15" s="68">
        <v>504</v>
      </c>
      <c r="AW15" s="68">
        <v>494</v>
      </c>
      <c r="AX15" s="68">
        <v>502</v>
      </c>
      <c r="AY15" s="68">
        <v>505</v>
      </c>
      <c r="AZ15" s="63">
        <v>2005</v>
      </c>
      <c r="BA15" s="68">
        <v>510</v>
      </c>
      <c r="BB15" s="68">
        <v>503</v>
      </c>
      <c r="BC15" s="68">
        <v>494</v>
      </c>
      <c r="BD15" s="68">
        <v>485</v>
      </c>
      <c r="BE15" s="63">
        <v>1992</v>
      </c>
      <c r="BF15" s="68">
        <v>492</v>
      </c>
      <c r="BG15" s="68">
        <v>489</v>
      </c>
      <c r="BH15" s="68">
        <v>474</v>
      </c>
    </row>
    <row r="16" spans="1:60">
      <c r="A16" s="69" t="s">
        <v>7</v>
      </c>
      <c r="B16" s="23"/>
      <c r="C16" s="71"/>
      <c r="D16" s="71"/>
      <c r="E16" s="71"/>
      <c r="F16" s="71"/>
      <c r="G16" s="23"/>
      <c r="H16" s="70"/>
      <c r="I16" s="70"/>
      <c r="J16" s="70"/>
      <c r="K16" s="70"/>
      <c r="L16" s="23"/>
      <c r="M16" s="70"/>
      <c r="N16" s="70">
        <f>N15/M15-1</f>
        <v>-3.1683168316831711E-2</v>
      </c>
      <c r="O16" s="70">
        <f>O15/N15-1</f>
        <v>6.1349693251533388E-3</v>
      </c>
      <c r="P16" s="70">
        <f>P15/O15-1</f>
        <v>9.3495934959349603E-2</v>
      </c>
      <c r="Q16" s="23"/>
      <c r="R16" s="70">
        <f>R15/P15-1</f>
        <v>-1.1152416356877359E-2</v>
      </c>
      <c r="S16" s="70">
        <f>S15/R15-1</f>
        <v>1.5037593984962516E-2</v>
      </c>
      <c r="T16" s="70">
        <f>T15/S15-1</f>
        <v>0</v>
      </c>
      <c r="U16" s="70">
        <f>U15/T15-1</f>
        <v>-0.11481481481481481</v>
      </c>
      <c r="V16" s="23"/>
      <c r="W16" s="70">
        <v>6.9037656903765621E-2</v>
      </c>
      <c r="X16" s="70">
        <v>-1.1741682974559686E-2</v>
      </c>
      <c r="Y16" s="70">
        <v>1.1881188118811892E-2</v>
      </c>
      <c r="Z16" s="70">
        <v>-0.12133072407045009</v>
      </c>
      <c r="AA16" s="23"/>
      <c r="AB16" s="70">
        <v>0.11135857461024501</v>
      </c>
      <c r="AC16" s="70">
        <v>-6.2124248496993939E-2</v>
      </c>
      <c r="AD16" s="70">
        <v>-8.5470085470085166E-3</v>
      </c>
      <c r="AE16" s="70">
        <v>-4.9568965517241326E-2</v>
      </c>
      <c r="AF16" s="23"/>
      <c r="AG16" s="70">
        <v>1.5873015873015817E-2</v>
      </c>
      <c r="AH16" s="70">
        <v>-1.1160714285714302E-2</v>
      </c>
      <c r="AI16" s="70">
        <v>-1.3544018058690765E-2</v>
      </c>
      <c r="AJ16" s="70">
        <v>6.8649885583524917E-3</v>
      </c>
      <c r="AK16" s="23"/>
      <c r="AL16" s="70">
        <v>-2.2727272727273151E-3</v>
      </c>
      <c r="AM16" s="70">
        <v>0.13211845102505704</v>
      </c>
      <c r="AN16" s="70">
        <v>1.810865191146882E-2</v>
      </c>
      <c r="AO16" s="70">
        <v>1.7786561264822032E-2</v>
      </c>
      <c r="AP16" s="23"/>
      <c r="AQ16" s="70">
        <v>-3.8834951456310218E-3</v>
      </c>
      <c r="AR16" s="70">
        <v>-3.5087719298245612E-2</v>
      </c>
      <c r="AS16" s="70">
        <v>1.2121212121212199E-2</v>
      </c>
      <c r="AT16" s="70">
        <v>3.9920159680639777E-3</v>
      </c>
      <c r="AU16" s="23"/>
      <c r="AV16" s="70">
        <v>1.9880715705764551E-3</v>
      </c>
      <c r="AW16" s="70">
        <v>-1.9841269841269882E-2</v>
      </c>
      <c r="AX16" s="70">
        <v>1.6194331983805599E-2</v>
      </c>
      <c r="AY16" s="70">
        <v>5.9760956175298752E-3</v>
      </c>
      <c r="AZ16" s="23"/>
      <c r="BA16" s="70">
        <v>9.9009900990099098E-3</v>
      </c>
      <c r="BB16" s="70">
        <v>-1.3725490196078383E-2</v>
      </c>
      <c r="BC16" s="70">
        <v>-1.7892644135188873E-2</v>
      </c>
      <c r="BD16" s="70">
        <v>-1.8218623481781382E-2</v>
      </c>
      <c r="BE16" s="23"/>
      <c r="BF16" s="70">
        <v>1.4432989690721598E-2</v>
      </c>
      <c r="BG16" s="70">
        <v>-6.0975609756097615E-3</v>
      </c>
      <c r="BH16" s="70">
        <v>-3.0674846625766916E-2</v>
      </c>
    </row>
    <row r="17" spans="1:60" ht="10.199999999999999" customHeight="1">
      <c r="A17" s="69" t="s">
        <v>8</v>
      </c>
      <c r="B17" s="23"/>
      <c r="C17" s="71"/>
      <c r="D17" s="71"/>
      <c r="E17" s="71"/>
      <c r="F17" s="71"/>
      <c r="G17" s="23">
        <f>G15/B15-1</f>
        <v>-1.414233576642332E-2</v>
      </c>
      <c r="H17" s="71"/>
      <c r="I17" s="71"/>
      <c r="J17" s="71"/>
      <c r="K17" s="71"/>
      <c r="L17" s="23">
        <f>L15/G15-1</f>
        <v>-7.9130032392410898E-2</v>
      </c>
      <c r="M17" s="71"/>
      <c r="N17" s="71"/>
      <c r="O17" s="70"/>
      <c r="P17" s="68"/>
      <c r="Q17" s="23">
        <f t="shared" ref="Q17:U17" si="4">Q15/L15-1</f>
        <v>1.7085427135678399E-2</v>
      </c>
      <c r="R17" s="71">
        <f t="shared" si="4"/>
        <v>5.3465346534653513E-2</v>
      </c>
      <c r="S17" s="71">
        <f t="shared" si="4"/>
        <v>0.10429447852760743</v>
      </c>
      <c r="T17" s="71">
        <f t="shared" si="4"/>
        <v>9.7560975609756184E-2</v>
      </c>
      <c r="U17" s="71">
        <f t="shared" si="4"/>
        <v>-0.11152416356877326</v>
      </c>
      <c r="V17" s="23">
        <v>3.2608695652173836E-2</v>
      </c>
      <c r="W17" s="71">
        <v>-3.9473684210526327E-2</v>
      </c>
      <c r="X17" s="71">
        <v>-6.481481481481477E-2</v>
      </c>
      <c r="Y17" s="71">
        <v>-5.3703703703703698E-2</v>
      </c>
      <c r="Z17" s="71">
        <v>-6.0669456066945626E-2</v>
      </c>
      <c r="AA17" s="23">
        <v>-5.4545454545454564E-2</v>
      </c>
      <c r="AB17" s="71">
        <v>-2.3483365949119372E-2</v>
      </c>
      <c r="AC17" s="71">
        <v>-7.3267326732673221E-2</v>
      </c>
      <c r="AD17" s="71">
        <v>-9.1976516634050931E-2</v>
      </c>
      <c r="AE17" s="71">
        <v>-1.7817371937639215E-2</v>
      </c>
      <c r="AF17" s="23">
        <v>-5.2631578947368474E-2</v>
      </c>
      <c r="AG17" s="71">
        <v>-0.10220440881763526</v>
      </c>
      <c r="AH17" s="71">
        <v>-5.3418803418803451E-2</v>
      </c>
      <c r="AI17" s="71">
        <v>-5.8189655172413812E-2</v>
      </c>
      <c r="AJ17" s="71">
        <v>-2.2675736961451642E-3</v>
      </c>
      <c r="AK17" s="23">
        <v>-5.555555555555558E-2</v>
      </c>
      <c r="AL17" s="71">
        <v>-2.0089285714285698E-2</v>
      </c>
      <c r="AM17" s="71">
        <v>0.12189616252821667</v>
      </c>
      <c r="AN17" s="71">
        <v>0.15789473684210531</v>
      </c>
      <c r="AO17" s="71">
        <v>0.17045454545454541</v>
      </c>
      <c r="AP17" s="23">
        <v>0.10690045248868785</v>
      </c>
      <c r="AQ17" s="71">
        <v>0.16856492027334857</v>
      </c>
      <c r="AR17" s="71">
        <v>-4.0241448692153181E-3</v>
      </c>
      <c r="AS17" s="71">
        <v>-9.8814229249012397E-3</v>
      </c>
      <c r="AT17" s="71">
        <v>-2.3300970873786353E-2</v>
      </c>
      <c r="AU17" s="23">
        <v>2.8104241185487933E-2</v>
      </c>
      <c r="AV17" s="71">
        <v>-1.7543859649122862E-2</v>
      </c>
      <c r="AW17" s="71">
        <v>-2.0202020202020332E-3</v>
      </c>
      <c r="AX17" s="71">
        <v>1.9960079840319889E-3</v>
      </c>
      <c r="AY17" s="71">
        <v>3.9761431411531323E-3</v>
      </c>
      <c r="AZ17" s="23">
        <v>-3.4791252485089075E-3</v>
      </c>
      <c r="BA17" s="71">
        <v>1.1904761904761862E-2</v>
      </c>
      <c r="BB17" s="71">
        <v>1.8218623481781382E-2</v>
      </c>
      <c r="BC17" s="71">
        <v>-1.5936254980079667E-2</v>
      </c>
      <c r="BD17" s="71">
        <v>-3.9603960396039639E-2</v>
      </c>
      <c r="BE17" s="23">
        <v>-6.4837905236907467E-3</v>
      </c>
      <c r="BF17" s="71">
        <v>-3.5294117647058809E-2</v>
      </c>
      <c r="BG17" s="71">
        <v>-2.7833001988071593E-2</v>
      </c>
      <c r="BH17" s="71">
        <v>-4.0485829959514219E-2</v>
      </c>
    </row>
    <row r="18" spans="1:60">
      <c r="A18" s="67" t="s">
        <v>265</v>
      </c>
      <c r="B18" s="63">
        <v>39</v>
      </c>
      <c r="C18" s="78" t="s">
        <v>49</v>
      </c>
      <c r="D18" s="78" t="s">
        <v>49</v>
      </c>
      <c r="E18" s="78" t="s">
        <v>49</v>
      </c>
      <c r="F18" s="78" t="s">
        <v>49</v>
      </c>
      <c r="G18" s="63">
        <v>96</v>
      </c>
      <c r="H18" s="116" t="s">
        <v>41</v>
      </c>
      <c r="I18" s="116" t="s">
        <v>41</v>
      </c>
      <c r="J18" s="116" t="s">
        <v>41</v>
      </c>
      <c r="K18" s="116" t="s">
        <v>41</v>
      </c>
      <c r="L18" s="63">
        <v>201</v>
      </c>
      <c r="M18" s="182">
        <v>-25</v>
      </c>
      <c r="N18" s="182">
        <v>-70</v>
      </c>
      <c r="O18" s="182">
        <v>-59</v>
      </c>
      <c r="P18" s="182">
        <f>Q18-O18-N18-M18</f>
        <v>-62</v>
      </c>
      <c r="Q18" s="174">
        <v>-216</v>
      </c>
      <c r="R18" s="182">
        <v>250</v>
      </c>
      <c r="S18" s="182">
        <v>-62</v>
      </c>
      <c r="T18" s="182">
        <v>-106</v>
      </c>
      <c r="U18" s="182">
        <f>V18-T18-S18-R18</f>
        <v>57</v>
      </c>
      <c r="V18" s="63">
        <v>139</v>
      </c>
      <c r="W18" s="182">
        <v>-23</v>
      </c>
      <c r="X18" s="182">
        <v>17</v>
      </c>
      <c r="Y18" s="182">
        <v>-6</v>
      </c>
      <c r="Z18" s="182">
        <v>-2</v>
      </c>
      <c r="AA18" s="174">
        <v>-14</v>
      </c>
      <c r="AB18" s="182">
        <v>-72</v>
      </c>
      <c r="AC18" s="182">
        <v>-18</v>
      </c>
      <c r="AD18" s="182">
        <v>-6</v>
      </c>
      <c r="AE18" s="182">
        <v>81</v>
      </c>
      <c r="AF18" s="174">
        <v>-15</v>
      </c>
      <c r="AG18" s="182">
        <v>-8</v>
      </c>
      <c r="AH18" s="182">
        <v>-568</v>
      </c>
      <c r="AI18" s="182">
        <v>-25</v>
      </c>
      <c r="AJ18" s="182">
        <v>15</v>
      </c>
      <c r="AK18" s="174">
        <v>-586</v>
      </c>
      <c r="AL18" s="182">
        <v>-17</v>
      </c>
      <c r="AM18" s="182">
        <v>-141</v>
      </c>
      <c r="AN18" s="182">
        <v>-13</v>
      </c>
      <c r="AO18" s="182">
        <v>76</v>
      </c>
      <c r="AP18" s="174">
        <v>-95</v>
      </c>
      <c r="AQ18" s="182">
        <v>5</v>
      </c>
      <c r="AR18" s="182">
        <v>-12</v>
      </c>
      <c r="AS18" s="182">
        <v>-26</v>
      </c>
      <c r="AT18" s="182">
        <v>33</v>
      </c>
      <c r="AU18" s="174">
        <v>0</v>
      </c>
      <c r="AV18" s="182">
        <v>-4</v>
      </c>
      <c r="AW18" s="182">
        <v>-1</v>
      </c>
      <c r="AX18" s="182">
        <v>-23</v>
      </c>
      <c r="AY18" s="182">
        <v>9</v>
      </c>
      <c r="AZ18" s="174">
        <v>-19</v>
      </c>
      <c r="BA18" s="182">
        <v>23</v>
      </c>
      <c r="BB18" s="182">
        <v>84</v>
      </c>
      <c r="BC18" s="182">
        <v>6</v>
      </c>
      <c r="BD18" s="182">
        <v>521</v>
      </c>
      <c r="BE18" s="174">
        <v>634</v>
      </c>
      <c r="BF18" s="182">
        <v>-25</v>
      </c>
      <c r="BG18" s="182">
        <v>-414</v>
      </c>
      <c r="BH18" s="182">
        <v>39</v>
      </c>
    </row>
    <row r="19" spans="1:60" ht="14.25" customHeight="1">
      <c r="A19" s="67" t="s">
        <v>243</v>
      </c>
      <c r="B19" s="63"/>
      <c r="C19" s="78"/>
      <c r="D19" s="78"/>
      <c r="E19" s="78"/>
      <c r="F19" s="78"/>
      <c r="G19" s="63"/>
      <c r="H19" s="116"/>
      <c r="I19" s="116"/>
      <c r="J19" s="116"/>
      <c r="K19" s="116"/>
      <c r="L19" s="63"/>
      <c r="M19" s="182"/>
      <c r="N19" s="182"/>
      <c r="O19" s="182"/>
      <c r="P19" s="182"/>
      <c r="Q19" s="174"/>
      <c r="R19" s="182"/>
      <c r="S19" s="182"/>
      <c r="T19" s="182"/>
      <c r="U19" s="182"/>
      <c r="V19" s="63"/>
      <c r="W19" s="182"/>
      <c r="X19" s="182"/>
      <c r="Y19" s="182"/>
      <c r="Z19" s="182"/>
      <c r="AA19" s="174"/>
      <c r="AB19" s="182"/>
      <c r="AC19" s="182"/>
      <c r="AD19" s="182"/>
      <c r="AE19" s="182"/>
      <c r="AF19" s="149" t="s">
        <v>141</v>
      </c>
      <c r="AG19" s="182"/>
      <c r="AH19" s="182"/>
      <c r="AI19" s="182"/>
      <c r="AJ19" s="182"/>
      <c r="AK19" s="149" t="s">
        <v>141</v>
      </c>
      <c r="AL19" s="182"/>
      <c r="AM19" s="182"/>
      <c r="AN19" s="182"/>
      <c r="AO19" s="182"/>
      <c r="AP19" s="149" t="s">
        <v>141</v>
      </c>
      <c r="AQ19" s="182" t="s">
        <v>141</v>
      </c>
      <c r="AR19" s="182" t="s">
        <v>141</v>
      </c>
      <c r="AS19" s="182" t="s">
        <v>141</v>
      </c>
      <c r="AT19" s="182" t="s">
        <v>141</v>
      </c>
      <c r="AU19" s="149" t="s">
        <v>141</v>
      </c>
      <c r="AV19" s="182" t="s">
        <v>141</v>
      </c>
      <c r="AW19" s="182" t="s">
        <v>141</v>
      </c>
      <c r="AX19" s="182" t="s">
        <v>141</v>
      </c>
      <c r="AY19" s="182">
        <v>87</v>
      </c>
      <c r="AZ19" s="174">
        <v>87</v>
      </c>
      <c r="BA19" s="182" t="s">
        <v>141</v>
      </c>
      <c r="BB19" s="182" t="s">
        <v>141</v>
      </c>
      <c r="BC19" s="182">
        <v>10</v>
      </c>
      <c r="BD19" s="182">
        <v>1665</v>
      </c>
      <c r="BE19" s="174">
        <v>1675</v>
      </c>
      <c r="BF19" s="182" t="s">
        <v>141</v>
      </c>
      <c r="BG19" s="182">
        <v>951</v>
      </c>
      <c r="BH19" s="182" t="s">
        <v>141</v>
      </c>
    </row>
    <row r="20" spans="1:60" s="35" customFormat="1" ht="16.5" customHeight="1">
      <c r="A20" s="67" t="s">
        <v>261</v>
      </c>
      <c r="B20" s="63">
        <v>2321</v>
      </c>
      <c r="C20" s="68">
        <v>641</v>
      </c>
      <c r="D20" s="68">
        <v>772</v>
      </c>
      <c r="E20" s="68">
        <v>775</v>
      </c>
      <c r="F20" s="68">
        <v>452</v>
      </c>
      <c r="G20" s="63">
        <v>2640</v>
      </c>
      <c r="H20" s="68">
        <v>799</v>
      </c>
      <c r="I20" s="68">
        <v>818</v>
      </c>
      <c r="J20" s="68">
        <v>875</v>
      </c>
      <c r="K20" s="68">
        <f>L20-J20-I20-H20</f>
        <v>480</v>
      </c>
      <c r="L20" s="63">
        <v>2972</v>
      </c>
      <c r="M20" s="68">
        <v>874</v>
      </c>
      <c r="N20" s="68">
        <v>990</v>
      </c>
      <c r="O20" s="68">
        <v>979</v>
      </c>
      <c r="P20" s="68">
        <f>Q20-O20-N20-M20</f>
        <v>901</v>
      </c>
      <c r="Q20" s="63">
        <v>3744</v>
      </c>
      <c r="R20" s="68">
        <v>665</v>
      </c>
      <c r="S20" s="68">
        <v>935</v>
      </c>
      <c r="T20" s="68">
        <v>944</v>
      </c>
      <c r="U20" s="68">
        <f>V20-T20-S20-R20</f>
        <v>711</v>
      </c>
      <c r="V20" s="63">
        <v>3255</v>
      </c>
      <c r="W20" s="68">
        <v>850</v>
      </c>
      <c r="X20" s="68">
        <v>746</v>
      </c>
      <c r="Y20" s="68">
        <v>667</v>
      </c>
      <c r="Z20" s="68">
        <v>778</v>
      </c>
      <c r="AA20" s="63">
        <v>3041</v>
      </c>
      <c r="AB20" s="68">
        <v>761</v>
      </c>
      <c r="AC20" s="68">
        <v>744</v>
      </c>
      <c r="AD20" s="68">
        <v>721</v>
      </c>
      <c r="AE20" s="68">
        <v>593</v>
      </c>
      <c r="AF20" s="63">
        <v>2819</v>
      </c>
      <c r="AG20" s="68">
        <v>688</v>
      </c>
      <c r="AH20" s="68">
        <v>1234</v>
      </c>
      <c r="AI20" s="68">
        <v>671</v>
      </c>
      <c r="AJ20" s="68">
        <v>633</v>
      </c>
      <c r="AK20" s="63">
        <v>3226</v>
      </c>
      <c r="AL20" s="68">
        <v>636</v>
      </c>
      <c r="AM20" s="68">
        <v>794</v>
      </c>
      <c r="AN20" s="68">
        <v>652</v>
      </c>
      <c r="AO20" s="68">
        <v>488</v>
      </c>
      <c r="AP20" s="63">
        <v>2570</v>
      </c>
      <c r="AQ20" s="68">
        <v>574</v>
      </c>
      <c r="AR20" s="68">
        <v>616</v>
      </c>
      <c r="AS20" s="68">
        <v>599</v>
      </c>
      <c r="AT20" s="68">
        <v>532</v>
      </c>
      <c r="AU20" s="63">
        <v>2321</v>
      </c>
      <c r="AV20" s="68">
        <v>566</v>
      </c>
      <c r="AW20" s="68">
        <v>573</v>
      </c>
      <c r="AX20" s="68">
        <v>544</v>
      </c>
      <c r="AY20" s="68">
        <v>427</v>
      </c>
      <c r="AZ20" s="63">
        <v>2110</v>
      </c>
      <c r="BA20" s="68">
        <v>462</v>
      </c>
      <c r="BB20" s="68">
        <v>371</v>
      </c>
      <c r="BC20" s="68">
        <v>429</v>
      </c>
      <c r="BD20" s="182">
        <v>-1810</v>
      </c>
      <c r="BE20" s="174">
        <v>-548</v>
      </c>
      <c r="BF20" s="68">
        <v>511</v>
      </c>
      <c r="BG20" s="182">
        <v>-94</v>
      </c>
      <c r="BH20" s="182">
        <v>459</v>
      </c>
    </row>
    <row r="21" spans="1:60">
      <c r="A21" s="69" t="s">
        <v>7</v>
      </c>
      <c r="B21" s="23"/>
      <c r="C21" s="70"/>
      <c r="D21" s="70">
        <f>D20/C20-1</f>
        <v>0.20436817472698898</v>
      </c>
      <c r="E21" s="70">
        <f>E20/D20-1</f>
        <v>3.8860103626943143E-3</v>
      </c>
      <c r="F21" s="70">
        <f>F20/E20-1</f>
        <v>-0.41677419354838707</v>
      </c>
      <c r="G21" s="23"/>
      <c r="H21" s="70">
        <f>H20/F20-1</f>
        <v>0.76769911504424782</v>
      </c>
      <c r="I21" s="70">
        <f>I20/H20-1</f>
        <v>2.3779724655819789E-2</v>
      </c>
      <c r="J21" s="70">
        <f>J20/I20-1</f>
        <v>6.968215158924207E-2</v>
      </c>
      <c r="K21" s="70">
        <f>K20/J20-1</f>
        <v>-0.4514285714285714</v>
      </c>
      <c r="L21" s="23"/>
      <c r="M21" s="70">
        <f>M20/K20-1</f>
        <v>0.8208333333333333</v>
      </c>
      <c r="N21" s="70">
        <f>N20/M20-1</f>
        <v>0.13272311212814647</v>
      </c>
      <c r="O21" s="70">
        <f>O20/N20-1</f>
        <v>-1.1111111111111072E-2</v>
      </c>
      <c r="P21" s="70">
        <f>P20/O20-1</f>
        <v>-7.9673135852911137E-2</v>
      </c>
      <c r="Q21" s="23"/>
      <c r="R21" s="70">
        <f>R20/P20-1</f>
        <v>-0.2619311875693674</v>
      </c>
      <c r="S21" s="70">
        <f>S20/R20-1</f>
        <v>0.40601503759398505</v>
      </c>
      <c r="T21" s="70">
        <f>T20/S20-1</f>
        <v>9.6256684491977662E-3</v>
      </c>
      <c r="U21" s="70">
        <f>U20/T20-1</f>
        <v>-0.24682203389830504</v>
      </c>
      <c r="V21" s="23"/>
      <c r="W21" s="70">
        <v>0.19549929676511946</v>
      </c>
      <c r="X21" s="70">
        <v>-0.12235294117647055</v>
      </c>
      <c r="Y21" s="70">
        <v>-0.10589812332439674</v>
      </c>
      <c r="Z21" s="70">
        <v>0.16641679160419787</v>
      </c>
      <c r="AA21" s="23"/>
      <c r="AB21" s="70">
        <v>-2.1850899742930641E-2</v>
      </c>
      <c r="AC21" s="70">
        <v>-2.2339027595269401E-2</v>
      </c>
      <c r="AD21" s="70">
        <v>-3.0913978494623628E-2</v>
      </c>
      <c r="AE21" s="70">
        <v>-0.17753120665742028</v>
      </c>
      <c r="AF21" s="23"/>
      <c r="AG21" s="70">
        <v>0.16020236087689721</v>
      </c>
      <c r="AH21" s="70">
        <v>0.79360465116279078</v>
      </c>
      <c r="AI21" s="70">
        <v>-0.45623987034035651</v>
      </c>
      <c r="AJ21" s="70">
        <v>-5.663189269746649E-2</v>
      </c>
      <c r="AK21" s="23"/>
      <c r="AL21" s="70">
        <v>4.7393364928909332E-3</v>
      </c>
      <c r="AM21" s="70">
        <v>0.2484276729559749</v>
      </c>
      <c r="AN21" s="70">
        <v>-0.17884130982367763</v>
      </c>
      <c r="AO21" s="70">
        <v>-0.25153374233128833</v>
      </c>
      <c r="AP21" s="23"/>
      <c r="AQ21" s="70">
        <v>0.17622950819672134</v>
      </c>
      <c r="AR21" s="70">
        <v>7.3170731707317138E-2</v>
      </c>
      <c r="AS21" s="70">
        <v>-2.759740259740262E-2</v>
      </c>
      <c r="AT21" s="70">
        <v>-0.11185308848080133</v>
      </c>
      <c r="AU21" s="23"/>
      <c r="AV21" s="70">
        <v>6.3909774436090139E-2</v>
      </c>
      <c r="AW21" s="70">
        <v>1.2367491166077826E-2</v>
      </c>
      <c r="AX21" s="70">
        <v>-5.0610820244328059E-2</v>
      </c>
      <c r="AY21" s="70">
        <v>-0.21507352941176472</v>
      </c>
      <c r="AZ21" s="23"/>
      <c r="BA21" s="70">
        <v>8.1967213114754189E-2</v>
      </c>
      <c r="BB21" s="70">
        <v>-0.19696969696969702</v>
      </c>
      <c r="BC21" s="70">
        <v>0.15633423180592998</v>
      </c>
      <c r="BD21" s="83" t="s">
        <v>40</v>
      </c>
      <c r="BE21" s="23"/>
      <c r="BF21" s="83" t="s">
        <v>40</v>
      </c>
      <c r="BG21" s="83" t="s">
        <v>40</v>
      </c>
      <c r="BH21" s="83" t="s">
        <v>40</v>
      </c>
    </row>
    <row r="22" spans="1:60" ht="10.199999999999999" customHeight="1">
      <c r="A22" s="69" t="s">
        <v>8</v>
      </c>
      <c r="B22" s="23"/>
      <c r="C22" s="71"/>
      <c r="D22" s="71"/>
      <c r="E22" s="71"/>
      <c r="F22" s="71"/>
      <c r="G22" s="23">
        <f t="shared" ref="G22:N22" si="5">G20/B20-1</f>
        <v>0.13744075829383884</v>
      </c>
      <c r="H22" s="71">
        <f t="shared" si="5"/>
        <v>0.24648985959438385</v>
      </c>
      <c r="I22" s="71">
        <f t="shared" si="5"/>
        <v>5.9585492227979264E-2</v>
      </c>
      <c r="J22" s="71">
        <f t="shared" si="5"/>
        <v>0.12903225806451624</v>
      </c>
      <c r="K22" s="71">
        <f t="shared" si="5"/>
        <v>6.1946902654867353E-2</v>
      </c>
      <c r="L22" s="23">
        <f t="shared" si="5"/>
        <v>0.12575757575757573</v>
      </c>
      <c r="M22" s="71">
        <f t="shared" si="5"/>
        <v>9.3867334167709648E-2</v>
      </c>
      <c r="N22" s="71">
        <f t="shared" si="5"/>
        <v>0.21026894865525669</v>
      </c>
      <c r="O22" s="71">
        <f t="shared" ref="O22:U22" si="6">O20/J20-1</f>
        <v>0.11885714285714277</v>
      </c>
      <c r="P22" s="71">
        <f t="shared" si="6"/>
        <v>0.87708333333333344</v>
      </c>
      <c r="Q22" s="23">
        <f t="shared" si="6"/>
        <v>0.25975773889636611</v>
      </c>
      <c r="R22" s="71">
        <f t="shared" si="6"/>
        <v>-0.23913043478260865</v>
      </c>
      <c r="S22" s="71">
        <f t="shared" si="6"/>
        <v>-5.555555555555558E-2</v>
      </c>
      <c r="T22" s="71">
        <f t="shared" si="6"/>
        <v>-3.5750766087844776E-2</v>
      </c>
      <c r="U22" s="71">
        <f t="shared" si="6"/>
        <v>-0.21087680355160932</v>
      </c>
      <c r="V22" s="23">
        <v>-0.13060897435897434</v>
      </c>
      <c r="W22" s="71">
        <v>0.27819548872180455</v>
      </c>
      <c r="X22" s="71">
        <v>-0.20213903743315509</v>
      </c>
      <c r="Y22" s="71">
        <v>-0.29343220338983056</v>
      </c>
      <c r="Z22" s="71">
        <v>9.4233473980309457E-2</v>
      </c>
      <c r="AA22" s="23">
        <v>-6.5745007680491518E-2</v>
      </c>
      <c r="AB22" s="71">
        <v>-0.1047058823529412</v>
      </c>
      <c r="AC22" s="71">
        <v>-2.6809651474530849E-3</v>
      </c>
      <c r="AD22" s="71">
        <v>8.0959520239880067E-2</v>
      </c>
      <c r="AE22" s="71">
        <v>-0.23778920308483287</v>
      </c>
      <c r="AF22" s="23">
        <v>-7.3002301874383391E-2</v>
      </c>
      <c r="AG22" s="71">
        <v>-9.592641261498025E-2</v>
      </c>
      <c r="AH22" s="71">
        <v>0.65860215053763449</v>
      </c>
      <c r="AI22" s="71">
        <v>-6.9348127600554754E-2</v>
      </c>
      <c r="AJ22" s="71">
        <v>6.7453625632377667E-2</v>
      </c>
      <c r="AK22" s="23">
        <v>0.14437743880808807</v>
      </c>
      <c r="AL22" s="71">
        <v>-7.5581395348837233E-2</v>
      </c>
      <c r="AM22" s="71">
        <v>-0.35656401944894656</v>
      </c>
      <c r="AN22" s="71">
        <v>-2.8315946348733245E-2</v>
      </c>
      <c r="AO22" s="71">
        <v>-0.2290679304897314</v>
      </c>
      <c r="AP22" s="23">
        <v>-0.20334779913205203</v>
      </c>
      <c r="AQ22" s="71">
        <v>-9.7484276729559727E-2</v>
      </c>
      <c r="AR22" s="71">
        <v>-0.22418136020151136</v>
      </c>
      <c r="AS22" s="71">
        <v>-8.1288343558282183E-2</v>
      </c>
      <c r="AT22" s="71">
        <v>9.0163934426229497E-2</v>
      </c>
      <c r="AU22" s="23">
        <v>-9.6887159533073919E-2</v>
      </c>
      <c r="AV22" s="71">
        <v>-1.3937282229965153E-2</v>
      </c>
      <c r="AW22" s="71">
        <v>-6.9805194805194759E-2</v>
      </c>
      <c r="AX22" s="71">
        <v>-9.1819699499165242E-2</v>
      </c>
      <c r="AY22" s="71">
        <v>-0.19736842105263153</v>
      </c>
      <c r="AZ22" s="23">
        <v>-9.0909090909090939E-2</v>
      </c>
      <c r="BA22" s="71">
        <v>-0.18374558303886923</v>
      </c>
      <c r="BB22" s="71">
        <v>-0.35253054101221637</v>
      </c>
      <c r="BC22" s="71">
        <v>-0.21139705882352944</v>
      </c>
      <c r="BD22" s="83" t="s">
        <v>40</v>
      </c>
      <c r="BE22" s="23">
        <v>-1.2597156398104266</v>
      </c>
      <c r="BF22" s="71">
        <v>0.10606060606060597</v>
      </c>
      <c r="BG22" s="83" t="s">
        <v>40</v>
      </c>
      <c r="BH22" s="71">
        <v>6.9930069930070005E-2</v>
      </c>
    </row>
    <row r="23" spans="1:60">
      <c r="A23" s="67" t="s">
        <v>89</v>
      </c>
      <c r="B23" s="63">
        <v>182</v>
      </c>
      <c r="C23" s="78" t="s">
        <v>49</v>
      </c>
      <c r="D23" s="78" t="s">
        <v>49</v>
      </c>
      <c r="E23" s="78" t="s">
        <v>49</v>
      </c>
      <c r="F23" s="78" t="s">
        <v>49</v>
      </c>
      <c r="G23" s="63">
        <v>140</v>
      </c>
      <c r="H23" s="116" t="s">
        <v>41</v>
      </c>
      <c r="I23" s="116" t="s">
        <v>41</v>
      </c>
      <c r="J23" s="116" t="s">
        <v>41</v>
      </c>
      <c r="K23" s="116" t="s">
        <v>41</v>
      </c>
      <c r="L23" s="174">
        <v>-31</v>
      </c>
      <c r="M23" s="68">
        <v>-22</v>
      </c>
      <c r="N23" s="68">
        <v>35</v>
      </c>
      <c r="O23" s="68">
        <v>74</v>
      </c>
      <c r="P23" s="68">
        <f>Q23-O23-N23-M23</f>
        <v>22</v>
      </c>
      <c r="Q23" s="63">
        <v>109</v>
      </c>
      <c r="R23" s="68">
        <v>20</v>
      </c>
      <c r="S23" s="68">
        <v>62</v>
      </c>
      <c r="T23" s="68">
        <v>86</v>
      </c>
      <c r="U23" s="68">
        <f>V23-T23-S23-R23</f>
        <v>44</v>
      </c>
      <c r="V23" s="63">
        <v>212</v>
      </c>
      <c r="W23" s="68">
        <v>-44</v>
      </c>
      <c r="X23" s="68">
        <v>77</v>
      </c>
      <c r="Y23" s="68">
        <v>55</v>
      </c>
      <c r="Z23" s="68">
        <v>63</v>
      </c>
      <c r="AA23" s="63">
        <v>151</v>
      </c>
      <c r="AB23" s="68">
        <v>24</v>
      </c>
      <c r="AC23" s="68">
        <v>27</v>
      </c>
      <c r="AD23" s="68">
        <v>45</v>
      </c>
      <c r="AE23" s="68">
        <v>49</v>
      </c>
      <c r="AF23" s="63">
        <v>145</v>
      </c>
      <c r="AG23" s="68">
        <v>42</v>
      </c>
      <c r="AH23" s="68">
        <v>32</v>
      </c>
      <c r="AI23" s="68">
        <v>39</v>
      </c>
      <c r="AJ23" s="68">
        <v>17</v>
      </c>
      <c r="AK23" s="63">
        <v>130</v>
      </c>
      <c r="AL23" s="68">
        <v>37</v>
      </c>
      <c r="AM23" s="68">
        <v>129</v>
      </c>
      <c r="AN23" s="68">
        <v>100</v>
      </c>
      <c r="AO23" s="182">
        <v>-3</v>
      </c>
      <c r="AP23" s="63">
        <v>263</v>
      </c>
      <c r="AQ23" s="68">
        <v>102</v>
      </c>
      <c r="AR23" s="68">
        <v>105</v>
      </c>
      <c r="AS23" s="68">
        <v>104</v>
      </c>
      <c r="AT23" s="182">
        <v>136</v>
      </c>
      <c r="AU23" s="63">
        <v>447</v>
      </c>
      <c r="AV23" s="68">
        <v>101</v>
      </c>
      <c r="AW23" s="68">
        <v>102</v>
      </c>
      <c r="AX23" s="68">
        <v>94</v>
      </c>
      <c r="AY23" s="182">
        <v>120</v>
      </c>
      <c r="AZ23" s="63">
        <v>417</v>
      </c>
      <c r="BA23" s="68">
        <v>108</v>
      </c>
      <c r="BB23" s="68">
        <v>110</v>
      </c>
      <c r="BC23" s="68">
        <v>109</v>
      </c>
      <c r="BD23" s="182">
        <v>108</v>
      </c>
      <c r="BE23" s="63">
        <v>435</v>
      </c>
      <c r="BF23" s="68">
        <v>99</v>
      </c>
      <c r="BG23" s="68">
        <v>136</v>
      </c>
      <c r="BH23" s="68">
        <v>205</v>
      </c>
    </row>
    <row r="24" spans="1:60">
      <c r="A24" s="69" t="s">
        <v>7</v>
      </c>
      <c r="B24" s="23"/>
      <c r="C24" s="71"/>
      <c r="D24" s="71"/>
      <c r="E24" s="71"/>
      <c r="F24" s="71"/>
      <c r="G24" s="23"/>
      <c r="H24" s="71"/>
      <c r="I24" s="71"/>
      <c r="J24" s="71"/>
      <c r="K24" s="71"/>
      <c r="L24" s="23"/>
      <c r="M24" s="71"/>
      <c r="N24" s="70"/>
      <c r="O24" s="70">
        <f>O23/N23-1</f>
        <v>1.1142857142857143</v>
      </c>
      <c r="P24" s="70">
        <f>P23/O23-1</f>
        <v>-0.70270270270270263</v>
      </c>
      <c r="Q24" s="23"/>
      <c r="R24" s="83">
        <f>R23/P23-1</f>
        <v>-9.0909090909090939E-2</v>
      </c>
      <c r="S24" s="83">
        <f>S23/R23-1</f>
        <v>2.1</v>
      </c>
      <c r="T24" s="70">
        <f>T23/S23-1</f>
        <v>0.38709677419354849</v>
      </c>
      <c r="U24" s="83">
        <f>U23/T23-1</f>
        <v>-0.48837209302325579</v>
      </c>
      <c r="V24" s="23"/>
      <c r="W24" s="83"/>
      <c r="X24" s="83"/>
      <c r="Y24" s="83">
        <v>-0.2857142857142857</v>
      </c>
      <c r="Z24" s="83">
        <v>0.1454545454545455</v>
      </c>
      <c r="AA24" s="23"/>
      <c r="AB24" s="70">
        <v>-0.61904761904761907</v>
      </c>
      <c r="AC24" s="70">
        <v>0.125</v>
      </c>
      <c r="AD24" s="70">
        <v>0.66666666666666674</v>
      </c>
      <c r="AE24" s="83">
        <v>8.8888888888888795E-2</v>
      </c>
      <c r="AF24" s="23"/>
      <c r="AG24" s="70">
        <v>-0.1428571428571429</v>
      </c>
      <c r="AH24" s="70">
        <v>-0.23809523809523814</v>
      </c>
      <c r="AI24" s="70">
        <v>0.21875</v>
      </c>
      <c r="AJ24" s="83">
        <v>-0.5641025641025641</v>
      </c>
      <c r="AK24" s="23"/>
      <c r="AL24" s="70">
        <v>1.1764705882352939</v>
      </c>
      <c r="AM24" s="70">
        <v>2.4864864864864864</v>
      </c>
      <c r="AN24" s="70">
        <v>-0.22480620155038755</v>
      </c>
      <c r="AO24" s="83" t="s">
        <v>40</v>
      </c>
      <c r="AP24" s="23"/>
      <c r="AQ24" s="83" t="s">
        <v>40</v>
      </c>
      <c r="AR24" s="70">
        <v>2.9411764705882248E-2</v>
      </c>
      <c r="AS24" s="70">
        <v>-9.52380952380949E-3</v>
      </c>
      <c r="AT24" s="70">
        <v>0.30769230769230771</v>
      </c>
      <c r="AU24" s="23"/>
      <c r="AV24" s="70">
        <v>-0.25735294117647056</v>
      </c>
      <c r="AW24" s="70">
        <v>9.9009900990099098E-3</v>
      </c>
      <c r="AX24" s="70">
        <v>-7.8431372549019662E-2</v>
      </c>
      <c r="AY24" s="70">
        <v>0.27659574468085113</v>
      </c>
      <c r="AZ24" s="23"/>
      <c r="BA24" s="70">
        <v>-9.9999999999999978E-2</v>
      </c>
      <c r="BB24" s="70">
        <v>1.8518518518518601E-2</v>
      </c>
      <c r="BC24" s="70">
        <v>-9.0909090909090384E-3</v>
      </c>
      <c r="BD24" s="70">
        <v>-9.1743119266054496E-3</v>
      </c>
      <c r="BE24" s="23"/>
      <c r="BF24" s="70">
        <v>-8.333333333333337E-2</v>
      </c>
      <c r="BG24" s="70">
        <v>0.3737373737373737</v>
      </c>
      <c r="BH24" s="70">
        <v>0.50735294117647056</v>
      </c>
    </row>
    <row r="25" spans="1:60" ht="10.95" customHeight="1">
      <c r="A25" s="69" t="s">
        <v>8</v>
      </c>
      <c r="B25" s="23"/>
      <c r="C25" s="71"/>
      <c r="D25" s="71"/>
      <c r="E25" s="71"/>
      <c r="F25" s="71"/>
      <c r="G25" s="23">
        <f>G23/B23-1</f>
        <v>-0.23076923076923073</v>
      </c>
      <c r="H25" s="71"/>
      <c r="I25" s="71"/>
      <c r="J25" s="71"/>
      <c r="K25" s="71"/>
      <c r="L25" s="23"/>
      <c r="M25" s="71"/>
      <c r="N25" s="71"/>
      <c r="O25" s="71"/>
      <c r="P25" s="71"/>
      <c r="Q25" s="90"/>
      <c r="R25" s="83"/>
      <c r="S25" s="71">
        <f>S23/N23-1</f>
        <v>0.77142857142857135</v>
      </c>
      <c r="T25" s="71">
        <f>T23/O23-1</f>
        <v>0.16216216216216206</v>
      </c>
      <c r="U25" s="83">
        <f>U23/P23-1</f>
        <v>1</v>
      </c>
      <c r="V25" s="90">
        <v>0.94495412844036708</v>
      </c>
      <c r="W25" s="83"/>
      <c r="X25" s="83">
        <v>0.24193548387096775</v>
      </c>
      <c r="Y25" s="71">
        <v>-0.36046511627906974</v>
      </c>
      <c r="Z25" s="83">
        <v>0.43181818181818188</v>
      </c>
      <c r="AA25" s="90">
        <v>-0.28773584905660377</v>
      </c>
      <c r="AB25" s="71">
        <v>-1.5454545454545454</v>
      </c>
      <c r="AC25" s="71">
        <v>-0.64935064935064934</v>
      </c>
      <c r="AD25" s="71">
        <v>-0.18181818181818177</v>
      </c>
      <c r="AE25" s="83">
        <v>-0.22222222222222221</v>
      </c>
      <c r="AF25" s="90">
        <v>-3.9735099337748325E-2</v>
      </c>
      <c r="AG25" s="71">
        <v>0.75</v>
      </c>
      <c r="AH25" s="71">
        <v>0.18518518518518512</v>
      </c>
      <c r="AI25" s="71">
        <v>-0.1333333333333333</v>
      </c>
      <c r="AJ25" s="83">
        <v>-0.65306122448979598</v>
      </c>
      <c r="AK25" s="90">
        <v>-0.10344827586206895</v>
      </c>
      <c r="AL25" s="71">
        <v>-0.11904761904761907</v>
      </c>
      <c r="AM25" s="71">
        <v>3.03125</v>
      </c>
      <c r="AN25" s="71">
        <v>1.5641025641025643</v>
      </c>
      <c r="AO25" s="83" t="s">
        <v>40</v>
      </c>
      <c r="AP25" s="90">
        <v>1.023076923076923</v>
      </c>
      <c r="AQ25" s="71">
        <v>1.7567567567567566</v>
      </c>
      <c r="AR25" s="71">
        <v>-0.18604651162790697</v>
      </c>
      <c r="AS25" s="71">
        <v>4.0000000000000036E-2</v>
      </c>
      <c r="AT25" s="83" t="s">
        <v>40</v>
      </c>
      <c r="AU25" s="90">
        <v>0.69961977186311786</v>
      </c>
      <c r="AV25" s="71">
        <v>-9.8039215686274161E-3</v>
      </c>
      <c r="AW25" s="71">
        <v>-2.8571428571428581E-2</v>
      </c>
      <c r="AX25" s="71">
        <v>-9.6153846153846145E-2</v>
      </c>
      <c r="AY25" s="71">
        <v>-0.11764705882352944</v>
      </c>
      <c r="AZ25" s="90">
        <v>-6.7114093959731558E-2</v>
      </c>
      <c r="BA25" s="71">
        <v>6.9306930693069368E-2</v>
      </c>
      <c r="BB25" s="71">
        <v>7.8431372549019551E-2</v>
      </c>
      <c r="BC25" s="71">
        <v>0.15957446808510634</v>
      </c>
      <c r="BD25" s="71">
        <v>-9.9999999999999978E-2</v>
      </c>
      <c r="BE25" s="90">
        <v>4.3165467625899234E-2</v>
      </c>
      <c r="BF25" s="71">
        <v>-8.333333333333337E-2</v>
      </c>
      <c r="BG25" s="71">
        <v>0.23636363636363633</v>
      </c>
      <c r="BH25" s="71">
        <v>0.88073394495412849</v>
      </c>
    </row>
    <row r="26" spans="1:60" ht="26.4" hidden="1">
      <c r="A26" s="87" t="s">
        <v>145</v>
      </c>
      <c r="B26" s="120" t="s">
        <v>41</v>
      </c>
      <c r="C26" s="78" t="s">
        <v>49</v>
      </c>
      <c r="D26" s="78" t="s">
        <v>49</v>
      </c>
      <c r="E26" s="78" t="s">
        <v>49</v>
      </c>
      <c r="F26" s="78" t="s">
        <v>49</v>
      </c>
      <c r="G26" s="120" t="s">
        <v>41</v>
      </c>
      <c r="H26" s="116" t="s">
        <v>41</v>
      </c>
      <c r="I26" s="116" t="s">
        <v>41</v>
      </c>
      <c r="J26" s="116" t="s">
        <v>41</v>
      </c>
      <c r="K26" s="116" t="s">
        <v>41</v>
      </c>
      <c r="L26" s="120" t="s">
        <v>41</v>
      </c>
      <c r="M26" s="182">
        <v>-23</v>
      </c>
      <c r="N26" s="182">
        <v>-86</v>
      </c>
      <c r="O26" s="182">
        <v>-71</v>
      </c>
      <c r="P26" s="182">
        <f>Q26-O26-N26-M26</f>
        <v>-81</v>
      </c>
      <c r="Q26" s="174">
        <v>-261</v>
      </c>
      <c r="R26" s="182">
        <v>-65</v>
      </c>
      <c r="S26" s="182">
        <v>-72</v>
      </c>
      <c r="T26" s="182">
        <v>-66</v>
      </c>
      <c r="U26" s="182">
        <f>V26-T26-S26-R26</f>
        <v>-13</v>
      </c>
      <c r="V26" s="174">
        <v>-216</v>
      </c>
      <c r="W26" s="182">
        <v>-58</v>
      </c>
      <c r="X26" s="182">
        <v>-83</v>
      </c>
      <c r="Y26" s="182">
        <v>-92</v>
      </c>
      <c r="Z26" s="182">
        <v>-12</v>
      </c>
      <c r="AA26" s="174">
        <v>-245</v>
      </c>
      <c r="AB26" s="182">
        <v>-40</v>
      </c>
      <c r="AC26" s="182">
        <v>-67</v>
      </c>
      <c r="AD26" s="182">
        <v>-88</v>
      </c>
      <c r="AE26" s="182">
        <v>-57</v>
      </c>
      <c r="AF26" s="174">
        <v>-252</v>
      </c>
      <c r="AG26" s="182">
        <v>-19</v>
      </c>
      <c r="AH26" s="182">
        <v>-79</v>
      </c>
      <c r="AI26" s="182">
        <v>-34</v>
      </c>
      <c r="AJ26" s="182">
        <v>-38</v>
      </c>
      <c r="AK26" s="174">
        <v>-170</v>
      </c>
      <c r="AL26" s="68">
        <v>16</v>
      </c>
      <c r="AM26" s="68">
        <v>0</v>
      </c>
      <c r="AN26" s="182">
        <v>-1</v>
      </c>
      <c r="AO26" s="182">
        <v>-3</v>
      </c>
      <c r="AP26" s="63">
        <v>12</v>
      </c>
      <c r="AQ26" s="182">
        <v>-1</v>
      </c>
      <c r="AR26" s="182">
        <v>-1</v>
      </c>
      <c r="AS26" s="182">
        <v>-2</v>
      </c>
      <c r="AT26" s="182">
        <v>16</v>
      </c>
      <c r="AU26" s="63">
        <v>12</v>
      </c>
      <c r="AV26" s="182">
        <v>-1</v>
      </c>
      <c r="AW26" s="182">
        <v>-1</v>
      </c>
      <c r="AX26" s="182">
        <v>-1</v>
      </c>
      <c r="AY26" s="182">
        <v>15</v>
      </c>
      <c r="AZ26" s="63">
        <v>12</v>
      </c>
      <c r="BA26" s="182">
        <v>-1</v>
      </c>
      <c r="BB26" s="182">
        <v>-1</v>
      </c>
      <c r="BC26" s="182">
        <v>-1</v>
      </c>
      <c r="BD26" s="182">
        <v>15</v>
      </c>
      <c r="BE26" s="63">
        <v>12</v>
      </c>
      <c r="BF26" s="182">
        <v>-1</v>
      </c>
      <c r="BG26" s="182"/>
      <c r="BH26" s="182"/>
    </row>
    <row r="27" spans="1:60" hidden="1">
      <c r="A27" s="69" t="s">
        <v>7</v>
      </c>
      <c r="B27" s="23"/>
      <c r="C27" s="71"/>
      <c r="D27" s="71"/>
      <c r="E27" s="71"/>
      <c r="F27" s="71"/>
      <c r="G27" s="23"/>
      <c r="H27" s="71"/>
      <c r="I27" s="71"/>
      <c r="J27" s="71"/>
      <c r="K27" s="71"/>
      <c r="L27" s="23"/>
      <c r="M27" s="71"/>
      <c r="N27" s="70">
        <f>N26/M26-1</f>
        <v>2.7391304347826089</v>
      </c>
      <c r="O27" s="70">
        <f>O26/N26-1</f>
        <v>-0.17441860465116277</v>
      </c>
      <c r="P27" s="70">
        <f>P26/O26-1</f>
        <v>0.14084507042253525</v>
      </c>
      <c r="Q27" s="23"/>
      <c r="R27" s="83">
        <f>R26/P26-1</f>
        <v>-0.19753086419753085</v>
      </c>
      <c r="S27" s="83">
        <f>S26/R26-1</f>
        <v>0.10769230769230775</v>
      </c>
      <c r="T27" s="70">
        <f>T26/S26-1</f>
        <v>-8.333333333333337E-2</v>
      </c>
      <c r="U27" s="83">
        <f>U26/T26-1</f>
        <v>-0.80303030303030298</v>
      </c>
      <c r="V27" s="174"/>
      <c r="W27" s="70">
        <v>3.4615384615384617</v>
      </c>
      <c r="X27" s="70">
        <v>0.43103448275862077</v>
      </c>
      <c r="Y27" s="70">
        <v>0.10843373493975905</v>
      </c>
      <c r="Z27" s="70">
        <v>-0.86956521739130432</v>
      </c>
      <c r="AA27" s="23"/>
      <c r="AB27" s="70">
        <v>2.3333333333333335</v>
      </c>
      <c r="AC27" s="70">
        <v>0.67500000000000004</v>
      </c>
      <c r="AD27" s="70">
        <v>0.31343283582089554</v>
      </c>
      <c r="AE27" s="70">
        <v>-0.35227272727272729</v>
      </c>
      <c r="AF27" s="23"/>
      <c r="AG27" s="70">
        <v>-0.66666666666666674</v>
      </c>
      <c r="AH27" s="70">
        <v>3.1578947368421053</v>
      </c>
      <c r="AI27" s="70">
        <v>-0.56962025316455689</v>
      </c>
      <c r="AJ27" s="70">
        <v>0.11764705882352944</v>
      </c>
      <c r="AK27" s="23"/>
      <c r="AL27" s="83" t="s">
        <v>40</v>
      </c>
      <c r="AM27" s="70">
        <v>-1</v>
      </c>
      <c r="AN27" s="83" t="s">
        <v>40</v>
      </c>
      <c r="AO27" s="70">
        <v>2</v>
      </c>
      <c r="AP27" s="23"/>
      <c r="AQ27" s="70">
        <v>-0.66666666666666674</v>
      </c>
      <c r="AR27" s="70">
        <v>0</v>
      </c>
      <c r="AS27" s="70">
        <v>1</v>
      </c>
      <c r="AT27" s="70">
        <v>-9</v>
      </c>
      <c r="AU27" s="23"/>
      <c r="AV27" s="70">
        <v>-1.0625</v>
      </c>
      <c r="AW27" s="70">
        <v>-1.0833333333333333</v>
      </c>
      <c r="AX27" s="70">
        <v>0</v>
      </c>
      <c r="AY27" s="70">
        <v>-16</v>
      </c>
      <c r="AZ27" s="23"/>
      <c r="BA27" s="70">
        <v>-1.0666666666666667</v>
      </c>
      <c r="BB27" s="70">
        <v>-1.0833333333333333</v>
      </c>
      <c r="BC27" s="70">
        <v>0</v>
      </c>
      <c r="BD27" s="83" t="s">
        <v>40</v>
      </c>
      <c r="BE27" s="23"/>
      <c r="BF27" s="83" t="s">
        <v>40</v>
      </c>
      <c r="BG27" s="70"/>
      <c r="BH27" s="70"/>
    </row>
    <row r="28" spans="1:60" hidden="1">
      <c r="A28" s="69" t="s">
        <v>8</v>
      </c>
      <c r="B28" s="23"/>
      <c r="C28" s="71"/>
      <c r="D28" s="71"/>
      <c r="E28" s="71"/>
      <c r="F28" s="71"/>
      <c r="G28" s="23"/>
      <c r="H28" s="71"/>
      <c r="I28" s="71"/>
      <c r="J28" s="71"/>
      <c r="K28" s="71"/>
      <c r="L28" s="23"/>
      <c r="M28" s="71"/>
      <c r="N28" s="71"/>
      <c r="O28" s="71"/>
      <c r="P28" s="71"/>
      <c r="Q28" s="90"/>
      <c r="R28" s="83"/>
      <c r="S28" s="71">
        <f t="shared" ref="S28:U28" si="7">S26/N26-1</f>
        <v>-0.16279069767441856</v>
      </c>
      <c r="T28" s="71">
        <f t="shared" si="7"/>
        <v>-7.0422535211267623E-2</v>
      </c>
      <c r="U28" s="83">
        <f t="shared" si="7"/>
        <v>-0.83950617283950613</v>
      </c>
      <c r="V28" s="90">
        <v>-0.17241379310344829</v>
      </c>
      <c r="W28" s="71">
        <v>-0.10769230769230764</v>
      </c>
      <c r="X28" s="71">
        <v>0.15277777777777768</v>
      </c>
      <c r="Y28" s="71">
        <v>0.39393939393939403</v>
      </c>
      <c r="Z28" s="71">
        <v>-7.6923076923076872E-2</v>
      </c>
      <c r="AA28" s="90">
        <v>0.1342592592592593</v>
      </c>
      <c r="AB28" s="71">
        <v>-0.31034482758620685</v>
      </c>
      <c r="AC28" s="71">
        <v>-0.19277108433734935</v>
      </c>
      <c r="AD28" s="71">
        <v>-4.3478260869565188E-2</v>
      </c>
      <c r="AE28" s="71">
        <v>3.75</v>
      </c>
      <c r="AF28" s="90">
        <v>2.857142857142847E-2</v>
      </c>
      <c r="AG28" s="71">
        <v>-0.52500000000000002</v>
      </c>
      <c r="AH28" s="71">
        <v>0.17910447761194037</v>
      </c>
      <c r="AI28" s="71">
        <v>-0.61363636363636365</v>
      </c>
      <c r="AJ28" s="71">
        <v>-0.33333333333333337</v>
      </c>
      <c r="AK28" s="90">
        <v>-0.32539682539682535</v>
      </c>
      <c r="AL28" s="83" t="s">
        <v>40</v>
      </c>
      <c r="AM28" s="71">
        <v>-1</v>
      </c>
      <c r="AN28" s="83" t="s">
        <v>40</v>
      </c>
      <c r="AO28" s="71">
        <v>-0.92105263157894735</v>
      </c>
      <c r="AP28" s="90">
        <v>-1.0705882352941176</v>
      </c>
      <c r="AQ28" s="83" t="s">
        <v>40</v>
      </c>
      <c r="AR28" s="83" t="s">
        <v>40</v>
      </c>
      <c r="AS28" s="71">
        <v>1</v>
      </c>
      <c r="AT28" s="71">
        <v>-6.333333333333333</v>
      </c>
      <c r="AU28" s="90">
        <v>0</v>
      </c>
      <c r="AV28" s="83" t="s">
        <v>40</v>
      </c>
      <c r="AW28" s="83" t="s">
        <v>40</v>
      </c>
      <c r="AX28" s="83" t="s">
        <v>40</v>
      </c>
      <c r="AY28" s="71">
        <v>-6.25E-2</v>
      </c>
      <c r="AZ28" s="90">
        <v>0</v>
      </c>
      <c r="BA28" s="83" t="s">
        <v>40</v>
      </c>
      <c r="BB28" s="83" t="s">
        <v>40</v>
      </c>
      <c r="BC28" s="83" t="s">
        <v>40</v>
      </c>
      <c r="BD28" s="71">
        <v>0</v>
      </c>
      <c r="BE28" s="90">
        <v>0</v>
      </c>
      <c r="BF28" s="83" t="s">
        <v>40</v>
      </c>
      <c r="BG28" s="71"/>
      <c r="BH28" s="71"/>
    </row>
    <row r="29" spans="1:60">
      <c r="A29" s="67" t="s">
        <v>193</v>
      </c>
      <c r="B29" s="63">
        <v>666</v>
      </c>
      <c r="C29" s="68">
        <v>180</v>
      </c>
      <c r="D29" s="68">
        <v>205</v>
      </c>
      <c r="E29" s="68">
        <v>207</v>
      </c>
      <c r="F29" s="68">
        <f>G29-E29-D29-C29</f>
        <v>128</v>
      </c>
      <c r="G29" s="63">
        <v>720</v>
      </c>
      <c r="H29" s="68">
        <v>221</v>
      </c>
      <c r="I29" s="68">
        <v>222</v>
      </c>
      <c r="J29" s="68">
        <v>259</v>
      </c>
      <c r="K29" s="68">
        <f>L29-J29-I29-H29</f>
        <v>105</v>
      </c>
      <c r="L29" s="63">
        <v>807</v>
      </c>
      <c r="M29" s="68">
        <v>231</v>
      </c>
      <c r="N29" s="68">
        <v>231</v>
      </c>
      <c r="O29" s="68">
        <v>246</v>
      </c>
      <c r="P29" s="68">
        <f>Q29-O29-N29-M29</f>
        <v>224</v>
      </c>
      <c r="Q29" s="63">
        <v>932</v>
      </c>
      <c r="R29" s="68">
        <v>174</v>
      </c>
      <c r="S29" s="68">
        <v>216</v>
      </c>
      <c r="T29" s="68">
        <v>243</v>
      </c>
      <c r="U29" s="68">
        <f>V29-T29-S29-R29</f>
        <v>122</v>
      </c>
      <c r="V29" s="63">
        <v>755</v>
      </c>
      <c r="W29" s="68">
        <v>245</v>
      </c>
      <c r="X29" s="68">
        <v>174</v>
      </c>
      <c r="Y29" s="68">
        <v>178</v>
      </c>
      <c r="Z29" s="68">
        <v>181</v>
      </c>
      <c r="AA29" s="63">
        <v>778</v>
      </c>
      <c r="AB29" s="68">
        <v>200</v>
      </c>
      <c r="AC29" s="68">
        <v>177</v>
      </c>
      <c r="AD29" s="68">
        <v>139</v>
      </c>
      <c r="AE29" s="68">
        <v>135</v>
      </c>
      <c r="AF29" s="63">
        <v>651</v>
      </c>
      <c r="AG29" s="68">
        <v>170</v>
      </c>
      <c r="AH29" s="68">
        <v>313</v>
      </c>
      <c r="AI29" s="68">
        <v>170</v>
      </c>
      <c r="AJ29" s="68">
        <v>162</v>
      </c>
      <c r="AK29" s="63">
        <v>815</v>
      </c>
      <c r="AL29" s="68">
        <v>152</v>
      </c>
      <c r="AM29" s="68">
        <v>183</v>
      </c>
      <c r="AN29" s="68">
        <v>144</v>
      </c>
      <c r="AO29" s="68">
        <v>119</v>
      </c>
      <c r="AP29" s="63">
        <v>598</v>
      </c>
      <c r="AQ29" s="68">
        <v>183</v>
      </c>
      <c r="AR29" s="68">
        <v>133</v>
      </c>
      <c r="AS29" s="68">
        <v>99</v>
      </c>
      <c r="AT29" s="68">
        <v>210</v>
      </c>
      <c r="AU29" s="63">
        <v>625</v>
      </c>
      <c r="AV29" s="68">
        <v>113</v>
      </c>
      <c r="AW29" s="68">
        <v>111</v>
      </c>
      <c r="AX29" s="68">
        <v>128</v>
      </c>
      <c r="AY29" s="68">
        <v>101</v>
      </c>
      <c r="AZ29" s="63">
        <v>453</v>
      </c>
      <c r="BA29" s="68">
        <v>93</v>
      </c>
      <c r="BB29" s="68">
        <v>65</v>
      </c>
      <c r="BC29" s="68">
        <v>85</v>
      </c>
      <c r="BD29" s="182">
        <v>-163</v>
      </c>
      <c r="BE29" s="63">
        <v>80</v>
      </c>
      <c r="BF29" s="68">
        <v>112</v>
      </c>
      <c r="BG29" s="68">
        <v>1342</v>
      </c>
      <c r="BH29" s="68">
        <v>62</v>
      </c>
    </row>
    <row r="30" spans="1:60" ht="10.95" customHeight="1">
      <c r="A30" s="69" t="s">
        <v>7</v>
      </c>
      <c r="B30" s="23"/>
      <c r="C30" s="70"/>
      <c r="D30" s="70">
        <f>D29/C29-1</f>
        <v>0.13888888888888884</v>
      </c>
      <c r="E30" s="70">
        <f>E29/D29-1</f>
        <v>9.7560975609756184E-3</v>
      </c>
      <c r="F30" s="70">
        <f>F29/E29-1</f>
        <v>-0.38164251207729472</v>
      </c>
      <c r="G30" s="23"/>
      <c r="H30" s="70">
        <f>H29/F29-1</f>
        <v>0.7265625</v>
      </c>
      <c r="I30" s="70">
        <f>I29/H29-1</f>
        <v>4.5248868778280382E-3</v>
      </c>
      <c r="J30" s="70">
        <f>J29/I29-1</f>
        <v>0.16666666666666674</v>
      </c>
      <c r="K30" s="70">
        <f>K29/J29-1</f>
        <v>-0.59459459459459452</v>
      </c>
      <c r="L30" s="23"/>
      <c r="M30" s="70">
        <f>M29/K29-1</f>
        <v>1.2000000000000002</v>
      </c>
      <c r="N30" s="70">
        <f>N29/M29-1</f>
        <v>0</v>
      </c>
      <c r="O30" s="70">
        <f>O29/N29-1</f>
        <v>6.4935064935064846E-2</v>
      </c>
      <c r="P30" s="70">
        <f>P29/O29-1</f>
        <v>-8.9430894308943132E-2</v>
      </c>
      <c r="Q30" s="23"/>
      <c r="R30" s="70">
        <f>R29/P29-1</f>
        <v>-0.2232142857142857</v>
      </c>
      <c r="S30" s="70">
        <f>S29/R29-1</f>
        <v>0.24137931034482762</v>
      </c>
      <c r="T30" s="70">
        <f>T29/S29-1</f>
        <v>0.125</v>
      </c>
      <c r="U30" s="70">
        <f>U29/T29-1</f>
        <v>-0.49794238683127567</v>
      </c>
      <c r="V30" s="23"/>
      <c r="W30" s="70">
        <v>1.0081967213114753</v>
      </c>
      <c r="X30" s="70">
        <v>-0.28979591836734697</v>
      </c>
      <c r="Y30" s="70">
        <v>2.2988505747126409E-2</v>
      </c>
      <c r="Z30" s="70">
        <v>1.6853932584269593E-2</v>
      </c>
      <c r="AA30" s="23">
        <v>91</v>
      </c>
      <c r="AB30" s="70">
        <v>0.1049723756906078</v>
      </c>
      <c r="AC30" s="70">
        <v>-0.11499999999999999</v>
      </c>
      <c r="AD30" s="70">
        <v>-0.21468926553672318</v>
      </c>
      <c r="AE30" s="70">
        <v>-2.877697841726623E-2</v>
      </c>
      <c r="AF30" s="23"/>
      <c r="AG30" s="70">
        <v>0.2592592592592593</v>
      </c>
      <c r="AH30" s="70">
        <v>0.84117647058823519</v>
      </c>
      <c r="AI30" s="70">
        <v>-0.45686900958466459</v>
      </c>
      <c r="AJ30" s="70">
        <v>-4.705882352941182E-2</v>
      </c>
      <c r="AK30" s="23"/>
      <c r="AL30" s="70">
        <v>-6.1728395061728447E-2</v>
      </c>
      <c r="AM30" s="70">
        <v>0.20394736842105265</v>
      </c>
      <c r="AN30" s="70">
        <v>-0.21311475409836067</v>
      </c>
      <c r="AO30" s="70">
        <v>-0.17361111111111116</v>
      </c>
      <c r="AP30" s="23"/>
      <c r="AQ30" s="70">
        <v>0.53781512605042026</v>
      </c>
      <c r="AR30" s="70">
        <v>-0.27322404371584696</v>
      </c>
      <c r="AS30" s="70">
        <v>-0.25563909774436089</v>
      </c>
      <c r="AT30" s="70">
        <v>1.1212121212121211</v>
      </c>
      <c r="AU30" s="23"/>
      <c r="AV30" s="70">
        <v>-0.46190476190476193</v>
      </c>
      <c r="AW30" s="70">
        <v>-1.7699115044247815E-2</v>
      </c>
      <c r="AX30" s="70">
        <v>0.15315315315315314</v>
      </c>
      <c r="AY30" s="70">
        <v>-0.2109375</v>
      </c>
      <c r="AZ30" s="23"/>
      <c r="BA30" s="70">
        <v>-7.9207920792079167E-2</v>
      </c>
      <c r="BB30" s="70">
        <v>-0.30107526881720426</v>
      </c>
      <c r="BC30" s="70">
        <v>0.30769230769230771</v>
      </c>
      <c r="BD30" s="83" t="s">
        <v>40</v>
      </c>
      <c r="BE30" s="23"/>
      <c r="BF30" s="83" t="s">
        <v>40</v>
      </c>
      <c r="BG30" s="70">
        <v>10.982142857142858</v>
      </c>
      <c r="BH30" s="70">
        <v>-0.95380029806259314</v>
      </c>
    </row>
    <row r="31" spans="1:60" ht="11.4" customHeight="1">
      <c r="A31" s="69" t="s">
        <v>8</v>
      </c>
      <c r="B31" s="23"/>
      <c r="C31" s="71"/>
      <c r="D31" s="71"/>
      <c r="E31" s="71"/>
      <c r="F31" s="71"/>
      <c r="G31" s="23">
        <f t="shared" ref="G31" si="8">G29/B29-1</f>
        <v>8.1081081081081141E-2</v>
      </c>
      <c r="H31" s="71">
        <f t="shared" ref="H31" si="9">H29/C29-1</f>
        <v>0.22777777777777786</v>
      </c>
      <c r="I31" s="71">
        <f t="shared" ref="I31" si="10">I29/D29-1</f>
        <v>8.2926829268292757E-2</v>
      </c>
      <c r="J31" s="71">
        <f t="shared" ref="J31" si="11">J29/E29-1</f>
        <v>0.25120772946859904</v>
      </c>
      <c r="K31" s="71">
        <f t="shared" ref="K31" si="12">K29/F29-1</f>
        <v>-0.1796875</v>
      </c>
      <c r="L31" s="23">
        <f t="shared" ref="L31" si="13">L29/G29-1</f>
        <v>0.12083333333333335</v>
      </c>
      <c r="M31" s="71">
        <f t="shared" ref="M31" si="14">M29/H29-1</f>
        <v>4.5248868778280604E-2</v>
      </c>
      <c r="N31" s="71">
        <f t="shared" ref="N31" si="15">N29/I29-1</f>
        <v>4.0540540540540571E-2</v>
      </c>
      <c r="O31" s="71">
        <f t="shared" ref="O31" si="16">O29/J29-1</f>
        <v>-5.0193050193050204E-2</v>
      </c>
      <c r="P31" s="71">
        <f t="shared" ref="P31" si="17">P29/K29-1</f>
        <v>1.1333333333333333</v>
      </c>
      <c r="Q31" s="23">
        <f t="shared" ref="Q31" si="18">Q29/L29-1</f>
        <v>0.15489467162329618</v>
      </c>
      <c r="R31" s="71">
        <f t="shared" ref="R31" si="19">R29/M29-1</f>
        <v>-0.24675324675324672</v>
      </c>
      <c r="S31" s="71">
        <f t="shared" ref="S31" si="20">S29/N29-1</f>
        <v>-6.4935064935064957E-2</v>
      </c>
      <c r="T31" s="71">
        <f t="shared" ref="T31" si="21">T29/O29-1</f>
        <v>-1.2195121951219523E-2</v>
      </c>
      <c r="U31" s="71">
        <f t="shared" ref="U31" si="22">U29/P29-1</f>
        <v>-0.4553571428571429</v>
      </c>
      <c r="V31" s="23">
        <v>-0.18991416309012876</v>
      </c>
      <c r="W31" s="71">
        <v>0.40804597701149414</v>
      </c>
      <c r="X31" s="71">
        <v>-0.19444444444444442</v>
      </c>
      <c r="Y31" s="71">
        <v>-0.26748971193415638</v>
      </c>
      <c r="Z31" s="71">
        <v>0.48360655737704916</v>
      </c>
      <c r="AA31" s="23">
        <v>3.0463576158940464E-2</v>
      </c>
      <c r="AB31" s="71">
        <v>-0.18367346938775508</v>
      </c>
      <c r="AC31" s="71">
        <v>1.7241379310344751E-2</v>
      </c>
      <c r="AD31" s="71">
        <v>-0.2191011235955056</v>
      </c>
      <c r="AE31" s="71">
        <v>-0.2541436464088398</v>
      </c>
      <c r="AF31" s="23">
        <v>-0.16323907455012854</v>
      </c>
      <c r="AG31" s="71">
        <v>-0.15000000000000002</v>
      </c>
      <c r="AH31" s="71">
        <v>0.76836158192090398</v>
      </c>
      <c r="AI31" s="71">
        <v>0.2230215827338129</v>
      </c>
      <c r="AJ31" s="71">
        <v>0.19999999999999996</v>
      </c>
      <c r="AK31" s="23">
        <v>0.25192012288786492</v>
      </c>
      <c r="AL31" s="71">
        <v>-0.10588235294117643</v>
      </c>
      <c r="AM31" s="71">
        <v>-0.4153354632587859</v>
      </c>
      <c r="AN31" s="71">
        <v>-0.15294117647058825</v>
      </c>
      <c r="AO31" s="71">
        <v>-0.26543209876543206</v>
      </c>
      <c r="AP31" s="23">
        <v>-0.26625766871165646</v>
      </c>
      <c r="AQ31" s="71">
        <v>0.20394736842105265</v>
      </c>
      <c r="AR31" s="71">
        <v>-0.27322404371584696</v>
      </c>
      <c r="AS31" s="71">
        <v>-0.3125</v>
      </c>
      <c r="AT31" s="71">
        <v>0.76470588235294112</v>
      </c>
      <c r="AU31" s="23">
        <v>4.5150501672240884E-2</v>
      </c>
      <c r="AV31" s="71">
        <v>-0.38251366120218577</v>
      </c>
      <c r="AW31" s="71">
        <v>-0.16541353383458646</v>
      </c>
      <c r="AX31" s="71">
        <v>0.29292929292929304</v>
      </c>
      <c r="AY31" s="71">
        <v>-0.51904761904761898</v>
      </c>
      <c r="AZ31" s="23">
        <v>-0.2752</v>
      </c>
      <c r="BA31" s="71">
        <v>-0.17699115044247793</v>
      </c>
      <c r="BB31" s="71">
        <v>-0.4144144144144144</v>
      </c>
      <c r="BC31" s="71">
        <v>-0.3359375</v>
      </c>
      <c r="BD31" s="83" t="s">
        <v>40</v>
      </c>
      <c r="BE31" s="23">
        <v>-0.82339955849889623</v>
      </c>
      <c r="BF31" s="71">
        <v>0.20430107526881724</v>
      </c>
      <c r="BG31" s="71">
        <v>19.646153846153847</v>
      </c>
      <c r="BH31" s="71">
        <v>-0.27058823529411768</v>
      </c>
    </row>
    <row r="32" spans="1:60" s="35" customFormat="1">
      <c r="A32" s="67" t="s">
        <v>295</v>
      </c>
      <c r="B32" s="63">
        <v>1330</v>
      </c>
      <c r="C32" s="68">
        <v>411</v>
      </c>
      <c r="D32" s="68">
        <v>456</v>
      </c>
      <c r="E32" s="68">
        <v>462</v>
      </c>
      <c r="F32" s="68">
        <v>298</v>
      </c>
      <c r="G32" s="63">
        <v>1627</v>
      </c>
      <c r="H32" s="68">
        <v>608</v>
      </c>
      <c r="I32" s="68">
        <v>541</v>
      </c>
      <c r="J32" s="68">
        <v>2088</v>
      </c>
      <c r="K32" s="68">
        <f>L32-J32-I32-H32</f>
        <v>366</v>
      </c>
      <c r="L32" s="63">
        <v>3603</v>
      </c>
      <c r="M32" s="68">
        <v>642</v>
      </c>
      <c r="N32" s="68">
        <v>638</v>
      </c>
      <c r="O32" s="68">
        <v>588</v>
      </c>
      <c r="P32" s="68">
        <f>Q32-O32-N32-M32</f>
        <v>575</v>
      </c>
      <c r="Q32" s="63">
        <v>2443</v>
      </c>
      <c r="R32" s="68">
        <v>407</v>
      </c>
      <c r="S32" s="68">
        <v>585</v>
      </c>
      <c r="T32" s="68">
        <v>550</v>
      </c>
      <c r="U32" s="68">
        <f>V32-T32-S32-R32</f>
        <v>532</v>
      </c>
      <c r="V32" s="63">
        <v>2074</v>
      </c>
      <c r="W32" s="68">
        <v>582</v>
      </c>
      <c r="X32" s="68">
        <v>415</v>
      </c>
      <c r="Y32" s="68">
        <v>342</v>
      </c>
      <c r="Z32" s="68">
        <v>522</v>
      </c>
      <c r="AA32" s="63">
        <v>1861</v>
      </c>
      <c r="AB32" s="68">
        <v>497</v>
      </c>
      <c r="AC32" s="68">
        <v>473</v>
      </c>
      <c r="AD32" s="68">
        <v>449</v>
      </c>
      <c r="AE32" s="68">
        <v>352</v>
      </c>
      <c r="AF32" s="63">
        <v>1771</v>
      </c>
      <c r="AG32" s="68">
        <v>457</v>
      </c>
      <c r="AH32" s="68">
        <v>810</v>
      </c>
      <c r="AI32" s="68">
        <v>428</v>
      </c>
      <c r="AJ32" s="68">
        <v>416</v>
      </c>
      <c r="AK32" s="63">
        <v>2111</v>
      </c>
      <c r="AL32" s="68">
        <v>463</v>
      </c>
      <c r="AM32" s="68">
        <v>482</v>
      </c>
      <c r="AN32" s="68">
        <v>407</v>
      </c>
      <c r="AO32" s="68">
        <v>369</v>
      </c>
      <c r="AP32" s="63">
        <v>1721</v>
      </c>
      <c r="AQ32" s="68">
        <v>288</v>
      </c>
      <c r="AR32" s="68">
        <v>377</v>
      </c>
      <c r="AS32" s="68">
        <v>394</v>
      </c>
      <c r="AT32" s="68">
        <v>185</v>
      </c>
      <c r="AU32" s="63">
        <v>1244</v>
      </c>
      <c r="AV32" s="68">
        <v>350</v>
      </c>
      <c r="AW32" s="68">
        <v>358</v>
      </c>
      <c r="AX32" s="68">
        <v>322</v>
      </c>
      <c r="AY32" s="68">
        <v>205</v>
      </c>
      <c r="AZ32" s="63">
        <v>1235</v>
      </c>
      <c r="BA32" s="68">
        <v>260</v>
      </c>
      <c r="BB32" s="68">
        <v>195</v>
      </c>
      <c r="BC32" s="68">
        <v>234</v>
      </c>
      <c r="BD32" s="182">
        <v>-1755</v>
      </c>
      <c r="BE32" s="174">
        <v>-1066</v>
      </c>
      <c r="BF32" s="68">
        <v>300</v>
      </c>
      <c r="BG32" s="182">
        <v>-1573</v>
      </c>
      <c r="BH32" s="182">
        <v>191</v>
      </c>
    </row>
    <row r="33" spans="1:60" ht="12.6" customHeight="1">
      <c r="A33" s="69" t="s">
        <v>7</v>
      </c>
      <c r="B33" s="23"/>
      <c r="C33" s="70"/>
      <c r="D33" s="70">
        <f>D32/C32-1</f>
        <v>0.10948905109489049</v>
      </c>
      <c r="E33" s="70">
        <f>E32/D32-1</f>
        <v>1.3157894736842035E-2</v>
      </c>
      <c r="F33" s="70">
        <f>F32/E32-1</f>
        <v>-0.35497835497835495</v>
      </c>
      <c r="G33" s="23"/>
      <c r="H33" s="70">
        <f>H32/F32-1</f>
        <v>1.0402684563758391</v>
      </c>
      <c r="I33" s="70">
        <f>I32/H32-1</f>
        <v>-0.11019736842105265</v>
      </c>
      <c r="J33" s="70">
        <f>J32/I32-1</f>
        <v>2.8595194085027726</v>
      </c>
      <c r="K33" s="70">
        <f>K32/J32-1</f>
        <v>-0.82471264367816088</v>
      </c>
      <c r="L33" s="23"/>
      <c r="M33" s="70">
        <f>M32/K32-1</f>
        <v>0.75409836065573765</v>
      </c>
      <c r="N33" s="70">
        <f>N32/M32-1</f>
        <v>-6.230529595015577E-3</v>
      </c>
      <c r="O33" s="70">
        <f>O32/N32-1</f>
        <v>-7.8369905956112818E-2</v>
      </c>
      <c r="P33" s="70">
        <f>P32/O32-1</f>
        <v>-2.2108843537414935E-2</v>
      </c>
      <c r="Q33" s="23"/>
      <c r="R33" s="70">
        <f>R32/P32-1</f>
        <v>-0.29217391304347828</v>
      </c>
      <c r="S33" s="70">
        <f>S32/R32-1</f>
        <v>0.4373464373464373</v>
      </c>
      <c r="T33" s="70">
        <f>T32/S32-1</f>
        <v>-5.9829059829059839E-2</v>
      </c>
      <c r="U33" s="70">
        <f>U32/T32-1</f>
        <v>-3.2727272727272716E-2</v>
      </c>
      <c r="V33" s="23"/>
      <c r="W33" s="70">
        <v>9.3984962406014949E-2</v>
      </c>
      <c r="X33" s="70">
        <v>-0.28694158075601373</v>
      </c>
      <c r="Y33" s="70">
        <v>-0.17590361445783131</v>
      </c>
      <c r="Z33" s="70">
        <v>0.52631578947368429</v>
      </c>
      <c r="AA33" s="23"/>
      <c r="AB33" s="70">
        <v>-4.789272030651337E-2</v>
      </c>
      <c r="AC33" s="70">
        <v>-4.8289738430583484E-2</v>
      </c>
      <c r="AD33" s="70">
        <v>-5.0739957716701922E-2</v>
      </c>
      <c r="AE33" s="70">
        <v>-0.21603563474387533</v>
      </c>
      <c r="AF33" s="23"/>
      <c r="AG33" s="70">
        <v>0.29829545454545459</v>
      </c>
      <c r="AH33" s="70">
        <v>0.77242888402625831</v>
      </c>
      <c r="AI33" s="70">
        <v>-0.47160493827160499</v>
      </c>
      <c r="AJ33" s="70">
        <v>-2.8037383177570097E-2</v>
      </c>
      <c r="AK33" s="23"/>
      <c r="AL33" s="70">
        <v>0.11298076923076916</v>
      </c>
      <c r="AM33" s="70">
        <v>4.1036717062634898E-2</v>
      </c>
      <c r="AN33" s="70">
        <v>-0.15560165975103735</v>
      </c>
      <c r="AO33" s="70">
        <v>-9.3366093366093361E-2</v>
      </c>
      <c r="AP33" s="23"/>
      <c r="AQ33" s="70">
        <v>-0.21951219512195119</v>
      </c>
      <c r="AR33" s="70">
        <v>0.30902777777777768</v>
      </c>
      <c r="AS33" s="70">
        <v>4.5092838196286511E-2</v>
      </c>
      <c r="AT33" s="70">
        <v>-0.53045685279187815</v>
      </c>
      <c r="AU33" s="23"/>
      <c r="AV33" s="70">
        <v>0.89189189189189189</v>
      </c>
      <c r="AW33" s="70">
        <v>2.2857142857142909E-2</v>
      </c>
      <c r="AX33" s="70">
        <v>-0.1005586592178771</v>
      </c>
      <c r="AY33" s="70">
        <v>-0.36335403726708071</v>
      </c>
      <c r="AZ33" s="23"/>
      <c r="BA33" s="70">
        <v>0.26829268292682928</v>
      </c>
      <c r="BB33" s="70">
        <v>-0.25</v>
      </c>
      <c r="BC33" s="70">
        <v>0.19999999999999996</v>
      </c>
      <c r="BD33" s="83" t="s">
        <v>40</v>
      </c>
      <c r="BE33" s="23"/>
      <c r="BF33" s="83" t="s">
        <v>40</v>
      </c>
      <c r="BG33" s="83" t="s">
        <v>40</v>
      </c>
      <c r="BH33" s="83" t="s">
        <v>40</v>
      </c>
    </row>
    <row r="34" spans="1:60" ht="12" customHeight="1">
      <c r="A34" s="69" t="s">
        <v>8</v>
      </c>
      <c r="B34" s="23"/>
      <c r="C34" s="71"/>
      <c r="D34" s="71"/>
      <c r="E34" s="71"/>
      <c r="F34" s="71"/>
      <c r="G34" s="23">
        <f t="shared" ref="G34:N34" si="23">G32/B32-1</f>
        <v>0.22330827067669179</v>
      </c>
      <c r="H34" s="71">
        <f t="shared" si="23"/>
        <v>0.47931873479318732</v>
      </c>
      <c r="I34" s="71">
        <f t="shared" si="23"/>
        <v>0.18640350877192979</v>
      </c>
      <c r="J34" s="71">
        <f t="shared" si="23"/>
        <v>3.5194805194805197</v>
      </c>
      <c r="K34" s="71">
        <f t="shared" si="23"/>
        <v>0.22818791946308714</v>
      </c>
      <c r="L34" s="23">
        <f t="shared" si="23"/>
        <v>1.2145052243392747</v>
      </c>
      <c r="M34" s="71">
        <f t="shared" si="23"/>
        <v>5.5921052631578982E-2</v>
      </c>
      <c r="N34" s="71">
        <f t="shared" si="23"/>
        <v>0.17929759704251391</v>
      </c>
      <c r="O34" s="71">
        <f t="shared" ref="O34:U34" si="24">O32/J32-1</f>
        <v>-0.71839080459770122</v>
      </c>
      <c r="P34" s="71">
        <f t="shared" si="24"/>
        <v>0.5710382513661203</v>
      </c>
      <c r="Q34" s="23">
        <f t="shared" si="24"/>
        <v>-0.32195392728281991</v>
      </c>
      <c r="R34" s="71">
        <f t="shared" si="24"/>
        <v>-0.36604361370716509</v>
      </c>
      <c r="S34" s="71">
        <f t="shared" si="24"/>
        <v>-8.3072100313479669E-2</v>
      </c>
      <c r="T34" s="71">
        <f t="shared" si="24"/>
        <v>-6.4625850340136015E-2</v>
      </c>
      <c r="U34" s="71">
        <f t="shared" si="24"/>
        <v>-7.478260869565212E-2</v>
      </c>
      <c r="V34" s="23">
        <v>-0.15104379860826855</v>
      </c>
      <c r="W34" s="71">
        <v>0.42997542997542992</v>
      </c>
      <c r="X34" s="71">
        <v>-0.29059829059829057</v>
      </c>
      <c r="Y34" s="71">
        <v>-0.37818181818181817</v>
      </c>
      <c r="Z34" s="71">
        <v>-1.8796992481203034E-2</v>
      </c>
      <c r="AA34" s="23">
        <v>-0.10270009643201539</v>
      </c>
      <c r="AB34" s="71">
        <v>-0.14604810996563578</v>
      </c>
      <c r="AC34" s="71">
        <v>0.13975903614457841</v>
      </c>
      <c r="AD34" s="71">
        <v>0.3128654970760234</v>
      </c>
      <c r="AE34" s="71">
        <v>-0.32567049808429116</v>
      </c>
      <c r="AF34" s="23">
        <v>-4.8361096184846852E-2</v>
      </c>
      <c r="AG34" s="71">
        <v>-8.0482897384305807E-2</v>
      </c>
      <c r="AH34" s="71">
        <v>0.71247357293868929</v>
      </c>
      <c r="AI34" s="71">
        <v>-4.6770601336302842E-2</v>
      </c>
      <c r="AJ34" s="71">
        <v>0.18181818181818188</v>
      </c>
      <c r="AK34" s="23">
        <v>0.19198193111236583</v>
      </c>
      <c r="AL34" s="71">
        <v>1.3129102844638973E-2</v>
      </c>
      <c r="AM34" s="71">
        <v>-0.40493827160493823</v>
      </c>
      <c r="AN34" s="71">
        <v>-4.9065420560747697E-2</v>
      </c>
      <c r="AO34" s="71">
        <v>-0.11298076923076927</v>
      </c>
      <c r="AP34" s="23">
        <v>-0.18474656560871627</v>
      </c>
      <c r="AQ34" s="71">
        <v>-0.37796976241900648</v>
      </c>
      <c r="AR34" s="71">
        <v>-0.21784232365145229</v>
      </c>
      <c r="AS34" s="71">
        <v>-3.1941031941031928E-2</v>
      </c>
      <c r="AT34" s="71">
        <v>-0.49864498644986455</v>
      </c>
      <c r="AU34" s="23">
        <v>-0.27716443927948864</v>
      </c>
      <c r="AV34" s="71">
        <v>0.21527777777777768</v>
      </c>
      <c r="AW34" s="71">
        <v>-5.0397877984084904E-2</v>
      </c>
      <c r="AX34" s="71">
        <v>-0.18274111675126903</v>
      </c>
      <c r="AY34" s="71">
        <v>0.10810810810810811</v>
      </c>
      <c r="AZ34" s="23">
        <v>-7.2347266881028771E-3</v>
      </c>
      <c r="BA34" s="71">
        <v>-0.25714285714285712</v>
      </c>
      <c r="BB34" s="71">
        <v>-0.45530726256983245</v>
      </c>
      <c r="BC34" s="71">
        <v>-0.27329192546583847</v>
      </c>
      <c r="BD34" s="83" t="s">
        <v>40</v>
      </c>
      <c r="BE34" s="90" t="s">
        <v>40</v>
      </c>
      <c r="BF34" s="71">
        <v>0.15384615384615374</v>
      </c>
      <c r="BG34" s="83" t="s">
        <v>40</v>
      </c>
      <c r="BH34" s="71">
        <v>-0.18376068376068377</v>
      </c>
    </row>
    <row r="35" spans="1:60" ht="22.95" customHeight="1">
      <c r="A35" s="225" t="s">
        <v>273</v>
      </c>
      <c r="B35" s="23"/>
      <c r="C35" s="71"/>
      <c r="D35" s="71"/>
      <c r="E35" s="71"/>
      <c r="F35" s="71"/>
      <c r="G35" s="23"/>
      <c r="H35" s="71"/>
      <c r="I35" s="71"/>
      <c r="J35" s="71"/>
      <c r="K35" s="71"/>
      <c r="L35" s="23"/>
      <c r="M35" s="71"/>
      <c r="N35" s="71"/>
      <c r="O35" s="71"/>
      <c r="P35" s="71"/>
      <c r="Q35" s="23"/>
      <c r="R35" s="71"/>
      <c r="S35" s="71"/>
      <c r="T35" s="71"/>
      <c r="U35" s="71"/>
      <c r="V35" s="23"/>
      <c r="W35" s="71"/>
      <c r="X35" s="71"/>
      <c r="Y35" s="71"/>
      <c r="Z35" s="71"/>
      <c r="AA35" s="23"/>
      <c r="AB35" s="71"/>
      <c r="AC35" s="71"/>
      <c r="AD35" s="71"/>
      <c r="AE35" s="71"/>
      <c r="AF35" s="63">
        <v>1759.75</v>
      </c>
      <c r="AG35" s="71"/>
      <c r="AH35" s="71"/>
      <c r="AI35" s="71"/>
      <c r="AJ35" s="71"/>
      <c r="AK35" s="63">
        <v>1671.5</v>
      </c>
      <c r="AL35" s="71"/>
      <c r="AM35" s="71"/>
      <c r="AN35" s="71"/>
      <c r="AO35" s="71"/>
      <c r="AP35" s="63">
        <v>1649.75</v>
      </c>
      <c r="AQ35" s="220">
        <v>291.75</v>
      </c>
      <c r="AR35" s="220">
        <v>368</v>
      </c>
      <c r="AS35" s="220">
        <v>374.5</v>
      </c>
      <c r="AT35" s="220">
        <v>209.75</v>
      </c>
      <c r="AU35" s="63">
        <v>1244</v>
      </c>
      <c r="AV35" s="220">
        <v>346.96</v>
      </c>
      <c r="AW35" s="220">
        <v>357.24</v>
      </c>
      <c r="AX35" s="220">
        <v>304.52</v>
      </c>
      <c r="AY35" s="220">
        <v>298.83999999999997</v>
      </c>
      <c r="AZ35" s="63">
        <v>1307.56</v>
      </c>
      <c r="BA35" s="220">
        <v>277.70999999999998</v>
      </c>
      <c r="BB35" s="220">
        <v>259.68</v>
      </c>
      <c r="BC35" s="220">
        <v>238.62</v>
      </c>
      <c r="BD35" s="182">
        <v>207.17000000000007</v>
      </c>
      <c r="BE35" s="63">
        <v>983.18000000000006</v>
      </c>
      <c r="BF35" s="220">
        <v>280.75</v>
      </c>
      <c r="BG35" s="182">
        <v>225.22000000000003</v>
      </c>
      <c r="BH35" s="182">
        <v>221.03</v>
      </c>
    </row>
    <row r="36" spans="1:60" s="35" customFormat="1" ht="16.95" customHeight="1">
      <c r="A36" s="67" t="s">
        <v>199</v>
      </c>
      <c r="B36" s="63">
        <f>B12+B20</f>
        <v>3830</v>
      </c>
      <c r="C36" s="75">
        <f>C12+C20</f>
        <v>1009</v>
      </c>
      <c r="D36" s="75">
        <f>D12+D20</f>
        <v>1133</v>
      </c>
      <c r="E36" s="75">
        <f>E12+E20</f>
        <v>1140</v>
      </c>
      <c r="F36" s="68">
        <f>G36-E36-D36-C36</f>
        <v>816</v>
      </c>
      <c r="G36" s="63">
        <f>G12+G20</f>
        <v>4098</v>
      </c>
      <c r="H36" s="75">
        <f>H12+H20</f>
        <v>1170</v>
      </c>
      <c r="I36" s="75">
        <f>I12+I20</f>
        <v>1195</v>
      </c>
      <c r="J36" s="75">
        <f>J12+J20</f>
        <v>1236</v>
      </c>
      <c r="K36" s="68">
        <f>L36-J36-I36-H36</f>
        <v>856</v>
      </c>
      <c r="L36" s="63">
        <f>L12+L20</f>
        <v>4457</v>
      </c>
      <c r="M36" s="75">
        <f>M12+M20</f>
        <v>1217</v>
      </c>
      <c r="N36" s="75">
        <f>N12+N20</f>
        <v>1338</v>
      </c>
      <c r="O36" s="75">
        <f>O12+O20</f>
        <v>1329</v>
      </c>
      <c r="P36" s="68">
        <f>Q36-O36-N36-M36</f>
        <v>1269</v>
      </c>
      <c r="Q36" s="63">
        <f>Q12+Q20</f>
        <v>5153</v>
      </c>
      <c r="R36" s="75">
        <f>R12+R20</f>
        <v>1000</v>
      </c>
      <c r="S36" s="75">
        <f>S12+S20</f>
        <v>1283</v>
      </c>
      <c r="T36" s="75">
        <f>T12+T20</f>
        <v>1301</v>
      </c>
      <c r="U36" s="68">
        <f>V36-T36-S36-R36</f>
        <v>1066</v>
      </c>
      <c r="V36" s="63">
        <v>4650</v>
      </c>
      <c r="W36" s="75">
        <v>1208</v>
      </c>
      <c r="X36" s="75">
        <v>1104</v>
      </c>
      <c r="Y36" s="75">
        <v>1026</v>
      </c>
      <c r="Z36" s="68">
        <v>1139</v>
      </c>
      <c r="AA36" s="63">
        <v>4477</v>
      </c>
      <c r="AB36" s="75">
        <v>1089</v>
      </c>
      <c r="AC36" s="75">
        <v>1070</v>
      </c>
      <c r="AD36" s="75">
        <v>1050</v>
      </c>
      <c r="AE36" s="68">
        <v>921</v>
      </c>
      <c r="AF36" s="63">
        <v>4130</v>
      </c>
      <c r="AG36" s="75">
        <v>1002</v>
      </c>
      <c r="AH36" s="75">
        <v>1553</v>
      </c>
      <c r="AI36" s="75">
        <v>998</v>
      </c>
      <c r="AJ36" s="68">
        <v>954</v>
      </c>
      <c r="AK36" s="63">
        <v>4507</v>
      </c>
      <c r="AL36" s="75">
        <v>953</v>
      </c>
      <c r="AM36" s="75">
        <v>1245</v>
      </c>
      <c r="AN36" s="75">
        <v>1109</v>
      </c>
      <c r="AO36" s="68">
        <v>947</v>
      </c>
      <c r="AP36" s="63">
        <v>4254</v>
      </c>
      <c r="AQ36" s="75">
        <v>1023</v>
      </c>
      <c r="AR36" s="75">
        <v>1056</v>
      </c>
      <c r="AS36" s="75">
        <v>1041</v>
      </c>
      <c r="AT36" s="68">
        <v>940</v>
      </c>
      <c r="AU36" s="63">
        <v>4060</v>
      </c>
      <c r="AV36" s="75">
        <v>994</v>
      </c>
      <c r="AW36" s="75">
        <v>997</v>
      </c>
      <c r="AX36" s="75">
        <v>980</v>
      </c>
      <c r="AY36" s="68">
        <v>854</v>
      </c>
      <c r="AZ36" s="63">
        <v>3825</v>
      </c>
      <c r="BA36" s="75">
        <v>987</v>
      </c>
      <c r="BB36" s="75">
        <v>908</v>
      </c>
      <c r="BC36" s="75">
        <v>976</v>
      </c>
      <c r="BD36" s="182">
        <v>-1230</v>
      </c>
      <c r="BE36" s="63">
        <v>1641</v>
      </c>
      <c r="BF36" s="75">
        <v>977</v>
      </c>
      <c r="BG36" s="75">
        <v>384</v>
      </c>
      <c r="BH36" s="75">
        <v>940</v>
      </c>
    </row>
    <row r="37" spans="1:60" ht="10.199999999999999" customHeight="1">
      <c r="A37" s="69" t="s">
        <v>7</v>
      </c>
      <c r="B37" s="23"/>
      <c r="C37" s="70"/>
      <c r="D37" s="70">
        <f>D36/C36-1</f>
        <v>0.12289395441030715</v>
      </c>
      <c r="E37" s="70">
        <f>E36/D36-1</f>
        <v>6.1782877316858276E-3</v>
      </c>
      <c r="F37" s="70">
        <f>F36/E36-1</f>
        <v>-0.28421052631578947</v>
      </c>
      <c r="G37" s="23"/>
      <c r="H37" s="70">
        <f>H36/F36-1</f>
        <v>0.43382352941176472</v>
      </c>
      <c r="I37" s="70">
        <f>I36/H36-1</f>
        <v>2.1367521367521292E-2</v>
      </c>
      <c r="J37" s="70">
        <f>J36/I36-1</f>
        <v>3.4309623430962333E-2</v>
      </c>
      <c r="K37" s="70">
        <f>K36/J36-1</f>
        <v>-0.30744336569579289</v>
      </c>
      <c r="L37" s="23"/>
      <c r="M37" s="70">
        <f>M36/K36-1</f>
        <v>0.42172897196261672</v>
      </c>
      <c r="N37" s="70">
        <f>N36/M36-1</f>
        <v>9.9424815119145471E-2</v>
      </c>
      <c r="O37" s="70">
        <f>O36/N36-1</f>
        <v>-6.7264573991031584E-3</v>
      </c>
      <c r="P37" s="70">
        <f>P36/O36-1</f>
        <v>-4.5146726862302478E-2</v>
      </c>
      <c r="Q37" s="23"/>
      <c r="R37" s="70">
        <f>R36/P36-1</f>
        <v>-0.21197793538219067</v>
      </c>
      <c r="S37" s="70">
        <f>S36/R36-1</f>
        <v>0.28299999999999992</v>
      </c>
      <c r="T37" s="70">
        <f>T36/S36-1</f>
        <v>1.4029618082618933E-2</v>
      </c>
      <c r="U37" s="70">
        <f>U36/T36-1</f>
        <v>-0.18063028439661799</v>
      </c>
      <c r="V37" s="23"/>
      <c r="W37" s="70">
        <v>0.13320825515947465</v>
      </c>
      <c r="X37" s="70">
        <v>-8.6092715231788075E-2</v>
      </c>
      <c r="Y37" s="70">
        <v>-7.0652173913043459E-2</v>
      </c>
      <c r="Z37" s="70">
        <v>0.11013645224171542</v>
      </c>
      <c r="AA37" s="23"/>
      <c r="AB37" s="70">
        <v>-4.3898156277436318E-2</v>
      </c>
      <c r="AC37" s="70">
        <v>-1.7447199265381075E-2</v>
      </c>
      <c r="AD37" s="70">
        <v>-1.8691588785046731E-2</v>
      </c>
      <c r="AE37" s="70">
        <v>-0.12285714285714289</v>
      </c>
      <c r="AF37" s="23"/>
      <c r="AG37" s="70">
        <v>8.7947882736156391E-2</v>
      </c>
      <c r="AH37" s="70">
        <v>0.54990019960079839</v>
      </c>
      <c r="AI37" s="70">
        <v>-0.35737282678686411</v>
      </c>
      <c r="AJ37" s="70">
        <v>-4.4088176352705455E-2</v>
      </c>
      <c r="AK37" s="23"/>
      <c r="AL37" s="70">
        <v>-1.0482180293500676E-3</v>
      </c>
      <c r="AM37" s="70">
        <v>0.3064008394543547</v>
      </c>
      <c r="AN37" s="70">
        <v>-0.10923694779116466</v>
      </c>
      <c r="AO37" s="70">
        <v>-0.14607754733994593</v>
      </c>
      <c r="AP37" s="23"/>
      <c r="AQ37" s="70">
        <v>8.0253431890179527E-2</v>
      </c>
      <c r="AR37" s="70">
        <v>3.2258064516129004E-2</v>
      </c>
      <c r="AS37" s="70">
        <v>-1.4204545454545414E-2</v>
      </c>
      <c r="AT37" s="70">
        <v>-9.7022094140249759E-2</v>
      </c>
      <c r="AU37" s="23"/>
      <c r="AV37" s="70">
        <v>5.7446808510638325E-2</v>
      </c>
      <c r="AW37" s="70">
        <v>3.0181086519114331E-3</v>
      </c>
      <c r="AX37" s="70">
        <v>-1.7051153460381108E-2</v>
      </c>
      <c r="AY37" s="70">
        <v>-0.12857142857142856</v>
      </c>
      <c r="AZ37" s="23"/>
      <c r="BA37" s="70">
        <v>0.15573770491803285</v>
      </c>
      <c r="BB37" s="70">
        <v>-8.0040526849037508E-2</v>
      </c>
      <c r="BC37" s="70">
        <v>7.4889867841409608E-2</v>
      </c>
      <c r="BD37" s="83" t="s">
        <v>40</v>
      </c>
      <c r="BE37" s="23"/>
      <c r="BF37" s="83" t="s">
        <v>40</v>
      </c>
      <c r="BG37" s="70">
        <v>-0.60696008188331629</v>
      </c>
      <c r="BH37" s="70">
        <v>1.4479166666666665</v>
      </c>
    </row>
    <row r="38" spans="1:60" ht="10.199999999999999" customHeight="1">
      <c r="A38" s="69" t="s">
        <v>8</v>
      </c>
      <c r="B38" s="23"/>
      <c r="C38" s="71"/>
      <c r="D38" s="71"/>
      <c r="E38" s="71"/>
      <c r="F38" s="71"/>
      <c r="G38" s="23">
        <f t="shared" ref="G38:U38" si="25">G36/B36-1</f>
        <v>6.9973890339425582E-2</v>
      </c>
      <c r="H38" s="71">
        <f t="shared" si="25"/>
        <v>0.15956392467789882</v>
      </c>
      <c r="I38" s="71">
        <f t="shared" si="25"/>
        <v>5.4721977052074156E-2</v>
      </c>
      <c r="J38" s="71">
        <f t="shared" si="25"/>
        <v>8.4210526315789513E-2</v>
      </c>
      <c r="K38" s="71">
        <f t="shared" si="25"/>
        <v>4.9019607843137303E-2</v>
      </c>
      <c r="L38" s="23">
        <f t="shared" si="25"/>
        <v>8.7603709126403029E-2</v>
      </c>
      <c r="M38" s="71">
        <f t="shared" si="25"/>
        <v>4.017094017094025E-2</v>
      </c>
      <c r="N38" s="71">
        <f t="shared" si="25"/>
        <v>0.11966527196652721</v>
      </c>
      <c r="O38" s="71">
        <f t="shared" si="25"/>
        <v>7.5242718446602019E-2</v>
      </c>
      <c r="P38" s="71">
        <f t="shared" si="25"/>
        <v>0.48247663551401865</v>
      </c>
      <c r="Q38" s="23">
        <f t="shared" si="25"/>
        <v>0.15615885124523232</v>
      </c>
      <c r="R38" s="71">
        <f t="shared" si="25"/>
        <v>-0.17830731306491376</v>
      </c>
      <c r="S38" s="71">
        <f t="shared" si="25"/>
        <v>-4.1106128550074783E-2</v>
      </c>
      <c r="T38" s="71">
        <f t="shared" si="25"/>
        <v>-2.1068472535741178E-2</v>
      </c>
      <c r="U38" s="71">
        <f t="shared" si="25"/>
        <v>-0.1599684791174153</v>
      </c>
      <c r="V38" s="23">
        <v>-9.7613040947021168E-2</v>
      </c>
      <c r="W38" s="71">
        <v>0.20799999999999996</v>
      </c>
      <c r="X38" s="71">
        <v>-0.13951675759937643</v>
      </c>
      <c r="Y38" s="71">
        <v>-0.21137586471944658</v>
      </c>
      <c r="Z38" s="71">
        <v>6.8480300187617305E-2</v>
      </c>
      <c r="AA38" s="23">
        <v>-3.7204301075268842E-2</v>
      </c>
      <c r="AB38" s="71">
        <v>-9.8509933774834413E-2</v>
      </c>
      <c r="AC38" s="71">
        <v>-3.0797101449275388E-2</v>
      </c>
      <c r="AD38" s="71">
        <v>2.3391812865497075E-2</v>
      </c>
      <c r="AE38" s="71">
        <v>-0.19139596136962245</v>
      </c>
      <c r="AF38" s="23">
        <v>-7.7507259325441114E-2</v>
      </c>
      <c r="AG38" s="71">
        <v>-7.9889807162534465E-2</v>
      </c>
      <c r="AH38" s="71">
        <v>0.45140186915887859</v>
      </c>
      <c r="AI38" s="71">
        <v>-4.9523809523809526E-2</v>
      </c>
      <c r="AJ38" s="71">
        <v>3.5830618892508159E-2</v>
      </c>
      <c r="AK38" s="23">
        <v>9.1283292978208141E-2</v>
      </c>
      <c r="AL38" s="71">
        <v>-4.8902195608782395E-2</v>
      </c>
      <c r="AM38" s="71">
        <v>-0.1983258209916291</v>
      </c>
      <c r="AN38" s="71">
        <v>0.11122244488977961</v>
      </c>
      <c r="AO38" s="71">
        <v>-7.3375262054506951E-3</v>
      </c>
      <c r="AP38" s="23">
        <v>-5.6134901264699333E-2</v>
      </c>
      <c r="AQ38" s="71">
        <v>7.3452256033578189E-2</v>
      </c>
      <c r="AR38" s="71">
        <v>-0.15180722891566267</v>
      </c>
      <c r="AS38" s="71">
        <v>-6.131650135256983E-2</v>
      </c>
      <c r="AT38" s="71">
        <v>-7.3917634635691787E-3</v>
      </c>
      <c r="AU38" s="23">
        <v>-4.5604137282557633E-2</v>
      </c>
      <c r="AV38" s="71">
        <v>-2.8347996089931549E-2</v>
      </c>
      <c r="AW38" s="71">
        <v>-5.5871212121212155E-2</v>
      </c>
      <c r="AX38" s="71">
        <v>-5.8597502401536938E-2</v>
      </c>
      <c r="AY38" s="71">
        <v>-9.1489361702127625E-2</v>
      </c>
      <c r="AZ38" s="23">
        <v>-5.7881773399014791E-2</v>
      </c>
      <c r="BA38" s="71">
        <v>-7.0422535211267512E-3</v>
      </c>
      <c r="BB38" s="71">
        <v>-8.9267803410230662E-2</v>
      </c>
      <c r="BC38" s="71">
        <v>-4.0816326530612734E-3</v>
      </c>
      <c r="BD38" s="83" t="s">
        <v>40</v>
      </c>
      <c r="BE38" s="23">
        <v>-0.5709803921568628</v>
      </c>
      <c r="BF38" s="71">
        <v>-1.0131712259371817E-2</v>
      </c>
      <c r="BG38" s="71">
        <v>-0.5770925110132159</v>
      </c>
      <c r="BH38" s="71">
        <v>-3.688524590163933E-2</v>
      </c>
    </row>
    <row r="39" spans="1:60" ht="24">
      <c r="A39" s="87" t="s">
        <v>272</v>
      </c>
      <c r="B39" s="174">
        <f>B36+B18</f>
        <v>3869</v>
      </c>
      <c r="C39" s="71"/>
      <c r="D39" s="71"/>
      <c r="E39" s="71"/>
      <c r="F39" s="71"/>
      <c r="G39" s="174">
        <f>G36+G18</f>
        <v>4194</v>
      </c>
      <c r="H39" s="75"/>
      <c r="I39" s="75"/>
      <c r="J39" s="75"/>
      <c r="K39" s="182"/>
      <c r="L39" s="174">
        <f>L36+L18</f>
        <v>4658</v>
      </c>
      <c r="M39" s="75">
        <f t="shared" ref="M39:O39" si="26">M36+M18</f>
        <v>1192</v>
      </c>
      <c r="N39" s="75">
        <f t="shared" si="26"/>
        <v>1268</v>
      </c>
      <c r="O39" s="75">
        <f t="shared" si="26"/>
        <v>1270</v>
      </c>
      <c r="P39" s="182">
        <f>Q39-O39-N39-M39</f>
        <v>1207</v>
      </c>
      <c r="Q39" s="174">
        <f>Q36+Q18</f>
        <v>4937</v>
      </c>
      <c r="R39" s="75">
        <f t="shared" ref="R39:T39" si="27">R36+R18</f>
        <v>1250</v>
      </c>
      <c r="S39" s="75">
        <f t="shared" si="27"/>
        <v>1221</v>
      </c>
      <c r="T39" s="75">
        <f t="shared" si="27"/>
        <v>1195</v>
      </c>
      <c r="U39" s="182">
        <f>V39-T39-S39-R39</f>
        <v>1123</v>
      </c>
      <c r="V39" s="174">
        <v>4789</v>
      </c>
      <c r="W39" s="75">
        <v>1185</v>
      </c>
      <c r="X39" s="75">
        <v>1121</v>
      </c>
      <c r="Y39" s="75">
        <v>1020</v>
      </c>
      <c r="Z39" s="182">
        <v>1137</v>
      </c>
      <c r="AA39" s="174">
        <v>4463</v>
      </c>
      <c r="AB39" s="75">
        <v>1017</v>
      </c>
      <c r="AC39" s="75">
        <v>1052</v>
      </c>
      <c r="AD39" s="75">
        <v>1044</v>
      </c>
      <c r="AE39" s="182">
        <v>1002</v>
      </c>
      <c r="AF39" s="174">
        <v>4115</v>
      </c>
      <c r="AG39" s="75">
        <v>994</v>
      </c>
      <c r="AH39" s="75">
        <v>985</v>
      </c>
      <c r="AI39" s="75">
        <v>973</v>
      </c>
      <c r="AJ39" s="182">
        <v>969</v>
      </c>
      <c r="AK39" s="174">
        <v>3921</v>
      </c>
      <c r="AL39" s="75">
        <v>936</v>
      </c>
      <c r="AM39" s="75">
        <v>1104</v>
      </c>
      <c r="AN39" s="75">
        <v>1096</v>
      </c>
      <c r="AO39" s="182">
        <v>1023</v>
      </c>
      <c r="AP39" s="174">
        <v>4159</v>
      </c>
      <c r="AQ39" s="75">
        <v>1028</v>
      </c>
      <c r="AR39" s="75">
        <v>1044</v>
      </c>
      <c r="AS39" s="75">
        <v>1015</v>
      </c>
      <c r="AT39" s="182">
        <v>973</v>
      </c>
      <c r="AU39" s="174">
        <v>4060</v>
      </c>
      <c r="AV39" s="75">
        <v>990</v>
      </c>
      <c r="AW39" s="75">
        <v>996</v>
      </c>
      <c r="AX39" s="75">
        <v>957</v>
      </c>
      <c r="AY39" s="182">
        <v>950</v>
      </c>
      <c r="AZ39" s="174">
        <v>3893</v>
      </c>
      <c r="BA39" s="75">
        <v>1010</v>
      </c>
      <c r="BB39" s="75">
        <v>992</v>
      </c>
      <c r="BC39" s="75">
        <v>992</v>
      </c>
      <c r="BD39" s="182">
        <v>956</v>
      </c>
      <c r="BE39" s="174">
        <v>3950</v>
      </c>
      <c r="BF39" s="75">
        <v>952</v>
      </c>
      <c r="BG39" s="75">
        <v>921</v>
      </c>
      <c r="BH39" s="75">
        <v>979</v>
      </c>
    </row>
    <row r="40" spans="1:60" ht="10.95" customHeight="1">
      <c r="A40" s="69" t="s">
        <v>7</v>
      </c>
      <c r="B40" s="23"/>
      <c r="C40" s="71"/>
      <c r="D40" s="71"/>
      <c r="E40" s="71"/>
      <c r="F40" s="71"/>
      <c r="G40" s="23"/>
      <c r="H40" s="71"/>
      <c r="I40" s="71"/>
      <c r="J40" s="71"/>
      <c r="K40" s="71"/>
      <c r="L40" s="23"/>
      <c r="M40" s="71"/>
      <c r="N40" s="71"/>
      <c r="O40" s="71"/>
      <c r="P40" s="71"/>
      <c r="Q40" s="23"/>
      <c r="R40" s="71"/>
      <c r="S40" s="71"/>
      <c r="T40" s="71"/>
      <c r="U40" s="71"/>
      <c r="V40" s="23"/>
      <c r="W40" s="71"/>
      <c r="X40" s="71"/>
      <c r="Y40" s="71"/>
      <c r="Z40" s="71"/>
      <c r="AA40" s="23"/>
      <c r="AB40" s="71"/>
      <c r="AC40" s="71"/>
      <c r="AD40" s="71"/>
      <c r="AE40" s="71"/>
      <c r="AF40" s="23"/>
      <c r="AG40" s="70">
        <v>-7.9840319361277334E-3</v>
      </c>
      <c r="AH40" s="70">
        <v>-9.0543259557344102E-3</v>
      </c>
      <c r="AI40" s="70">
        <v>-1.2182741116751217E-2</v>
      </c>
      <c r="AJ40" s="70">
        <v>-4.1109969167523186E-3</v>
      </c>
      <c r="AK40" s="23"/>
      <c r="AL40" s="70">
        <v>-3.4055727554179516E-2</v>
      </c>
      <c r="AM40" s="70">
        <v>0.17948717948717952</v>
      </c>
      <c r="AN40" s="70">
        <v>-7.2463768115942351E-3</v>
      </c>
      <c r="AO40" s="70">
        <v>-6.6605839416058354E-2</v>
      </c>
      <c r="AP40" s="23"/>
      <c r="AQ40" s="70">
        <v>4.8875855327468187E-3</v>
      </c>
      <c r="AR40" s="70">
        <v>1.5564202334630295E-2</v>
      </c>
      <c r="AS40" s="70">
        <v>-2.777777777777779E-2</v>
      </c>
      <c r="AT40" s="70">
        <v>-4.1379310344827558E-2</v>
      </c>
      <c r="AU40" s="23"/>
      <c r="AV40" s="70">
        <v>1.747173689619741E-2</v>
      </c>
      <c r="AW40" s="70">
        <v>6.0606060606060996E-3</v>
      </c>
      <c r="AX40" s="70">
        <v>-3.9156626506024139E-2</v>
      </c>
      <c r="AY40" s="70">
        <v>-7.3145245559038674E-3</v>
      </c>
      <c r="AZ40" s="23"/>
      <c r="BA40" s="70">
        <v>6.315789473684208E-2</v>
      </c>
      <c r="BB40" s="70">
        <v>-1.7821782178217838E-2</v>
      </c>
      <c r="BC40" s="70">
        <v>0</v>
      </c>
      <c r="BD40" s="83" t="s">
        <v>40</v>
      </c>
      <c r="BE40" s="23"/>
      <c r="BF40" s="70">
        <v>-4.1841004184099972E-3</v>
      </c>
      <c r="BG40" s="70">
        <v>-3.2563025210084029E-2</v>
      </c>
      <c r="BH40" s="70">
        <v>6.297502714440828E-2</v>
      </c>
    </row>
    <row r="41" spans="1:60" ht="10.95" customHeight="1">
      <c r="A41" s="69" t="s">
        <v>8</v>
      </c>
      <c r="B41" s="23"/>
      <c r="C41" s="71"/>
      <c r="D41" s="71"/>
      <c r="E41" s="71"/>
      <c r="F41" s="71"/>
      <c r="G41" s="23"/>
      <c r="H41" s="71"/>
      <c r="I41" s="71"/>
      <c r="J41" s="71"/>
      <c r="K41" s="71"/>
      <c r="L41" s="23"/>
      <c r="M41" s="71"/>
      <c r="N41" s="71"/>
      <c r="O41" s="71"/>
      <c r="P41" s="71"/>
      <c r="Q41" s="23"/>
      <c r="R41" s="71"/>
      <c r="S41" s="71"/>
      <c r="T41" s="71"/>
      <c r="U41" s="71"/>
      <c r="V41" s="23"/>
      <c r="W41" s="71"/>
      <c r="X41" s="71"/>
      <c r="Y41" s="71"/>
      <c r="Z41" s="71"/>
      <c r="AA41" s="23"/>
      <c r="AB41" s="71"/>
      <c r="AC41" s="71"/>
      <c r="AD41" s="71"/>
      <c r="AE41" s="71"/>
      <c r="AF41" s="23">
        <v>-7.7974456643513324E-2</v>
      </c>
      <c r="AG41" s="71">
        <v>-2.2615535889872196E-2</v>
      </c>
      <c r="AH41" s="71">
        <v>-6.3688212927756616E-2</v>
      </c>
      <c r="AI41" s="71">
        <v>-6.8007662835249061E-2</v>
      </c>
      <c r="AJ41" s="71">
        <v>-3.2934131736526928E-2</v>
      </c>
      <c r="AK41" s="23">
        <v>-4.7144592952612419E-2</v>
      </c>
      <c r="AL41" s="71">
        <v>-5.835010060362178E-2</v>
      </c>
      <c r="AM41" s="71">
        <v>0.12081218274111682</v>
      </c>
      <c r="AN41" s="71">
        <v>0.12641315519013352</v>
      </c>
      <c r="AO41" s="71">
        <v>5.5727554179566541E-2</v>
      </c>
      <c r="AP41" s="23">
        <v>6.0698801326192209E-2</v>
      </c>
      <c r="AQ41" s="71">
        <v>9.8290598290598385E-2</v>
      </c>
      <c r="AR41" s="71">
        <v>-5.4347826086956541E-2</v>
      </c>
      <c r="AS41" s="71">
        <v>-7.3905109489051046E-2</v>
      </c>
      <c r="AT41" s="71">
        <v>-4.8875855327468187E-2</v>
      </c>
      <c r="AU41" s="23">
        <v>-2.3803798990141845E-2</v>
      </c>
      <c r="AV41" s="71">
        <v>-3.6964980544747061E-2</v>
      </c>
      <c r="AW41" s="71">
        <v>-4.5977011494252928E-2</v>
      </c>
      <c r="AX41" s="71">
        <v>-5.7142857142857162E-2</v>
      </c>
      <c r="AY41" s="71">
        <v>-2.3638232271325776E-2</v>
      </c>
      <c r="AZ41" s="23">
        <v>-4.1133004926108385E-2</v>
      </c>
      <c r="BA41" s="71">
        <v>2.020202020202011E-2</v>
      </c>
      <c r="BB41" s="71">
        <v>-4.0160642570281624E-3</v>
      </c>
      <c r="BC41" s="71">
        <v>3.6572622779519337E-2</v>
      </c>
      <c r="BD41" s="83" t="s">
        <v>40</v>
      </c>
      <c r="BE41" s="23">
        <v>1.4641664526072518E-2</v>
      </c>
      <c r="BF41" s="71">
        <v>-5.7425742574257477E-2</v>
      </c>
      <c r="BG41" s="71">
        <v>-7.1572580645161255E-2</v>
      </c>
      <c r="BH41" s="71">
        <v>-1.310483870967738E-2</v>
      </c>
    </row>
    <row r="42" spans="1:60" hidden="1">
      <c r="A42" s="67" t="s">
        <v>29</v>
      </c>
      <c r="B42" s="62">
        <v>0.51</v>
      </c>
      <c r="C42" s="72">
        <v>0.15</v>
      </c>
      <c r="D42" s="72">
        <v>0.17</v>
      </c>
      <c r="E42" s="72">
        <v>0.18</v>
      </c>
      <c r="F42" s="73">
        <f>G42-E42-D42-C42</f>
        <v>0.12000000000000002</v>
      </c>
      <c r="G42" s="62">
        <v>0.62</v>
      </c>
      <c r="H42" s="72">
        <v>0.23</v>
      </c>
      <c r="I42" s="72">
        <v>0.21</v>
      </c>
      <c r="J42" s="72">
        <v>0.79</v>
      </c>
      <c r="K42" s="73">
        <f>L42-J42-I42-H42</f>
        <v>0.13701858018376797</v>
      </c>
      <c r="L42" s="62">
        <f>3602772/2635496</f>
        <v>1.367018580183768</v>
      </c>
      <c r="M42" s="72">
        <f>641531016/2663427674</f>
        <v>0.24086669304465597</v>
      </c>
      <c r="N42" s="72">
        <v>0.24</v>
      </c>
      <c r="O42" s="73">
        <v>0.22</v>
      </c>
      <c r="P42" s="72">
        <v>0.21</v>
      </c>
      <c r="Q42" s="62">
        <v>0.91</v>
      </c>
      <c r="R42" s="72">
        <v>0.15</v>
      </c>
      <c r="S42" s="72">
        <v>0.22</v>
      </c>
      <c r="T42" s="73">
        <v>0.2</v>
      </c>
      <c r="U42" s="73">
        <f>V42-T42-S42-R42</f>
        <v>0.20000000000000009</v>
      </c>
      <c r="V42" s="62">
        <v>0.77</v>
      </c>
      <c r="W42" s="72">
        <v>0.21</v>
      </c>
      <c r="X42" s="72">
        <v>0.15</v>
      </c>
      <c r="Y42" s="72">
        <v>0.13</v>
      </c>
      <c r="Z42" s="73">
        <v>0.19000000000000003</v>
      </c>
      <c r="AA42" s="62">
        <v>0.68</v>
      </c>
      <c r="AB42" s="72">
        <v>0.18</v>
      </c>
      <c r="AC42" s="72">
        <v>0.17</v>
      </c>
      <c r="AD42" s="72">
        <v>0.16</v>
      </c>
      <c r="AE42" s="73">
        <v>0.13</v>
      </c>
      <c r="AF42" s="62">
        <v>0.65</v>
      </c>
      <c r="AG42" s="72">
        <v>0.17</v>
      </c>
      <c r="AH42" s="72">
        <v>0.3</v>
      </c>
      <c r="AI42" s="72">
        <v>0.16</v>
      </c>
      <c r="AJ42" s="73">
        <v>0.15</v>
      </c>
      <c r="AK42" s="62">
        <v>0.77</v>
      </c>
      <c r="AL42" s="72">
        <v>0.17</v>
      </c>
      <c r="AM42" s="72">
        <v>0.18</v>
      </c>
      <c r="AN42" s="72">
        <v>0.15</v>
      </c>
      <c r="AO42" s="73">
        <v>0.12999999999999998</v>
      </c>
      <c r="AP42" s="62">
        <v>0.63</v>
      </c>
      <c r="AQ42" s="72">
        <v>0.1</v>
      </c>
      <c r="AR42" s="72">
        <v>0.14000000000000001</v>
      </c>
      <c r="AS42" s="72">
        <v>0.14000000000000001</v>
      </c>
      <c r="AT42" s="73">
        <v>6.9999999999999979E-2</v>
      </c>
      <c r="AU42" s="62">
        <v>0.45</v>
      </c>
      <c r="AV42" s="72"/>
      <c r="AW42" s="72"/>
      <c r="AX42" s="72"/>
      <c r="AY42" s="73"/>
      <c r="AZ42" s="62"/>
      <c r="BA42" s="72"/>
      <c r="BB42" s="72"/>
      <c r="BC42" s="72"/>
      <c r="BD42" s="73"/>
      <c r="BE42" s="62"/>
      <c r="BF42" s="72"/>
      <c r="BG42" s="72"/>
      <c r="BH42" s="72"/>
    </row>
    <row r="43" spans="1:60" hidden="1">
      <c r="A43" s="67" t="s">
        <v>258</v>
      </c>
      <c r="B43" s="62"/>
      <c r="C43" s="72"/>
      <c r="D43" s="72"/>
      <c r="E43" s="72"/>
      <c r="F43" s="73"/>
      <c r="G43" s="62"/>
      <c r="H43" s="72"/>
      <c r="I43" s="72"/>
      <c r="J43" s="72"/>
      <c r="K43" s="73"/>
      <c r="L43" s="62"/>
      <c r="M43" s="72"/>
      <c r="N43" s="72"/>
      <c r="O43" s="73"/>
      <c r="P43" s="72"/>
      <c r="Q43" s="62"/>
      <c r="R43" s="72"/>
      <c r="S43" s="72"/>
      <c r="T43" s="73"/>
      <c r="U43" s="73"/>
      <c r="V43" s="62"/>
      <c r="W43" s="72"/>
      <c r="X43" s="72"/>
      <c r="Y43" s="72"/>
      <c r="Z43" s="73"/>
      <c r="AA43" s="62"/>
      <c r="AB43" s="72"/>
      <c r="AC43" s="72"/>
      <c r="AD43" s="72"/>
      <c r="AE43" s="73"/>
      <c r="AF43" s="62"/>
      <c r="AG43" s="72"/>
      <c r="AH43" s="72"/>
      <c r="AI43" s="72"/>
      <c r="AJ43" s="73"/>
      <c r="AK43" s="62"/>
      <c r="AL43" s="72"/>
      <c r="AM43" s="72"/>
      <c r="AN43" s="72"/>
      <c r="AO43" s="73"/>
      <c r="AP43" s="62"/>
      <c r="AQ43" s="72"/>
      <c r="AR43" s="72"/>
      <c r="AS43" s="72"/>
      <c r="AT43" s="73"/>
      <c r="AU43" s="62"/>
      <c r="AV43" s="72"/>
      <c r="AW43" s="72"/>
      <c r="AX43" s="72"/>
      <c r="AY43" s="73"/>
      <c r="AZ43" s="62"/>
      <c r="BA43" s="75">
        <v>885</v>
      </c>
      <c r="BB43" s="75">
        <v>806</v>
      </c>
      <c r="BC43" s="75">
        <v>871</v>
      </c>
      <c r="BD43" s="182">
        <v>-1333</v>
      </c>
      <c r="BE43" s="63">
        <v>1229</v>
      </c>
      <c r="BF43" s="75"/>
      <c r="BG43" s="75"/>
      <c r="BH43" s="75"/>
    </row>
    <row r="44" spans="1:60" ht="9.6" hidden="1" customHeight="1">
      <c r="A44" s="67"/>
      <c r="B44" s="62"/>
      <c r="C44" s="72"/>
      <c r="D44" s="72"/>
      <c r="E44" s="72"/>
      <c r="F44" s="73"/>
      <c r="G44" s="62"/>
      <c r="H44" s="72"/>
      <c r="I44" s="72"/>
      <c r="J44" s="72"/>
      <c r="K44" s="73"/>
      <c r="L44" s="62"/>
      <c r="M44" s="72"/>
      <c r="N44" s="72"/>
      <c r="O44" s="73"/>
      <c r="P44" s="72"/>
      <c r="Q44" s="62"/>
      <c r="R44" s="72"/>
      <c r="S44" s="72"/>
      <c r="T44" s="73"/>
      <c r="U44" s="73"/>
      <c r="V44" s="62"/>
      <c r="W44" s="72"/>
      <c r="X44" s="72"/>
      <c r="Y44" s="72"/>
      <c r="Z44" s="73"/>
      <c r="AA44" s="62"/>
      <c r="AB44" s="72"/>
      <c r="AC44" s="72"/>
      <c r="AD44" s="72"/>
      <c r="AE44" s="73"/>
      <c r="AF44" s="62"/>
      <c r="AG44" s="72"/>
      <c r="AH44" s="72"/>
      <c r="AI44" s="72"/>
      <c r="AJ44" s="73"/>
      <c r="AK44" s="62"/>
      <c r="AL44" s="72"/>
      <c r="AM44" s="72"/>
      <c r="AN44" s="72"/>
      <c r="AO44" s="73"/>
      <c r="AP44" s="62"/>
      <c r="AQ44" s="72"/>
      <c r="AR44" s="72"/>
      <c r="AS44" s="72"/>
      <c r="AT44" s="73"/>
      <c r="AU44" s="62"/>
      <c r="AV44" s="72"/>
      <c r="AW44" s="72"/>
      <c r="AX44" s="72"/>
      <c r="AY44" s="73"/>
      <c r="AZ44" s="62"/>
      <c r="BA44" s="75"/>
      <c r="BB44" s="72"/>
      <c r="BC44" s="72"/>
      <c r="BD44" s="73"/>
      <c r="BE44" s="62"/>
      <c r="BF44" s="75"/>
      <c r="BG44" s="75"/>
      <c r="BH44" s="75"/>
    </row>
    <row r="45" spans="1:60" ht="26.4" hidden="1">
      <c r="A45" s="87" t="s">
        <v>269</v>
      </c>
      <c r="B45" s="63">
        <f>B36+B18</f>
        <v>3869</v>
      </c>
      <c r="C45" s="78" t="s">
        <v>49</v>
      </c>
      <c r="D45" s="78" t="s">
        <v>49</v>
      </c>
      <c r="E45" s="78" t="s">
        <v>49</v>
      </c>
      <c r="F45" s="78" t="s">
        <v>49</v>
      </c>
      <c r="G45" s="63">
        <f>G36+G18</f>
        <v>4194</v>
      </c>
      <c r="H45" s="78" t="s">
        <v>49</v>
      </c>
      <c r="I45" s="78" t="s">
        <v>49</v>
      </c>
      <c r="J45" s="78" t="s">
        <v>49</v>
      </c>
      <c r="K45" s="78" t="s">
        <v>49</v>
      </c>
      <c r="L45" s="63">
        <f>L36+L18</f>
        <v>4658</v>
      </c>
      <c r="M45" s="68">
        <f>M36+M18</f>
        <v>1192</v>
      </c>
      <c r="N45" s="68">
        <f>N36+N18</f>
        <v>1268</v>
      </c>
      <c r="O45" s="68">
        <f>O36+O18</f>
        <v>1270</v>
      </c>
      <c r="P45" s="68">
        <f>Q45-O45-N45-M45</f>
        <v>1207</v>
      </c>
      <c r="Q45" s="63">
        <f>Q36+Q18</f>
        <v>4937</v>
      </c>
      <c r="R45" s="68">
        <f>R36+R18</f>
        <v>1250</v>
      </c>
      <c r="S45" s="68">
        <f>S36+S18</f>
        <v>1221</v>
      </c>
      <c r="T45" s="68">
        <f>T36+T18</f>
        <v>1195</v>
      </c>
      <c r="U45" s="68">
        <f>V45-T45-S45-R45</f>
        <v>1123</v>
      </c>
      <c r="V45" s="63">
        <v>4789</v>
      </c>
      <c r="W45" s="68">
        <v>1185</v>
      </c>
      <c r="X45" s="68">
        <v>1121</v>
      </c>
      <c r="Y45" s="68">
        <v>1020</v>
      </c>
      <c r="Z45" s="68">
        <v>1137</v>
      </c>
      <c r="AA45" s="63">
        <v>4463</v>
      </c>
      <c r="AB45" s="68">
        <v>1017</v>
      </c>
      <c r="AC45" s="68">
        <v>1052</v>
      </c>
      <c r="AD45" s="68">
        <v>1044</v>
      </c>
      <c r="AE45" s="68">
        <v>1002</v>
      </c>
      <c r="AF45" s="63">
        <v>4115</v>
      </c>
      <c r="AG45" s="68">
        <v>994</v>
      </c>
      <c r="AH45" s="68">
        <v>985</v>
      </c>
      <c r="AI45" s="68">
        <v>973</v>
      </c>
      <c r="AJ45" s="68">
        <v>969</v>
      </c>
      <c r="AK45" s="63">
        <v>3921</v>
      </c>
      <c r="AL45" s="68">
        <v>936</v>
      </c>
      <c r="AM45" s="68">
        <v>1104</v>
      </c>
      <c r="AN45" s="68">
        <v>1096</v>
      </c>
      <c r="AO45" s="68">
        <v>1023</v>
      </c>
      <c r="AP45" s="63">
        <v>4159</v>
      </c>
      <c r="AQ45" s="68">
        <v>1028</v>
      </c>
      <c r="AR45" s="68">
        <v>1044</v>
      </c>
      <c r="AS45" s="68">
        <v>1015</v>
      </c>
      <c r="AT45" s="68">
        <v>973</v>
      </c>
      <c r="AU45" s="63">
        <v>4060</v>
      </c>
      <c r="AV45" s="68">
        <v>990</v>
      </c>
      <c r="AW45" s="68">
        <v>996</v>
      </c>
      <c r="AX45" s="68">
        <v>957</v>
      </c>
      <c r="AY45" s="68">
        <v>950</v>
      </c>
      <c r="AZ45" s="63">
        <v>3893</v>
      </c>
      <c r="BA45" s="68">
        <v>908</v>
      </c>
      <c r="BB45" s="68">
        <v>890</v>
      </c>
      <c r="BC45" s="68">
        <v>877</v>
      </c>
      <c r="BD45" s="182">
        <v>863</v>
      </c>
      <c r="BE45" s="63">
        <v>3538</v>
      </c>
      <c r="BF45" s="68"/>
      <c r="BG45" s="68"/>
      <c r="BH45" s="68"/>
    </row>
    <row r="46" spans="1:60" hidden="1">
      <c r="A46" s="69" t="s">
        <v>7</v>
      </c>
      <c r="B46" s="23"/>
      <c r="C46" s="70"/>
      <c r="D46" s="70"/>
      <c r="E46" s="70"/>
      <c r="F46" s="70"/>
      <c r="G46" s="23"/>
      <c r="H46" s="70"/>
      <c r="I46" s="70"/>
      <c r="J46" s="70"/>
      <c r="K46" s="70"/>
      <c r="L46" s="23"/>
      <c r="M46" s="70"/>
      <c r="N46" s="70">
        <f>N45/M45-1</f>
        <v>6.3758389261745041E-2</v>
      </c>
      <c r="O46" s="70">
        <f>O45/N45-1</f>
        <v>1.577287066246047E-3</v>
      </c>
      <c r="P46" s="70">
        <f>P45/O45-1</f>
        <v>-4.9606299212598404E-2</v>
      </c>
      <c r="Q46" s="23"/>
      <c r="R46" s="70">
        <f>R45/P45-1</f>
        <v>3.5625517812758911E-2</v>
      </c>
      <c r="S46" s="70">
        <f>S45/R45-1</f>
        <v>-2.3199999999999998E-2</v>
      </c>
      <c r="T46" s="70">
        <f>T45/S45-1</f>
        <v>-2.1294021294021248E-2</v>
      </c>
      <c r="U46" s="70">
        <f>U45/T45-1</f>
        <v>-6.025104602510456E-2</v>
      </c>
      <c r="V46" s="23"/>
      <c r="W46" s="70">
        <v>5.5209260908281488E-2</v>
      </c>
      <c r="X46" s="70">
        <v>-5.400843881856543E-2</v>
      </c>
      <c r="Y46" s="70">
        <v>-9.0098126672613743E-2</v>
      </c>
      <c r="Z46" s="70">
        <v>0.11470588235294121</v>
      </c>
      <c r="AA46" s="23"/>
      <c r="AB46" s="70">
        <v>-0.10554089709762537</v>
      </c>
      <c r="AC46" s="70">
        <v>3.4414945919370776E-2</v>
      </c>
      <c r="AD46" s="70">
        <v>-7.6045627376425395E-3</v>
      </c>
      <c r="AE46" s="70">
        <v>-4.0229885057471271E-2</v>
      </c>
      <c r="AF46" s="23"/>
      <c r="AG46" s="70">
        <v>-7.9840319361277334E-3</v>
      </c>
      <c r="AH46" s="70">
        <v>-9.0543259557344102E-3</v>
      </c>
      <c r="AI46" s="70">
        <v>-1.2182741116751217E-2</v>
      </c>
      <c r="AJ46" s="70">
        <v>-4.1109969167523186E-3</v>
      </c>
      <c r="AK46" s="23"/>
      <c r="AL46" s="70">
        <v>-3.4055727554179516E-2</v>
      </c>
      <c r="AM46" s="70">
        <v>0.17948717948717952</v>
      </c>
      <c r="AN46" s="70">
        <v>-7.2463768115942351E-3</v>
      </c>
      <c r="AO46" s="70">
        <v>-6.6605839416058354E-2</v>
      </c>
      <c r="AP46" s="23"/>
      <c r="AQ46" s="70">
        <v>4.8875855327468187E-3</v>
      </c>
      <c r="AR46" s="70">
        <v>1.5564202334630295E-2</v>
      </c>
      <c r="AS46" s="70">
        <v>-2.777777777777779E-2</v>
      </c>
      <c r="AT46" s="70">
        <v>-4.1379310344827558E-2</v>
      </c>
      <c r="AU46" s="23"/>
      <c r="AV46" s="70">
        <v>1.747173689619741E-2</v>
      </c>
      <c r="AW46" s="70">
        <v>6.0606060606060996E-3</v>
      </c>
      <c r="AX46" s="70">
        <v>-3.9156626506024139E-2</v>
      </c>
      <c r="AY46" s="70">
        <v>-7.3145245559038674E-3</v>
      </c>
      <c r="AZ46" s="23"/>
      <c r="BA46" s="70">
        <v>-4.4210526315789478E-2</v>
      </c>
      <c r="BB46" s="70">
        <v>-1.982378854625555E-2</v>
      </c>
      <c r="BC46" s="70">
        <v>-1.4606741573033655E-2</v>
      </c>
      <c r="BD46" s="70">
        <v>-1.5963511972634015E-2</v>
      </c>
      <c r="BE46" s="23"/>
      <c r="BF46" s="70"/>
      <c r="BG46" s="70"/>
      <c r="BH46" s="70"/>
    </row>
    <row r="47" spans="1:60" hidden="1">
      <c r="A47" s="69" t="s">
        <v>8</v>
      </c>
      <c r="B47" s="23"/>
      <c r="C47" s="71"/>
      <c r="D47" s="71"/>
      <c r="E47" s="71"/>
      <c r="F47" s="71"/>
      <c r="G47" s="23">
        <f t="shared" ref="G47" si="28">G45/B45-1</f>
        <v>8.400103385887836E-2</v>
      </c>
      <c r="H47" s="71"/>
      <c r="I47" s="71"/>
      <c r="J47" s="71"/>
      <c r="K47" s="71"/>
      <c r="L47" s="23">
        <f t="shared" ref="L47" si="29">L45/G45-1</f>
        <v>0.11063423938960426</v>
      </c>
      <c r="M47" s="71"/>
      <c r="N47" s="71"/>
      <c r="O47" s="71"/>
      <c r="P47" s="71"/>
      <c r="Q47" s="23">
        <f t="shared" ref="Q47" si="30">Q45/L45-1</f>
        <v>5.9896951481322347E-2</v>
      </c>
      <c r="R47" s="71">
        <f t="shared" ref="R47" si="31">R45/M45-1</f>
        <v>4.8657718120805438E-2</v>
      </c>
      <c r="S47" s="71">
        <f t="shared" ref="S47" si="32">S45/N45-1</f>
        <v>-3.7066246056782326E-2</v>
      </c>
      <c r="T47" s="71">
        <f t="shared" ref="T47" si="33">T45/O45-1</f>
        <v>-5.9055118110236227E-2</v>
      </c>
      <c r="U47" s="71">
        <f t="shared" ref="U47" si="34">U45/P45-1</f>
        <v>-6.9594034797017423E-2</v>
      </c>
      <c r="V47" s="23">
        <v>-2.9977719262710201E-2</v>
      </c>
      <c r="W47" s="71">
        <v>-5.2000000000000046E-2</v>
      </c>
      <c r="X47" s="71">
        <v>-8.1900081900081911E-2</v>
      </c>
      <c r="Y47" s="71">
        <v>-0.14644351464435146</v>
      </c>
      <c r="Z47" s="71">
        <v>1.2466607301869992E-2</v>
      </c>
      <c r="AA47" s="23">
        <v>-6.8072666527458803E-2</v>
      </c>
      <c r="AB47" s="71">
        <v>-0.14177215189873416</v>
      </c>
      <c r="AC47" s="71">
        <v>-6.15521855486173E-2</v>
      </c>
      <c r="AD47" s="71">
        <v>2.3529411764705799E-2</v>
      </c>
      <c r="AE47" s="71">
        <v>-0.1187335092348285</v>
      </c>
      <c r="AF47" s="23">
        <v>-7.7974456643513324E-2</v>
      </c>
      <c r="AG47" s="71">
        <v>-2.2615535889872196E-2</v>
      </c>
      <c r="AH47" s="71">
        <v>-6.3688212927756616E-2</v>
      </c>
      <c r="AI47" s="71">
        <v>-6.8007662835249061E-2</v>
      </c>
      <c r="AJ47" s="71">
        <v>-3.2934131736526928E-2</v>
      </c>
      <c r="AK47" s="23">
        <v>-4.7144592952612419E-2</v>
      </c>
      <c r="AL47" s="71">
        <v>-5.835010060362178E-2</v>
      </c>
      <c r="AM47" s="71">
        <v>0.12081218274111682</v>
      </c>
      <c r="AN47" s="71">
        <v>0.12641315519013352</v>
      </c>
      <c r="AO47" s="71">
        <v>5.5727554179566541E-2</v>
      </c>
      <c r="AP47" s="23">
        <v>6.0698801326192209E-2</v>
      </c>
      <c r="AQ47" s="71">
        <v>9.8290598290598385E-2</v>
      </c>
      <c r="AR47" s="71">
        <v>-5.4347826086956541E-2</v>
      </c>
      <c r="AS47" s="71">
        <v>-7.3905109489051046E-2</v>
      </c>
      <c r="AT47" s="71">
        <v>-4.8875855327468187E-2</v>
      </c>
      <c r="AU47" s="23">
        <v>-2.3803798990141845E-2</v>
      </c>
      <c r="AV47" s="71">
        <v>-3.6964980544747061E-2</v>
      </c>
      <c r="AW47" s="71">
        <v>-4.5977011494252928E-2</v>
      </c>
      <c r="AX47" s="71">
        <v>-5.7142857142857162E-2</v>
      </c>
      <c r="AY47" s="71">
        <v>-2.3638232271325776E-2</v>
      </c>
      <c r="AZ47" s="23">
        <v>-4.1133004926108385E-2</v>
      </c>
      <c r="BA47" s="71">
        <v>-8.2828282828282807E-2</v>
      </c>
      <c r="BB47" s="71">
        <v>-0.10642570281124497</v>
      </c>
      <c r="BC47" s="71">
        <v>-8.3594566353187072E-2</v>
      </c>
      <c r="BD47" s="71">
        <v>-9.1578947368421093E-2</v>
      </c>
      <c r="BE47" s="23">
        <v>-9.1189314153609091E-2</v>
      </c>
      <c r="BF47" s="71"/>
      <c r="BG47" s="71"/>
      <c r="BH47" s="71"/>
    </row>
    <row r="48" spans="1:60" ht="12.6" customHeight="1">
      <c r="A48" s="67" t="s">
        <v>30</v>
      </c>
      <c r="B48" s="62">
        <v>0.5</v>
      </c>
      <c r="C48" s="72">
        <v>0.15</v>
      </c>
      <c r="D48" s="72">
        <v>0.17</v>
      </c>
      <c r="E48" s="72">
        <v>0.17</v>
      </c>
      <c r="F48" s="73">
        <f>G48-E48-D48-C48</f>
        <v>0.11999999999999991</v>
      </c>
      <c r="G48" s="62">
        <v>0.61</v>
      </c>
      <c r="H48" s="72">
        <v>0.23</v>
      </c>
      <c r="I48" s="72">
        <v>0.2</v>
      </c>
      <c r="J48" s="72">
        <v>0.79</v>
      </c>
      <c r="K48" s="73">
        <f>L48-J48-I48-H48</f>
        <v>0.12209418646577999</v>
      </c>
      <c r="L48" s="62">
        <f>3603029/2684632</f>
        <v>1.34209418646578</v>
      </c>
      <c r="M48" s="72">
        <f>648428321/2709646450</f>
        <v>0.23930366302954395</v>
      </c>
      <c r="N48" s="72">
        <v>0.24</v>
      </c>
      <c r="O48" s="72">
        <v>0.22</v>
      </c>
      <c r="P48" s="72">
        <v>0.21</v>
      </c>
      <c r="Q48" s="62">
        <v>0.9</v>
      </c>
      <c r="R48" s="72">
        <v>0.15</v>
      </c>
      <c r="S48" s="72">
        <v>0.21</v>
      </c>
      <c r="T48" s="72">
        <v>0.2</v>
      </c>
      <c r="U48" s="73">
        <v>0.19</v>
      </c>
      <c r="V48" s="62">
        <v>0.76</v>
      </c>
      <c r="W48" s="72">
        <v>0.21</v>
      </c>
      <c r="X48" s="72">
        <v>0.15</v>
      </c>
      <c r="Y48" s="72">
        <v>0.13</v>
      </c>
      <c r="Z48" s="73">
        <v>0.19000000000000003</v>
      </c>
      <c r="AA48" s="62">
        <v>0.68</v>
      </c>
      <c r="AB48" s="72">
        <v>0.18</v>
      </c>
      <c r="AC48" s="72">
        <v>0.17</v>
      </c>
      <c r="AD48" s="72">
        <v>0.16</v>
      </c>
      <c r="AE48" s="73">
        <v>0.13</v>
      </c>
      <c r="AF48" s="62">
        <v>0.65</v>
      </c>
      <c r="AG48" s="72">
        <v>0.17</v>
      </c>
      <c r="AH48" s="72">
        <v>0.28999999999999998</v>
      </c>
      <c r="AI48" s="72">
        <v>0.16</v>
      </c>
      <c r="AJ48" s="73">
        <v>0.15</v>
      </c>
      <c r="AK48" s="62">
        <v>0.77</v>
      </c>
      <c r="AL48" s="72">
        <v>0.17</v>
      </c>
      <c r="AM48" s="72">
        <v>0.17</v>
      </c>
      <c r="AN48" s="72">
        <v>0.15</v>
      </c>
      <c r="AO48" s="73">
        <v>0.12999999999999992</v>
      </c>
      <c r="AP48" s="62">
        <v>0.62</v>
      </c>
      <c r="AQ48" s="72">
        <v>0.1</v>
      </c>
      <c r="AR48" s="72">
        <v>0.14000000000000001</v>
      </c>
      <c r="AS48" s="72">
        <v>0.14000000000000001</v>
      </c>
      <c r="AT48" s="73">
        <v>6.9999999999999979E-2</v>
      </c>
      <c r="AU48" s="62">
        <v>0.45</v>
      </c>
      <c r="AV48" s="72">
        <v>0.13</v>
      </c>
      <c r="AW48" s="72">
        <v>0.13</v>
      </c>
      <c r="AX48" s="72">
        <v>0.12</v>
      </c>
      <c r="AY48" s="73">
        <v>7.0000000000000007E-2</v>
      </c>
      <c r="AZ48" s="62">
        <v>0.45</v>
      </c>
      <c r="BA48" s="72">
        <v>0.09</v>
      </c>
      <c r="BB48" s="72">
        <v>7.0000000000000007E-2</v>
      </c>
      <c r="BC48" s="72">
        <v>0.08</v>
      </c>
      <c r="BD48" s="222">
        <v>-0.63</v>
      </c>
      <c r="BE48" s="223">
        <v>-0.39</v>
      </c>
      <c r="BF48" s="72">
        <v>0.11</v>
      </c>
      <c r="BG48" s="222">
        <v>-0.56999999999999995</v>
      </c>
      <c r="BH48" s="222">
        <v>7.0000000000000007E-2</v>
      </c>
    </row>
    <row r="49" spans="1:60" hidden="1">
      <c r="A49" s="67" t="s">
        <v>32</v>
      </c>
      <c r="B49" s="63">
        <v>2605</v>
      </c>
      <c r="C49" s="74">
        <v>2605</v>
      </c>
      <c r="D49" s="74">
        <v>2605</v>
      </c>
      <c r="E49" s="74">
        <v>2605</v>
      </c>
      <c r="F49" s="74">
        <v>2605</v>
      </c>
      <c r="G49" s="63">
        <v>2605</v>
      </c>
      <c r="H49" s="74">
        <v>2605.6669999999999</v>
      </c>
      <c r="I49" s="74">
        <v>2616.77</v>
      </c>
      <c r="J49" s="74">
        <v>2628</v>
      </c>
      <c r="K49" s="74">
        <v>2657</v>
      </c>
      <c r="L49" s="63">
        <v>2635.4960000000001</v>
      </c>
      <c r="M49" s="74">
        <v>2663.427674</v>
      </c>
      <c r="N49" s="74">
        <v>2675.2443619999999</v>
      </c>
      <c r="O49" s="74">
        <v>2676.893313</v>
      </c>
      <c r="P49" s="74">
        <v>2682</v>
      </c>
      <c r="Q49" s="63">
        <v>2675</v>
      </c>
      <c r="R49" s="74">
        <v>2688.2785669999998</v>
      </c>
      <c r="S49" s="74">
        <v>2699</v>
      </c>
      <c r="T49" s="74">
        <v>2706</v>
      </c>
      <c r="U49" s="74">
        <v>2711</v>
      </c>
      <c r="V49" s="63">
        <v>2713.6277439999999</v>
      </c>
      <c r="W49" s="74">
        <v>2715</v>
      </c>
      <c r="X49" s="74">
        <v>2718</v>
      </c>
      <c r="Y49" s="74">
        <v>2721</v>
      </c>
      <c r="Z49" s="74">
        <v>2725</v>
      </c>
      <c r="AA49" s="63">
        <v>2720</v>
      </c>
      <c r="AB49" s="74">
        <v>2725</v>
      </c>
      <c r="AC49" s="74">
        <v>2725</v>
      </c>
      <c r="AD49" s="74">
        <v>2726</v>
      </c>
      <c r="AE49" s="74">
        <v>2729</v>
      </c>
      <c r="AF49" s="63">
        <v>2726</v>
      </c>
      <c r="AG49" s="74">
        <v>2731</v>
      </c>
      <c r="AH49" s="74">
        <v>2734</v>
      </c>
      <c r="AI49" s="74">
        <v>2737</v>
      </c>
      <c r="AJ49" s="74">
        <v>2741</v>
      </c>
      <c r="AK49" s="63">
        <v>2736</v>
      </c>
      <c r="AL49" s="74">
        <v>2744</v>
      </c>
      <c r="AM49" s="74">
        <v>2746</v>
      </c>
      <c r="AN49" s="74">
        <v>2750</v>
      </c>
      <c r="AO49" s="74">
        <v>2758</v>
      </c>
      <c r="AP49" s="63">
        <v>2750</v>
      </c>
      <c r="AQ49" s="74">
        <v>2765</v>
      </c>
      <c r="AR49" s="74">
        <v>2765</v>
      </c>
      <c r="AS49" s="74">
        <v>2765</v>
      </c>
      <c r="AT49" s="74">
        <v>2765</v>
      </c>
      <c r="AU49" s="63">
        <v>2765</v>
      </c>
      <c r="AV49" s="74">
        <v>2765</v>
      </c>
      <c r="AW49" s="74">
        <v>2765</v>
      </c>
      <c r="AX49" s="74">
        <v>2765</v>
      </c>
      <c r="AY49" s="74">
        <v>2765</v>
      </c>
      <c r="AZ49" s="63"/>
      <c r="BA49" s="74"/>
      <c r="BB49" s="74"/>
      <c r="BC49" s="74"/>
      <c r="BD49" s="74"/>
      <c r="BE49" s="63"/>
      <c r="BF49" s="74"/>
      <c r="BG49" s="74"/>
      <c r="BH49" s="74"/>
    </row>
    <row r="50" spans="1:60">
      <c r="A50" s="67" t="s">
        <v>31</v>
      </c>
      <c r="B50" s="63">
        <v>2641</v>
      </c>
      <c r="C50" s="74">
        <v>2649</v>
      </c>
      <c r="D50" s="74">
        <v>2648</v>
      </c>
      <c r="E50" s="74">
        <v>2648</v>
      </c>
      <c r="F50" s="74">
        <v>2649</v>
      </c>
      <c r="G50" s="63">
        <v>2649</v>
      </c>
      <c r="H50" s="74">
        <v>2646.8939999999998</v>
      </c>
      <c r="I50" s="74">
        <v>2666.6060000000002</v>
      </c>
      <c r="J50" s="74">
        <v>2677</v>
      </c>
      <c r="K50" s="74">
        <v>2702</v>
      </c>
      <c r="L50" s="63">
        <v>2684.6320000000001</v>
      </c>
      <c r="M50" s="74">
        <v>2709.6464500000002</v>
      </c>
      <c r="N50" s="74">
        <v>2712.6721739999998</v>
      </c>
      <c r="O50" s="74">
        <v>2714.7899040000002</v>
      </c>
      <c r="P50" s="74">
        <v>2720</v>
      </c>
      <c r="Q50" s="63">
        <v>2717</v>
      </c>
      <c r="R50" s="74">
        <v>2722.1732790000001</v>
      </c>
      <c r="S50" s="74">
        <v>2724</v>
      </c>
      <c r="T50" s="74">
        <v>2724</v>
      </c>
      <c r="U50" s="74">
        <v>2725</v>
      </c>
      <c r="V50" s="63">
        <v>2725</v>
      </c>
      <c r="W50" s="74">
        <v>2727</v>
      </c>
      <c r="X50" s="74">
        <v>2724</v>
      </c>
      <c r="Y50" s="74">
        <v>2725</v>
      </c>
      <c r="Z50" s="74">
        <v>2726</v>
      </c>
      <c r="AA50" s="63">
        <v>2726</v>
      </c>
      <c r="AB50" s="74">
        <v>2726</v>
      </c>
      <c r="AC50" s="74">
        <v>2729</v>
      </c>
      <c r="AD50" s="74">
        <v>2743</v>
      </c>
      <c r="AE50" s="74">
        <v>2749</v>
      </c>
      <c r="AF50" s="63">
        <v>2741</v>
      </c>
      <c r="AG50" s="74">
        <v>2749</v>
      </c>
      <c r="AH50" s="74">
        <v>2752</v>
      </c>
      <c r="AI50" s="74">
        <v>2755</v>
      </c>
      <c r="AJ50" s="74">
        <v>2761</v>
      </c>
      <c r="AK50" s="63">
        <v>2755</v>
      </c>
      <c r="AL50" s="74">
        <v>2759</v>
      </c>
      <c r="AM50" s="74">
        <v>2759</v>
      </c>
      <c r="AN50" s="74">
        <v>2762</v>
      </c>
      <c r="AO50" s="74">
        <v>2764</v>
      </c>
      <c r="AP50" s="63">
        <v>2763</v>
      </c>
      <c r="AQ50" s="74">
        <v>2765</v>
      </c>
      <c r="AR50" s="74">
        <v>2765</v>
      </c>
      <c r="AS50" s="74">
        <v>2765</v>
      </c>
      <c r="AT50" s="74">
        <v>2765</v>
      </c>
      <c r="AU50" s="63">
        <v>2765</v>
      </c>
      <c r="AV50" s="74">
        <v>2765</v>
      </c>
      <c r="AW50" s="74">
        <v>2765</v>
      </c>
      <c r="AX50" s="74">
        <v>2765</v>
      </c>
      <c r="AY50" s="74">
        <v>2765</v>
      </c>
      <c r="AZ50" s="63">
        <v>2765</v>
      </c>
      <c r="BA50" s="74">
        <v>2765</v>
      </c>
      <c r="BB50" s="74">
        <v>2765</v>
      </c>
      <c r="BC50" s="74">
        <v>2765</v>
      </c>
      <c r="BD50" s="74">
        <v>2765</v>
      </c>
      <c r="BE50" s="63">
        <v>2765</v>
      </c>
      <c r="BF50" s="74">
        <v>2765</v>
      </c>
      <c r="BG50" s="74">
        <v>2765</v>
      </c>
      <c r="BH50" s="74">
        <v>2765</v>
      </c>
    </row>
    <row r="51" spans="1:60" ht="13.5" customHeight="1">
      <c r="A51" s="39" t="s">
        <v>130</v>
      </c>
      <c r="B51" s="39"/>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row>
    <row r="52" spans="1:60" ht="13.5" customHeight="1">
      <c r="A52" s="67" t="s">
        <v>286</v>
      </c>
      <c r="B52" s="63">
        <v>5075</v>
      </c>
      <c r="C52" s="78" t="s">
        <v>49</v>
      </c>
      <c r="D52" s="78" t="s">
        <v>49</v>
      </c>
      <c r="E52" s="78" t="s">
        <v>49</v>
      </c>
      <c r="F52" s="78" t="s">
        <v>49</v>
      </c>
      <c r="G52" s="63">
        <v>4660</v>
      </c>
      <c r="H52" s="116" t="s">
        <v>41</v>
      </c>
      <c r="I52" s="116" t="s">
        <v>41</v>
      </c>
      <c r="J52" s="116" t="s">
        <v>41</v>
      </c>
      <c r="K52" s="116" t="s">
        <v>41</v>
      </c>
      <c r="L52" s="63">
        <f>L55+L58+L61+L64+L67+L70+L73+ L76</f>
        <v>4871</v>
      </c>
      <c r="M52" s="68">
        <v>1218</v>
      </c>
      <c r="N52" s="68">
        <v>1224</v>
      </c>
      <c r="O52" s="68">
        <v>1271</v>
      </c>
      <c r="P52" s="68">
        <f>Q52-O52-N52-M52</f>
        <v>1313</v>
      </c>
      <c r="Q52" s="63">
        <f>Q55+Q58+Q61+Q64+Q67+Q70+Q73+ Q76</f>
        <v>5026</v>
      </c>
      <c r="R52" s="68">
        <v>1218</v>
      </c>
      <c r="S52" s="68">
        <v>1224</v>
      </c>
      <c r="T52" s="68">
        <v>1271</v>
      </c>
      <c r="U52" s="68">
        <f>V52-T52-S52-R52</f>
        <v>781</v>
      </c>
      <c r="V52" s="63">
        <v>4494</v>
      </c>
      <c r="W52" s="68">
        <v>1218</v>
      </c>
      <c r="X52" s="68">
        <v>1224</v>
      </c>
      <c r="Y52" s="68">
        <v>1271</v>
      </c>
      <c r="Z52" s="68">
        <v>240</v>
      </c>
      <c r="AA52" s="63">
        <v>3953</v>
      </c>
      <c r="AB52" s="68">
        <v>1218</v>
      </c>
      <c r="AC52" s="68">
        <v>1224</v>
      </c>
      <c r="AD52" s="68">
        <v>1271</v>
      </c>
      <c r="AE52" s="68">
        <v>-137</v>
      </c>
      <c r="AF52" s="63">
        <v>3576</v>
      </c>
      <c r="AG52" s="68">
        <v>1218</v>
      </c>
      <c r="AH52" s="68">
        <v>1224</v>
      </c>
      <c r="AI52" s="68">
        <v>1271</v>
      </c>
      <c r="AJ52" s="68">
        <v>-347</v>
      </c>
      <c r="AK52" s="63">
        <v>3366</v>
      </c>
      <c r="AL52" s="68">
        <v>799</v>
      </c>
      <c r="AM52" s="68">
        <v>1002</v>
      </c>
      <c r="AN52" s="68">
        <v>1000</v>
      </c>
      <c r="AO52" s="68">
        <v>1068</v>
      </c>
      <c r="AP52" s="63">
        <v>3869</v>
      </c>
      <c r="AQ52" s="68">
        <v>1018</v>
      </c>
      <c r="AR52" s="68">
        <v>972</v>
      </c>
      <c r="AS52" s="68">
        <v>994</v>
      </c>
      <c r="AT52" s="68">
        <v>1028</v>
      </c>
      <c r="AU52" s="63">
        <v>4012</v>
      </c>
      <c r="AV52" s="68">
        <v>959</v>
      </c>
      <c r="AW52" s="68">
        <v>973</v>
      </c>
      <c r="AX52" s="68">
        <v>956</v>
      </c>
      <c r="AY52" s="68">
        <v>1003</v>
      </c>
      <c r="AZ52" s="63">
        <v>3891</v>
      </c>
      <c r="BA52" s="68">
        <v>841</v>
      </c>
      <c r="BB52" s="68">
        <v>838</v>
      </c>
      <c r="BC52" s="68">
        <v>815</v>
      </c>
      <c r="BD52" s="68">
        <v>885</v>
      </c>
      <c r="BE52" s="63">
        <v>3379</v>
      </c>
      <c r="BF52" s="68">
        <v>812</v>
      </c>
      <c r="BG52" s="68">
        <v>814</v>
      </c>
      <c r="BH52" s="68">
        <v>794</v>
      </c>
    </row>
    <row r="53" spans="1:60" ht="10.5" customHeight="1">
      <c r="A53" s="69" t="s">
        <v>7</v>
      </c>
      <c r="B53" s="23"/>
      <c r="C53" s="71"/>
      <c r="D53" s="71"/>
      <c r="E53" s="71"/>
      <c r="F53" s="71"/>
      <c r="G53" s="23"/>
      <c r="H53" s="71"/>
      <c r="I53" s="71"/>
      <c r="J53" s="71"/>
      <c r="K53" s="71"/>
      <c r="L53" s="23"/>
      <c r="M53" s="71"/>
      <c r="N53" s="70">
        <f>N52/M52-1</f>
        <v>4.9261083743843415E-3</v>
      </c>
      <c r="O53" s="70">
        <f>O52/N52-1</f>
        <v>3.8398692810457602E-2</v>
      </c>
      <c r="P53" s="70">
        <f>P52/O52-1</f>
        <v>3.3044846577497955E-2</v>
      </c>
      <c r="Q53" s="23"/>
      <c r="R53" s="70">
        <f>R52/P52-1</f>
        <v>-7.2353389185072392E-2</v>
      </c>
      <c r="S53" s="70">
        <f>S52/R52-1</f>
        <v>4.9261083743843415E-3</v>
      </c>
      <c r="T53" s="70">
        <f>T52/S52-1</f>
        <v>3.8398692810457602E-2</v>
      </c>
      <c r="U53" s="70">
        <f>U52/T52-1</f>
        <v>-0.38552321007081036</v>
      </c>
      <c r="V53" s="23"/>
      <c r="W53" s="70">
        <v>0.55953905249679892</v>
      </c>
      <c r="X53" s="70">
        <v>4.9261083743843415E-3</v>
      </c>
      <c r="Y53" s="70">
        <v>3.8398692810457602E-2</v>
      </c>
      <c r="Z53" s="70">
        <v>-0.8111723052714398</v>
      </c>
      <c r="AA53" s="23"/>
      <c r="AB53" s="70">
        <v>4.0750000000000002</v>
      </c>
      <c r="AC53" s="70">
        <v>4.9261083743843415E-3</v>
      </c>
      <c r="AD53" s="70">
        <v>3.8398692810457602E-2</v>
      </c>
      <c r="AE53" s="70">
        <v>-1.1077891424075532</v>
      </c>
      <c r="AF53" s="23"/>
      <c r="AG53" s="70">
        <v>-9.89051094890511</v>
      </c>
      <c r="AH53" s="70">
        <v>4.9261083743843415E-3</v>
      </c>
      <c r="AI53" s="70">
        <v>3.8398692810457602E-2</v>
      </c>
      <c r="AJ53" s="70">
        <v>-1.2730133752950432</v>
      </c>
      <c r="AK53" s="23"/>
      <c r="AL53" s="70">
        <v>-3.3025936599423633</v>
      </c>
      <c r="AM53" s="70">
        <v>0.25406758448060085</v>
      </c>
      <c r="AN53" s="70">
        <v>-1.9960079840319889E-3</v>
      </c>
      <c r="AO53" s="70">
        <v>6.800000000000006E-2</v>
      </c>
      <c r="AP53" s="23"/>
      <c r="AQ53" s="70">
        <v>-4.6816479400749067E-2</v>
      </c>
      <c r="AR53" s="70">
        <v>-4.5186640471512773E-2</v>
      </c>
      <c r="AS53" s="70">
        <v>2.2633744855967031E-2</v>
      </c>
      <c r="AT53" s="70">
        <v>3.4205231388329871E-2</v>
      </c>
      <c r="AU53" s="23"/>
      <c r="AV53" s="70">
        <v>-6.7120622568093369E-2</v>
      </c>
      <c r="AW53" s="70">
        <v>1.4598540145985384E-2</v>
      </c>
      <c r="AX53" s="70">
        <v>-1.7471736896197299E-2</v>
      </c>
      <c r="AY53" s="70">
        <v>4.9163179916317912E-2</v>
      </c>
      <c r="AZ53" s="23"/>
      <c r="BA53" s="70">
        <v>-0.16151545363908271</v>
      </c>
      <c r="BB53" s="70">
        <v>-3.5671819262782511E-3</v>
      </c>
      <c r="BC53" s="70">
        <v>-2.7446300715990413E-2</v>
      </c>
      <c r="BD53" s="70">
        <v>8.5889570552147187E-2</v>
      </c>
      <c r="BE53" s="23"/>
      <c r="BF53" s="70">
        <v>-8.2485875706214684E-2</v>
      </c>
      <c r="BG53" s="70">
        <v>2.4630541871921707E-3</v>
      </c>
      <c r="BH53" s="70">
        <v>-2.4570024570024551E-2</v>
      </c>
    </row>
    <row r="54" spans="1:60" ht="14.1" customHeight="1">
      <c r="A54" s="69" t="s">
        <v>8</v>
      </c>
      <c r="B54" s="23"/>
      <c r="C54" s="71"/>
      <c r="D54" s="71"/>
      <c r="E54" s="71"/>
      <c r="F54" s="71"/>
      <c r="G54" s="23">
        <f>G52/B52-1</f>
        <v>-8.1773399014778314E-2</v>
      </c>
      <c r="H54" s="71"/>
      <c r="I54" s="71"/>
      <c r="J54" s="71"/>
      <c r="K54" s="71"/>
      <c r="L54" s="23">
        <f>L52/G52-1</f>
        <v>4.5278969957081472E-2</v>
      </c>
      <c r="M54" s="71"/>
      <c r="N54" s="71"/>
      <c r="O54" s="71"/>
      <c r="P54" s="71"/>
      <c r="Q54" s="23">
        <f t="shared" ref="Q54:U54" si="35">Q52/L52-1</f>
        <v>3.1820981318004593E-2</v>
      </c>
      <c r="R54" s="71">
        <f t="shared" si="35"/>
        <v>0</v>
      </c>
      <c r="S54" s="71">
        <f t="shared" si="35"/>
        <v>0</v>
      </c>
      <c r="T54" s="71">
        <f t="shared" si="35"/>
        <v>0</v>
      </c>
      <c r="U54" s="71">
        <f t="shared" si="35"/>
        <v>-0.40517897943640513</v>
      </c>
      <c r="V54" s="23">
        <v>-0.10584958217270191</v>
      </c>
      <c r="W54" s="71">
        <v>0</v>
      </c>
      <c r="X54" s="71">
        <v>0</v>
      </c>
      <c r="Y54" s="71">
        <v>0</v>
      </c>
      <c r="Z54" s="71">
        <v>-0.69270166453265047</v>
      </c>
      <c r="AA54" s="23">
        <v>-0.12038273253226528</v>
      </c>
      <c r="AB54" s="71">
        <v>0</v>
      </c>
      <c r="AC54" s="71">
        <v>0</v>
      </c>
      <c r="AD54" s="71">
        <v>0</v>
      </c>
      <c r="AE54" s="71">
        <v>-1.5708333333333333</v>
      </c>
      <c r="AF54" s="23">
        <v>-9.5370604604098186E-2</v>
      </c>
      <c r="AG54" s="71">
        <v>0</v>
      </c>
      <c r="AH54" s="71">
        <v>0</v>
      </c>
      <c r="AI54" s="71">
        <v>0</v>
      </c>
      <c r="AJ54" s="71">
        <v>1.5328467153284673</v>
      </c>
      <c r="AK54" s="23">
        <v>-5.8724832214765099E-2</v>
      </c>
      <c r="AL54" s="71">
        <v>-0.34400656814449915</v>
      </c>
      <c r="AM54" s="71">
        <v>-0.18137254901960786</v>
      </c>
      <c r="AN54" s="71">
        <v>-0.21321793863099925</v>
      </c>
      <c r="AO54" s="71">
        <v>-4.0778097982708932</v>
      </c>
      <c r="AP54" s="23">
        <v>0.14943553178847302</v>
      </c>
      <c r="AQ54" s="71">
        <v>0.27409261576971211</v>
      </c>
      <c r="AR54" s="71">
        <v>-2.9940119760479056E-2</v>
      </c>
      <c r="AS54" s="71">
        <v>-6.0000000000000053E-3</v>
      </c>
      <c r="AT54" s="71">
        <v>-3.7453183520599231E-2</v>
      </c>
      <c r="AU54" s="23">
        <v>3.6960454897906336E-2</v>
      </c>
      <c r="AV54" s="71">
        <v>-5.7956777996070685E-2</v>
      </c>
      <c r="AW54" s="71">
        <v>1.0288065843622185E-3</v>
      </c>
      <c r="AX54" s="71">
        <v>-3.82293762575453E-2</v>
      </c>
      <c r="AY54" s="71">
        <v>-2.4319066147859947E-2</v>
      </c>
      <c r="AZ54" s="23">
        <v>-3.0159521435692893E-2</v>
      </c>
      <c r="BA54" s="71">
        <v>-0.12304483837330549</v>
      </c>
      <c r="BB54" s="71">
        <v>-0.13874614594039059</v>
      </c>
      <c r="BC54" s="71">
        <v>-0.14748953974895396</v>
      </c>
      <c r="BD54" s="71">
        <v>-0.11764705882352944</v>
      </c>
      <c r="BE54" s="23">
        <v>-0.13158571061423796</v>
      </c>
      <c r="BF54" s="71">
        <v>-3.4482758620689613E-2</v>
      </c>
      <c r="BG54" s="71">
        <v>-2.863961813842486E-2</v>
      </c>
      <c r="BH54" s="71">
        <v>-2.5766871165644134E-2</v>
      </c>
    </row>
    <row r="55" spans="1:60" ht="13.5" customHeight="1">
      <c r="A55" s="67" t="s">
        <v>85</v>
      </c>
      <c r="B55" s="119" t="s">
        <v>41</v>
      </c>
      <c r="C55" s="78" t="s">
        <v>49</v>
      </c>
      <c r="D55" s="78" t="s">
        <v>49</v>
      </c>
      <c r="E55" s="78" t="s">
        <v>49</v>
      </c>
      <c r="F55" s="78" t="s">
        <v>49</v>
      </c>
      <c r="G55" s="119" t="s">
        <v>41</v>
      </c>
      <c r="H55" s="78" t="s">
        <v>49</v>
      </c>
      <c r="I55" s="78" t="s">
        <v>49</v>
      </c>
      <c r="J55" s="78" t="s">
        <v>49</v>
      </c>
      <c r="K55" s="78" t="s">
        <v>49</v>
      </c>
      <c r="L55" s="63">
        <v>1163</v>
      </c>
      <c r="M55" s="78" t="s">
        <v>49</v>
      </c>
      <c r="N55" s="78" t="s">
        <v>49</v>
      </c>
      <c r="O55" s="78" t="s">
        <v>49</v>
      </c>
      <c r="P55" s="78" t="s">
        <v>49</v>
      </c>
      <c r="Q55" s="63">
        <v>1225</v>
      </c>
      <c r="R55" s="68">
        <v>430</v>
      </c>
      <c r="S55" s="68">
        <v>443</v>
      </c>
      <c r="T55" s="68">
        <v>454</v>
      </c>
      <c r="U55" s="68">
        <f>V55-T55-S55-R55</f>
        <v>366</v>
      </c>
      <c r="V55" s="63">
        <v>1693</v>
      </c>
      <c r="W55" s="68">
        <v>379</v>
      </c>
      <c r="X55" s="68">
        <v>293</v>
      </c>
      <c r="Y55" s="68">
        <v>285</v>
      </c>
      <c r="Z55" s="68">
        <v>306</v>
      </c>
      <c r="AA55" s="63">
        <v>1263</v>
      </c>
      <c r="AB55" s="68">
        <v>258</v>
      </c>
      <c r="AC55" s="68">
        <v>247</v>
      </c>
      <c r="AD55" s="68">
        <v>264</v>
      </c>
      <c r="AE55" s="68">
        <v>302</v>
      </c>
      <c r="AF55" s="63">
        <v>1071</v>
      </c>
      <c r="AG55" s="68">
        <v>262</v>
      </c>
      <c r="AH55" s="68">
        <v>212</v>
      </c>
      <c r="AI55" s="68">
        <v>200</v>
      </c>
      <c r="AJ55" s="68">
        <v>254</v>
      </c>
      <c r="AK55" s="63">
        <v>928</v>
      </c>
      <c r="AL55" s="68">
        <v>226</v>
      </c>
      <c r="AM55" s="68">
        <v>205</v>
      </c>
      <c r="AN55" s="68">
        <v>193</v>
      </c>
      <c r="AO55" s="68">
        <v>256</v>
      </c>
      <c r="AP55" s="63">
        <v>880</v>
      </c>
      <c r="AQ55" s="68">
        <v>216</v>
      </c>
      <c r="AR55" s="68">
        <v>201</v>
      </c>
      <c r="AS55" s="68">
        <v>177</v>
      </c>
      <c r="AT55" s="68">
        <v>237</v>
      </c>
      <c r="AU55" s="63">
        <v>831</v>
      </c>
      <c r="AV55" s="68">
        <v>202</v>
      </c>
      <c r="AW55" s="68">
        <v>230</v>
      </c>
      <c r="AX55" s="68">
        <v>181</v>
      </c>
      <c r="AY55" s="68">
        <v>242</v>
      </c>
      <c r="AZ55" s="63">
        <v>855</v>
      </c>
      <c r="BA55" s="68">
        <v>189</v>
      </c>
      <c r="BB55" s="68">
        <v>171</v>
      </c>
      <c r="BC55" s="68">
        <v>167</v>
      </c>
      <c r="BD55" s="68">
        <v>210</v>
      </c>
      <c r="BE55" s="63">
        <v>737</v>
      </c>
      <c r="BF55" s="68">
        <v>184</v>
      </c>
      <c r="BG55" s="68">
        <v>173</v>
      </c>
      <c r="BH55" s="68">
        <v>183</v>
      </c>
    </row>
    <row r="56" spans="1:60" ht="10.199999999999999" customHeight="1">
      <c r="A56" s="69" t="s">
        <v>7</v>
      </c>
      <c r="B56" s="23"/>
      <c r="C56" s="92"/>
      <c r="D56" s="92"/>
      <c r="E56" s="92"/>
      <c r="F56" s="92"/>
      <c r="G56" s="23"/>
      <c r="H56" s="92"/>
      <c r="I56" s="92"/>
      <c r="J56" s="92"/>
      <c r="K56" s="92"/>
      <c r="L56" s="23"/>
      <c r="M56" s="92"/>
      <c r="N56" s="92"/>
      <c r="O56" s="92"/>
      <c r="P56" s="92"/>
      <c r="Q56" s="23"/>
      <c r="R56" s="70"/>
      <c r="S56" s="70">
        <f>S55/R55-1</f>
        <v>3.0232558139534849E-2</v>
      </c>
      <c r="T56" s="70">
        <f>T55/S55-1</f>
        <v>2.483069977426644E-2</v>
      </c>
      <c r="U56" s="70">
        <f>U55/T55-1</f>
        <v>-0.19383259911894268</v>
      </c>
      <c r="V56" s="23"/>
      <c r="W56" s="70">
        <v>3.5519125683060038E-2</v>
      </c>
      <c r="X56" s="70">
        <v>-0.22691292875989444</v>
      </c>
      <c r="Y56" s="70">
        <v>-2.7303754266211566E-2</v>
      </c>
      <c r="Z56" s="70">
        <v>7.3684210526315796E-2</v>
      </c>
      <c r="AA56" s="23"/>
      <c r="AB56" s="70">
        <v>-0.15686274509803921</v>
      </c>
      <c r="AC56" s="70">
        <v>-4.2635658914728647E-2</v>
      </c>
      <c r="AD56" s="70">
        <v>6.8825910931174183E-2</v>
      </c>
      <c r="AE56" s="70">
        <v>0.14393939393939403</v>
      </c>
      <c r="AF56" s="23"/>
      <c r="AG56" s="70">
        <v>-0.13245033112582782</v>
      </c>
      <c r="AH56" s="70">
        <v>-0.19083969465648853</v>
      </c>
      <c r="AI56" s="70">
        <v>-5.6603773584905648E-2</v>
      </c>
      <c r="AJ56" s="70">
        <v>0.27</v>
      </c>
      <c r="AK56" s="23"/>
      <c r="AL56" s="70">
        <v>-0.11023622047244097</v>
      </c>
      <c r="AM56" s="70">
        <v>-9.2920353982300918E-2</v>
      </c>
      <c r="AN56" s="70">
        <v>-5.8536585365853711E-2</v>
      </c>
      <c r="AO56" s="70">
        <v>0.32642487046632129</v>
      </c>
      <c r="AP56" s="23"/>
      <c r="AQ56" s="70">
        <v>-0.15625</v>
      </c>
      <c r="AR56" s="70">
        <v>-6.944444444444442E-2</v>
      </c>
      <c r="AS56" s="70">
        <v>-0.11940298507462688</v>
      </c>
      <c r="AT56" s="70">
        <v>0.33898305084745761</v>
      </c>
      <c r="AU56" s="23"/>
      <c r="AV56" s="70">
        <v>-0.14767932489451474</v>
      </c>
      <c r="AW56" s="70">
        <v>0.13861386138613851</v>
      </c>
      <c r="AX56" s="70">
        <v>-0.21304347826086956</v>
      </c>
      <c r="AY56" s="70">
        <v>0.33701657458563528</v>
      </c>
      <c r="AZ56" s="23"/>
      <c r="BA56" s="70">
        <v>-0.21900826446280997</v>
      </c>
      <c r="BB56" s="70">
        <v>-9.5238095238095233E-2</v>
      </c>
      <c r="BC56" s="70">
        <v>-2.3391812865497075E-2</v>
      </c>
      <c r="BD56" s="70">
        <v>0.25748502994011968</v>
      </c>
      <c r="BE56" s="23"/>
      <c r="BF56" s="70">
        <v>-0.12380952380952381</v>
      </c>
      <c r="BG56" s="70">
        <v>-5.9782608695652217E-2</v>
      </c>
      <c r="BH56" s="70">
        <v>5.7803468208092568E-2</v>
      </c>
    </row>
    <row r="57" spans="1:60" ht="14.4" customHeight="1">
      <c r="A57" s="69" t="s">
        <v>8</v>
      </c>
      <c r="B57" s="23"/>
      <c r="C57" s="92"/>
      <c r="D57" s="92"/>
      <c r="E57" s="92"/>
      <c r="F57" s="92"/>
      <c r="G57" s="23"/>
      <c r="H57" s="92"/>
      <c r="I57" s="92"/>
      <c r="J57" s="92"/>
      <c r="K57" s="92"/>
      <c r="L57" s="23"/>
      <c r="M57" s="92"/>
      <c r="N57" s="92"/>
      <c r="O57" s="92"/>
      <c r="P57" s="92"/>
      <c r="Q57" s="23">
        <f>Q55/L55-1</f>
        <v>5.3310404127257183E-2</v>
      </c>
      <c r="R57" s="71"/>
      <c r="S57" s="71"/>
      <c r="T57" s="71"/>
      <c r="U57" s="71"/>
      <c r="V57" s="23">
        <v>0.38204081632653053</v>
      </c>
      <c r="W57" s="71">
        <v>-0.11860465116279073</v>
      </c>
      <c r="X57" s="71">
        <v>-0.33860045146726858</v>
      </c>
      <c r="Y57" s="71">
        <v>-0.3722466960352423</v>
      </c>
      <c r="Z57" s="71">
        <v>-0.16393442622950816</v>
      </c>
      <c r="AA57" s="23">
        <v>-0.25398700531600704</v>
      </c>
      <c r="AB57" s="71">
        <v>-0.31926121372031657</v>
      </c>
      <c r="AC57" s="71">
        <v>-0.15699658703071673</v>
      </c>
      <c r="AD57" s="71">
        <v>-7.3684210526315796E-2</v>
      </c>
      <c r="AE57" s="71">
        <v>-1.3071895424836555E-2</v>
      </c>
      <c r="AF57" s="23">
        <v>-0.15201900237529686</v>
      </c>
      <c r="AG57" s="71">
        <v>1.5503875968992276E-2</v>
      </c>
      <c r="AH57" s="71">
        <v>-0.1417004048582996</v>
      </c>
      <c r="AI57" s="71">
        <v>-0.24242424242424243</v>
      </c>
      <c r="AJ57" s="71">
        <v>-0.15894039735099341</v>
      </c>
      <c r="AK57" s="23">
        <v>-0.13352007469654525</v>
      </c>
      <c r="AL57" s="71">
        <v>-0.13740458015267176</v>
      </c>
      <c r="AM57" s="71">
        <v>-3.301886792452835E-2</v>
      </c>
      <c r="AN57" s="71">
        <v>-3.5000000000000031E-2</v>
      </c>
      <c r="AO57" s="71">
        <v>7.8740157480314821E-3</v>
      </c>
      <c r="AP57" s="23">
        <v>-5.1724137931034475E-2</v>
      </c>
      <c r="AQ57" s="71">
        <v>-4.4247787610619427E-2</v>
      </c>
      <c r="AR57" s="71">
        <v>-1.9512195121951237E-2</v>
      </c>
      <c r="AS57" s="71">
        <v>-8.2901554404145039E-2</v>
      </c>
      <c r="AT57" s="71">
        <v>-7.421875E-2</v>
      </c>
      <c r="AU57" s="23">
        <v>-5.5681818181818166E-2</v>
      </c>
      <c r="AV57" s="71">
        <v>-6.481481481481477E-2</v>
      </c>
      <c r="AW57" s="71">
        <v>0.14427860696517403</v>
      </c>
      <c r="AX57" s="71">
        <v>2.2598870056497189E-2</v>
      </c>
      <c r="AY57" s="71">
        <v>2.1097046413502074E-2</v>
      </c>
      <c r="AZ57" s="23">
        <v>2.8880866425992746E-2</v>
      </c>
      <c r="BA57" s="71">
        <v>-6.4356435643564303E-2</v>
      </c>
      <c r="BB57" s="71">
        <v>-0.25652173913043474</v>
      </c>
      <c r="BC57" s="71">
        <v>-7.7348066298342566E-2</v>
      </c>
      <c r="BD57" s="71">
        <v>-0.13223140495867769</v>
      </c>
      <c r="BE57" s="23">
        <v>-0.1380116959064327</v>
      </c>
      <c r="BF57" s="71">
        <v>-2.6455026455026509E-2</v>
      </c>
      <c r="BG57" s="71">
        <v>1.1695906432748648E-2</v>
      </c>
      <c r="BH57" s="71">
        <v>9.5808383233533023E-2</v>
      </c>
    </row>
    <row r="58" spans="1:60" ht="13.5" customHeight="1">
      <c r="A58" s="67" t="s">
        <v>84</v>
      </c>
      <c r="B58" s="119" t="s">
        <v>41</v>
      </c>
      <c r="C58" s="78" t="s">
        <v>49</v>
      </c>
      <c r="D58" s="78" t="s">
        <v>49</v>
      </c>
      <c r="E58" s="78" t="s">
        <v>49</v>
      </c>
      <c r="F58" s="78" t="s">
        <v>49</v>
      </c>
      <c r="G58" s="119" t="s">
        <v>41</v>
      </c>
      <c r="H58" s="78" t="s">
        <v>49</v>
      </c>
      <c r="I58" s="78" t="s">
        <v>49</v>
      </c>
      <c r="J58" s="78" t="s">
        <v>49</v>
      </c>
      <c r="K58" s="78" t="s">
        <v>49</v>
      </c>
      <c r="L58" s="63">
        <v>1762</v>
      </c>
      <c r="M58" s="78" t="s">
        <v>49</v>
      </c>
      <c r="N58" s="78" t="s">
        <v>49</v>
      </c>
      <c r="O58" s="78" t="s">
        <v>49</v>
      </c>
      <c r="P58" s="78" t="s">
        <v>49</v>
      </c>
      <c r="Q58" s="63">
        <v>1876</v>
      </c>
      <c r="R58" s="68">
        <v>222</v>
      </c>
      <c r="S58" s="68">
        <v>224</v>
      </c>
      <c r="T58" s="68">
        <v>242</v>
      </c>
      <c r="U58" s="68">
        <f>V58-T58-S58-R58</f>
        <v>222</v>
      </c>
      <c r="V58" s="63">
        <v>910</v>
      </c>
      <c r="W58" s="68">
        <v>224</v>
      </c>
      <c r="X58" s="68">
        <v>222</v>
      </c>
      <c r="Y58" s="68">
        <v>229</v>
      </c>
      <c r="Z58" s="68">
        <v>225</v>
      </c>
      <c r="AA58" s="63">
        <v>900</v>
      </c>
      <c r="AB58" s="68">
        <v>224</v>
      </c>
      <c r="AC58" s="68">
        <v>228</v>
      </c>
      <c r="AD58" s="68">
        <v>232</v>
      </c>
      <c r="AE58" s="68">
        <v>221</v>
      </c>
      <c r="AF58" s="63">
        <v>905</v>
      </c>
      <c r="AG58" s="68">
        <v>206</v>
      </c>
      <c r="AH58" s="68">
        <v>208</v>
      </c>
      <c r="AI58" s="68">
        <v>219</v>
      </c>
      <c r="AJ58" s="68">
        <v>214</v>
      </c>
      <c r="AK58" s="63">
        <v>847</v>
      </c>
      <c r="AL58" s="68">
        <v>212</v>
      </c>
      <c r="AM58" s="68">
        <v>241</v>
      </c>
      <c r="AN58" s="68">
        <v>236</v>
      </c>
      <c r="AO58" s="68">
        <v>220</v>
      </c>
      <c r="AP58" s="63">
        <v>909</v>
      </c>
      <c r="AQ58" s="68">
        <v>212</v>
      </c>
      <c r="AR58" s="68">
        <v>211</v>
      </c>
      <c r="AS58" s="68">
        <v>211</v>
      </c>
      <c r="AT58" s="68">
        <v>191</v>
      </c>
      <c r="AU58" s="63">
        <v>825</v>
      </c>
      <c r="AV58" s="68">
        <v>196</v>
      </c>
      <c r="AW58" s="68">
        <v>206</v>
      </c>
      <c r="AX58" s="68">
        <v>201</v>
      </c>
      <c r="AY58" s="68">
        <v>202</v>
      </c>
      <c r="AZ58" s="63">
        <v>805</v>
      </c>
      <c r="BA58" s="68">
        <v>192</v>
      </c>
      <c r="BB58" s="68">
        <v>196</v>
      </c>
      <c r="BC58" s="68">
        <v>197</v>
      </c>
      <c r="BD58" s="68">
        <v>204</v>
      </c>
      <c r="BE58" s="63">
        <v>789</v>
      </c>
      <c r="BF58" s="68">
        <v>189</v>
      </c>
      <c r="BG58" s="68">
        <v>194</v>
      </c>
      <c r="BH58" s="68">
        <v>193</v>
      </c>
    </row>
    <row r="59" spans="1:60" ht="10.199999999999999" customHeight="1">
      <c r="A59" s="69" t="s">
        <v>7</v>
      </c>
      <c r="B59" s="23"/>
      <c r="C59" s="92"/>
      <c r="D59" s="92"/>
      <c r="E59" s="92"/>
      <c r="F59" s="92"/>
      <c r="G59" s="23"/>
      <c r="H59" s="92"/>
      <c r="I59" s="92"/>
      <c r="J59" s="92"/>
      <c r="K59" s="92"/>
      <c r="L59" s="23"/>
      <c r="M59" s="92"/>
      <c r="N59" s="92"/>
      <c r="O59" s="92"/>
      <c r="P59" s="92"/>
      <c r="Q59" s="23"/>
      <c r="R59" s="70"/>
      <c r="S59" s="70">
        <f>S58/R58-1</f>
        <v>9.009009009008917E-3</v>
      </c>
      <c r="T59" s="70">
        <f>T58/S58-1</f>
        <v>8.0357142857142794E-2</v>
      </c>
      <c r="U59" s="70">
        <f>U58/T58-1</f>
        <v>-8.2644628099173501E-2</v>
      </c>
      <c r="V59" s="23"/>
      <c r="W59" s="70">
        <v>9.009009009008917E-3</v>
      </c>
      <c r="X59" s="70">
        <v>-8.9285714285713969E-3</v>
      </c>
      <c r="Y59" s="70">
        <v>3.1531531531531432E-2</v>
      </c>
      <c r="Z59" s="70">
        <v>-1.7467248908296984E-2</v>
      </c>
      <c r="AA59" s="23"/>
      <c r="AB59" s="70">
        <v>-4.4444444444444731E-3</v>
      </c>
      <c r="AC59" s="70">
        <v>1.7857142857142794E-2</v>
      </c>
      <c r="AD59" s="70">
        <v>1.7543859649122862E-2</v>
      </c>
      <c r="AE59" s="70">
        <v>-4.7413793103448287E-2</v>
      </c>
      <c r="AF59" s="23"/>
      <c r="AG59" s="70">
        <v>-6.7873303167420795E-2</v>
      </c>
      <c r="AH59" s="70">
        <v>9.7087378640776656E-3</v>
      </c>
      <c r="AI59" s="70">
        <v>5.2884615384615419E-2</v>
      </c>
      <c r="AJ59" s="70">
        <v>-2.2831050228310557E-2</v>
      </c>
      <c r="AK59" s="23"/>
      <c r="AL59" s="70">
        <v>-9.3457943925233655E-3</v>
      </c>
      <c r="AM59" s="70">
        <v>0.1367924528301887</v>
      </c>
      <c r="AN59" s="70">
        <v>-2.0746887966805017E-2</v>
      </c>
      <c r="AO59" s="70">
        <v>-6.7796610169491567E-2</v>
      </c>
      <c r="AP59" s="23"/>
      <c r="AQ59" s="70">
        <v>-3.6363636363636376E-2</v>
      </c>
      <c r="AR59" s="70">
        <v>-4.7169811320755262E-3</v>
      </c>
      <c r="AS59" s="70">
        <v>0</v>
      </c>
      <c r="AT59" s="70">
        <v>-9.4786729857819885E-2</v>
      </c>
      <c r="AU59" s="23"/>
      <c r="AV59" s="70">
        <v>2.6178010471204161E-2</v>
      </c>
      <c r="AW59" s="70">
        <v>5.1020408163265252E-2</v>
      </c>
      <c r="AX59" s="70">
        <v>-2.4271844660194164E-2</v>
      </c>
      <c r="AY59" s="70">
        <v>4.9751243781095411E-3</v>
      </c>
      <c r="AZ59" s="23"/>
      <c r="BA59" s="70">
        <v>-4.9504950495049549E-2</v>
      </c>
      <c r="BB59" s="70">
        <v>2.0833333333333259E-2</v>
      </c>
      <c r="BC59" s="70">
        <v>5.1020408163264808E-3</v>
      </c>
      <c r="BD59" s="70">
        <v>3.5532994923857864E-2</v>
      </c>
      <c r="BE59" s="23"/>
      <c r="BF59" s="70">
        <v>-7.3529411764705843E-2</v>
      </c>
      <c r="BG59" s="70">
        <v>2.6455026455026509E-2</v>
      </c>
      <c r="BH59" s="70">
        <v>-5.1546391752577136E-3</v>
      </c>
    </row>
    <row r="60" spans="1:60" ht="12.6" customHeight="1">
      <c r="A60" s="69" t="s">
        <v>8</v>
      </c>
      <c r="B60" s="23"/>
      <c r="C60" s="92"/>
      <c r="D60" s="92"/>
      <c r="E60" s="92"/>
      <c r="F60" s="92"/>
      <c r="G60" s="23"/>
      <c r="H60" s="92"/>
      <c r="I60" s="92"/>
      <c r="J60" s="92"/>
      <c r="K60" s="92"/>
      <c r="L60" s="23"/>
      <c r="M60" s="92"/>
      <c r="N60" s="92"/>
      <c r="O60" s="92"/>
      <c r="P60" s="92"/>
      <c r="Q60" s="23">
        <f>Q58/L58-1</f>
        <v>6.4699205448354169E-2</v>
      </c>
      <c r="R60" s="71"/>
      <c r="S60" s="71"/>
      <c r="T60" s="71"/>
      <c r="U60" s="71"/>
      <c r="V60" s="23">
        <v>-0.5149253731343284</v>
      </c>
      <c r="W60" s="71">
        <v>9.009009009008917E-3</v>
      </c>
      <c r="X60" s="71">
        <v>-8.9285714285713969E-3</v>
      </c>
      <c r="Y60" s="71">
        <v>-5.3719008264462853E-2</v>
      </c>
      <c r="Z60" s="71">
        <v>1.3513513513513598E-2</v>
      </c>
      <c r="AA60" s="23">
        <v>-1.098901098901095E-2</v>
      </c>
      <c r="AB60" s="71">
        <v>0</v>
      </c>
      <c r="AC60" s="71">
        <v>2.7027027027026973E-2</v>
      </c>
      <c r="AD60" s="71">
        <v>1.3100436681222627E-2</v>
      </c>
      <c r="AE60" s="71">
        <v>-1.7777777777777781E-2</v>
      </c>
      <c r="AF60" s="23">
        <v>5.5555555555555358E-3</v>
      </c>
      <c r="AG60" s="71">
        <v>-8.0357142857142905E-2</v>
      </c>
      <c r="AH60" s="71">
        <v>-8.7719298245614086E-2</v>
      </c>
      <c r="AI60" s="71">
        <v>-5.6034482758620663E-2</v>
      </c>
      <c r="AJ60" s="71">
        <v>-3.1674208144796379E-2</v>
      </c>
      <c r="AK60" s="23">
        <v>-6.4088397790055263E-2</v>
      </c>
      <c r="AL60" s="71">
        <v>2.9126213592232997E-2</v>
      </c>
      <c r="AM60" s="71">
        <v>0.15865384615384626</v>
      </c>
      <c r="AN60" s="71">
        <v>7.7625570776255648E-2</v>
      </c>
      <c r="AO60" s="71">
        <v>2.8037383177569986E-2</v>
      </c>
      <c r="AP60" s="23">
        <v>7.3199527744982396E-2</v>
      </c>
      <c r="AQ60" s="71">
        <v>0</v>
      </c>
      <c r="AR60" s="71">
        <v>-0.12448132780082988</v>
      </c>
      <c r="AS60" s="71">
        <v>-0.10593220338983056</v>
      </c>
      <c r="AT60" s="71">
        <v>-0.13181818181818183</v>
      </c>
      <c r="AU60" s="23">
        <v>-9.2409240924092417E-2</v>
      </c>
      <c r="AV60" s="71">
        <v>-7.547169811320753E-2</v>
      </c>
      <c r="AW60" s="71">
        <v>-2.3696682464454999E-2</v>
      </c>
      <c r="AX60" s="71">
        <v>-4.7393364928909998E-2</v>
      </c>
      <c r="AY60" s="71">
        <v>5.7591623036649109E-2</v>
      </c>
      <c r="AZ60" s="23">
        <v>-2.4242424242424288E-2</v>
      </c>
      <c r="BA60" s="71">
        <v>-2.0408163265306145E-2</v>
      </c>
      <c r="BB60" s="71">
        <v>-4.8543689320388328E-2</v>
      </c>
      <c r="BC60" s="71">
        <v>-1.9900497512437831E-2</v>
      </c>
      <c r="BD60" s="71">
        <v>9.9009900990099098E-3</v>
      </c>
      <c r="BE60" s="23">
        <v>-1.9875776397515477E-2</v>
      </c>
      <c r="BF60" s="71">
        <v>-1.5625E-2</v>
      </c>
      <c r="BG60" s="71">
        <v>-1.0204081632653073E-2</v>
      </c>
      <c r="BH60" s="71">
        <v>-2.0304568527918732E-2</v>
      </c>
    </row>
    <row r="61" spans="1:60" ht="13.5" customHeight="1">
      <c r="A61" s="67" t="s">
        <v>86</v>
      </c>
      <c r="B61" s="119" t="s">
        <v>41</v>
      </c>
      <c r="C61" s="78" t="s">
        <v>49</v>
      </c>
      <c r="D61" s="78" t="s">
        <v>49</v>
      </c>
      <c r="E61" s="78" t="s">
        <v>49</v>
      </c>
      <c r="F61" s="78" t="s">
        <v>49</v>
      </c>
      <c r="G61" s="119" t="s">
        <v>41</v>
      </c>
      <c r="H61" s="78" t="s">
        <v>49</v>
      </c>
      <c r="I61" s="78" t="s">
        <v>49</v>
      </c>
      <c r="J61" s="78" t="s">
        <v>49</v>
      </c>
      <c r="K61" s="78" t="s">
        <v>49</v>
      </c>
      <c r="L61" s="63">
        <v>647</v>
      </c>
      <c r="M61" s="78" t="s">
        <v>49</v>
      </c>
      <c r="N61" s="78" t="s">
        <v>49</v>
      </c>
      <c r="O61" s="78" t="s">
        <v>49</v>
      </c>
      <c r="P61" s="78" t="s">
        <v>49</v>
      </c>
      <c r="Q61" s="63">
        <v>640</v>
      </c>
      <c r="R61" s="68">
        <v>161</v>
      </c>
      <c r="S61" s="68">
        <v>159</v>
      </c>
      <c r="T61" s="68">
        <v>160</v>
      </c>
      <c r="U61" s="68">
        <f>V61-T61-S61-R61</f>
        <v>161</v>
      </c>
      <c r="V61" s="63">
        <v>641</v>
      </c>
      <c r="W61" s="68">
        <v>162</v>
      </c>
      <c r="X61" s="68">
        <v>158</v>
      </c>
      <c r="Y61" s="68">
        <v>169</v>
      </c>
      <c r="Z61" s="68">
        <v>174</v>
      </c>
      <c r="AA61" s="63">
        <v>663</v>
      </c>
      <c r="AB61" s="68">
        <v>161</v>
      </c>
      <c r="AC61" s="68">
        <v>127</v>
      </c>
      <c r="AD61" s="68">
        <v>168</v>
      </c>
      <c r="AE61" s="68">
        <v>151</v>
      </c>
      <c r="AF61" s="63">
        <v>607</v>
      </c>
      <c r="AG61" s="68">
        <v>156</v>
      </c>
      <c r="AH61" s="68">
        <v>156</v>
      </c>
      <c r="AI61" s="68">
        <v>163</v>
      </c>
      <c r="AJ61" s="68">
        <v>164</v>
      </c>
      <c r="AK61" s="63">
        <v>639</v>
      </c>
      <c r="AL61" s="68">
        <v>150</v>
      </c>
      <c r="AM61" s="68">
        <v>156</v>
      </c>
      <c r="AN61" s="68">
        <v>161</v>
      </c>
      <c r="AO61" s="68">
        <v>149</v>
      </c>
      <c r="AP61" s="63">
        <v>616</v>
      </c>
      <c r="AQ61" s="68">
        <v>154</v>
      </c>
      <c r="AR61" s="68">
        <v>145</v>
      </c>
      <c r="AS61" s="68">
        <v>151</v>
      </c>
      <c r="AT61" s="68">
        <v>155</v>
      </c>
      <c r="AU61" s="63">
        <v>605</v>
      </c>
      <c r="AV61" s="68">
        <v>147</v>
      </c>
      <c r="AW61" s="68">
        <v>138</v>
      </c>
      <c r="AX61" s="68">
        <v>152</v>
      </c>
      <c r="AY61" s="68">
        <v>147</v>
      </c>
      <c r="AZ61" s="63">
        <v>584</v>
      </c>
      <c r="BA61" s="68">
        <v>71</v>
      </c>
      <c r="BB61" s="68">
        <v>68</v>
      </c>
      <c r="BC61" s="68">
        <v>74</v>
      </c>
      <c r="BD61" s="68">
        <v>73</v>
      </c>
      <c r="BE61" s="63">
        <v>286</v>
      </c>
      <c r="BF61" s="68">
        <v>68</v>
      </c>
      <c r="BG61" s="68">
        <v>65</v>
      </c>
      <c r="BH61" s="68">
        <v>70</v>
      </c>
    </row>
    <row r="62" spans="1:60" ht="10.5" customHeight="1">
      <c r="A62" s="69" t="s">
        <v>7</v>
      </c>
      <c r="B62" s="23"/>
      <c r="C62" s="92"/>
      <c r="D62" s="92"/>
      <c r="E62" s="92"/>
      <c r="F62" s="92"/>
      <c r="G62" s="23"/>
      <c r="H62" s="92"/>
      <c r="I62" s="92"/>
      <c r="J62" s="92"/>
      <c r="K62" s="92"/>
      <c r="L62" s="23"/>
      <c r="M62" s="92"/>
      <c r="N62" s="92"/>
      <c r="O62" s="92"/>
      <c r="P62" s="92"/>
      <c r="Q62" s="23"/>
      <c r="R62" s="70"/>
      <c r="S62" s="70">
        <f>S61/R61-1</f>
        <v>-1.2422360248447228E-2</v>
      </c>
      <c r="T62" s="70">
        <f>T61/S61-1</f>
        <v>6.2893081761006275E-3</v>
      </c>
      <c r="U62" s="70">
        <f>U61/T61-1</f>
        <v>6.2500000000000888E-3</v>
      </c>
      <c r="V62" s="23"/>
      <c r="W62" s="70">
        <v>6.2111801242235032E-3</v>
      </c>
      <c r="X62" s="70">
        <v>-2.4691358024691357E-2</v>
      </c>
      <c r="Y62" s="70">
        <v>6.9620253164556889E-2</v>
      </c>
      <c r="Z62" s="70">
        <v>2.9585798816567976E-2</v>
      </c>
      <c r="AA62" s="23"/>
      <c r="AB62" s="70">
        <v>-7.4712643678160884E-2</v>
      </c>
      <c r="AC62" s="70">
        <v>-0.21118012422360244</v>
      </c>
      <c r="AD62" s="70">
        <v>0.32283464566929143</v>
      </c>
      <c r="AE62" s="70">
        <v>-0.10119047619047616</v>
      </c>
      <c r="AF62" s="23"/>
      <c r="AG62" s="70">
        <v>3.3112582781456901E-2</v>
      </c>
      <c r="AH62" s="70">
        <v>0</v>
      </c>
      <c r="AI62" s="70">
        <v>4.4871794871794934E-2</v>
      </c>
      <c r="AJ62" s="70">
        <v>6.1349693251533388E-3</v>
      </c>
      <c r="AK62" s="23"/>
      <c r="AL62" s="70">
        <v>-8.536585365853655E-2</v>
      </c>
      <c r="AM62" s="70">
        <v>4.0000000000000036E-2</v>
      </c>
      <c r="AN62" s="70">
        <v>3.2051282051282159E-2</v>
      </c>
      <c r="AO62" s="70">
        <v>-7.4534161490683259E-2</v>
      </c>
      <c r="AP62" s="23"/>
      <c r="AQ62" s="70">
        <v>3.3557046979865834E-2</v>
      </c>
      <c r="AR62" s="70">
        <v>-5.8441558441558406E-2</v>
      </c>
      <c r="AS62" s="70">
        <v>4.1379310344827669E-2</v>
      </c>
      <c r="AT62" s="70">
        <v>2.6490066225165476E-2</v>
      </c>
      <c r="AU62" s="23"/>
      <c r="AV62" s="70">
        <v>-5.1612903225806472E-2</v>
      </c>
      <c r="AW62" s="70">
        <v>-6.1224489795918324E-2</v>
      </c>
      <c r="AX62" s="70">
        <v>0.10144927536231885</v>
      </c>
      <c r="AY62" s="70">
        <v>-3.289473684210531E-2</v>
      </c>
      <c r="AZ62" s="23"/>
      <c r="BA62" s="70">
        <v>-0.51700680272108845</v>
      </c>
      <c r="BB62" s="70">
        <v>-4.2253521126760618E-2</v>
      </c>
      <c r="BC62" s="70">
        <v>8.8235294117646967E-2</v>
      </c>
      <c r="BD62" s="70">
        <v>-1.3513513513513487E-2</v>
      </c>
      <c r="BE62" s="23"/>
      <c r="BF62" s="70">
        <v>-6.8493150684931559E-2</v>
      </c>
      <c r="BG62" s="70">
        <v>-4.4117647058823484E-2</v>
      </c>
      <c r="BH62" s="70">
        <v>7.6923076923076872E-2</v>
      </c>
    </row>
    <row r="63" spans="1:60" ht="9" customHeight="1">
      <c r="A63" s="69" t="s">
        <v>8</v>
      </c>
      <c r="B63" s="23"/>
      <c r="C63" s="92"/>
      <c r="D63" s="92"/>
      <c r="E63" s="92"/>
      <c r="F63" s="92"/>
      <c r="G63" s="23"/>
      <c r="H63" s="92"/>
      <c r="I63" s="92"/>
      <c r="J63" s="92"/>
      <c r="K63" s="92"/>
      <c r="L63" s="23"/>
      <c r="M63" s="92"/>
      <c r="N63" s="92"/>
      <c r="O63" s="92"/>
      <c r="P63" s="92"/>
      <c r="Q63" s="23">
        <f>Q61/L61-1</f>
        <v>-1.0819165378670781E-2</v>
      </c>
      <c r="R63" s="71"/>
      <c r="S63" s="71"/>
      <c r="T63" s="71"/>
      <c r="U63" s="71"/>
      <c r="V63" s="23">
        <v>1.5624999999999112E-3</v>
      </c>
      <c r="W63" s="71">
        <v>6.2111801242235032E-3</v>
      </c>
      <c r="X63" s="71">
        <v>-6.2893081761006275E-3</v>
      </c>
      <c r="Y63" s="71">
        <v>5.6249999999999911E-2</v>
      </c>
      <c r="Z63" s="71">
        <v>8.0745341614906874E-2</v>
      </c>
      <c r="AA63" s="23">
        <v>3.4321372854914101E-2</v>
      </c>
      <c r="AB63" s="71">
        <v>-6.1728395061728669E-3</v>
      </c>
      <c r="AC63" s="71">
        <v>-0.19620253164556967</v>
      </c>
      <c r="AD63" s="71">
        <v>-5.9171597633136397E-3</v>
      </c>
      <c r="AE63" s="71">
        <v>-0.13218390804597702</v>
      </c>
      <c r="AF63" s="23">
        <v>-8.446455505279038E-2</v>
      </c>
      <c r="AG63" s="71">
        <v>-3.105590062111796E-2</v>
      </c>
      <c r="AH63" s="71">
        <v>0.22834645669291342</v>
      </c>
      <c r="AI63" s="71">
        <v>-2.9761904761904767E-2</v>
      </c>
      <c r="AJ63" s="71">
        <v>8.6092715231788075E-2</v>
      </c>
      <c r="AK63" s="23">
        <v>5.2718286655683677E-2</v>
      </c>
      <c r="AL63" s="71">
        <v>-3.8461538461538436E-2</v>
      </c>
      <c r="AM63" s="71">
        <v>0</v>
      </c>
      <c r="AN63" s="71">
        <v>-1.2269938650306789E-2</v>
      </c>
      <c r="AO63" s="71">
        <v>-9.1463414634146312E-2</v>
      </c>
      <c r="AP63" s="23">
        <v>-3.5993740219092296E-2</v>
      </c>
      <c r="AQ63" s="71">
        <v>2.6666666666666616E-2</v>
      </c>
      <c r="AR63" s="71">
        <v>-7.0512820512820484E-2</v>
      </c>
      <c r="AS63" s="71">
        <v>-6.2111801242236031E-2</v>
      </c>
      <c r="AT63" s="71">
        <v>4.0268456375838868E-2</v>
      </c>
      <c r="AU63" s="23">
        <v>-1.7857142857142905E-2</v>
      </c>
      <c r="AV63" s="71">
        <v>-4.5454545454545414E-2</v>
      </c>
      <c r="AW63" s="71">
        <v>-4.8275862068965503E-2</v>
      </c>
      <c r="AX63" s="71">
        <v>6.6225165562914245E-3</v>
      </c>
      <c r="AY63" s="71">
        <v>-5.1612903225806472E-2</v>
      </c>
      <c r="AZ63" s="23">
        <v>-3.4710743801652844E-2</v>
      </c>
      <c r="BA63" s="71">
        <v>-0.51700680272108845</v>
      </c>
      <c r="BB63" s="71">
        <v>-0.50724637681159424</v>
      </c>
      <c r="BC63" s="71">
        <v>-0.51315789473684204</v>
      </c>
      <c r="BD63" s="71">
        <v>-0.50340136054421769</v>
      </c>
      <c r="BE63" s="23">
        <v>-0.51027397260273966</v>
      </c>
      <c r="BF63" s="71">
        <v>-4.2253521126760618E-2</v>
      </c>
      <c r="BG63" s="71">
        <v>-4.4117647058823484E-2</v>
      </c>
      <c r="BH63" s="71">
        <v>-5.4054054054054057E-2</v>
      </c>
    </row>
    <row r="64" spans="1:60" ht="13.5" customHeight="1">
      <c r="A64" s="67" t="s">
        <v>95</v>
      </c>
      <c r="B64" s="119" t="s">
        <v>41</v>
      </c>
      <c r="C64" s="78" t="s">
        <v>49</v>
      </c>
      <c r="D64" s="78" t="s">
        <v>49</v>
      </c>
      <c r="E64" s="78" t="s">
        <v>49</v>
      </c>
      <c r="F64" s="78" t="s">
        <v>49</v>
      </c>
      <c r="G64" s="119" t="s">
        <v>41</v>
      </c>
      <c r="H64" s="78" t="s">
        <v>49</v>
      </c>
      <c r="I64" s="78" t="s">
        <v>49</v>
      </c>
      <c r="J64" s="78" t="s">
        <v>49</v>
      </c>
      <c r="K64" s="78" t="s">
        <v>49</v>
      </c>
      <c r="L64" s="63">
        <v>626</v>
      </c>
      <c r="M64" s="78" t="s">
        <v>49</v>
      </c>
      <c r="N64" s="78" t="s">
        <v>49</v>
      </c>
      <c r="O64" s="78" t="s">
        <v>49</v>
      </c>
      <c r="P64" s="78" t="s">
        <v>49</v>
      </c>
      <c r="Q64" s="63">
        <v>622</v>
      </c>
      <c r="R64" s="68">
        <v>156</v>
      </c>
      <c r="S64" s="68">
        <v>158</v>
      </c>
      <c r="T64" s="68">
        <v>177</v>
      </c>
      <c r="U64" s="68">
        <f>V64-T64-S64-R64</f>
        <v>164</v>
      </c>
      <c r="V64" s="63">
        <v>655</v>
      </c>
      <c r="W64" s="68">
        <v>122</v>
      </c>
      <c r="X64" s="68">
        <v>152</v>
      </c>
      <c r="Y64" s="68">
        <v>156</v>
      </c>
      <c r="Z64" s="68">
        <v>126</v>
      </c>
      <c r="AA64" s="63">
        <v>556</v>
      </c>
      <c r="AB64" s="68">
        <v>140</v>
      </c>
      <c r="AC64" s="68">
        <v>126</v>
      </c>
      <c r="AD64" s="68">
        <v>126</v>
      </c>
      <c r="AE64" s="68">
        <v>171</v>
      </c>
      <c r="AF64" s="63">
        <v>563</v>
      </c>
      <c r="AG64" s="68">
        <v>153</v>
      </c>
      <c r="AH64" s="68">
        <v>153</v>
      </c>
      <c r="AI64" s="68">
        <v>152</v>
      </c>
      <c r="AJ64" s="68">
        <v>145</v>
      </c>
      <c r="AK64" s="63">
        <v>603</v>
      </c>
      <c r="AL64" s="68">
        <v>129</v>
      </c>
      <c r="AM64" s="68">
        <v>160</v>
      </c>
      <c r="AN64" s="68">
        <v>164</v>
      </c>
      <c r="AO64" s="68">
        <v>187</v>
      </c>
      <c r="AP64" s="63">
        <v>640</v>
      </c>
      <c r="AQ64" s="68">
        <v>177</v>
      </c>
      <c r="AR64" s="68">
        <v>168</v>
      </c>
      <c r="AS64" s="68">
        <v>180</v>
      </c>
      <c r="AT64" s="68">
        <v>172</v>
      </c>
      <c r="AU64" s="63">
        <v>697</v>
      </c>
      <c r="AV64" s="68">
        <v>144</v>
      </c>
      <c r="AW64" s="68">
        <v>134</v>
      </c>
      <c r="AX64" s="68">
        <v>159</v>
      </c>
      <c r="AY64" s="68">
        <v>158</v>
      </c>
      <c r="AZ64" s="63">
        <v>595</v>
      </c>
      <c r="BA64" s="68">
        <v>145</v>
      </c>
      <c r="BB64" s="68">
        <v>146</v>
      </c>
      <c r="BC64" s="68">
        <v>135</v>
      </c>
      <c r="BD64" s="68">
        <v>129</v>
      </c>
      <c r="BE64" s="63">
        <v>555</v>
      </c>
      <c r="BF64" s="68">
        <v>123</v>
      </c>
      <c r="BG64" s="68">
        <v>118</v>
      </c>
      <c r="BH64" s="68">
        <v>120</v>
      </c>
    </row>
    <row r="65" spans="1:60" ht="9.75" customHeight="1">
      <c r="A65" s="69" t="s">
        <v>7</v>
      </c>
      <c r="B65" s="23"/>
      <c r="C65" s="92"/>
      <c r="D65" s="92"/>
      <c r="E65" s="92"/>
      <c r="F65" s="92"/>
      <c r="G65" s="23"/>
      <c r="H65" s="92"/>
      <c r="I65" s="92"/>
      <c r="J65" s="92"/>
      <c r="K65" s="92"/>
      <c r="L65" s="23"/>
      <c r="M65" s="92"/>
      <c r="N65" s="92"/>
      <c r="O65" s="92"/>
      <c r="P65" s="92"/>
      <c r="Q65" s="23"/>
      <c r="R65" s="70"/>
      <c r="S65" s="70">
        <f>S64/R64-1</f>
        <v>1.2820512820512775E-2</v>
      </c>
      <c r="T65" s="70">
        <f>T64/S64-1</f>
        <v>0.120253164556962</v>
      </c>
      <c r="U65" s="70">
        <f>U64/T64-1</f>
        <v>-7.3446327683615809E-2</v>
      </c>
      <c r="V65" s="23"/>
      <c r="W65" s="70">
        <v>-0.25609756097560976</v>
      </c>
      <c r="X65" s="70">
        <v>0.24590163934426235</v>
      </c>
      <c r="Y65" s="70">
        <v>2.6315789473684292E-2</v>
      </c>
      <c r="Z65" s="70">
        <v>-0.19230769230769229</v>
      </c>
      <c r="AA65" s="23"/>
      <c r="AB65" s="70">
        <v>0.11111111111111116</v>
      </c>
      <c r="AC65" s="70">
        <v>-9.9999999999999978E-2</v>
      </c>
      <c r="AD65" s="70">
        <v>0</v>
      </c>
      <c r="AE65" s="70">
        <v>0.35714285714285721</v>
      </c>
      <c r="AF65" s="23"/>
      <c r="AG65" s="70">
        <v>-0.10526315789473684</v>
      </c>
      <c r="AH65" s="70">
        <v>0</v>
      </c>
      <c r="AI65" s="70">
        <v>-6.5359477124182774E-3</v>
      </c>
      <c r="AJ65" s="70">
        <v>-4.6052631578947345E-2</v>
      </c>
      <c r="AK65" s="23"/>
      <c r="AL65" s="70">
        <v>-0.1103448275862069</v>
      </c>
      <c r="AM65" s="70">
        <v>0.24031007751937983</v>
      </c>
      <c r="AN65" s="70">
        <v>2.4999999999999911E-2</v>
      </c>
      <c r="AO65" s="70">
        <v>0.14024390243902429</v>
      </c>
      <c r="AP65" s="23"/>
      <c r="AQ65" s="70">
        <v>-5.3475935828876997E-2</v>
      </c>
      <c r="AR65" s="70">
        <v>-5.084745762711862E-2</v>
      </c>
      <c r="AS65" s="70">
        <v>7.1428571428571397E-2</v>
      </c>
      <c r="AT65" s="70">
        <v>-4.4444444444444398E-2</v>
      </c>
      <c r="AU65" s="23"/>
      <c r="AV65" s="70">
        <v>-0.16279069767441856</v>
      </c>
      <c r="AW65" s="70">
        <v>-6.944444444444442E-2</v>
      </c>
      <c r="AX65" s="70">
        <v>0.18656716417910446</v>
      </c>
      <c r="AY65" s="70">
        <v>-6.2893081761006275E-3</v>
      </c>
      <c r="AZ65" s="23"/>
      <c r="BA65" s="70">
        <v>-8.2278481012658222E-2</v>
      </c>
      <c r="BB65" s="70">
        <v>6.8965517241379448E-3</v>
      </c>
      <c r="BC65" s="70">
        <v>-7.5342465753424626E-2</v>
      </c>
      <c r="BD65" s="70">
        <v>-4.4444444444444398E-2</v>
      </c>
      <c r="BE65" s="23"/>
      <c r="BF65" s="70">
        <v>-4.6511627906976716E-2</v>
      </c>
      <c r="BG65" s="70">
        <v>-4.065040650406504E-2</v>
      </c>
      <c r="BH65" s="70">
        <v>1.6949152542372836E-2</v>
      </c>
    </row>
    <row r="66" spans="1:60" ht="9.6" customHeight="1">
      <c r="A66" s="69" t="s">
        <v>8</v>
      </c>
      <c r="B66" s="23"/>
      <c r="C66" s="92"/>
      <c r="D66" s="92"/>
      <c r="E66" s="92"/>
      <c r="F66" s="92"/>
      <c r="G66" s="23"/>
      <c r="H66" s="92"/>
      <c r="I66" s="92"/>
      <c r="J66" s="92"/>
      <c r="K66" s="92"/>
      <c r="L66" s="23"/>
      <c r="M66" s="92"/>
      <c r="N66" s="92"/>
      <c r="O66" s="92"/>
      <c r="P66" s="92"/>
      <c r="Q66" s="23">
        <f>Q64/L64-1</f>
        <v>-6.389776357827448E-3</v>
      </c>
      <c r="R66" s="71"/>
      <c r="S66" s="71"/>
      <c r="T66" s="71"/>
      <c r="U66" s="71"/>
      <c r="V66" s="23">
        <v>5.3054662379421247E-2</v>
      </c>
      <c r="W66" s="71">
        <v>-0.21794871794871795</v>
      </c>
      <c r="X66" s="71">
        <v>-3.7974683544303778E-2</v>
      </c>
      <c r="Y66" s="71">
        <v>-0.11864406779661019</v>
      </c>
      <c r="Z66" s="71">
        <v>-0.23170731707317072</v>
      </c>
      <c r="AA66" s="23">
        <v>-0.15114503816793889</v>
      </c>
      <c r="AB66" s="71">
        <v>0.14754098360655732</v>
      </c>
      <c r="AC66" s="71">
        <v>-0.17105263157894735</v>
      </c>
      <c r="AD66" s="71">
        <v>-0.19230769230769229</v>
      </c>
      <c r="AE66" s="71">
        <v>0.35714285714285721</v>
      </c>
      <c r="AF66" s="23">
        <v>1.2589928057553879E-2</v>
      </c>
      <c r="AG66" s="71">
        <v>9.2857142857142749E-2</v>
      </c>
      <c r="AH66" s="71">
        <v>0.21428571428571419</v>
      </c>
      <c r="AI66" s="71">
        <v>0.20634920634920628</v>
      </c>
      <c r="AJ66" s="71">
        <v>-0.15204678362573099</v>
      </c>
      <c r="AK66" s="23">
        <v>7.104795737122549E-2</v>
      </c>
      <c r="AL66" s="71">
        <v>-0.15686274509803921</v>
      </c>
      <c r="AM66" s="71">
        <v>4.5751633986928164E-2</v>
      </c>
      <c r="AN66" s="71">
        <v>7.8947368421052655E-2</v>
      </c>
      <c r="AO66" s="71">
        <v>0.28965517241379302</v>
      </c>
      <c r="AP66" s="23">
        <v>6.1359867330016638E-2</v>
      </c>
      <c r="AQ66" s="71">
        <v>0.37209302325581395</v>
      </c>
      <c r="AR66" s="71">
        <v>5.0000000000000044E-2</v>
      </c>
      <c r="AS66" s="71">
        <v>9.7560975609756184E-2</v>
      </c>
      <c r="AT66" s="71">
        <v>-8.0213903743315496E-2</v>
      </c>
      <c r="AU66" s="23">
        <v>8.9062500000000044E-2</v>
      </c>
      <c r="AV66" s="71">
        <v>-0.18644067796610164</v>
      </c>
      <c r="AW66" s="71">
        <v>-0.20238095238095233</v>
      </c>
      <c r="AX66" s="71">
        <v>-0.1166666666666667</v>
      </c>
      <c r="AY66" s="71">
        <v>-8.1395348837209336E-2</v>
      </c>
      <c r="AZ66" s="23">
        <v>-0.14634146341463417</v>
      </c>
      <c r="BA66" s="71">
        <v>6.9444444444444198E-3</v>
      </c>
      <c r="BB66" s="71">
        <v>8.9552238805970186E-2</v>
      </c>
      <c r="BC66" s="71">
        <v>-0.15094339622641506</v>
      </c>
      <c r="BD66" s="71">
        <v>-0.18354430379746833</v>
      </c>
      <c r="BE66" s="23">
        <v>-6.7226890756302504E-2</v>
      </c>
      <c r="BF66" s="71">
        <v>-0.15172413793103445</v>
      </c>
      <c r="BG66" s="71">
        <v>-0.19178082191780821</v>
      </c>
      <c r="BH66" s="71">
        <v>-0.11111111111111116</v>
      </c>
    </row>
    <row r="67" spans="1:60" ht="13.5" customHeight="1">
      <c r="A67" s="67" t="s">
        <v>87</v>
      </c>
      <c r="B67" s="119" t="s">
        <v>41</v>
      </c>
      <c r="C67" s="78" t="s">
        <v>49</v>
      </c>
      <c r="D67" s="78" t="s">
        <v>49</v>
      </c>
      <c r="E67" s="78" t="s">
        <v>49</v>
      </c>
      <c r="F67" s="78" t="s">
        <v>49</v>
      </c>
      <c r="G67" s="119" t="s">
        <v>41</v>
      </c>
      <c r="H67" s="78" t="s">
        <v>49</v>
      </c>
      <c r="I67" s="78" t="s">
        <v>49</v>
      </c>
      <c r="J67" s="78" t="s">
        <v>49</v>
      </c>
      <c r="K67" s="78" t="s">
        <v>49</v>
      </c>
      <c r="L67" s="63">
        <v>218</v>
      </c>
      <c r="M67" s="78" t="s">
        <v>49</v>
      </c>
      <c r="N67" s="78" t="s">
        <v>49</v>
      </c>
      <c r="O67" s="78" t="s">
        <v>49</v>
      </c>
      <c r="P67" s="78" t="s">
        <v>49</v>
      </c>
      <c r="Q67" s="63">
        <v>189</v>
      </c>
      <c r="R67" s="68">
        <v>46</v>
      </c>
      <c r="S67" s="68">
        <v>43</v>
      </c>
      <c r="T67" s="68">
        <v>42</v>
      </c>
      <c r="U67" s="68">
        <f>V67-T67-S67-R67</f>
        <v>39</v>
      </c>
      <c r="V67" s="63">
        <v>170</v>
      </c>
      <c r="W67" s="68">
        <v>43</v>
      </c>
      <c r="X67" s="68">
        <v>34</v>
      </c>
      <c r="Y67" s="68">
        <v>35</v>
      </c>
      <c r="Z67" s="68">
        <v>46</v>
      </c>
      <c r="AA67" s="63">
        <v>158</v>
      </c>
      <c r="AB67" s="68">
        <v>38</v>
      </c>
      <c r="AC67" s="68">
        <v>36</v>
      </c>
      <c r="AD67" s="68">
        <v>33</v>
      </c>
      <c r="AE67" s="68">
        <v>55</v>
      </c>
      <c r="AF67" s="63">
        <v>162</v>
      </c>
      <c r="AG67" s="68">
        <v>40</v>
      </c>
      <c r="AH67" s="68">
        <v>38</v>
      </c>
      <c r="AI67" s="68">
        <v>35</v>
      </c>
      <c r="AJ67" s="68">
        <v>24</v>
      </c>
      <c r="AK67" s="63">
        <v>137</v>
      </c>
      <c r="AL67" s="68">
        <v>34</v>
      </c>
      <c r="AM67" s="68">
        <v>55</v>
      </c>
      <c r="AN67" s="68">
        <v>52</v>
      </c>
      <c r="AO67" s="68">
        <v>58</v>
      </c>
      <c r="AP67" s="63">
        <v>199</v>
      </c>
      <c r="AQ67" s="68">
        <v>63</v>
      </c>
      <c r="AR67" s="68">
        <v>61</v>
      </c>
      <c r="AS67" s="68">
        <v>68</v>
      </c>
      <c r="AT67" s="68">
        <v>69</v>
      </c>
      <c r="AU67" s="63">
        <v>261</v>
      </c>
      <c r="AV67" s="68">
        <v>67</v>
      </c>
      <c r="AW67" s="68">
        <v>64</v>
      </c>
      <c r="AX67" s="68">
        <v>67</v>
      </c>
      <c r="AY67" s="68">
        <v>62</v>
      </c>
      <c r="AZ67" s="63">
        <v>260</v>
      </c>
      <c r="BA67" s="68">
        <v>71</v>
      </c>
      <c r="BB67" s="68">
        <v>68</v>
      </c>
      <c r="BC67" s="68">
        <v>68</v>
      </c>
      <c r="BD67" s="68">
        <v>70</v>
      </c>
      <c r="BE67" s="63">
        <v>277</v>
      </c>
      <c r="BF67" s="68">
        <v>70</v>
      </c>
      <c r="BG67" s="68">
        <v>68</v>
      </c>
      <c r="BH67" s="68">
        <v>63</v>
      </c>
    </row>
    <row r="68" spans="1:60" ht="9.75" customHeight="1">
      <c r="A68" s="69" t="s">
        <v>7</v>
      </c>
      <c r="B68" s="23"/>
      <c r="C68" s="92"/>
      <c r="D68" s="92"/>
      <c r="E68" s="92"/>
      <c r="F68" s="92"/>
      <c r="G68" s="23"/>
      <c r="H68" s="92"/>
      <c r="I68" s="92"/>
      <c r="J68" s="92"/>
      <c r="K68" s="92"/>
      <c r="L68" s="23"/>
      <c r="M68" s="92"/>
      <c r="N68" s="92"/>
      <c r="O68" s="92"/>
      <c r="P68" s="92"/>
      <c r="Q68" s="23"/>
      <c r="R68" s="70"/>
      <c r="S68" s="70">
        <f>S67/R67-1</f>
        <v>-6.5217391304347783E-2</v>
      </c>
      <c r="T68" s="70">
        <f>T67/S67-1</f>
        <v>-2.3255813953488413E-2</v>
      </c>
      <c r="U68" s="70">
        <f>U67/T67-1</f>
        <v>-7.1428571428571397E-2</v>
      </c>
      <c r="V68" s="23"/>
      <c r="W68" s="70">
        <v>0.10256410256410264</v>
      </c>
      <c r="X68" s="70">
        <v>-0.20930232558139539</v>
      </c>
      <c r="Y68" s="70">
        <v>2.9411764705882248E-2</v>
      </c>
      <c r="Z68" s="70">
        <v>0.31428571428571428</v>
      </c>
      <c r="AA68" s="23"/>
      <c r="AB68" s="70">
        <v>-0.17391304347826086</v>
      </c>
      <c r="AC68" s="70">
        <v>-5.2631578947368474E-2</v>
      </c>
      <c r="AD68" s="70">
        <v>-8.333333333333337E-2</v>
      </c>
      <c r="AE68" s="70">
        <v>0.66666666666666674</v>
      </c>
      <c r="AF68" s="23"/>
      <c r="AG68" s="70">
        <v>-0.27272727272727271</v>
      </c>
      <c r="AH68" s="70">
        <v>-5.0000000000000044E-2</v>
      </c>
      <c r="AI68" s="70">
        <v>-7.8947368421052655E-2</v>
      </c>
      <c r="AJ68" s="70">
        <v>-0.31428571428571428</v>
      </c>
      <c r="AK68" s="23"/>
      <c r="AL68" s="70">
        <v>0.41666666666666674</v>
      </c>
      <c r="AM68" s="70">
        <v>0.61764705882352944</v>
      </c>
      <c r="AN68" s="70">
        <v>-5.4545454545454564E-2</v>
      </c>
      <c r="AO68" s="70">
        <v>0.11538461538461542</v>
      </c>
      <c r="AP68" s="23"/>
      <c r="AQ68" s="70">
        <v>8.6206896551724199E-2</v>
      </c>
      <c r="AR68" s="70">
        <v>-3.1746031746031744E-2</v>
      </c>
      <c r="AS68" s="70">
        <v>0.11475409836065564</v>
      </c>
      <c r="AT68" s="70">
        <v>1.4705882352941124E-2</v>
      </c>
      <c r="AU68" s="23"/>
      <c r="AV68" s="70">
        <v>-2.8985507246376829E-2</v>
      </c>
      <c r="AW68" s="70">
        <v>-4.4776119402985093E-2</v>
      </c>
      <c r="AX68" s="70">
        <v>4.6875E-2</v>
      </c>
      <c r="AY68" s="70">
        <v>-7.4626865671641784E-2</v>
      </c>
      <c r="AZ68" s="23"/>
      <c r="BA68" s="70">
        <v>0.14516129032258074</v>
      </c>
      <c r="BB68" s="70">
        <v>-4.2253521126760618E-2</v>
      </c>
      <c r="BC68" s="70">
        <v>0</v>
      </c>
      <c r="BD68" s="70">
        <v>2.9411764705882248E-2</v>
      </c>
      <c r="BE68" s="23"/>
      <c r="BF68" s="70">
        <v>0</v>
      </c>
      <c r="BG68" s="70">
        <v>-2.8571428571428581E-2</v>
      </c>
      <c r="BH68" s="70">
        <v>-7.3529411764705843E-2</v>
      </c>
    </row>
    <row r="69" spans="1:60" ht="10.199999999999999" customHeight="1">
      <c r="A69" s="69" t="s">
        <v>8</v>
      </c>
      <c r="B69" s="23"/>
      <c r="C69" s="92"/>
      <c r="D69" s="92"/>
      <c r="E69" s="92"/>
      <c r="F69" s="92"/>
      <c r="G69" s="23"/>
      <c r="H69" s="92"/>
      <c r="I69" s="92"/>
      <c r="J69" s="92"/>
      <c r="K69" s="92"/>
      <c r="L69" s="23"/>
      <c r="M69" s="92"/>
      <c r="N69" s="92"/>
      <c r="O69" s="92"/>
      <c r="P69" s="92"/>
      <c r="Q69" s="23">
        <f>Q67/L67-1</f>
        <v>-0.1330275229357798</v>
      </c>
      <c r="R69" s="71"/>
      <c r="S69" s="71"/>
      <c r="T69" s="71"/>
      <c r="U69" s="71"/>
      <c r="V69" s="23">
        <v>-0.10052910052910058</v>
      </c>
      <c r="W69" s="71">
        <v>-6.5217391304347783E-2</v>
      </c>
      <c r="X69" s="71">
        <v>-0.20930232558139539</v>
      </c>
      <c r="Y69" s="71">
        <v>-0.16666666666666663</v>
      </c>
      <c r="Z69" s="71">
        <v>0.17948717948717952</v>
      </c>
      <c r="AA69" s="23">
        <v>-7.0588235294117618E-2</v>
      </c>
      <c r="AB69" s="71">
        <v>-0.11627906976744184</v>
      </c>
      <c r="AC69" s="71">
        <v>5.8823529411764719E-2</v>
      </c>
      <c r="AD69" s="71">
        <v>-5.7142857142857162E-2</v>
      </c>
      <c r="AE69" s="71">
        <v>0.19565217391304346</v>
      </c>
      <c r="AF69" s="23">
        <v>2.5316455696202445E-2</v>
      </c>
      <c r="AG69" s="71">
        <v>5.2631578947368363E-2</v>
      </c>
      <c r="AH69" s="71">
        <v>5.555555555555558E-2</v>
      </c>
      <c r="AI69" s="71">
        <v>6.0606060606060552E-2</v>
      </c>
      <c r="AJ69" s="71">
        <v>-0.56363636363636371</v>
      </c>
      <c r="AK69" s="23">
        <v>-0.15432098765432101</v>
      </c>
      <c r="AL69" s="71">
        <v>-0.15000000000000002</v>
      </c>
      <c r="AM69" s="71">
        <v>0.44736842105263164</v>
      </c>
      <c r="AN69" s="71">
        <v>0.48571428571428577</v>
      </c>
      <c r="AO69" s="71">
        <v>1.4166666666666665</v>
      </c>
      <c r="AP69" s="23">
        <v>0.45255474452554734</v>
      </c>
      <c r="AQ69" s="71">
        <v>0.85294117647058831</v>
      </c>
      <c r="AR69" s="71">
        <v>0.10909090909090913</v>
      </c>
      <c r="AS69" s="71">
        <v>0.30769230769230771</v>
      </c>
      <c r="AT69" s="71">
        <v>0.18965517241379315</v>
      </c>
      <c r="AU69" s="23">
        <v>0.31155778894472363</v>
      </c>
      <c r="AV69" s="71">
        <v>6.3492063492063489E-2</v>
      </c>
      <c r="AW69" s="71">
        <v>4.9180327868852514E-2</v>
      </c>
      <c r="AX69" s="71">
        <v>-1.4705882352941124E-2</v>
      </c>
      <c r="AY69" s="71">
        <v>-0.10144927536231885</v>
      </c>
      <c r="AZ69" s="23">
        <v>-3.8314176245211051E-3</v>
      </c>
      <c r="BA69" s="71">
        <v>5.9701492537313383E-2</v>
      </c>
      <c r="BB69" s="71">
        <v>6.25E-2</v>
      </c>
      <c r="BC69" s="71">
        <v>1.4925373134328401E-2</v>
      </c>
      <c r="BD69" s="71">
        <v>0.12903225806451624</v>
      </c>
      <c r="BE69" s="23">
        <v>6.5384615384615374E-2</v>
      </c>
      <c r="BF69" s="71">
        <v>-1.4084507042253502E-2</v>
      </c>
      <c r="BG69" s="71">
        <v>0</v>
      </c>
      <c r="BH69" s="71">
        <v>-7.3529411764705843E-2</v>
      </c>
    </row>
    <row r="70" spans="1:60" ht="11.25" customHeight="1">
      <c r="A70" s="67" t="s">
        <v>94</v>
      </c>
      <c r="B70" s="119" t="s">
        <v>41</v>
      </c>
      <c r="C70" s="78" t="s">
        <v>49</v>
      </c>
      <c r="D70" s="78" t="s">
        <v>49</v>
      </c>
      <c r="E70" s="78" t="s">
        <v>49</v>
      </c>
      <c r="F70" s="78" t="s">
        <v>49</v>
      </c>
      <c r="G70" s="119" t="s">
        <v>41</v>
      </c>
      <c r="H70" s="78" t="s">
        <v>49</v>
      </c>
      <c r="I70" s="78" t="s">
        <v>49</v>
      </c>
      <c r="J70" s="78" t="s">
        <v>49</v>
      </c>
      <c r="K70" s="78" t="s">
        <v>49</v>
      </c>
      <c r="L70" s="63">
        <v>177</v>
      </c>
      <c r="M70" s="78" t="s">
        <v>49</v>
      </c>
      <c r="N70" s="78" t="s">
        <v>49</v>
      </c>
      <c r="O70" s="78" t="s">
        <v>49</v>
      </c>
      <c r="P70" s="78" t="s">
        <v>49</v>
      </c>
      <c r="Q70" s="63">
        <v>188</v>
      </c>
      <c r="R70" s="68">
        <v>42</v>
      </c>
      <c r="S70" s="68">
        <v>33</v>
      </c>
      <c r="T70" s="68">
        <v>37</v>
      </c>
      <c r="U70" s="68">
        <f>V70-T70-S70-R70</f>
        <v>30</v>
      </c>
      <c r="V70" s="63">
        <v>142</v>
      </c>
      <c r="W70" s="68">
        <v>38</v>
      </c>
      <c r="X70" s="68">
        <v>39</v>
      </c>
      <c r="Y70" s="68">
        <v>44</v>
      </c>
      <c r="Z70" s="68">
        <v>41</v>
      </c>
      <c r="AA70" s="63">
        <v>162</v>
      </c>
      <c r="AB70" s="68">
        <v>37</v>
      </c>
      <c r="AC70" s="68">
        <v>38</v>
      </c>
      <c r="AD70" s="68">
        <v>38</v>
      </c>
      <c r="AE70" s="68">
        <v>39</v>
      </c>
      <c r="AF70" s="63">
        <v>152</v>
      </c>
      <c r="AG70" s="68">
        <v>37</v>
      </c>
      <c r="AH70" s="68">
        <v>40</v>
      </c>
      <c r="AI70" s="68">
        <v>38</v>
      </c>
      <c r="AJ70" s="68">
        <v>39</v>
      </c>
      <c r="AK70" s="63">
        <v>154</v>
      </c>
      <c r="AL70" s="68">
        <v>35</v>
      </c>
      <c r="AM70" s="68">
        <v>41</v>
      </c>
      <c r="AN70" s="68">
        <v>47</v>
      </c>
      <c r="AO70" s="68">
        <v>44</v>
      </c>
      <c r="AP70" s="63">
        <v>167</v>
      </c>
      <c r="AQ70" s="68">
        <v>42</v>
      </c>
      <c r="AR70" s="68">
        <v>39</v>
      </c>
      <c r="AS70" s="68">
        <v>42</v>
      </c>
      <c r="AT70" s="68">
        <v>41</v>
      </c>
      <c r="AU70" s="63">
        <v>164</v>
      </c>
      <c r="AV70" s="68">
        <v>42</v>
      </c>
      <c r="AW70" s="68">
        <v>39</v>
      </c>
      <c r="AX70" s="68">
        <v>38</v>
      </c>
      <c r="AY70" s="68">
        <v>37</v>
      </c>
      <c r="AZ70" s="63">
        <v>156</v>
      </c>
      <c r="BA70" s="68">
        <v>17</v>
      </c>
      <c r="BB70" s="68">
        <v>20</v>
      </c>
      <c r="BC70" s="68">
        <v>19</v>
      </c>
      <c r="BD70" s="68">
        <v>26</v>
      </c>
      <c r="BE70" s="63">
        <v>82</v>
      </c>
      <c r="BF70" s="68">
        <v>18</v>
      </c>
      <c r="BG70" s="68">
        <v>20</v>
      </c>
      <c r="BH70" s="68">
        <v>16</v>
      </c>
    </row>
    <row r="71" spans="1:60" ht="9" customHeight="1">
      <c r="A71" s="69" t="s">
        <v>7</v>
      </c>
      <c r="B71" s="23"/>
      <c r="C71" s="92"/>
      <c r="D71" s="92"/>
      <c r="E71" s="92"/>
      <c r="F71" s="92"/>
      <c r="G71" s="23"/>
      <c r="H71" s="92"/>
      <c r="I71" s="92"/>
      <c r="J71" s="92"/>
      <c r="K71" s="92"/>
      <c r="L71" s="23"/>
      <c r="M71" s="92"/>
      <c r="N71" s="92"/>
      <c r="O71" s="92"/>
      <c r="P71" s="92"/>
      <c r="Q71" s="23"/>
      <c r="R71" s="70"/>
      <c r="S71" s="70">
        <f>S70/R70-1</f>
        <v>-0.2142857142857143</v>
      </c>
      <c r="T71" s="70">
        <f>T70/S70-1</f>
        <v>0.1212121212121211</v>
      </c>
      <c r="U71" s="70">
        <f>U70/T70-1</f>
        <v>-0.18918918918918914</v>
      </c>
      <c r="V71" s="23"/>
      <c r="W71" s="70">
        <v>0.26666666666666661</v>
      </c>
      <c r="X71" s="70">
        <v>2.6315789473684292E-2</v>
      </c>
      <c r="Y71" s="70">
        <v>0.12820512820512819</v>
      </c>
      <c r="Z71" s="70">
        <v>-6.8181818181818232E-2</v>
      </c>
      <c r="AA71" s="23"/>
      <c r="AB71" s="70">
        <v>-9.7560975609756073E-2</v>
      </c>
      <c r="AC71" s="70">
        <v>2.7027027027026973E-2</v>
      </c>
      <c r="AD71" s="70">
        <v>0</v>
      </c>
      <c r="AE71" s="70">
        <v>2.6315789473684292E-2</v>
      </c>
      <c r="AF71" s="23"/>
      <c r="AG71" s="70">
        <v>-5.1282051282051322E-2</v>
      </c>
      <c r="AH71" s="70">
        <v>8.1081081081081141E-2</v>
      </c>
      <c r="AI71" s="70">
        <v>-5.0000000000000044E-2</v>
      </c>
      <c r="AJ71" s="70">
        <v>2.6315789473684292E-2</v>
      </c>
      <c r="AK71" s="23"/>
      <c r="AL71" s="70">
        <v>-0.10256410256410253</v>
      </c>
      <c r="AM71" s="70">
        <v>0.17142857142857149</v>
      </c>
      <c r="AN71" s="70">
        <v>0.14634146341463405</v>
      </c>
      <c r="AO71" s="70">
        <v>-6.3829787234042534E-2</v>
      </c>
      <c r="AP71" s="23"/>
      <c r="AQ71" s="70">
        <v>-4.5454545454545414E-2</v>
      </c>
      <c r="AR71" s="70">
        <v>-7.1428571428571397E-2</v>
      </c>
      <c r="AS71" s="70">
        <v>7.6923076923076872E-2</v>
      </c>
      <c r="AT71" s="70">
        <v>-2.3809523809523836E-2</v>
      </c>
      <c r="AU71" s="23"/>
      <c r="AV71" s="70">
        <v>2.4390243902439046E-2</v>
      </c>
      <c r="AW71" s="70">
        <v>-7.1428571428571397E-2</v>
      </c>
      <c r="AX71" s="70">
        <v>-2.5641025641025661E-2</v>
      </c>
      <c r="AY71" s="70">
        <v>-2.6315789473684181E-2</v>
      </c>
      <c r="AZ71" s="23"/>
      <c r="BA71" s="70">
        <v>-0.54054054054054057</v>
      </c>
      <c r="BB71" s="70">
        <v>0.17647058823529416</v>
      </c>
      <c r="BC71" s="70">
        <v>-5.0000000000000044E-2</v>
      </c>
      <c r="BD71" s="70">
        <v>0.36842105263157898</v>
      </c>
      <c r="BE71" s="23"/>
      <c r="BF71" s="70">
        <v>-0.30769230769230771</v>
      </c>
      <c r="BG71" s="70">
        <v>0.11111111111111116</v>
      </c>
      <c r="BH71" s="70">
        <v>-0.19999999999999996</v>
      </c>
    </row>
    <row r="72" spans="1:60" ht="10.199999999999999" customHeight="1">
      <c r="A72" s="69" t="s">
        <v>8</v>
      </c>
      <c r="B72" s="23"/>
      <c r="C72" s="92"/>
      <c r="D72" s="92"/>
      <c r="E72" s="92"/>
      <c r="F72" s="92"/>
      <c r="G72" s="23"/>
      <c r="H72" s="92"/>
      <c r="I72" s="92"/>
      <c r="J72" s="92"/>
      <c r="K72" s="92"/>
      <c r="L72" s="23"/>
      <c r="M72" s="92"/>
      <c r="N72" s="92"/>
      <c r="O72" s="92"/>
      <c r="P72" s="92"/>
      <c r="Q72" s="23">
        <f>Q70/L70-1</f>
        <v>6.2146892655367214E-2</v>
      </c>
      <c r="R72" s="71"/>
      <c r="S72" s="71"/>
      <c r="T72" s="71"/>
      <c r="U72" s="71"/>
      <c r="V72" s="23">
        <v>-0.24468085106382975</v>
      </c>
      <c r="W72" s="71">
        <v>-9.5238095238095233E-2</v>
      </c>
      <c r="X72" s="71">
        <v>0.18181818181818188</v>
      </c>
      <c r="Y72" s="71">
        <v>0.18918918918918926</v>
      </c>
      <c r="Z72" s="71">
        <v>0.3666666666666667</v>
      </c>
      <c r="AA72" s="23">
        <v>0.14084507042253525</v>
      </c>
      <c r="AB72" s="71">
        <v>-2.6315789473684181E-2</v>
      </c>
      <c r="AC72" s="71">
        <v>-2.5641025641025661E-2</v>
      </c>
      <c r="AD72" s="71">
        <v>-0.13636363636363635</v>
      </c>
      <c r="AE72" s="71">
        <v>-4.8780487804878092E-2</v>
      </c>
      <c r="AF72" s="23">
        <v>-6.1728395061728447E-2</v>
      </c>
      <c r="AG72" s="71">
        <v>0</v>
      </c>
      <c r="AH72" s="71">
        <v>5.2631578947368363E-2</v>
      </c>
      <c r="AI72" s="71">
        <v>0</v>
      </c>
      <c r="AJ72" s="71">
        <v>0</v>
      </c>
      <c r="AK72" s="23">
        <v>1.3157894736842035E-2</v>
      </c>
      <c r="AL72" s="71">
        <v>-5.4054054054054057E-2</v>
      </c>
      <c r="AM72" s="71">
        <v>2.4999999999999911E-2</v>
      </c>
      <c r="AN72" s="71">
        <v>0.23684210526315796</v>
      </c>
      <c r="AO72" s="71">
        <v>0.12820512820512819</v>
      </c>
      <c r="AP72" s="23">
        <v>8.4415584415584499E-2</v>
      </c>
      <c r="AQ72" s="71">
        <v>0.19999999999999996</v>
      </c>
      <c r="AR72" s="71">
        <v>-4.8780487804878092E-2</v>
      </c>
      <c r="AS72" s="71">
        <v>-0.1063829787234043</v>
      </c>
      <c r="AT72" s="71">
        <v>-6.8181818181818232E-2</v>
      </c>
      <c r="AU72" s="23">
        <v>-1.7964071856287456E-2</v>
      </c>
      <c r="AV72" s="71">
        <v>0</v>
      </c>
      <c r="AW72" s="71">
        <v>0</v>
      </c>
      <c r="AX72" s="71">
        <v>-9.5238095238095233E-2</v>
      </c>
      <c r="AY72" s="71">
        <v>-9.7560975609756073E-2</v>
      </c>
      <c r="AZ72" s="23">
        <v>-4.8780487804878092E-2</v>
      </c>
      <c r="BA72" s="71">
        <v>-0.59523809523809523</v>
      </c>
      <c r="BB72" s="71">
        <v>-0.48717948717948723</v>
      </c>
      <c r="BC72" s="71">
        <v>-0.5</v>
      </c>
      <c r="BD72" s="71">
        <v>-0.29729729729729726</v>
      </c>
      <c r="BE72" s="23">
        <v>-0.47435897435897434</v>
      </c>
      <c r="BF72" s="71">
        <v>5.8823529411764719E-2</v>
      </c>
      <c r="BG72" s="71">
        <v>0</v>
      </c>
      <c r="BH72" s="71">
        <v>-0.15789473684210531</v>
      </c>
    </row>
    <row r="73" spans="1:60" ht="13.5" customHeight="1">
      <c r="A73" s="67" t="s">
        <v>201</v>
      </c>
      <c r="B73" s="119" t="s">
        <v>41</v>
      </c>
      <c r="C73" s="78" t="s">
        <v>49</v>
      </c>
      <c r="D73" s="78" t="s">
        <v>49</v>
      </c>
      <c r="E73" s="78" t="s">
        <v>49</v>
      </c>
      <c r="F73" s="78" t="s">
        <v>49</v>
      </c>
      <c r="G73" s="119" t="s">
        <v>41</v>
      </c>
      <c r="H73" s="78" t="s">
        <v>49</v>
      </c>
      <c r="I73" s="78" t="s">
        <v>49</v>
      </c>
      <c r="J73" s="78" t="s">
        <v>49</v>
      </c>
      <c r="K73" s="78" t="s">
        <v>49</v>
      </c>
      <c r="L73" s="63">
        <v>151</v>
      </c>
      <c r="M73" s="78" t="s">
        <v>49</v>
      </c>
      <c r="N73" s="78" t="s">
        <v>49</v>
      </c>
      <c r="O73" s="78" t="s">
        <v>49</v>
      </c>
      <c r="P73" s="78" t="s">
        <v>49</v>
      </c>
      <c r="Q73" s="63">
        <v>156</v>
      </c>
      <c r="R73" s="68">
        <v>33</v>
      </c>
      <c r="S73" s="68">
        <v>32</v>
      </c>
      <c r="T73" s="68">
        <v>30</v>
      </c>
      <c r="U73" s="68">
        <f>V73-T73-S73-R73</f>
        <v>28</v>
      </c>
      <c r="V73" s="63">
        <v>123</v>
      </c>
      <c r="W73" s="68">
        <v>24</v>
      </c>
      <c r="X73" s="68">
        <v>24</v>
      </c>
      <c r="Y73" s="68">
        <v>21</v>
      </c>
      <c r="Z73" s="68">
        <v>34</v>
      </c>
      <c r="AA73" s="63">
        <v>103</v>
      </c>
      <c r="AB73" s="68">
        <v>17</v>
      </c>
      <c r="AC73" s="68">
        <v>17</v>
      </c>
      <c r="AD73" s="68">
        <v>16</v>
      </c>
      <c r="AE73" s="68">
        <v>15</v>
      </c>
      <c r="AF73" s="63">
        <v>65</v>
      </c>
      <c r="AG73" s="68">
        <v>15</v>
      </c>
      <c r="AH73" s="68">
        <v>15</v>
      </c>
      <c r="AI73" s="68">
        <v>15</v>
      </c>
      <c r="AJ73" s="68">
        <v>13</v>
      </c>
      <c r="AK73" s="63">
        <v>58</v>
      </c>
      <c r="AL73" s="68">
        <v>13</v>
      </c>
      <c r="AM73" s="68">
        <v>144</v>
      </c>
      <c r="AN73" s="68">
        <v>147</v>
      </c>
      <c r="AO73" s="68">
        <v>154</v>
      </c>
      <c r="AP73" s="63">
        <v>458</v>
      </c>
      <c r="AQ73" s="68">
        <v>154</v>
      </c>
      <c r="AR73" s="68">
        <v>147</v>
      </c>
      <c r="AS73" s="68">
        <v>165</v>
      </c>
      <c r="AT73" s="68">
        <v>163</v>
      </c>
      <c r="AU73" s="63">
        <v>629</v>
      </c>
      <c r="AV73" s="68">
        <v>161</v>
      </c>
      <c r="AW73" s="68">
        <v>162</v>
      </c>
      <c r="AX73" s="68">
        <v>158</v>
      </c>
      <c r="AY73" s="68">
        <v>155</v>
      </c>
      <c r="AZ73" s="63">
        <v>636</v>
      </c>
      <c r="BA73" s="68">
        <v>156</v>
      </c>
      <c r="BB73" s="68">
        <v>169</v>
      </c>
      <c r="BC73" s="68">
        <v>155</v>
      </c>
      <c r="BD73" s="68">
        <v>173</v>
      </c>
      <c r="BE73" s="63">
        <v>653</v>
      </c>
      <c r="BF73" s="68">
        <v>160</v>
      </c>
      <c r="BG73" s="68">
        <v>176</v>
      </c>
      <c r="BH73" s="68">
        <v>149</v>
      </c>
    </row>
    <row r="74" spans="1:60" ht="9.6" customHeight="1">
      <c r="A74" s="69" t="s">
        <v>7</v>
      </c>
      <c r="B74" s="23"/>
      <c r="C74" s="92"/>
      <c r="D74" s="92"/>
      <c r="E74" s="92"/>
      <c r="F74" s="92"/>
      <c r="G74" s="23"/>
      <c r="H74" s="92"/>
      <c r="I74" s="92"/>
      <c r="J74" s="92"/>
      <c r="K74" s="92"/>
      <c r="L74" s="23"/>
      <c r="M74" s="92"/>
      <c r="N74" s="92"/>
      <c r="O74" s="92"/>
      <c r="P74" s="92"/>
      <c r="Q74" s="23"/>
      <c r="R74" s="70"/>
      <c r="S74" s="70">
        <f>S73/R73-1</f>
        <v>-3.0303030303030276E-2</v>
      </c>
      <c r="T74" s="70">
        <f>T73/S73-1</f>
        <v>-6.25E-2</v>
      </c>
      <c r="U74" s="70">
        <f>U73/T73-1</f>
        <v>-6.6666666666666652E-2</v>
      </c>
      <c r="V74" s="23"/>
      <c r="W74" s="70">
        <v>-0.1428571428571429</v>
      </c>
      <c r="X74" s="70">
        <v>0</v>
      </c>
      <c r="Y74" s="70">
        <v>-0.125</v>
      </c>
      <c r="Z74" s="70">
        <v>0.61904761904761907</v>
      </c>
      <c r="AA74" s="23"/>
      <c r="AB74" s="70">
        <v>-0.5</v>
      </c>
      <c r="AC74" s="70">
        <v>0</v>
      </c>
      <c r="AD74" s="70">
        <v>-5.8823529411764719E-2</v>
      </c>
      <c r="AE74" s="70">
        <v>-6.25E-2</v>
      </c>
      <c r="AF74" s="23"/>
      <c r="AG74" s="70">
        <v>0</v>
      </c>
      <c r="AH74" s="70">
        <v>0</v>
      </c>
      <c r="AI74" s="70">
        <v>0</v>
      </c>
      <c r="AJ74" s="70">
        <v>-0.1333333333333333</v>
      </c>
      <c r="AK74" s="23"/>
      <c r="AL74" s="70">
        <v>0</v>
      </c>
      <c r="AM74" s="83" t="s">
        <v>40</v>
      </c>
      <c r="AN74" s="70">
        <v>2.0833333333333259E-2</v>
      </c>
      <c r="AO74" s="70">
        <v>4.7619047619047672E-2</v>
      </c>
      <c r="AP74" s="23"/>
      <c r="AQ74" s="70">
        <v>0</v>
      </c>
      <c r="AR74" s="70">
        <v>-4.5454545454545414E-2</v>
      </c>
      <c r="AS74" s="70">
        <v>0.12244897959183665</v>
      </c>
      <c r="AT74" s="70">
        <v>-1.2121212121212088E-2</v>
      </c>
      <c r="AU74" s="23"/>
      <c r="AV74" s="70">
        <v>-1.2269938650306789E-2</v>
      </c>
      <c r="AW74" s="70">
        <v>6.2111801242235032E-3</v>
      </c>
      <c r="AX74" s="70">
        <v>-2.4691358024691357E-2</v>
      </c>
      <c r="AY74" s="70">
        <v>-1.8987341772151889E-2</v>
      </c>
      <c r="AZ74" s="23"/>
      <c r="BA74" s="70">
        <v>6.4516129032257119E-3</v>
      </c>
      <c r="BB74" s="70">
        <v>8.3333333333333259E-2</v>
      </c>
      <c r="BC74" s="70">
        <v>-8.2840236686390512E-2</v>
      </c>
      <c r="BD74" s="70">
        <v>0.11612903225806459</v>
      </c>
      <c r="BE74" s="23"/>
      <c r="BF74" s="70">
        <v>-7.5144508670520249E-2</v>
      </c>
      <c r="BG74" s="70">
        <v>0.10000000000000009</v>
      </c>
      <c r="BH74" s="70">
        <v>-0.15340909090909094</v>
      </c>
    </row>
    <row r="75" spans="1:60" ht="11.25" customHeight="1">
      <c r="A75" s="69" t="s">
        <v>8</v>
      </c>
      <c r="B75" s="23"/>
      <c r="C75" s="92"/>
      <c r="D75" s="92"/>
      <c r="E75" s="92"/>
      <c r="F75" s="92"/>
      <c r="G75" s="23"/>
      <c r="H75" s="92"/>
      <c r="I75" s="92"/>
      <c r="J75" s="92"/>
      <c r="K75" s="92"/>
      <c r="L75" s="23"/>
      <c r="M75" s="92"/>
      <c r="N75" s="92"/>
      <c r="O75" s="92"/>
      <c r="P75" s="92"/>
      <c r="Q75" s="23">
        <f>Q73/L73-1</f>
        <v>3.3112582781456901E-2</v>
      </c>
      <c r="R75" s="71"/>
      <c r="S75" s="71"/>
      <c r="T75" s="71"/>
      <c r="U75" s="71"/>
      <c r="V75" s="23">
        <v>-0.21153846153846156</v>
      </c>
      <c r="W75" s="71">
        <v>-0.27272727272727271</v>
      </c>
      <c r="X75" s="71">
        <v>-0.25</v>
      </c>
      <c r="Y75" s="71">
        <v>-0.30000000000000004</v>
      </c>
      <c r="Z75" s="71">
        <v>0.21428571428571419</v>
      </c>
      <c r="AA75" s="23">
        <v>-0.16260162601626016</v>
      </c>
      <c r="AB75" s="71">
        <v>-0.29166666666666663</v>
      </c>
      <c r="AC75" s="71">
        <v>-0.29166666666666663</v>
      </c>
      <c r="AD75" s="71">
        <v>-0.23809523809523814</v>
      </c>
      <c r="AE75" s="71">
        <v>-0.55882352941176472</v>
      </c>
      <c r="AF75" s="23">
        <v>-0.3689320388349514</v>
      </c>
      <c r="AG75" s="71">
        <v>-0.11764705882352944</v>
      </c>
      <c r="AH75" s="71">
        <v>-0.11764705882352944</v>
      </c>
      <c r="AI75" s="71">
        <v>-6.25E-2</v>
      </c>
      <c r="AJ75" s="71">
        <v>-0.1333333333333333</v>
      </c>
      <c r="AK75" s="23">
        <v>-0.10769230769230764</v>
      </c>
      <c r="AL75" s="71">
        <v>-0.1333333333333333</v>
      </c>
      <c r="AM75" s="83" t="s">
        <v>40</v>
      </c>
      <c r="AN75" s="83" t="s">
        <v>40</v>
      </c>
      <c r="AO75" s="83" t="s">
        <v>40</v>
      </c>
      <c r="AP75" s="23">
        <v>6.8965517241379306</v>
      </c>
      <c r="AQ75" s="83" t="s">
        <v>40</v>
      </c>
      <c r="AR75" s="71">
        <v>2.0833333333333259E-2</v>
      </c>
      <c r="AS75" s="71">
        <v>0.12244897959183665</v>
      </c>
      <c r="AT75" s="83" t="s">
        <v>40</v>
      </c>
      <c r="AU75" s="23">
        <v>0.3733624454148472</v>
      </c>
      <c r="AV75" s="71">
        <v>4.5454545454545414E-2</v>
      </c>
      <c r="AW75" s="71">
        <v>0.1020408163265305</v>
      </c>
      <c r="AX75" s="71">
        <v>-4.2424242424242475E-2</v>
      </c>
      <c r="AY75" s="71">
        <v>-4.9079754601227044E-2</v>
      </c>
      <c r="AZ75" s="23">
        <v>1.11287758346581E-2</v>
      </c>
      <c r="BA75" s="71">
        <v>-3.105590062111796E-2</v>
      </c>
      <c r="BB75" s="71">
        <v>4.3209876543209846E-2</v>
      </c>
      <c r="BC75" s="71">
        <v>-1.8987341772151889E-2</v>
      </c>
      <c r="BD75" s="71">
        <v>0.11612903225806459</v>
      </c>
      <c r="BE75" s="23">
        <v>2.6729559748427612E-2</v>
      </c>
      <c r="BF75" s="71">
        <v>2.564102564102555E-2</v>
      </c>
      <c r="BG75" s="71">
        <v>4.1420118343195256E-2</v>
      </c>
      <c r="BH75" s="71">
        <v>-3.8709677419354827E-2</v>
      </c>
    </row>
    <row r="76" spans="1:60" ht="13.2" hidden="1" customHeight="1">
      <c r="A76" s="67" t="s">
        <v>138</v>
      </c>
      <c r="B76" s="119" t="s">
        <v>41</v>
      </c>
      <c r="C76" s="78" t="s">
        <v>49</v>
      </c>
      <c r="D76" s="78" t="s">
        <v>49</v>
      </c>
      <c r="E76" s="78" t="s">
        <v>49</v>
      </c>
      <c r="F76" s="78" t="s">
        <v>49</v>
      </c>
      <c r="G76" s="119" t="s">
        <v>41</v>
      </c>
      <c r="H76" s="78" t="s">
        <v>49</v>
      </c>
      <c r="I76" s="78" t="s">
        <v>49</v>
      </c>
      <c r="J76" s="78" t="s">
        <v>49</v>
      </c>
      <c r="K76" s="78" t="s">
        <v>49</v>
      </c>
      <c r="L76" s="63">
        <v>127</v>
      </c>
      <c r="M76" s="78" t="s">
        <v>49</v>
      </c>
      <c r="N76" s="78" t="s">
        <v>49</v>
      </c>
      <c r="O76" s="78" t="s">
        <v>49</v>
      </c>
      <c r="P76" s="78" t="s">
        <v>49</v>
      </c>
      <c r="Q76" s="63">
        <v>130</v>
      </c>
      <c r="R76" s="68">
        <v>41</v>
      </c>
      <c r="S76" s="68">
        <v>40</v>
      </c>
      <c r="T76" s="68">
        <v>40</v>
      </c>
      <c r="U76" s="68">
        <f>V76-T76-S76-R76</f>
        <v>39</v>
      </c>
      <c r="V76" s="63">
        <v>160</v>
      </c>
      <c r="W76" s="68">
        <v>52</v>
      </c>
      <c r="X76" s="68">
        <v>47</v>
      </c>
      <c r="Y76" s="68">
        <v>24</v>
      </c>
      <c r="Z76" s="68">
        <v>25</v>
      </c>
      <c r="AA76" s="63">
        <v>148</v>
      </c>
      <c r="AB76" s="68">
        <v>14</v>
      </c>
      <c r="AC76" s="68">
        <v>12</v>
      </c>
      <c r="AD76" s="68">
        <v>13</v>
      </c>
      <c r="AE76" s="68">
        <v>12</v>
      </c>
      <c r="AF76" s="63">
        <v>51</v>
      </c>
      <c r="AG76" s="68">
        <v>0</v>
      </c>
      <c r="AH76" s="68">
        <v>0</v>
      </c>
      <c r="AI76" s="68">
        <v>0</v>
      </c>
      <c r="AJ76" s="68">
        <v>0</v>
      </c>
      <c r="AK76" s="63">
        <v>0</v>
      </c>
      <c r="AL76" s="68">
        <v>0</v>
      </c>
      <c r="AM76" s="68"/>
      <c r="AN76" s="68"/>
      <c r="AO76" s="68">
        <v>0</v>
      </c>
      <c r="AP76" s="63"/>
      <c r="AQ76" s="68"/>
      <c r="AR76" s="68"/>
      <c r="AS76" s="68"/>
      <c r="AT76" s="68"/>
      <c r="AU76" s="63"/>
      <c r="AV76" s="68"/>
      <c r="AW76" s="68"/>
      <c r="AX76" s="68"/>
      <c r="AY76" s="68"/>
      <c r="AZ76" s="63"/>
      <c r="BA76" s="68"/>
      <c r="BB76" s="68"/>
      <c r="BC76" s="68"/>
      <c r="BD76" s="68"/>
      <c r="BE76" s="63"/>
      <c r="BF76" s="68"/>
      <c r="BG76" s="68"/>
      <c r="BH76" s="68"/>
    </row>
    <row r="77" spans="1:60" ht="13.2" hidden="1" customHeight="1">
      <c r="A77" s="69" t="s">
        <v>7</v>
      </c>
      <c r="B77" s="23"/>
      <c r="C77" s="92"/>
      <c r="D77" s="92"/>
      <c r="E77" s="92"/>
      <c r="F77" s="92"/>
      <c r="G77" s="23"/>
      <c r="H77" s="92"/>
      <c r="I77" s="92"/>
      <c r="J77" s="92"/>
      <c r="K77" s="92"/>
      <c r="L77" s="23"/>
      <c r="M77" s="92"/>
      <c r="N77" s="92"/>
      <c r="O77" s="92"/>
      <c r="P77" s="92"/>
      <c r="Q77" s="23"/>
      <c r="R77" s="70"/>
      <c r="S77" s="70">
        <f>S76/R76-1</f>
        <v>-2.4390243902439046E-2</v>
      </c>
      <c r="T77" s="70">
        <f>T76/S76-1</f>
        <v>0</v>
      </c>
      <c r="U77" s="70">
        <f>U76/T76-1</f>
        <v>-2.5000000000000022E-2</v>
      </c>
      <c r="V77" s="23"/>
      <c r="W77" s="70">
        <v>0.33333333333333326</v>
      </c>
      <c r="X77" s="70">
        <v>-9.6153846153846145E-2</v>
      </c>
      <c r="Y77" s="70">
        <v>-0.48936170212765961</v>
      </c>
      <c r="Z77" s="70">
        <v>4.1666666666666741E-2</v>
      </c>
      <c r="AA77" s="23"/>
      <c r="AB77" s="70">
        <v>-0.43999999999999995</v>
      </c>
      <c r="AC77" s="70">
        <v>-0.1428571428571429</v>
      </c>
      <c r="AD77" s="70">
        <v>8.3333333333333259E-2</v>
      </c>
      <c r="AE77" s="70">
        <v>-7.6923076923076872E-2</v>
      </c>
      <c r="AF77" s="23"/>
      <c r="AG77" s="83" t="s">
        <v>41</v>
      </c>
      <c r="AH77" s="83" t="s">
        <v>41</v>
      </c>
      <c r="AI77" s="83" t="s">
        <v>41</v>
      </c>
      <c r="AJ77" s="83" t="s">
        <v>41</v>
      </c>
      <c r="AK77" s="23"/>
      <c r="AL77" s="83" t="s">
        <v>41</v>
      </c>
      <c r="AM77" s="83" t="s">
        <v>41</v>
      </c>
      <c r="AN77" s="83" t="s">
        <v>41</v>
      </c>
      <c r="AO77" s="83" t="s">
        <v>41</v>
      </c>
      <c r="AP77" s="23"/>
      <c r="AQ77" s="83"/>
      <c r="AR77" s="83"/>
      <c r="AS77" s="83"/>
      <c r="AT77" s="83"/>
      <c r="AU77" s="23"/>
      <c r="AV77" s="83"/>
      <c r="AW77" s="83"/>
      <c r="AX77" s="83"/>
      <c r="AY77" s="83"/>
      <c r="AZ77" s="23"/>
      <c r="BA77" s="83"/>
      <c r="BB77" s="83"/>
      <c r="BC77" s="83"/>
      <c r="BD77" s="83"/>
      <c r="BE77" s="23"/>
      <c r="BF77" s="83"/>
      <c r="BG77" s="83"/>
      <c r="BH77" s="83"/>
    </row>
    <row r="78" spans="1:60" ht="13.2" hidden="1" customHeight="1">
      <c r="A78" s="69" t="s">
        <v>8</v>
      </c>
      <c r="B78" s="23"/>
      <c r="C78" s="92"/>
      <c r="D78" s="92"/>
      <c r="E78" s="92"/>
      <c r="F78" s="92"/>
      <c r="G78" s="23"/>
      <c r="H78" s="92"/>
      <c r="I78" s="92"/>
      <c r="J78" s="92"/>
      <c r="K78" s="92"/>
      <c r="L78" s="23"/>
      <c r="M78" s="92"/>
      <c r="N78" s="92"/>
      <c r="O78" s="92"/>
      <c r="P78" s="92"/>
      <c r="Q78" s="23">
        <f>Q76/L76-1</f>
        <v>2.3622047244094446E-2</v>
      </c>
      <c r="R78" s="71"/>
      <c r="S78" s="71"/>
      <c r="T78" s="71"/>
      <c r="U78" s="71"/>
      <c r="V78" s="23">
        <v>0.23076923076923084</v>
      </c>
      <c r="W78" s="71">
        <v>0.26829268292682928</v>
      </c>
      <c r="X78" s="71">
        <v>0.17500000000000004</v>
      </c>
      <c r="Y78" s="71">
        <v>-0.4</v>
      </c>
      <c r="Z78" s="71">
        <v>-0.35897435897435892</v>
      </c>
      <c r="AA78" s="23">
        <v>-7.4999999999999956E-2</v>
      </c>
      <c r="AB78" s="71">
        <v>-0.73076923076923084</v>
      </c>
      <c r="AC78" s="71">
        <v>-0.74468085106382986</v>
      </c>
      <c r="AD78" s="71">
        <v>-0.45833333333333337</v>
      </c>
      <c r="AE78" s="71">
        <v>-0.52</v>
      </c>
      <c r="AF78" s="23">
        <v>-0.65540540540540548</v>
      </c>
      <c r="AG78" s="83" t="s">
        <v>41</v>
      </c>
      <c r="AH78" s="83" t="s">
        <v>41</v>
      </c>
      <c r="AI78" s="83" t="s">
        <v>41</v>
      </c>
      <c r="AJ78" s="83" t="s">
        <v>41</v>
      </c>
      <c r="AK78" s="90" t="s">
        <v>41</v>
      </c>
      <c r="AL78" s="83" t="s">
        <v>41</v>
      </c>
      <c r="AM78" s="83" t="s">
        <v>41</v>
      </c>
      <c r="AN78" s="83" t="s">
        <v>41</v>
      </c>
      <c r="AO78" s="83" t="s">
        <v>41</v>
      </c>
      <c r="AP78" s="90"/>
      <c r="AQ78" s="83"/>
      <c r="AR78" s="83"/>
      <c r="AS78" s="83"/>
      <c r="AT78" s="83"/>
      <c r="AU78" s="90"/>
      <c r="AV78" s="83"/>
      <c r="AW78" s="83"/>
      <c r="AX78" s="83"/>
      <c r="AY78" s="83"/>
      <c r="AZ78" s="90"/>
      <c r="BA78" s="83"/>
      <c r="BB78" s="83"/>
      <c r="BC78" s="83"/>
      <c r="BD78" s="83"/>
      <c r="BE78" s="90"/>
      <c r="BF78" s="83"/>
      <c r="BG78" s="83"/>
      <c r="BH78" s="83"/>
    </row>
    <row r="79" spans="1:60" ht="3.6" customHeight="1">
      <c r="A79" s="43"/>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row>
    <row r="80" spans="1:60" ht="13.5" customHeight="1">
      <c r="A80" s="92" t="s">
        <v>146</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row>
    <row r="81" spans="1:60" ht="3.6" customHeight="1">
      <c r="A81" s="43"/>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row>
    <row r="82" spans="1:60" ht="18" customHeight="1">
      <c r="A82" s="34" t="s">
        <v>93</v>
      </c>
      <c r="B82" s="34"/>
      <c r="C82" s="26"/>
      <c r="D82" s="26"/>
      <c r="E82" s="26"/>
      <c r="F82" s="26"/>
      <c r="G82" s="26"/>
      <c r="H82" s="26"/>
      <c r="I82" s="26"/>
      <c r="J82" s="26"/>
      <c r="K82" s="26"/>
      <c r="L82" s="26"/>
      <c r="M82" s="26"/>
      <c r="N82" s="26"/>
      <c r="O82" s="26"/>
      <c r="P82" s="26"/>
      <c r="Q82" s="26"/>
      <c r="R82" s="26"/>
      <c r="S82" s="26"/>
      <c r="T82" s="26"/>
      <c r="U82" s="20"/>
      <c r="V82" s="20"/>
      <c r="W82" s="26"/>
      <c r="X82" s="26"/>
      <c r="Y82" s="26"/>
      <c r="Z82" s="20"/>
      <c r="AA82" s="20"/>
      <c r="AB82" s="20"/>
      <c r="AC82" s="26"/>
      <c r="AD82" s="26"/>
      <c r="AE82" s="20"/>
      <c r="AF82" s="20"/>
      <c r="AG82" s="20"/>
      <c r="AH82" s="26"/>
      <c r="AI82" s="26"/>
      <c r="AJ82" s="20"/>
      <c r="AK82" s="20"/>
      <c r="AL82" s="20"/>
      <c r="AM82" s="26"/>
      <c r="AN82" s="26"/>
      <c r="AO82" s="20"/>
      <c r="AP82" s="20"/>
      <c r="AQ82" s="20"/>
      <c r="AR82" s="26"/>
      <c r="AS82" s="26"/>
      <c r="AT82" s="20"/>
      <c r="AU82" s="20"/>
      <c r="AV82" s="20"/>
      <c r="AW82" s="20"/>
      <c r="AX82" s="20"/>
      <c r="AY82" s="20"/>
      <c r="AZ82" s="20"/>
      <c r="BA82" s="20"/>
      <c r="BB82" s="20"/>
      <c r="BC82" s="20"/>
      <c r="BD82" s="20"/>
      <c r="BE82" s="20"/>
      <c r="BF82" s="20"/>
      <c r="BG82" s="20"/>
      <c r="BH82" s="20"/>
    </row>
    <row r="83" spans="1:60" ht="6" customHeight="1">
      <c r="A83" s="59"/>
      <c r="B83" s="59"/>
      <c r="C83" s="60"/>
      <c r="D83" s="60"/>
      <c r="E83" s="60"/>
      <c r="F83" s="60"/>
      <c r="G83" s="60"/>
      <c r="H83" s="60"/>
      <c r="I83" s="60"/>
      <c r="J83" s="60"/>
      <c r="K83" s="60"/>
      <c r="L83" s="60"/>
      <c r="M83" s="60"/>
      <c r="N83" s="60"/>
      <c r="O83" s="60"/>
      <c r="P83" s="60"/>
      <c r="Q83" s="60"/>
      <c r="R83" s="60"/>
      <c r="S83" s="60"/>
      <c r="T83" s="60"/>
      <c r="U83" s="59"/>
      <c r="V83" s="59"/>
      <c r="W83" s="60"/>
      <c r="X83" s="60"/>
      <c r="Y83" s="60"/>
      <c r="Z83" s="59"/>
      <c r="AA83" s="59"/>
      <c r="AB83" s="59"/>
      <c r="AC83" s="60"/>
      <c r="AD83" s="60"/>
      <c r="AE83" s="59"/>
      <c r="AF83" s="59"/>
      <c r="AG83" s="59"/>
      <c r="AH83" s="60"/>
      <c r="AI83" s="60"/>
      <c r="AJ83" s="59"/>
      <c r="AK83" s="59"/>
      <c r="AL83" s="59"/>
      <c r="AM83" s="60"/>
      <c r="AN83" s="60"/>
      <c r="AO83" s="59"/>
      <c r="AP83" s="59"/>
      <c r="AQ83" s="59"/>
      <c r="AR83" s="60"/>
      <c r="AS83" s="60"/>
      <c r="AT83" s="59"/>
      <c r="AU83" s="59"/>
      <c r="AV83" s="59"/>
      <c r="AW83" s="59"/>
      <c r="AX83" s="59"/>
      <c r="AY83" s="59"/>
      <c r="AZ83" s="59"/>
      <c r="BA83" s="59"/>
      <c r="BB83" s="59"/>
      <c r="BC83" s="59"/>
      <c r="BD83" s="59"/>
      <c r="BE83" s="59"/>
      <c r="BF83" s="59"/>
      <c r="BG83" s="59"/>
      <c r="BH83" s="59"/>
    </row>
    <row r="84" spans="1:60" ht="13.5" customHeight="1">
      <c r="A84" s="39" t="s">
        <v>24</v>
      </c>
      <c r="B84" s="40"/>
      <c r="C84" s="48"/>
      <c r="D84" s="48"/>
      <c r="E84" s="48"/>
      <c r="F84" s="48"/>
      <c r="G84" s="40"/>
      <c r="H84" s="48"/>
      <c r="I84" s="48"/>
      <c r="J84" s="48"/>
      <c r="K84" s="48"/>
      <c r="L84" s="40"/>
      <c r="M84" s="48"/>
      <c r="N84" s="48"/>
      <c r="O84" s="48"/>
      <c r="P84" s="48"/>
      <c r="Q84" s="40"/>
      <c r="R84" s="48"/>
      <c r="S84" s="48"/>
      <c r="T84" s="48"/>
      <c r="U84" s="48"/>
      <c r="V84" s="40"/>
      <c r="W84" s="48"/>
      <c r="X84" s="48"/>
      <c r="Y84" s="48"/>
      <c r="Z84" s="48"/>
      <c r="AA84" s="40"/>
      <c r="AB84" s="48"/>
      <c r="AC84" s="48"/>
      <c r="AD84" s="48"/>
      <c r="AE84" s="48"/>
      <c r="AF84" s="40"/>
      <c r="AG84" s="48"/>
      <c r="AH84" s="48"/>
      <c r="AI84" s="48"/>
      <c r="AJ84" s="48"/>
      <c r="AK84" s="40"/>
      <c r="AL84" s="48"/>
      <c r="AM84" s="48"/>
      <c r="AN84" s="48"/>
      <c r="AO84" s="48"/>
      <c r="AP84" s="40"/>
      <c r="AQ84" s="48"/>
      <c r="AR84" s="48"/>
      <c r="AS84" s="48"/>
      <c r="AT84" s="48"/>
      <c r="AU84" s="40"/>
      <c r="AV84" s="48"/>
      <c r="AW84" s="48"/>
      <c r="AX84" s="48"/>
      <c r="AY84" s="48"/>
      <c r="AZ84" s="40"/>
      <c r="BA84" s="48"/>
      <c r="BB84" s="48"/>
      <c r="BC84" s="48"/>
      <c r="BD84" s="48"/>
      <c r="BE84" s="40"/>
      <c r="BF84" s="48"/>
      <c r="BG84" s="48"/>
      <c r="BH84" s="48"/>
    </row>
    <row r="85" spans="1:60" ht="13.5" customHeight="1">
      <c r="A85" s="67" t="s">
        <v>62</v>
      </c>
      <c r="B85" s="36">
        <f>2947-B487</f>
        <v>2697.125</v>
      </c>
      <c r="C85" s="68">
        <f>618-C487</f>
        <v>533.9</v>
      </c>
      <c r="D85" s="68">
        <f>759-D487</f>
        <v>726.63</v>
      </c>
      <c r="E85" s="68">
        <f>1212-E487</f>
        <v>1114.7670000000001</v>
      </c>
      <c r="F85" s="68">
        <f>G85-E85-D85-C85</f>
        <v>692.67600000000004</v>
      </c>
      <c r="G85" s="36">
        <f>3415-G487</f>
        <v>3067.973</v>
      </c>
      <c r="H85" s="68">
        <f>1225-H487</f>
        <v>1134.3150000000001</v>
      </c>
      <c r="I85" s="68">
        <f>808-I487</f>
        <v>714.62400000000002</v>
      </c>
      <c r="J85" s="68">
        <v>1021</v>
      </c>
      <c r="K85" s="68">
        <f>L85-J85-I85-H85</f>
        <v>785.06099999999992</v>
      </c>
      <c r="L85" s="36">
        <f>3915-260</f>
        <v>3655</v>
      </c>
      <c r="M85" s="68">
        <v>806</v>
      </c>
      <c r="N85" s="68">
        <v>976</v>
      </c>
      <c r="O85" s="68">
        <v>1166</v>
      </c>
      <c r="P85" s="68">
        <f>Q85-O85-N85-M85</f>
        <v>748</v>
      </c>
      <c r="Q85" s="36">
        <v>3696</v>
      </c>
      <c r="R85" s="68">
        <v>775</v>
      </c>
      <c r="S85" s="68">
        <v>670</v>
      </c>
      <c r="T85" s="68">
        <v>882</v>
      </c>
      <c r="U85" s="68">
        <f>V85-T85-S85-R85</f>
        <v>859</v>
      </c>
      <c r="V85" s="36">
        <v>3186</v>
      </c>
      <c r="W85" s="68">
        <v>998</v>
      </c>
      <c r="X85" s="68">
        <v>990</v>
      </c>
      <c r="Y85" s="68">
        <v>1024</v>
      </c>
      <c r="Z85" s="68">
        <v>1002</v>
      </c>
      <c r="AA85" s="36">
        <v>4014</v>
      </c>
      <c r="AB85" s="68">
        <v>972</v>
      </c>
      <c r="AC85" s="68">
        <v>1102</v>
      </c>
      <c r="AD85" s="68">
        <v>1143</v>
      </c>
      <c r="AE85" s="68">
        <v>935</v>
      </c>
      <c r="AF85" s="36">
        <v>4152</v>
      </c>
      <c r="AG85" s="68">
        <v>1043</v>
      </c>
      <c r="AH85" s="68">
        <v>1064</v>
      </c>
      <c r="AI85" s="68">
        <v>950</v>
      </c>
      <c r="AJ85" s="68">
        <v>739</v>
      </c>
      <c r="AK85" s="36">
        <v>3796</v>
      </c>
      <c r="AL85" s="68">
        <v>961</v>
      </c>
      <c r="AM85" s="68">
        <v>840</v>
      </c>
      <c r="AN85" s="68">
        <v>1050</v>
      </c>
      <c r="AO85" s="68">
        <v>889</v>
      </c>
      <c r="AP85" s="36">
        <v>3740</v>
      </c>
      <c r="AQ85" s="68">
        <v>922</v>
      </c>
      <c r="AR85" s="68">
        <v>870</v>
      </c>
      <c r="AS85" s="68">
        <v>902</v>
      </c>
      <c r="AT85" s="68">
        <v>832</v>
      </c>
      <c r="AU85" s="36">
        <v>3526</v>
      </c>
      <c r="AV85" s="68">
        <v>826</v>
      </c>
      <c r="AW85" s="68">
        <v>875</v>
      </c>
      <c r="AX85" s="68">
        <v>982</v>
      </c>
      <c r="AY85" s="68">
        <v>842</v>
      </c>
      <c r="AZ85" s="36">
        <v>3525</v>
      </c>
      <c r="BA85" s="68">
        <v>909</v>
      </c>
      <c r="BB85" s="68">
        <v>806</v>
      </c>
      <c r="BC85" s="68">
        <v>883</v>
      </c>
      <c r="BD85" s="68">
        <v>914</v>
      </c>
      <c r="BE85" s="36">
        <v>3512</v>
      </c>
      <c r="BF85" s="68">
        <v>765</v>
      </c>
      <c r="BG85" s="68">
        <v>624</v>
      </c>
      <c r="BH85" s="68">
        <v>787</v>
      </c>
    </row>
    <row r="86" spans="1:60" ht="13.5" customHeight="1">
      <c r="A86" s="69" t="s">
        <v>7</v>
      </c>
      <c r="B86" s="23"/>
      <c r="C86" s="70"/>
      <c r="D86" s="70">
        <f>D85/C85-1</f>
        <v>0.36098520322157723</v>
      </c>
      <c r="E86" s="70">
        <f>E85/D85-1</f>
        <v>0.5341604392882211</v>
      </c>
      <c r="F86" s="70">
        <f>F85/E85-1</f>
        <v>-0.37863607372661734</v>
      </c>
      <c r="G86" s="23"/>
      <c r="H86" s="70">
        <f>H85/F85-1</f>
        <v>0.63758380541551896</v>
      </c>
      <c r="I86" s="70">
        <f>I85/H85-1</f>
        <v>-0.36999510717922268</v>
      </c>
      <c r="J86" s="70">
        <f>J85/I85-1</f>
        <v>0.42872335661830552</v>
      </c>
      <c r="K86" s="70">
        <f>K85/J85-1</f>
        <v>-0.23108619000979436</v>
      </c>
      <c r="L86" s="23"/>
      <c r="M86" s="70">
        <f>M85/K85-1</f>
        <v>2.6671812763594316E-2</v>
      </c>
      <c r="N86" s="70">
        <f>N85/M85-1</f>
        <v>0.2109181141439207</v>
      </c>
      <c r="O86" s="70">
        <f>O85/N85-1</f>
        <v>0.19467213114754101</v>
      </c>
      <c r="P86" s="70">
        <f>P85/O85-1</f>
        <v>-0.35849056603773588</v>
      </c>
      <c r="Q86" s="23"/>
      <c r="R86" s="70">
        <f>R85/P85-1</f>
        <v>3.6096256684492012E-2</v>
      </c>
      <c r="S86" s="70">
        <f>S85/R85-1</f>
        <v>-0.13548387096774195</v>
      </c>
      <c r="T86" s="70">
        <f>T85/S85-1</f>
        <v>0.31641791044776113</v>
      </c>
      <c r="U86" s="70">
        <f>U85/T85-1</f>
        <v>-2.6077097505668889E-2</v>
      </c>
      <c r="V86" s="23"/>
      <c r="W86" s="70">
        <v>0.16181606519208391</v>
      </c>
      <c r="X86" s="70">
        <v>-8.0160320641282645E-3</v>
      </c>
      <c r="Y86" s="70">
        <v>3.4343434343434343E-2</v>
      </c>
      <c r="Z86" s="70">
        <v>-2.1484375E-2</v>
      </c>
      <c r="AA86" s="23"/>
      <c r="AB86" s="70">
        <v>-2.9940119760479056E-2</v>
      </c>
      <c r="AC86" s="70">
        <v>0.13374485596707819</v>
      </c>
      <c r="AD86" s="70">
        <v>3.7205081669691387E-2</v>
      </c>
      <c r="AE86" s="70">
        <v>-0.18197725284339461</v>
      </c>
      <c r="AF86" s="23"/>
      <c r="AG86" s="70">
        <v>0.1155080213903743</v>
      </c>
      <c r="AH86" s="70">
        <v>2.0134228187919545E-2</v>
      </c>
      <c r="AI86" s="70">
        <v>-0.1071428571428571</v>
      </c>
      <c r="AJ86" s="70">
        <v>-0.22210526315789469</v>
      </c>
      <c r="AK86" s="23"/>
      <c r="AL86" s="70">
        <v>0.30040595399188086</v>
      </c>
      <c r="AM86" s="70">
        <v>-0.12591050988553587</v>
      </c>
      <c r="AN86" s="70">
        <v>0.25</v>
      </c>
      <c r="AO86" s="70">
        <v>-0.15333333333333332</v>
      </c>
      <c r="AP86" s="23"/>
      <c r="AQ86" s="70">
        <v>3.7120359955005622E-2</v>
      </c>
      <c r="AR86" s="70">
        <v>-5.6399132321041212E-2</v>
      </c>
      <c r="AS86" s="70">
        <v>3.6781609195402298E-2</v>
      </c>
      <c r="AT86" s="70">
        <v>-7.7605321507760561E-2</v>
      </c>
      <c r="AU86" s="23"/>
      <c r="AV86" s="70">
        <v>-7.2115384615384359E-3</v>
      </c>
      <c r="AW86" s="70">
        <v>5.9322033898305149E-2</v>
      </c>
      <c r="AX86" s="70">
        <v>0.12228571428571433</v>
      </c>
      <c r="AY86" s="70">
        <v>-0.14256619144602856</v>
      </c>
      <c r="AZ86" s="23"/>
      <c r="BA86" s="70">
        <v>7.9572446555819409E-2</v>
      </c>
      <c r="BB86" s="70">
        <v>-0.11331133113311331</v>
      </c>
      <c r="BC86" s="70">
        <v>9.553349875930528E-2</v>
      </c>
      <c r="BD86" s="70">
        <v>3.5107587768969495E-2</v>
      </c>
      <c r="BE86" s="23"/>
      <c r="BF86" s="70">
        <v>-0.16301969365426694</v>
      </c>
      <c r="BG86" s="70">
        <v>-0.18431372549019609</v>
      </c>
      <c r="BH86" s="70">
        <v>0.26121794871794868</v>
      </c>
    </row>
    <row r="87" spans="1:60" ht="13.5" customHeight="1">
      <c r="A87" s="69" t="s">
        <v>8</v>
      </c>
      <c r="B87" s="23"/>
      <c r="C87" s="71"/>
      <c r="D87" s="71"/>
      <c r="E87" s="71"/>
      <c r="F87" s="71"/>
      <c r="G87" s="23">
        <f t="shared" ref="G87:N87" si="36">G85/B85-1</f>
        <v>0.13749752050794828</v>
      </c>
      <c r="H87" s="71">
        <f t="shared" si="36"/>
        <v>1.1245832552912534</v>
      </c>
      <c r="I87" s="71">
        <f t="shared" si="36"/>
        <v>-1.6522852070517291E-2</v>
      </c>
      <c r="J87" s="71">
        <f t="shared" si="36"/>
        <v>-8.4113541215339205E-2</v>
      </c>
      <c r="K87" s="71">
        <f t="shared" si="36"/>
        <v>0.13337404500805561</v>
      </c>
      <c r="L87" s="23">
        <f t="shared" si="36"/>
        <v>0.19134034100039354</v>
      </c>
      <c r="M87" s="71">
        <f t="shared" si="36"/>
        <v>-0.28943900063033645</v>
      </c>
      <c r="N87" s="71">
        <f t="shared" si="36"/>
        <v>0.36575317929428608</v>
      </c>
      <c r="O87" s="71">
        <f t="shared" ref="O87:U87" si="37">O85/J85-1</f>
        <v>0.14201762977473065</v>
      </c>
      <c r="P87" s="71">
        <f t="shared" si="37"/>
        <v>-4.7207796591602347E-2</v>
      </c>
      <c r="Q87" s="23">
        <f t="shared" si="37"/>
        <v>1.1217510259917907E-2</v>
      </c>
      <c r="R87" s="71">
        <f t="shared" si="37"/>
        <v>-3.8461538461538436E-2</v>
      </c>
      <c r="S87" s="71">
        <f t="shared" si="37"/>
        <v>-0.31352459016393441</v>
      </c>
      <c r="T87" s="71">
        <f t="shared" si="37"/>
        <v>-0.24356775300171529</v>
      </c>
      <c r="U87" s="71">
        <f t="shared" si="37"/>
        <v>0.14839572192513373</v>
      </c>
      <c r="V87" s="23">
        <v>-0.13798701298701299</v>
      </c>
      <c r="W87" s="71">
        <v>0.28774193548387106</v>
      </c>
      <c r="X87" s="71">
        <v>0.47761194029850751</v>
      </c>
      <c r="Y87" s="71">
        <v>0.16099773242630389</v>
      </c>
      <c r="Z87" s="71">
        <v>0.16647264260768346</v>
      </c>
      <c r="AA87" s="23">
        <v>0.25988700564971756</v>
      </c>
      <c r="AB87" s="71">
        <v>-2.605210420841686E-2</v>
      </c>
      <c r="AC87" s="71">
        <v>0.11313131313131319</v>
      </c>
      <c r="AD87" s="71">
        <v>0.1162109375</v>
      </c>
      <c r="AE87" s="71">
        <v>-6.6866267465069851E-2</v>
      </c>
      <c r="AF87" s="23">
        <v>3.4379671150971625E-2</v>
      </c>
      <c r="AG87" s="71">
        <v>7.3045267489711962E-2</v>
      </c>
      <c r="AH87" s="71">
        <v>-3.4482758620689613E-2</v>
      </c>
      <c r="AI87" s="71">
        <v>-0.1688538932633421</v>
      </c>
      <c r="AJ87" s="71">
        <v>-0.20962566844919783</v>
      </c>
      <c r="AK87" s="23">
        <v>-8.574181117533719E-2</v>
      </c>
      <c r="AL87" s="71">
        <v>-7.8619367209971203E-2</v>
      </c>
      <c r="AM87" s="71">
        <v>-0.21052631578947367</v>
      </c>
      <c r="AN87" s="71">
        <v>0.10526315789473695</v>
      </c>
      <c r="AO87" s="71">
        <v>0.20297699594046015</v>
      </c>
      <c r="AP87" s="23">
        <v>-1.475237091675452E-2</v>
      </c>
      <c r="AQ87" s="71">
        <v>-4.0582726326742979E-2</v>
      </c>
      <c r="AR87" s="71">
        <v>3.5714285714285809E-2</v>
      </c>
      <c r="AS87" s="71">
        <v>-0.14095238095238094</v>
      </c>
      <c r="AT87" s="71">
        <v>-6.4116985376827862E-2</v>
      </c>
      <c r="AU87" s="23">
        <v>-5.7219251336898425E-2</v>
      </c>
      <c r="AV87" s="71">
        <v>-0.10412147505422997</v>
      </c>
      <c r="AW87" s="71">
        <v>5.7471264367816577E-3</v>
      </c>
      <c r="AX87" s="71">
        <v>8.8691796008869117E-2</v>
      </c>
      <c r="AY87" s="71">
        <v>1.2019230769230838E-2</v>
      </c>
      <c r="AZ87" s="23">
        <v>-2.8360748723765816E-4</v>
      </c>
      <c r="BA87" s="71">
        <v>0.1004842615012107</v>
      </c>
      <c r="BB87" s="71">
        <v>-7.8857142857142848E-2</v>
      </c>
      <c r="BC87" s="71">
        <v>-0.10081466395112015</v>
      </c>
      <c r="BD87" s="71">
        <v>8.5510688836104576E-2</v>
      </c>
      <c r="BE87" s="23">
        <v>-3.6879432624113972E-3</v>
      </c>
      <c r="BF87" s="71">
        <v>-0.15841584158415845</v>
      </c>
      <c r="BG87" s="71">
        <v>-0.22580645161290325</v>
      </c>
      <c r="BH87" s="71">
        <v>-0.10872027180067945</v>
      </c>
    </row>
    <row r="88" spans="1:60" ht="13.5" hidden="1" customHeight="1">
      <c r="A88" s="67" t="s">
        <v>46</v>
      </c>
      <c r="B88" s="36">
        <f>1385-B490</f>
        <v>1086</v>
      </c>
      <c r="C88" s="68">
        <f>333-C490</f>
        <v>263</v>
      </c>
      <c r="D88" s="68">
        <f>615-D490</f>
        <v>563</v>
      </c>
      <c r="E88" s="68">
        <f>374-E490</f>
        <v>297</v>
      </c>
      <c r="F88" s="68">
        <f>G88-E88-D88-C88</f>
        <v>509</v>
      </c>
      <c r="G88" s="36">
        <f>1897-G490</f>
        <v>1632</v>
      </c>
      <c r="H88" s="68">
        <f>415-H490</f>
        <v>395</v>
      </c>
      <c r="I88" s="68">
        <f>470-I490</f>
        <v>399</v>
      </c>
      <c r="J88" s="68">
        <f>404-78</f>
        <v>326</v>
      </c>
      <c r="K88" s="68">
        <f>L88-J88-I88-H88</f>
        <v>385</v>
      </c>
      <c r="L88" s="36">
        <f>1673-168</f>
        <v>1505</v>
      </c>
      <c r="M88" s="68">
        <v>360</v>
      </c>
      <c r="N88" s="68">
        <v>427</v>
      </c>
      <c r="O88" s="68">
        <v>381</v>
      </c>
      <c r="P88" s="68">
        <v>478</v>
      </c>
      <c r="Q88" s="36">
        <v>1645</v>
      </c>
      <c r="R88" s="68">
        <v>513</v>
      </c>
      <c r="S88" s="68">
        <v>495</v>
      </c>
      <c r="T88" s="68">
        <v>437</v>
      </c>
      <c r="U88" s="68">
        <f>V88-T88-S88-R88</f>
        <v>494</v>
      </c>
      <c r="V88" s="36">
        <v>1939</v>
      </c>
      <c r="W88" s="68">
        <v>475</v>
      </c>
      <c r="X88" s="68">
        <v>383</v>
      </c>
      <c r="Y88" s="68">
        <v>347</v>
      </c>
      <c r="Z88" s="68">
        <v>338</v>
      </c>
      <c r="AA88" s="36">
        <v>1543</v>
      </c>
      <c r="AB88" s="68">
        <v>254</v>
      </c>
      <c r="AC88" s="68">
        <v>331</v>
      </c>
      <c r="AD88" s="68">
        <v>305</v>
      </c>
      <c r="AE88" s="68">
        <v>347</v>
      </c>
      <c r="AF88" s="36">
        <v>1237</v>
      </c>
      <c r="AG88" s="68">
        <v>318</v>
      </c>
      <c r="AH88" s="68">
        <v>338</v>
      </c>
      <c r="AI88" s="68">
        <v>317</v>
      </c>
      <c r="AJ88" s="68">
        <v>328</v>
      </c>
      <c r="AK88" s="36">
        <v>1301</v>
      </c>
      <c r="AL88" s="68">
        <v>392</v>
      </c>
      <c r="AM88" s="68">
        <v>490</v>
      </c>
      <c r="AN88" s="68">
        <v>381</v>
      </c>
      <c r="AO88" s="68">
        <v>354</v>
      </c>
      <c r="AP88" s="36">
        <v>1617</v>
      </c>
      <c r="AQ88" s="68">
        <v>398</v>
      </c>
      <c r="AR88" s="68">
        <v>362</v>
      </c>
      <c r="AS88" s="68">
        <v>338</v>
      </c>
      <c r="AT88" s="68"/>
      <c r="AU88" s="36"/>
      <c r="AV88" s="68"/>
      <c r="AW88" s="68"/>
      <c r="AX88" s="68"/>
      <c r="AY88" s="68"/>
      <c r="AZ88" s="36"/>
      <c r="BA88" s="68"/>
      <c r="BB88" s="68"/>
      <c r="BC88" s="68"/>
      <c r="BD88" s="68"/>
      <c r="BE88" s="36"/>
      <c r="BF88" s="68"/>
      <c r="BG88" s="68"/>
      <c r="BH88" s="68"/>
    </row>
    <row r="89" spans="1:60" ht="13.5" hidden="1" customHeight="1">
      <c r="A89" s="69" t="s">
        <v>7</v>
      </c>
      <c r="B89" s="23"/>
      <c r="C89" s="70"/>
      <c r="D89" s="70">
        <f>D88/C88-1</f>
        <v>1.1406844106463878</v>
      </c>
      <c r="E89" s="70">
        <f>E88/D88-1</f>
        <v>-0.47246891651865008</v>
      </c>
      <c r="F89" s="70">
        <f>F88/E88-1</f>
        <v>0.71380471380471389</v>
      </c>
      <c r="G89" s="23"/>
      <c r="H89" s="70">
        <f>H88/F88-1</f>
        <v>-0.22396856581532421</v>
      </c>
      <c r="I89" s="70">
        <f>I88/H88-1</f>
        <v>1.0126582278481067E-2</v>
      </c>
      <c r="J89" s="70">
        <f>J88/I88-1</f>
        <v>-0.18295739348370932</v>
      </c>
      <c r="K89" s="70">
        <f>K88/J88-1</f>
        <v>0.18098159509202461</v>
      </c>
      <c r="L89" s="23"/>
      <c r="M89" s="70">
        <f>M88/K88-1</f>
        <v>-6.4935064935064957E-2</v>
      </c>
      <c r="N89" s="70">
        <f>N88/M88-1</f>
        <v>0.18611111111111112</v>
      </c>
      <c r="O89" s="70">
        <f>O88/N88-1</f>
        <v>-0.10772833723653397</v>
      </c>
      <c r="P89" s="70">
        <f>P88/O88-1</f>
        <v>0.25459317585301844</v>
      </c>
      <c r="Q89" s="23"/>
      <c r="R89" s="70">
        <f>R88/P88-1</f>
        <v>7.322175732217584E-2</v>
      </c>
      <c r="S89" s="70">
        <f>S88/R88-1</f>
        <v>-3.5087719298245612E-2</v>
      </c>
      <c r="T89" s="70">
        <f>T88/S88-1</f>
        <v>-0.11717171717171715</v>
      </c>
      <c r="U89" s="70">
        <f>U88/T88-1</f>
        <v>0.13043478260869557</v>
      </c>
      <c r="V89" s="23"/>
      <c r="W89" s="70">
        <v>-3.8461538461538436E-2</v>
      </c>
      <c r="X89" s="70">
        <v>-0.19368421052631579</v>
      </c>
      <c r="Y89" s="70">
        <v>-9.3994778067885143E-2</v>
      </c>
      <c r="Z89" s="70">
        <v>-2.5936599423631135E-2</v>
      </c>
      <c r="AA89" s="23"/>
      <c r="AB89" s="70">
        <v>-0.24852071005917165</v>
      </c>
      <c r="AC89" s="70">
        <v>0.3031496062992125</v>
      </c>
      <c r="AD89" s="70">
        <v>-7.8549848942598199E-2</v>
      </c>
      <c r="AE89" s="70">
        <v>0.13770491803278695</v>
      </c>
      <c r="AF89" s="23"/>
      <c r="AG89" s="70">
        <v>-8.3573487031700311E-2</v>
      </c>
      <c r="AH89" s="70">
        <v>6.2893081761006275E-2</v>
      </c>
      <c r="AI89" s="70">
        <v>-6.2130177514792884E-2</v>
      </c>
      <c r="AJ89" s="70">
        <v>3.4700315457413256E-2</v>
      </c>
      <c r="AK89" s="23"/>
      <c r="AL89" s="70">
        <v>0.19512195121951215</v>
      </c>
      <c r="AM89" s="70">
        <v>0.25</v>
      </c>
      <c r="AN89" s="70">
        <v>-0.22244897959183674</v>
      </c>
      <c r="AO89" s="70">
        <v>-7.086614173228345E-2</v>
      </c>
      <c r="AP89" s="23"/>
      <c r="AQ89" s="70">
        <v>0.12429378531073443</v>
      </c>
      <c r="AR89" s="70">
        <v>-9.0452261306532611E-2</v>
      </c>
      <c r="AS89" s="70">
        <v>-6.6298342541436517E-2</v>
      </c>
      <c r="AT89" s="70"/>
      <c r="AU89" s="23"/>
      <c r="AV89" s="70"/>
      <c r="AW89" s="70"/>
      <c r="AX89" s="70"/>
      <c r="AY89" s="70"/>
      <c r="AZ89" s="23"/>
      <c r="BA89" s="70"/>
      <c r="BB89" s="70"/>
      <c r="BC89" s="70"/>
      <c r="BD89" s="70"/>
      <c r="BE89" s="23"/>
      <c r="BF89" s="70"/>
      <c r="BG89" s="70"/>
      <c r="BH89" s="70"/>
    </row>
    <row r="90" spans="1:60" ht="13.5" hidden="1" customHeight="1">
      <c r="A90" s="69" t="s">
        <v>8</v>
      </c>
      <c r="B90" s="23"/>
      <c r="C90" s="71"/>
      <c r="D90" s="71"/>
      <c r="E90" s="71"/>
      <c r="F90" s="71"/>
      <c r="G90" s="23">
        <f t="shared" ref="G90:N90" si="38">G88/B88-1</f>
        <v>0.50276243093922646</v>
      </c>
      <c r="H90" s="71">
        <f t="shared" si="38"/>
        <v>0.50190114068441072</v>
      </c>
      <c r="I90" s="71">
        <f t="shared" si="38"/>
        <v>-0.29129662522202482</v>
      </c>
      <c r="J90" s="71">
        <f t="shared" si="38"/>
        <v>9.7643097643097754E-2</v>
      </c>
      <c r="K90" s="71">
        <f t="shared" si="38"/>
        <v>-0.24361493123772104</v>
      </c>
      <c r="L90" s="23">
        <f t="shared" si="38"/>
        <v>-7.7818627450980338E-2</v>
      </c>
      <c r="M90" s="71">
        <f t="shared" si="38"/>
        <v>-8.8607594936708889E-2</v>
      </c>
      <c r="N90" s="71">
        <f t="shared" si="38"/>
        <v>7.0175438596491224E-2</v>
      </c>
      <c r="O90" s="71">
        <f t="shared" ref="O90:U90" si="39">O88/J88-1</f>
        <v>0.16871165644171771</v>
      </c>
      <c r="P90" s="71">
        <f t="shared" si="39"/>
        <v>0.24155844155844153</v>
      </c>
      <c r="Q90" s="23">
        <f t="shared" si="39"/>
        <v>9.3023255813953432E-2</v>
      </c>
      <c r="R90" s="71">
        <f t="shared" si="39"/>
        <v>0.42500000000000004</v>
      </c>
      <c r="S90" s="71">
        <f t="shared" si="39"/>
        <v>0.15925058548009363</v>
      </c>
      <c r="T90" s="71">
        <f t="shared" si="39"/>
        <v>0.14698162729658804</v>
      </c>
      <c r="U90" s="71">
        <f t="shared" si="39"/>
        <v>3.3472803347280422E-2</v>
      </c>
      <c r="V90" s="23">
        <v>0.17872340425531918</v>
      </c>
      <c r="W90" s="71">
        <v>-7.407407407407407E-2</v>
      </c>
      <c r="X90" s="71">
        <v>-0.22626262626262628</v>
      </c>
      <c r="Y90" s="71">
        <v>-0.20594965675057209</v>
      </c>
      <c r="Z90" s="71">
        <v>-0.31578947368421051</v>
      </c>
      <c r="AA90" s="23">
        <v>-0.20422898401237755</v>
      </c>
      <c r="AB90" s="71">
        <v>-0.46526315789473682</v>
      </c>
      <c r="AC90" s="71">
        <v>-0.13577023498694518</v>
      </c>
      <c r="AD90" s="71">
        <v>-0.12103746397694526</v>
      </c>
      <c r="AE90" s="71">
        <v>2.6627218934911268E-2</v>
      </c>
      <c r="AF90" s="23">
        <v>-0.19831497083603367</v>
      </c>
      <c r="AG90" s="71">
        <v>0.25196850393700787</v>
      </c>
      <c r="AH90" s="71">
        <v>2.114803625377637E-2</v>
      </c>
      <c r="AI90" s="71">
        <v>3.9344262295081922E-2</v>
      </c>
      <c r="AJ90" s="71">
        <v>-5.4755043227665667E-2</v>
      </c>
      <c r="AK90" s="23">
        <v>5.1738075990299004E-2</v>
      </c>
      <c r="AL90" s="71">
        <v>0.23270440251572322</v>
      </c>
      <c r="AM90" s="71">
        <v>0.4497041420118344</v>
      </c>
      <c r="AN90" s="71">
        <v>0.20189274447949535</v>
      </c>
      <c r="AO90" s="71">
        <v>7.92682926829269E-2</v>
      </c>
      <c r="AP90" s="23">
        <v>0.24289008455034589</v>
      </c>
      <c r="AQ90" s="71">
        <v>1.5306122448979664E-2</v>
      </c>
      <c r="AR90" s="71">
        <v>-0.26122448979591839</v>
      </c>
      <c r="AS90" s="71">
        <v>-0.11286089238845143</v>
      </c>
      <c r="AT90" s="71"/>
      <c r="AU90" s="23"/>
      <c r="AV90" s="71"/>
      <c r="AW90" s="71"/>
      <c r="AX90" s="71"/>
      <c r="AY90" s="71"/>
      <c r="AZ90" s="23"/>
      <c r="BA90" s="71"/>
      <c r="BB90" s="71"/>
      <c r="BC90" s="71"/>
      <c r="BD90" s="71"/>
      <c r="BE90" s="23"/>
      <c r="BF90" s="71"/>
      <c r="BG90" s="71"/>
      <c r="BH90" s="71"/>
    </row>
    <row r="91" spans="1:60" ht="13.5" customHeight="1">
      <c r="A91" s="67" t="s">
        <v>47</v>
      </c>
      <c r="B91" s="36">
        <f>(273+973)-B493</f>
        <v>991.45</v>
      </c>
      <c r="C91" s="68">
        <f>59+307-C493</f>
        <v>286.60000000000002</v>
      </c>
      <c r="D91" s="68">
        <f>310+76-D493</f>
        <v>346.44600000000003</v>
      </c>
      <c r="E91" s="68">
        <f>250+345-E493</f>
        <v>539.15</v>
      </c>
      <c r="F91" s="68">
        <f>G91-E91-D91-C91</f>
        <v>359.26300000000003</v>
      </c>
      <c r="G91" s="36">
        <f>469+1300-G493</f>
        <v>1531.4590000000001</v>
      </c>
      <c r="H91" s="68">
        <f>63+408-H493</f>
        <v>409.56400000000002</v>
      </c>
      <c r="I91" s="68">
        <f>93+348-I493</f>
        <v>381.08800000000002</v>
      </c>
      <c r="J91" s="68">
        <f>404-20</f>
        <v>384</v>
      </c>
      <c r="K91" s="68">
        <f>L91-J91-I91-H91</f>
        <v>360.34800000000001</v>
      </c>
      <c r="L91" s="36">
        <f>(349+1363)-177</f>
        <v>1535</v>
      </c>
      <c r="M91" s="68">
        <f>88+281</f>
        <v>369</v>
      </c>
      <c r="N91" s="68">
        <f>326+70</f>
        <v>396</v>
      </c>
      <c r="O91" s="68">
        <f>76+300</f>
        <v>376</v>
      </c>
      <c r="P91" s="68">
        <f>Q91-O91-N91-M91</f>
        <v>481</v>
      </c>
      <c r="Q91" s="36">
        <f>343+1279</f>
        <v>1622</v>
      </c>
      <c r="R91" s="68">
        <f>78+422</f>
        <v>500</v>
      </c>
      <c r="S91" s="68">
        <f>80+375</f>
        <v>455</v>
      </c>
      <c r="T91" s="68">
        <f>86+393</f>
        <v>479</v>
      </c>
      <c r="U91" s="68">
        <f>V91-T91-S91-R91</f>
        <v>469</v>
      </c>
      <c r="V91" s="36">
        <v>1903</v>
      </c>
      <c r="W91" s="68">
        <v>460</v>
      </c>
      <c r="X91" s="68">
        <v>382</v>
      </c>
      <c r="Y91" s="68">
        <v>367</v>
      </c>
      <c r="Z91" s="68">
        <v>331</v>
      </c>
      <c r="AA91" s="36">
        <v>1540</v>
      </c>
      <c r="AB91" s="68">
        <v>289</v>
      </c>
      <c r="AC91" s="68">
        <v>301</v>
      </c>
      <c r="AD91" s="68">
        <v>320</v>
      </c>
      <c r="AE91" s="68">
        <v>318</v>
      </c>
      <c r="AF91" s="36">
        <v>1228</v>
      </c>
      <c r="AG91" s="68">
        <v>315</v>
      </c>
      <c r="AH91" s="68">
        <v>323</v>
      </c>
      <c r="AI91" s="68">
        <v>322</v>
      </c>
      <c r="AJ91" s="68">
        <v>315</v>
      </c>
      <c r="AK91" s="36">
        <v>1275</v>
      </c>
      <c r="AL91" s="68">
        <v>368</v>
      </c>
      <c r="AM91" s="68">
        <v>511</v>
      </c>
      <c r="AN91" s="68">
        <v>427</v>
      </c>
      <c r="AO91" s="68">
        <v>329</v>
      </c>
      <c r="AP91" s="36">
        <v>1635</v>
      </c>
      <c r="AQ91" s="68">
        <v>345</v>
      </c>
      <c r="AR91" s="68">
        <v>387</v>
      </c>
      <c r="AS91" s="68">
        <v>349</v>
      </c>
      <c r="AT91" s="68">
        <v>335</v>
      </c>
      <c r="AU91" s="36">
        <v>1416</v>
      </c>
      <c r="AV91" s="68">
        <v>380</v>
      </c>
      <c r="AW91" s="68">
        <v>406</v>
      </c>
      <c r="AX91" s="68">
        <v>353</v>
      </c>
      <c r="AY91" s="68">
        <v>391</v>
      </c>
      <c r="AZ91" s="36">
        <v>1530</v>
      </c>
      <c r="BA91" s="68">
        <v>368</v>
      </c>
      <c r="BB91" s="68">
        <v>531</v>
      </c>
      <c r="BC91" s="68">
        <v>412</v>
      </c>
      <c r="BD91" s="68">
        <v>416</v>
      </c>
      <c r="BE91" s="36">
        <v>1727</v>
      </c>
      <c r="BF91" s="68">
        <v>373</v>
      </c>
      <c r="BG91" s="68">
        <v>525</v>
      </c>
      <c r="BH91" s="68">
        <v>329</v>
      </c>
    </row>
    <row r="92" spans="1:60" ht="13.5" customHeight="1">
      <c r="A92" s="69" t="s">
        <v>7</v>
      </c>
      <c r="B92" s="23"/>
      <c r="C92" s="70"/>
      <c r="D92" s="70">
        <f>D91/C91-1</f>
        <v>0.2088136775994418</v>
      </c>
      <c r="E92" s="70">
        <f>E91/D91-1</f>
        <v>0.55623098549268835</v>
      </c>
      <c r="F92" s="70">
        <f>F91/E91-1</f>
        <v>-0.33364926272836859</v>
      </c>
      <c r="G92" s="23"/>
      <c r="H92" s="70">
        <f>H91/F91-1</f>
        <v>0.14001163493039903</v>
      </c>
      <c r="I92" s="70">
        <f>I91/H91-1</f>
        <v>-6.952759519879681E-2</v>
      </c>
      <c r="J92" s="70">
        <f>J91/I91-1</f>
        <v>7.6412797044251857E-3</v>
      </c>
      <c r="K92" s="70">
        <f>K91/J91-1</f>
        <v>-6.1593750000000003E-2</v>
      </c>
      <c r="L92" s="23"/>
      <c r="M92" s="70">
        <f>M91/K91-1</f>
        <v>2.4010123547237638E-2</v>
      </c>
      <c r="N92" s="70">
        <f>N91/M91-1</f>
        <v>7.3170731707317138E-2</v>
      </c>
      <c r="O92" s="70">
        <f>O91/N91-1</f>
        <v>-5.0505050505050497E-2</v>
      </c>
      <c r="P92" s="70">
        <f>P91/O91-1</f>
        <v>0.2792553191489362</v>
      </c>
      <c r="Q92" s="23"/>
      <c r="R92" s="70">
        <f>R91/P91-1</f>
        <v>3.9501039501039559E-2</v>
      </c>
      <c r="S92" s="70">
        <f>S91/R91-1</f>
        <v>-8.9999999999999969E-2</v>
      </c>
      <c r="T92" s="70">
        <f>T91/S91-1</f>
        <v>5.2747252747252782E-2</v>
      </c>
      <c r="U92" s="70">
        <f>U91/T91-1</f>
        <v>-2.087682672233826E-2</v>
      </c>
      <c r="V92" s="23"/>
      <c r="W92" s="70">
        <v>-1.9189765458422214E-2</v>
      </c>
      <c r="X92" s="70">
        <v>-0.16956521739130437</v>
      </c>
      <c r="Y92" s="70">
        <v>-3.9267015706806241E-2</v>
      </c>
      <c r="Z92" s="70">
        <v>-9.8092643051771122E-2</v>
      </c>
      <c r="AA92" s="23"/>
      <c r="AB92" s="70">
        <v>-0.12688821752265866</v>
      </c>
      <c r="AC92" s="70">
        <v>4.1522491349480939E-2</v>
      </c>
      <c r="AD92" s="70">
        <v>6.3122923588039948E-2</v>
      </c>
      <c r="AE92" s="70">
        <v>-6.2499999999999778E-3</v>
      </c>
      <c r="AF92" s="23"/>
      <c r="AG92" s="70">
        <v>-9.4339622641509413E-3</v>
      </c>
      <c r="AH92" s="70">
        <v>2.5396825396825307E-2</v>
      </c>
      <c r="AI92" s="70">
        <v>-3.0959752321981782E-3</v>
      </c>
      <c r="AJ92" s="70">
        <v>-2.1739130434782594E-2</v>
      </c>
      <c r="AK92" s="23"/>
      <c r="AL92" s="70">
        <v>0.16825396825396832</v>
      </c>
      <c r="AM92" s="70">
        <v>0.38858695652173902</v>
      </c>
      <c r="AN92" s="70">
        <v>-0.16438356164383561</v>
      </c>
      <c r="AO92" s="70">
        <v>-0.22950819672131151</v>
      </c>
      <c r="AP92" s="23"/>
      <c r="AQ92" s="70">
        <v>4.8632218844984809E-2</v>
      </c>
      <c r="AR92" s="70">
        <v>0.12173913043478257</v>
      </c>
      <c r="AS92" s="70">
        <v>-9.8191214470284227E-2</v>
      </c>
      <c r="AT92" s="70">
        <v>-4.011461318051579E-2</v>
      </c>
      <c r="AU92" s="23"/>
      <c r="AV92" s="70">
        <v>0.13432835820895517</v>
      </c>
      <c r="AW92" s="70">
        <v>6.8421052631578938E-2</v>
      </c>
      <c r="AX92" s="70">
        <v>-0.13054187192118227</v>
      </c>
      <c r="AY92" s="70">
        <v>0.10764872521246449</v>
      </c>
      <c r="AZ92" s="23"/>
      <c r="BA92" s="70">
        <v>-5.8823529411764719E-2</v>
      </c>
      <c r="BB92" s="70">
        <v>0.44293478260869557</v>
      </c>
      <c r="BC92" s="70">
        <v>-0.22410546139359699</v>
      </c>
      <c r="BD92" s="70">
        <v>9.7087378640776656E-3</v>
      </c>
      <c r="BE92" s="23"/>
      <c r="BF92" s="70">
        <v>-0.10336538461538458</v>
      </c>
      <c r="BG92" s="70">
        <v>0.40750670241286868</v>
      </c>
      <c r="BH92" s="70">
        <v>-0.37333333333333329</v>
      </c>
    </row>
    <row r="93" spans="1:60" ht="13.5" customHeight="1">
      <c r="A93" s="69" t="s">
        <v>8</v>
      </c>
      <c r="B93" s="23"/>
      <c r="C93" s="71"/>
      <c r="D93" s="71"/>
      <c r="E93" s="71"/>
      <c r="F93" s="71"/>
      <c r="G93" s="23">
        <f t="shared" ref="G93:N93" si="40">G91/B91-1</f>
        <v>0.54466589338847138</v>
      </c>
      <c r="H93" s="71">
        <f t="shared" si="40"/>
        <v>0.42904396371249121</v>
      </c>
      <c r="I93" s="71">
        <f t="shared" si="40"/>
        <v>9.9992495222920752E-2</v>
      </c>
      <c r="J93" s="71">
        <f t="shared" si="40"/>
        <v>-0.28776778262079195</v>
      </c>
      <c r="K93" s="71">
        <f t="shared" si="40"/>
        <v>3.0200716466766142E-3</v>
      </c>
      <c r="L93" s="23">
        <f t="shared" si="40"/>
        <v>2.3121742077325536E-3</v>
      </c>
      <c r="M93" s="71">
        <f t="shared" si="40"/>
        <v>-9.9041907980193633E-2</v>
      </c>
      <c r="N93" s="71">
        <f t="shared" si="40"/>
        <v>3.9130069695188396E-2</v>
      </c>
      <c r="O93" s="71">
        <f t="shared" ref="O93:U93" si="41">O91/J91-1</f>
        <v>-2.083333333333337E-2</v>
      </c>
      <c r="P93" s="71">
        <f t="shared" si="41"/>
        <v>0.33482078435290319</v>
      </c>
      <c r="Q93" s="23">
        <f t="shared" si="41"/>
        <v>5.6677524429967319E-2</v>
      </c>
      <c r="R93" s="71">
        <f t="shared" si="41"/>
        <v>0.3550135501355014</v>
      </c>
      <c r="S93" s="71">
        <f t="shared" si="41"/>
        <v>0.14898989898989901</v>
      </c>
      <c r="T93" s="71">
        <f t="shared" si="41"/>
        <v>0.27393617021276606</v>
      </c>
      <c r="U93" s="71">
        <f t="shared" si="41"/>
        <v>-2.4948024948024949E-2</v>
      </c>
      <c r="V93" s="23">
        <v>0.17324290998766956</v>
      </c>
      <c r="W93" s="71">
        <v>-7.999999999999996E-2</v>
      </c>
      <c r="X93" s="71">
        <v>-0.16043956043956042</v>
      </c>
      <c r="Y93" s="71">
        <v>-0.23382045929018791</v>
      </c>
      <c r="Z93" s="71">
        <v>-0.29424307036247332</v>
      </c>
      <c r="AA93" s="23">
        <v>-0.19075144508670516</v>
      </c>
      <c r="AB93" s="71">
        <v>-0.37173913043478257</v>
      </c>
      <c r="AC93" s="71">
        <v>-0.2120418848167539</v>
      </c>
      <c r="AD93" s="71">
        <v>-0.12806539509536785</v>
      </c>
      <c r="AE93" s="71">
        <v>-3.92749244712991E-2</v>
      </c>
      <c r="AF93" s="23">
        <v>-0.20259740259740255</v>
      </c>
      <c r="AG93" s="71">
        <v>8.9965397923875479E-2</v>
      </c>
      <c r="AH93" s="71">
        <v>7.3089700996677776E-2</v>
      </c>
      <c r="AI93" s="71">
        <v>6.2500000000000888E-3</v>
      </c>
      <c r="AJ93" s="71">
        <v>-9.4339622641509413E-3</v>
      </c>
      <c r="AK93" s="23">
        <v>3.8273615635179059E-2</v>
      </c>
      <c r="AL93" s="71">
        <v>0.16825396825396832</v>
      </c>
      <c r="AM93" s="71">
        <v>0.58204334365325083</v>
      </c>
      <c r="AN93" s="71">
        <v>0.32608695652173902</v>
      </c>
      <c r="AO93" s="71">
        <v>4.4444444444444509E-2</v>
      </c>
      <c r="AP93" s="23">
        <v>0.2823529411764707</v>
      </c>
      <c r="AQ93" s="71">
        <v>-6.25E-2</v>
      </c>
      <c r="AR93" s="71">
        <v>-0.24266144814090018</v>
      </c>
      <c r="AS93" s="71">
        <v>-0.18266978922716626</v>
      </c>
      <c r="AT93" s="71">
        <v>1.8237082066869359E-2</v>
      </c>
      <c r="AU93" s="23">
        <v>-0.13394495412844032</v>
      </c>
      <c r="AV93" s="71">
        <v>0.10144927536231885</v>
      </c>
      <c r="AW93" s="71">
        <v>4.9095607235142058E-2</v>
      </c>
      <c r="AX93" s="71">
        <v>1.1461318051575908E-2</v>
      </c>
      <c r="AY93" s="71">
        <v>0.16716417910447756</v>
      </c>
      <c r="AZ93" s="23">
        <v>8.0508474576271194E-2</v>
      </c>
      <c r="BA93" s="71">
        <v>-3.157894736842104E-2</v>
      </c>
      <c r="BB93" s="71">
        <v>0.30788177339901468</v>
      </c>
      <c r="BC93" s="71">
        <v>0.16713881019830024</v>
      </c>
      <c r="BD93" s="71">
        <v>6.3938618925831303E-2</v>
      </c>
      <c r="BE93" s="23">
        <v>0.12875816993464051</v>
      </c>
      <c r="BF93" s="71">
        <v>1.3586956521739024E-2</v>
      </c>
      <c r="BG93" s="71">
        <v>-1.1299435028248594E-2</v>
      </c>
      <c r="BH93" s="71">
        <v>-0.20145631067961167</v>
      </c>
    </row>
    <row r="94" spans="1:60" ht="13.5" customHeight="1">
      <c r="A94" s="67" t="s">
        <v>237</v>
      </c>
      <c r="B94" s="36">
        <v>177</v>
      </c>
      <c r="C94" s="68">
        <v>61</v>
      </c>
      <c r="D94" s="68">
        <v>26</v>
      </c>
      <c r="E94" s="68">
        <v>14</v>
      </c>
      <c r="F94" s="68">
        <f>G94-E94-D94-C94</f>
        <v>46</v>
      </c>
      <c r="G94" s="36">
        <v>147</v>
      </c>
      <c r="H94" s="68">
        <v>51</v>
      </c>
      <c r="I94" s="68">
        <v>11</v>
      </c>
      <c r="J94" s="68">
        <v>20</v>
      </c>
      <c r="K94" s="68">
        <f>L94-J94-I94-H94</f>
        <v>8</v>
      </c>
      <c r="L94" s="36">
        <v>90</v>
      </c>
      <c r="M94" s="68">
        <v>15</v>
      </c>
      <c r="N94" s="68">
        <v>26</v>
      </c>
      <c r="O94" s="68">
        <v>48</v>
      </c>
      <c r="P94" s="68">
        <f>Q94-O94-N94-M94</f>
        <v>44</v>
      </c>
      <c r="Q94" s="36">
        <v>133</v>
      </c>
      <c r="R94" s="68">
        <v>187</v>
      </c>
      <c r="S94" s="68">
        <v>49</v>
      </c>
      <c r="T94" s="68">
        <v>105</v>
      </c>
      <c r="U94" s="68">
        <f>V94-T94-S94-R94</f>
        <v>-75</v>
      </c>
      <c r="V94" s="36">
        <v>266</v>
      </c>
      <c r="W94" s="68">
        <v>47</v>
      </c>
      <c r="X94" s="68">
        <v>22</v>
      </c>
      <c r="Y94" s="68">
        <v>97</v>
      </c>
      <c r="Z94" s="68">
        <v>139</v>
      </c>
      <c r="AA94" s="36">
        <v>305</v>
      </c>
      <c r="AB94" s="68">
        <v>43</v>
      </c>
      <c r="AC94" s="68">
        <v>123</v>
      </c>
      <c r="AD94" s="68">
        <v>53</v>
      </c>
      <c r="AE94" s="68">
        <v>93</v>
      </c>
      <c r="AF94" s="36">
        <v>312</v>
      </c>
      <c r="AG94" s="68">
        <v>29</v>
      </c>
      <c r="AH94" s="68">
        <v>46</v>
      </c>
      <c r="AI94" s="68">
        <v>72</v>
      </c>
      <c r="AJ94" s="68">
        <v>83</v>
      </c>
      <c r="AK94" s="36">
        <v>230</v>
      </c>
      <c r="AL94" s="68">
        <v>13</v>
      </c>
      <c r="AM94" s="68">
        <v>84</v>
      </c>
      <c r="AN94" s="68">
        <v>22</v>
      </c>
      <c r="AO94" s="68">
        <v>32</v>
      </c>
      <c r="AP94" s="36">
        <v>151</v>
      </c>
      <c r="AQ94" s="68">
        <v>42</v>
      </c>
      <c r="AR94" s="68">
        <v>56</v>
      </c>
      <c r="AS94" s="68">
        <v>24</v>
      </c>
      <c r="AT94" s="68">
        <v>16</v>
      </c>
      <c r="AU94" s="36">
        <v>138</v>
      </c>
      <c r="AV94" s="68">
        <v>10</v>
      </c>
      <c r="AW94" s="68">
        <v>18</v>
      </c>
      <c r="AX94" s="68">
        <v>48</v>
      </c>
      <c r="AY94" s="68">
        <v>22</v>
      </c>
      <c r="AZ94" s="36">
        <v>98</v>
      </c>
      <c r="BA94" s="68">
        <v>8</v>
      </c>
      <c r="BB94" s="148">
        <v>-57</v>
      </c>
      <c r="BC94" s="68">
        <v>12</v>
      </c>
      <c r="BD94" s="68">
        <v>272</v>
      </c>
      <c r="BE94" s="36">
        <v>235</v>
      </c>
      <c r="BF94" s="68">
        <v>41</v>
      </c>
      <c r="BG94" s="68">
        <v>341</v>
      </c>
      <c r="BH94" s="68">
        <v>15</v>
      </c>
    </row>
    <row r="95" spans="1:60" ht="13.5" customHeight="1">
      <c r="A95" s="69" t="s">
        <v>7</v>
      </c>
      <c r="B95" s="23"/>
      <c r="C95" s="70"/>
      <c r="D95" s="70">
        <f>D94/C94-1</f>
        <v>-0.57377049180327866</v>
      </c>
      <c r="E95" s="70">
        <f>E94/D94-1</f>
        <v>-0.46153846153846156</v>
      </c>
      <c r="F95" s="70">
        <f>F94/E94-1</f>
        <v>2.2857142857142856</v>
      </c>
      <c r="G95" s="23"/>
      <c r="H95" s="70">
        <f>H94/F94-1</f>
        <v>0.10869565217391308</v>
      </c>
      <c r="I95" s="70">
        <f>I94/H94-1</f>
        <v>-0.78431372549019607</v>
      </c>
      <c r="J95" s="70">
        <f>J94/I94-1</f>
        <v>0.81818181818181812</v>
      </c>
      <c r="K95" s="70">
        <f>K94/J94-1</f>
        <v>-0.6</v>
      </c>
      <c r="L95" s="23"/>
      <c r="M95" s="70">
        <f>M94/K94-1</f>
        <v>0.875</v>
      </c>
      <c r="N95" s="70">
        <f>N94/M94-1</f>
        <v>0.73333333333333339</v>
      </c>
      <c r="O95" s="70">
        <f>O94/N94-1</f>
        <v>0.84615384615384626</v>
      </c>
      <c r="P95" s="70">
        <f>P94/O94-1</f>
        <v>-8.333333333333337E-2</v>
      </c>
      <c r="Q95" s="23"/>
      <c r="R95" s="70">
        <f>R94/P94-1</f>
        <v>3.25</v>
      </c>
      <c r="S95" s="70">
        <f>S94/R94-1</f>
        <v>-0.73796791443850274</v>
      </c>
      <c r="T95" s="70">
        <f>T94/S94-1</f>
        <v>1.1428571428571428</v>
      </c>
      <c r="U95" s="70">
        <f>U94/T94-1</f>
        <v>-1.7142857142857144</v>
      </c>
      <c r="V95" s="23"/>
      <c r="W95" s="70">
        <v>-1.6266666666666667</v>
      </c>
      <c r="X95" s="70">
        <v>-0.53191489361702127</v>
      </c>
      <c r="Y95" s="70">
        <v>3.4090909090909092</v>
      </c>
      <c r="Z95" s="70">
        <v>0.4329896907216495</v>
      </c>
      <c r="AA95" s="23"/>
      <c r="AB95" s="70">
        <v>-0.69064748201438841</v>
      </c>
      <c r="AC95" s="70">
        <v>1.86046511627907</v>
      </c>
      <c r="AD95" s="70">
        <v>-0.56910569105691056</v>
      </c>
      <c r="AE95" s="70">
        <v>0.75471698113207553</v>
      </c>
      <c r="AF95" s="23"/>
      <c r="AG95" s="70">
        <v>-0.68817204301075274</v>
      </c>
      <c r="AH95" s="70">
        <v>0.5862068965517242</v>
      </c>
      <c r="AI95" s="70">
        <v>0.56521739130434789</v>
      </c>
      <c r="AJ95" s="70">
        <v>0.15277777777777768</v>
      </c>
      <c r="AK95" s="23"/>
      <c r="AL95" s="70">
        <v>-0.84337349397590367</v>
      </c>
      <c r="AM95" s="70">
        <v>5.4615384615384617</v>
      </c>
      <c r="AN95" s="70">
        <v>-0.73809523809523814</v>
      </c>
      <c r="AO95" s="70">
        <v>0.45454545454545459</v>
      </c>
      <c r="AP95" s="23"/>
      <c r="AQ95" s="70">
        <v>0.3125</v>
      </c>
      <c r="AR95" s="70">
        <v>0.33333333333333326</v>
      </c>
      <c r="AS95" s="70">
        <v>-0.5714285714285714</v>
      </c>
      <c r="AT95" s="70">
        <v>-0.33333333333333337</v>
      </c>
      <c r="AU95" s="23"/>
      <c r="AV95" s="70">
        <v>-0.375</v>
      </c>
      <c r="AW95" s="70">
        <v>0.8</v>
      </c>
      <c r="AX95" s="70">
        <v>1.6666666666666665</v>
      </c>
      <c r="AY95" s="70">
        <v>-0.54166666666666674</v>
      </c>
      <c r="AZ95" s="23"/>
      <c r="BA95" s="70">
        <v>-0.63636363636363635</v>
      </c>
      <c r="BB95" s="83" t="s">
        <v>40</v>
      </c>
      <c r="BC95" s="83" t="s">
        <v>40</v>
      </c>
      <c r="BD95" s="70">
        <v>21.666666666666668</v>
      </c>
      <c r="BE95" s="23"/>
      <c r="BF95" s="70">
        <v>-0.84926470588235292</v>
      </c>
      <c r="BG95" s="70">
        <v>7.3170731707317067</v>
      </c>
      <c r="BH95" s="70">
        <v>-0.95601173020527863</v>
      </c>
    </row>
    <row r="96" spans="1:60" ht="13.5" customHeight="1">
      <c r="A96" s="69" t="s">
        <v>8</v>
      </c>
      <c r="B96" s="23"/>
      <c r="C96" s="71"/>
      <c r="D96" s="71"/>
      <c r="E96" s="71"/>
      <c r="F96" s="71"/>
      <c r="G96" s="23">
        <f t="shared" ref="G96" si="42">G94/B94-1</f>
        <v>-0.16949152542372881</v>
      </c>
      <c r="H96" s="71">
        <f t="shared" ref="H96" si="43">H94/C94-1</f>
        <v>-0.16393442622950816</v>
      </c>
      <c r="I96" s="71">
        <f t="shared" ref="I96" si="44">I94/D94-1</f>
        <v>-0.57692307692307687</v>
      </c>
      <c r="J96" s="71">
        <f t="shared" ref="J96" si="45">J94/E94-1</f>
        <v>0.4285714285714286</v>
      </c>
      <c r="K96" s="71">
        <f t="shared" ref="K96" si="46">K94/F94-1</f>
        <v>-0.82608695652173914</v>
      </c>
      <c r="L96" s="23">
        <f t="shared" ref="L96" si="47">L94/G94-1</f>
        <v>-0.38775510204081631</v>
      </c>
      <c r="M96" s="71">
        <f t="shared" ref="M96" si="48">M94/H94-1</f>
        <v>-0.70588235294117641</v>
      </c>
      <c r="N96" s="71">
        <f t="shared" ref="N96" si="49">N94/I94-1</f>
        <v>1.3636363636363638</v>
      </c>
      <c r="O96" s="71">
        <f t="shared" ref="O96" si="50">O94/J94-1</f>
        <v>1.4</v>
      </c>
      <c r="P96" s="71">
        <f t="shared" ref="P96" si="51">P94/K94-1</f>
        <v>4.5</v>
      </c>
      <c r="Q96" s="23">
        <f t="shared" ref="Q96" si="52">Q94/L94-1</f>
        <v>0.47777777777777786</v>
      </c>
      <c r="R96" s="71">
        <f t="shared" ref="R96" si="53">R94/M94-1</f>
        <v>11.466666666666667</v>
      </c>
      <c r="S96" s="71">
        <f t="shared" ref="S96" si="54">S94/N94-1</f>
        <v>0.88461538461538458</v>
      </c>
      <c r="T96" s="71">
        <f t="shared" ref="T96" si="55">T94/O94-1</f>
        <v>1.1875</v>
      </c>
      <c r="U96" s="71">
        <f t="shared" ref="U96" si="56">U94/P94-1</f>
        <v>-2.7045454545454546</v>
      </c>
      <c r="V96" s="23">
        <v>1</v>
      </c>
      <c r="W96" s="71">
        <v>-0.74866310160427807</v>
      </c>
      <c r="X96" s="71">
        <v>-0.55102040816326525</v>
      </c>
      <c r="Y96" s="71">
        <v>-7.6190476190476142E-2</v>
      </c>
      <c r="Z96" s="71">
        <v>-2.8533333333333335</v>
      </c>
      <c r="AA96" s="23">
        <v>0.14661654135338353</v>
      </c>
      <c r="AB96" s="71">
        <v>-8.5106382978723416E-2</v>
      </c>
      <c r="AC96" s="71">
        <v>4.5909090909090908</v>
      </c>
      <c r="AD96" s="71">
        <v>-0.45360824742268047</v>
      </c>
      <c r="AE96" s="71">
        <v>-0.3309352517985612</v>
      </c>
      <c r="AF96" s="23">
        <v>2.2950819672131084E-2</v>
      </c>
      <c r="AG96" s="71">
        <v>-0.32558139534883723</v>
      </c>
      <c r="AH96" s="71">
        <v>-0.62601626016260159</v>
      </c>
      <c r="AI96" s="71">
        <v>0.35849056603773577</v>
      </c>
      <c r="AJ96" s="71">
        <v>-0.10752688172043012</v>
      </c>
      <c r="AK96" s="23">
        <v>-0.26282051282051277</v>
      </c>
      <c r="AL96" s="71">
        <v>-0.55172413793103448</v>
      </c>
      <c r="AM96" s="71">
        <v>0.82608695652173902</v>
      </c>
      <c r="AN96" s="71">
        <v>-0.69444444444444442</v>
      </c>
      <c r="AO96" s="71">
        <v>-0.61445783132530118</v>
      </c>
      <c r="AP96" s="23">
        <v>-0.34347826086956523</v>
      </c>
      <c r="AQ96" s="71">
        <v>2.2307692307692308</v>
      </c>
      <c r="AR96" s="71">
        <v>-0.33333333333333337</v>
      </c>
      <c r="AS96" s="71">
        <v>9.0909090909090828E-2</v>
      </c>
      <c r="AT96" s="71">
        <v>-0.5</v>
      </c>
      <c r="AU96" s="23">
        <v>-8.6092715231788075E-2</v>
      </c>
      <c r="AV96" s="71">
        <v>-0.76190476190476186</v>
      </c>
      <c r="AW96" s="71">
        <v>-0.6785714285714286</v>
      </c>
      <c r="AX96" s="71">
        <v>1</v>
      </c>
      <c r="AY96" s="71">
        <v>0.375</v>
      </c>
      <c r="AZ96" s="23">
        <v>-0.28985507246376807</v>
      </c>
      <c r="BA96" s="71">
        <v>-0.19999999999999996</v>
      </c>
      <c r="BB96" s="83" t="s">
        <v>40</v>
      </c>
      <c r="BC96" s="71">
        <v>-0.75</v>
      </c>
      <c r="BD96" s="71">
        <v>11.363636363636363</v>
      </c>
      <c r="BE96" s="23">
        <v>1.3979591836734695</v>
      </c>
      <c r="BF96" s="71">
        <v>4.125</v>
      </c>
      <c r="BG96" s="71">
        <v>-6.9824561403508776</v>
      </c>
      <c r="BH96" s="71">
        <v>0.25</v>
      </c>
    </row>
    <row r="97" spans="1:60" ht="13.5" customHeight="1">
      <c r="A97" s="67" t="s">
        <v>200</v>
      </c>
      <c r="B97" s="36">
        <f>B91-B94</f>
        <v>814.45</v>
      </c>
      <c r="C97" s="68">
        <f>C91-C94</f>
        <v>225.60000000000002</v>
      </c>
      <c r="D97" s="68">
        <f>D91-D94</f>
        <v>320.44600000000003</v>
      </c>
      <c r="E97" s="68">
        <f>E91-E94</f>
        <v>525.15</v>
      </c>
      <c r="F97" s="68">
        <f>G97-E97-D97-C97</f>
        <v>313.26300000000003</v>
      </c>
      <c r="G97" s="36">
        <f>G91-147</f>
        <v>1384.4590000000001</v>
      </c>
      <c r="H97" s="68">
        <f>H91-H94</f>
        <v>358.56400000000002</v>
      </c>
      <c r="I97" s="68">
        <f>I91-I94</f>
        <v>370.08800000000002</v>
      </c>
      <c r="J97" s="68">
        <f>J91-J94</f>
        <v>364</v>
      </c>
      <c r="K97" s="68">
        <f>L97-J97-I97-H97</f>
        <v>352.34800000000001</v>
      </c>
      <c r="L97" s="36">
        <f>L91-L94</f>
        <v>1445</v>
      </c>
      <c r="M97" s="68">
        <f>M91-M94</f>
        <v>354</v>
      </c>
      <c r="N97" s="68">
        <f>N91-N94</f>
        <v>370</v>
      </c>
      <c r="O97" s="68">
        <f>O91-O94</f>
        <v>328</v>
      </c>
      <c r="P97" s="68">
        <f>Q97-O97-N97-M97</f>
        <v>437</v>
      </c>
      <c r="Q97" s="36">
        <f>Q91-Q94</f>
        <v>1489</v>
      </c>
      <c r="R97" s="68">
        <f>R91-R94</f>
        <v>313</v>
      </c>
      <c r="S97" s="68">
        <f>S91-S94</f>
        <v>406</v>
      </c>
      <c r="T97" s="68">
        <f>T91-T94</f>
        <v>374</v>
      </c>
      <c r="U97" s="68">
        <f>V97-T97-S97-R97</f>
        <v>544</v>
      </c>
      <c r="V97" s="36">
        <v>1637</v>
      </c>
      <c r="W97" s="68">
        <v>413</v>
      </c>
      <c r="X97" s="68">
        <v>360</v>
      </c>
      <c r="Y97" s="68">
        <v>270</v>
      </c>
      <c r="Z97" s="68">
        <v>192</v>
      </c>
      <c r="AA97" s="36">
        <v>1235</v>
      </c>
      <c r="AB97" s="68">
        <v>246</v>
      </c>
      <c r="AC97" s="68">
        <v>178</v>
      </c>
      <c r="AD97" s="68">
        <v>267</v>
      </c>
      <c r="AE97" s="68">
        <v>225</v>
      </c>
      <c r="AF97" s="36">
        <v>916</v>
      </c>
      <c r="AG97" s="68">
        <v>286</v>
      </c>
      <c r="AH97" s="68">
        <v>277</v>
      </c>
      <c r="AI97" s="68">
        <v>250</v>
      </c>
      <c r="AJ97" s="68">
        <v>232</v>
      </c>
      <c r="AK97" s="36">
        <v>1045</v>
      </c>
      <c r="AL97" s="68">
        <v>355</v>
      </c>
      <c r="AM97" s="68">
        <v>427</v>
      </c>
      <c r="AN97" s="68">
        <v>405</v>
      </c>
      <c r="AO97" s="68">
        <v>297</v>
      </c>
      <c r="AP97" s="36">
        <v>1484</v>
      </c>
      <c r="AQ97" s="68">
        <v>303</v>
      </c>
      <c r="AR97" s="68">
        <v>331</v>
      </c>
      <c r="AS97" s="68">
        <v>325</v>
      </c>
      <c r="AT97" s="68">
        <v>319</v>
      </c>
      <c r="AU97" s="36">
        <v>1278</v>
      </c>
      <c r="AV97" s="68">
        <v>370</v>
      </c>
      <c r="AW97" s="68">
        <v>388</v>
      </c>
      <c r="AX97" s="68">
        <v>305</v>
      </c>
      <c r="AY97" s="68">
        <v>369</v>
      </c>
      <c r="AZ97" s="36">
        <v>1432</v>
      </c>
      <c r="BA97" s="68">
        <v>360</v>
      </c>
      <c r="BB97" s="68">
        <v>588</v>
      </c>
      <c r="BC97" s="68">
        <v>400</v>
      </c>
      <c r="BD97" s="68">
        <v>144</v>
      </c>
      <c r="BE97" s="36">
        <v>1492</v>
      </c>
      <c r="BF97" s="68">
        <v>332</v>
      </c>
      <c r="BG97" s="68">
        <v>184</v>
      </c>
      <c r="BH97" s="68">
        <v>314</v>
      </c>
    </row>
    <row r="98" spans="1:60" ht="13.5" customHeight="1">
      <c r="A98" s="69" t="s">
        <v>7</v>
      </c>
      <c r="B98" s="23"/>
      <c r="C98" s="70"/>
      <c r="D98" s="70">
        <f>D97/C97-1</f>
        <v>0.42041666666666666</v>
      </c>
      <c r="E98" s="70">
        <f>E97/D97-1</f>
        <v>0.63880965903771592</v>
      </c>
      <c r="F98" s="70">
        <f>F97/E97-1</f>
        <v>-0.40347900599828612</v>
      </c>
      <c r="G98" s="23"/>
      <c r="H98" s="70">
        <f>H97/F97-1</f>
        <v>0.14461011993117601</v>
      </c>
      <c r="I98" s="70">
        <f>I97/H97-1</f>
        <v>3.2139311252663338E-2</v>
      </c>
      <c r="J98" s="70">
        <f>J97/I97-1</f>
        <v>-1.6450141587946665E-2</v>
      </c>
      <c r="K98" s="70">
        <f>K97/J97-1</f>
        <v>-3.2010989010988977E-2</v>
      </c>
      <c r="L98" s="23"/>
      <c r="M98" s="70">
        <f>M97/K97-1</f>
        <v>4.6885465505692725E-3</v>
      </c>
      <c r="N98" s="70">
        <f>N97/M97-1</f>
        <v>4.5197740112994378E-2</v>
      </c>
      <c r="O98" s="70">
        <f>O97/N97-1</f>
        <v>-0.11351351351351346</v>
      </c>
      <c r="P98" s="70">
        <f>P97/O97-1</f>
        <v>0.33231707317073167</v>
      </c>
      <c r="Q98" s="23"/>
      <c r="R98" s="70">
        <f>R97/P97-1</f>
        <v>-0.28375286041189929</v>
      </c>
      <c r="S98" s="70">
        <f>S97/R97-1</f>
        <v>0.29712460063897761</v>
      </c>
      <c r="T98" s="70">
        <f>T97/S97-1</f>
        <v>-7.8817733990147798E-2</v>
      </c>
      <c r="U98" s="70">
        <f>U97/T97-1</f>
        <v>0.45454545454545459</v>
      </c>
      <c r="V98" s="23"/>
      <c r="W98" s="70">
        <v>-0.2408088235294118</v>
      </c>
      <c r="X98" s="70">
        <v>-0.12832929782082325</v>
      </c>
      <c r="Y98" s="70">
        <v>-0.25</v>
      </c>
      <c r="Z98" s="70">
        <v>-0.28888888888888886</v>
      </c>
      <c r="AA98" s="23"/>
      <c r="AB98" s="70">
        <v>0.28125</v>
      </c>
      <c r="AC98" s="70">
        <v>-0.27642276422764223</v>
      </c>
      <c r="AD98" s="70">
        <v>0.5</v>
      </c>
      <c r="AE98" s="70">
        <v>-0.15730337078651691</v>
      </c>
      <c r="AF98" s="23"/>
      <c r="AG98" s="70">
        <v>0.27111111111111108</v>
      </c>
      <c r="AH98" s="70">
        <v>-3.1468531468531458E-2</v>
      </c>
      <c r="AI98" s="70">
        <v>-9.7472924187725685E-2</v>
      </c>
      <c r="AJ98" s="70">
        <v>-7.1999999999999953E-2</v>
      </c>
      <c r="AK98" s="23"/>
      <c r="AL98" s="70">
        <v>0.53017241379310343</v>
      </c>
      <c r="AM98" s="70">
        <v>0.20281690140845066</v>
      </c>
      <c r="AN98" s="70">
        <v>-5.1522248243559665E-2</v>
      </c>
      <c r="AO98" s="70">
        <v>-0.26666666666666672</v>
      </c>
      <c r="AP98" s="23"/>
      <c r="AQ98" s="70">
        <v>2.020202020202011E-2</v>
      </c>
      <c r="AR98" s="70">
        <v>9.2409240924092417E-2</v>
      </c>
      <c r="AS98" s="70">
        <v>-1.8126888217522619E-2</v>
      </c>
      <c r="AT98" s="70">
        <v>-1.8461538461538418E-2</v>
      </c>
      <c r="AU98" s="23"/>
      <c r="AV98" s="70">
        <v>0.15987460815047028</v>
      </c>
      <c r="AW98" s="70">
        <v>4.8648648648648596E-2</v>
      </c>
      <c r="AX98" s="70">
        <v>-0.21391752577319589</v>
      </c>
      <c r="AY98" s="70">
        <v>0.20983606557377055</v>
      </c>
      <c r="AZ98" s="23"/>
      <c r="BA98" s="70">
        <v>-2.4390243902439046E-2</v>
      </c>
      <c r="BB98" s="70">
        <v>0.6333333333333333</v>
      </c>
      <c r="BC98" s="70">
        <v>-0.31972789115646261</v>
      </c>
      <c r="BD98" s="70">
        <v>-0.64</v>
      </c>
      <c r="BE98" s="23"/>
      <c r="BF98" s="70">
        <v>1.3055555555555554</v>
      </c>
      <c r="BG98" s="70">
        <v>-0.44578313253012047</v>
      </c>
      <c r="BH98" s="70">
        <v>0.70652173913043481</v>
      </c>
    </row>
    <row r="99" spans="1:60" ht="13.5" customHeight="1">
      <c r="A99" s="69" t="s">
        <v>8</v>
      </c>
      <c r="B99" s="23"/>
      <c r="C99" s="71"/>
      <c r="D99" s="71"/>
      <c r="E99" s="71"/>
      <c r="F99" s="71"/>
      <c r="G99" s="23">
        <f t="shared" ref="G99:N99" si="57">G97/B97-1</f>
        <v>0.69986985081957154</v>
      </c>
      <c r="H99" s="71">
        <f t="shared" si="57"/>
        <v>0.58937943262411352</v>
      </c>
      <c r="I99" s="71">
        <f t="shared" si="57"/>
        <v>0.15491533674940539</v>
      </c>
      <c r="J99" s="71">
        <f t="shared" si="57"/>
        <v>-0.30686470532228882</v>
      </c>
      <c r="K99" s="71">
        <f t="shared" si="57"/>
        <v>0.1247673679943051</v>
      </c>
      <c r="L99" s="23">
        <f t="shared" si="57"/>
        <v>4.3728994502545637E-2</v>
      </c>
      <c r="M99" s="71">
        <f t="shared" si="57"/>
        <v>-1.2728550551644902E-2</v>
      </c>
      <c r="N99" s="71">
        <f t="shared" si="57"/>
        <v>-2.3778128445128832E-4</v>
      </c>
      <c r="O99" s="71">
        <f t="shared" ref="O99:U99" si="58">O97/J97-1</f>
        <v>-9.8901098901098883E-2</v>
      </c>
      <c r="P99" s="71">
        <f t="shared" si="58"/>
        <v>0.24025111537457278</v>
      </c>
      <c r="Q99" s="23">
        <f t="shared" si="58"/>
        <v>3.04498269896194E-2</v>
      </c>
      <c r="R99" s="71">
        <f t="shared" si="58"/>
        <v>-0.11581920903954801</v>
      </c>
      <c r="S99" s="71">
        <f t="shared" si="58"/>
        <v>9.7297297297297192E-2</v>
      </c>
      <c r="T99" s="71">
        <f t="shared" si="58"/>
        <v>0.14024390243902429</v>
      </c>
      <c r="U99" s="71">
        <f t="shared" si="58"/>
        <v>0.24485125858123569</v>
      </c>
      <c r="V99" s="23">
        <v>9.9395567494963144E-2</v>
      </c>
      <c r="W99" s="71">
        <v>0.31948881789137373</v>
      </c>
      <c r="X99" s="71">
        <v>-0.11330049261083741</v>
      </c>
      <c r="Y99" s="71">
        <v>-0.27807486631016043</v>
      </c>
      <c r="Z99" s="71">
        <v>-0.64705882352941169</v>
      </c>
      <c r="AA99" s="23">
        <v>-0.2455711667684789</v>
      </c>
      <c r="AB99" s="71">
        <v>-0.40435835351089588</v>
      </c>
      <c r="AC99" s="71">
        <v>-0.50555555555555554</v>
      </c>
      <c r="AD99" s="71">
        <v>-1.1111111111111072E-2</v>
      </c>
      <c r="AE99" s="71">
        <v>0.171875</v>
      </c>
      <c r="AF99" s="23">
        <v>-0.25829959514170042</v>
      </c>
      <c r="AG99" s="71">
        <v>0.16260162601626016</v>
      </c>
      <c r="AH99" s="71">
        <v>0.55617977528089879</v>
      </c>
      <c r="AI99" s="71">
        <v>-6.3670411985018771E-2</v>
      </c>
      <c r="AJ99" s="71">
        <v>3.1111111111111089E-2</v>
      </c>
      <c r="AK99" s="23">
        <v>0.14082969432314418</v>
      </c>
      <c r="AL99" s="71">
        <v>0.24125874125874125</v>
      </c>
      <c r="AM99" s="71">
        <v>0.54151624548736454</v>
      </c>
      <c r="AN99" s="71">
        <v>0.62000000000000011</v>
      </c>
      <c r="AO99" s="71">
        <v>0.28017241379310343</v>
      </c>
      <c r="AP99" s="23">
        <v>0.4200956937799043</v>
      </c>
      <c r="AQ99" s="71">
        <v>-0.14647887323943665</v>
      </c>
      <c r="AR99" s="71">
        <v>-0.22482435597189698</v>
      </c>
      <c r="AS99" s="71">
        <v>-0.19753086419753085</v>
      </c>
      <c r="AT99" s="71">
        <v>7.4074074074074181E-2</v>
      </c>
      <c r="AU99" s="23">
        <v>-0.13881401617250677</v>
      </c>
      <c r="AV99" s="71">
        <v>0.22112211221122102</v>
      </c>
      <c r="AW99" s="71">
        <v>0.17220543806646527</v>
      </c>
      <c r="AX99" s="71">
        <v>-6.1538461538461542E-2</v>
      </c>
      <c r="AY99" s="71">
        <v>0.15673981191222564</v>
      </c>
      <c r="AZ99" s="23">
        <v>0.12050078247261342</v>
      </c>
      <c r="BA99" s="71">
        <v>-2.7027027027026973E-2</v>
      </c>
      <c r="BB99" s="71">
        <v>0.51546391752577314</v>
      </c>
      <c r="BC99" s="71">
        <v>0.31147540983606548</v>
      </c>
      <c r="BD99" s="71">
        <v>-0.6097560975609756</v>
      </c>
      <c r="BE99" s="23">
        <v>4.1899441340782051E-2</v>
      </c>
      <c r="BF99" s="71">
        <v>-7.7777777777777724E-2</v>
      </c>
      <c r="BG99" s="71">
        <v>-0.68707482993197277</v>
      </c>
      <c r="BH99" s="71">
        <v>-0.21499999999999997</v>
      </c>
    </row>
    <row r="100" spans="1:60" ht="13.5" customHeight="1">
      <c r="A100" s="67" t="s">
        <v>251</v>
      </c>
      <c r="B100" s="23"/>
      <c r="C100" s="71"/>
      <c r="D100" s="71"/>
      <c r="E100" s="71"/>
      <c r="F100" s="71"/>
      <c r="G100" s="23"/>
      <c r="H100" s="71"/>
      <c r="I100" s="71"/>
      <c r="J100" s="71"/>
      <c r="K100" s="71"/>
      <c r="L100" s="23"/>
      <c r="M100" s="71"/>
      <c r="N100" s="71"/>
      <c r="O100" s="71"/>
      <c r="P100" s="71"/>
      <c r="Q100" s="23"/>
      <c r="R100" s="71"/>
      <c r="S100" s="71"/>
      <c r="T100" s="71"/>
      <c r="U100" s="71"/>
      <c r="V100" s="23"/>
      <c r="W100" s="71"/>
      <c r="X100" s="71"/>
      <c r="Y100" s="71"/>
      <c r="Z100" s="71"/>
      <c r="AA100" s="23"/>
      <c r="AB100" s="71"/>
      <c r="AC100" s="71"/>
      <c r="AD100" s="71"/>
      <c r="AE100" s="71"/>
      <c r="AF100" s="23"/>
      <c r="AG100" s="71"/>
      <c r="AH100" s="71"/>
      <c r="AI100" s="71"/>
      <c r="AJ100" s="71"/>
      <c r="AK100" s="23"/>
      <c r="AL100" s="71"/>
      <c r="AM100" s="71"/>
      <c r="AN100" s="71"/>
      <c r="AO100" s="71"/>
      <c r="AP100" s="23"/>
      <c r="AQ100" s="71"/>
      <c r="AR100" s="71"/>
      <c r="AS100" s="71"/>
      <c r="AT100" s="71"/>
      <c r="AU100" s="23"/>
      <c r="AV100" s="71"/>
      <c r="AW100" s="71"/>
      <c r="AX100" s="71"/>
      <c r="AY100" s="71"/>
      <c r="AZ100" s="23"/>
      <c r="BA100" s="68">
        <v>126</v>
      </c>
      <c r="BB100" s="68">
        <v>96</v>
      </c>
      <c r="BC100" s="68">
        <v>109</v>
      </c>
      <c r="BD100" s="68">
        <v>91</v>
      </c>
      <c r="BE100" s="36">
        <v>422</v>
      </c>
      <c r="BF100" s="68">
        <v>117</v>
      </c>
      <c r="BG100" s="68">
        <v>90</v>
      </c>
      <c r="BH100" s="68">
        <v>115</v>
      </c>
    </row>
    <row r="101" spans="1:60" ht="19.2" customHeight="1">
      <c r="A101" s="67" t="s">
        <v>51</v>
      </c>
      <c r="B101" s="36">
        <f>B85-B97</f>
        <v>1882.675</v>
      </c>
      <c r="C101" s="75">
        <f>C85-C97</f>
        <v>308.29999999999995</v>
      </c>
      <c r="D101" s="75">
        <f>D85-D97</f>
        <v>406.18399999999997</v>
      </c>
      <c r="E101" s="75">
        <f>E85-E97</f>
        <v>589.61700000000008</v>
      </c>
      <c r="F101" s="68">
        <f>G101-E101-D101-C101</f>
        <v>379.41300000000001</v>
      </c>
      <c r="G101" s="36">
        <f>G85-G97</f>
        <v>1683.5139999999999</v>
      </c>
      <c r="H101" s="75">
        <f>H85-H97</f>
        <v>775.75099999999998</v>
      </c>
      <c r="I101" s="75">
        <f>I85-I97</f>
        <v>344.536</v>
      </c>
      <c r="J101" s="75">
        <f>J85-J97</f>
        <v>657</v>
      </c>
      <c r="K101" s="68">
        <f>L101-J101-I101-H101</f>
        <v>432.71299999999997</v>
      </c>
      <c r="L101" s="36">
        <f>L85-L97</f>
        <v>2210</v>
      </c>
      <c r="M101" s="75">
        <f>M85-M97</f>
        <v>452</v>
      </c>
      <c r="N101" s="75">
        <f>N85-N97</f>
        <v>606</v>
      </c>
      <c r="O101" s="75">
        <f>O85-O97</f>
        <v>838</v>
      </c>
      <c r="P101" s="68">
        <f>Q101-O101-N101-M101</f>
        <v>311</v>
      </c>
      <c r="Q101" s="36">
        <f>Q85-Q97</f>
        <v>2207</v>
      </c>
      <c r="R101" s="75">
        <f>R85-R97</f>
        <v>462</v>
      </c>
      <c r="S101" s="75">
        <f>S85-S97</f>
        <v>264</v>
      </c>
      <c r="T101" s="75">
        <f>T85-T97</f>
        <v>508</v>
      </c>
      <c r="U101" s="68">
        <f>V101-T101-S101-R101</f>
        <v>315</v>
      </c>
      <c r="V101" s="36">
        <v>1549</v>
      </c>
      <c r="W101" s="75">
        <v>585</v>
      </c>
      <c r="X101" s="75">
        <v>630</v>
      </c>
      <c r="Y101" s="75">
        <v>754</v>
      </c>
      <c r="Z101" s="68">
        <v>810</v>
      </c>
      <c r="AA101" s="36">
        <v>2779</v>
      </c>
      <c r="AB101" s="75">
        <v>726</v>
      </c>
      <c r="AC101" s="75">
        <v>924</v>
      </c>
      <c r="AD101" s="75">
        <v>876</v>
      </c>
      <c r="AE101" s="68">
        <v>710</v>
      </c>
      <c r="AF101" s="36">
        <v>3236</v>
      </c>
      <c r="AG101" s="75">
        <v>757</v>
      </c>
      <c r="AH101" s="75">
        <v>787</v>
      </c>
      <c r="AI101" s="75">
        <v>700</v>
      </c>
      <c r="AJ101" s="68">
        <v>507</v>
      </c>
      <c r="AK101" s="36">
        <v>2751</v>
      </c>
      <c r="AL101" s="75">
        <v>606</v>
      </c>
      <c r="AM101" s="75">
        <v>413</v>
      </c>
      <c r="AN101" s="75">
        <v>645</v>
      </c>
      <c r="AO101" s="68">
        <v>592</v>
      </c>
      <c r="AP101" s="36">
        <v>2256</v>
      </c>
      <c r="AQ101" s="75">
        <v>619</v>
      </c>
      <c r="AR101" s="75">
        <v>539</v>
      </c>
      <c r="AS101" s="75">
        <v>577</v>
      </c>
      <c r="AT101" s="68">
        <v>513</v>
      </c>
      <c r="AU101" s="36">
        <v>2248</v>
      </c>
      <c r="AV101" s="75">
        <v>456</v>
      </c>
      <c r="AW101" s="75">
        <v>487</v>
      </c>
      <c r="AX101" s="75">
        <v>677</v>
      </c>
      <c r="AY101" s="68">
        <v>473</v>
      </c>
      <c r="AZ101" s="36">
        <v>2093</v>
      </c>
      <c r="BA101" s="75">
        <v>423</v>
      </c>
      <c r="BB101" s="75">
        <v>122</v>
      </c>
      <c r="BC101" s="75">
        <v>374</v>
      </c>
      <c r="BD101" s="68">
        <v>679</v>
      </c>
      <c r="BE101" s="36">
        <v>1598</v>
      </c>
      <c r="BF101" s="75">
        <v>316</v>
      </c>
      <c r="BG101" s="75">
        <v>350</v>
      </c>
      <c r="BH101" s="75">
        <v>358</v>
      </c>
    </row>
    <row r="102" spans="1:60" ht="13.5" customHeight="1">
      <c r="A102" s="69" t="s">
        <v>7</v>
      </c>
      <c r="B102" s="23"/>
      <c r="C102" s="70"/>
      <c r="D102" s="70">
        <f>D101/C101-1</f>
        <v>0.3174959455076225</v>
      </c>
      <c r="E102" s="70">
        <f>E101/D101-1</f>
        <v>0.45160075236838515</v>
      </c>
      <c r="F102" s="70">
        <f>F101/E101-1</f>
        <v>-0.35650939508189217</v>
      </c>
      <c r="G102" s="23"/>
      <c r="H102" s="70">
        <f>H101/F101-1</f>
        <v>1.0446083818951908</v>
      </c>
      <c r="I102" s="70">
        <f>I101/H101-1</f>
        <v>-0.55586779778562967</v>
      </c>
      <c r="J102" s="70">
        <f>J101/I101-1</f>
        <v>0.90691248519748302</v>
      </c>
      <c r="K102" s="70">
        <f>K101/J101-1</f>
        <v>-0.34138051750380527</v>
      </c>
      <c r="L102" s="23"/>
      <c r="M102" s="70">
        <f>M101/K101-1</f>
        <v>4.4572268455073116E-2</v>
      </c>
      <c r="N102" s="70">
        <f>N101/M101-1</f>
        <v>0.34070796460176989</v>
      </c>
      <c r="O102" s="70">
        <f>O101/N101-1</f>
        <v>0.38283828382838281</v>
      </c>
      <c r="P102" s="70">
        <f>P101/O101-1</f>
        <v>-0.62887828162291171</v>
      </c>
      <c r="Q102" s="23"/>
      <c r="R102" s="70">
        <f>R101/P101-1</f>
        <v>0.48553054662379425</v>
      </c>
      <c r="S102" s="70">
        <f>S101/R101-1</f>
        <v>-0.4285714285714286</v>
      </c>
      <c r="T102" s="70">
        <f>T101/S101-1</f>
        <v>0.92424242424242431</v>
      </c>
      <c r="U102" s="70">
        <f>U101/T101-1</f>
        <v>-0.37992125984251968</v>
      </c>
      <c r="V102" s="23"/>
      <c r="W102" s="70">
        <v>0.85714285714285721</v>
      </c>
      <c r="X102" s="70">
        <v>7.6923076923076872E-2</v>
      </c>
      <c r="Y102" s="70">
        <v>0.19682539682539679</v>
      </c>
      <c r="Z102" s="70">
        <v>7.4270557029177731E-2</v>
      </c>
      <c r="AA102" s="23"/>
      <c r="AB102" s="70">
        <v>-0.10370370370370374</v>
      </c>
      <c r="AC102" s="70">
        <v>0.27272727272727271</v>
      </c>
      <c r="AD102" s="70">
        <v>-5.1948051948051965E-2</v>
      </c>
      <c r="AE102" s="70">
        <v>-0.18949771689497719</v>
      </c>
      <c r="AF102" s="23"/>
      <c r="AG102" s="70">
        <v>6.6197183098591461E-2</v>
      </c>
      <c r="AH102" s="70">
        <v>3.9630118890356725E-2</v>
      </c>
      <c r="AI102" s="70">
        <v>-0.11054637865311312</v>
      </c>
      <c r="AJ102" s="70">
        <v>-0.27571428571428569</v>
      </c>
      <c r="AK102" s="23"/>
      <c r="AL102" s="70">
        <v>0.19526627218934922</v>
      </c>
      <c r="AM102" s="70">
        <v>-0.31848184818481851</v>
      </c>
      <c r="AN102" s="70">
        <v>0.56174334140435844</v>
      </c>
      <c r="AO102" s="70">
        <v>-8.2170542635658927E-2</v>
      </c>
      <c r="AP102" s="23"/>
      <c r="AQ102" s="70">
        <v>4.5608108108108114E-2</v>
      </c>
      <c r="AR102" s="70">
        <v>-0.12924071082390953</v>
      </c>
      <c r="AS102" s="70">
        <v>7.0500927643784683E-2</v>
      </c>
      <c r="AT102" s="70">
        <v>-0.1109185441941074</v>
      </c>
      <c r="AU102" s="23"/>
      <c r="AV102" s="70">
        <v>-0.11111111111111116</v>
      </c>
      <c r="AW102" s="70">
        <v>6.7982456140350811E-2</v>
      </c>
      <c r="AX102" s="70">
        <v>0.39014373716632433</v>
      </c>
      <c r="AY102" s="70">
        <v>-0.30132939438700146</v>
      </c>
      <c r="AZ102" s="23"/>
      <c r="BA102" s="70">
        <v>-0.10570824524312894</v>
      </c>
      <c r="BB102" s="70">
        <v>-0.71158392434988182</v>
      </c>
      <c r="BC102" s="70">
        <v>2.0655737704918034</v>
      </c>
      <c r="BD102" s="70">
        <v>0.81550802139037426</v>
      </c>
      <c r="BE102" s="23"/>
      <c r="BF102" s="70">
        <v>-0.53460972017673047</v>
      </c>
      <c r="BG102" s="70">
        <v>0.10759493670886067</v>
      </c>
      <c r="BH102" s="70">
        <v>2.2857142857142909E-2</v>
      </c>
    </row>
    <row r="103" spans="1:60" ht="13.5" customHeight="1">
      <c r="A103" s="69" t="s">
        <v>8</v>
      </c>
      <c r="B103" s="23"/>
      <c r="C103" s="71"/>
      <c r="D103" s="71"/>
      <c r="E103" s="71"/>
      <c r="F103" s="71"/>
      <c r="G103" s="23">
        <f t="shared" ref="G103:N103" si="59">G101/B101-1</f>
        <v>-0.10578618189544131</v>
      </c>
      <c r="H103" s="71">
        <f t="shared" si="59"/>
        <v>1.5162212131041195</v>
      </c>
      <c r="I103" s="71">
        <f t="shared" si="59"/>
        <v>-0.15177358044630018</v>
      </c>
      <c r="J103" s="71">
        <f t="shared" si="59"/>
        <v>0.11428266145650468</v>
      </c>
      <c r="K103" s="71">
        <f t="shared" si="59"/>
        <v>0.14048016277776454</v>
      </c>
      <c r="L103" s="23">
        <f t="shared" si="59"/>
        <v>0.31273039606442254</v>
      </c>
      <c r="M103" s="71">
        <f t="shared" si="59"/>
        <v>-0.41733881103601544</v>
      </c>
      <c r="N103" s="71">
        <f t="shared" si="59"/>
        <v>0.75888731511366014</v>
      </c>
      <c r="O103" s="71">
        <f t="shared" ref="O103:U103" si="60">O101/J101-1</f>
        <v>0.27549467275494677</v>
      </c>
      <c r="P103" s="71">
        <f t="shared" si="60"/>
        <v>-0.2812788152886555</v>
      </c>
      <c r="Q103" s="23">
        <f t="shared" si="60"/>
        <v>-1.3574660633484115E-3</v>
      </c>
      <c r="R103" s="71">
        <f t="shared" si="60"/>
        <v>2.2123893805309658E-2</v>
      </c>
      <c r="S103" s="71">
        <f t="shared" si="60"/>
        <v>-0.56435643564356441</v>
      </c>
      <c r="T103" s="71">
        <f t="shared" si="60"/>
        <v>-0.39379474940334125</v>
      </c>
      <c r="U103" s="71">
        <f t="shared" si="60"/>
        <v>1.2861736334405238E-2</v>
      </c>
      <c r="V103" s="23">
        <v>-0.29814227458087905</v>
      </c>
      <c r="W103" s="71">
        <v>0.26623376623376616</v>
      </c>
      <c r="X103" s="71">
        <v>1.3863636363636362</v>
      </c>
      <c r="Y103" s="71">
        <v>0.48425196850393704</v>
      </c>
      <c r="Z103" s="71">
        <v>1.5714285714285716</v>
      </c>
      <c r="AA103" s="23">
        <v>0.79406068431245957</v>
      </c>
      <c r="AB103" s="71">
        <v>0.24102564102564106</v>
      </c>
      <c r="AC103" s="71">
        <v>0.46666666666666656</v>
      </c>
      <c r="AD103" s="71">
        <v>0.16180371352785139</v>
      </c>
      <c r="AE103" s="71">
        <v>-0.12345679012345678</v>
      </c>
      <c r="AF103" s="23">
        <v>0.16444764303706361</v>
      </c>
      <c r="AG103" s="71">
        <v>4.2699724517906379E-2</v>
      </c>
      <c r="AH103" s="71">
        <v>-0.14826839826839822</v>
      </c>
      <c r="AI103" s="71">
        <v>-0.20091324200913241</v>
      </c>
      <c r="AJ103" s="71">
        <v>-0.28591549295774643</v>
      </c>
      <c r="AK103" s="23">
        <v>-0.14987639060568603</v>
      </c>
      <c r="AL103" s="71">
        <v>-0.19947159841479523</v>
      </c>
      <c r="AM103" s="71">
        <v>-0.47522236340533675</v>
      </c>
      <c r="AN103" s="71">
        <v>-7.8571428571428625E-2</v>
      </c>
      <c r="AO103" s="71">
        <v>0.16765285996055224</v>
      </c>
      <c r="AP103" s="23">
        <v>-0.17993456924754636</v>
      </c>
      <c r="AQ103" s="71">
        <v>2.1452145214521545E-2</v>
      </c>
      <c r="AR103" s="71">
        <v>0.30508474576271194</v>
      </c>
      <c r="AS103" s="71">
        <v>-0.10542635658914734</v>
      </c>
      <c r="AT103" s="71">
        <v>-0.13344594594594594</v>
      </c>
      <c r="AU103" s="23">
        <v>-3.5460992907800915E-3</v>
      </c>
      <c r="AV103" s="71">
        <v>-0.26332794830371564</v>
      </c>
      <c r="AW103" s="71">
        <v>-9.6474953617810777E-2</v>
      </c>
      <c r="AX103" s="71">
        <v>0.17331022530329299</v>
      </c>
      <c r="AY103" s="71">
        <v>-7.7972709551656916E-2</v>
      </c>
      <c r="AZ103" s="23">
        <v>-6.8950177935943047E-2</v>
      </c>
      <c r="BA103" s="71">
        <v>-7.2368421052631526E-2</v>
      </c>
      <c r="BB103" s="71">
        <v>-0.74948665297741268</v>
      </c>
      <c r="BC103" s="71">
        <v>-0.44756277695716395</v>
      </c>
      <c r="BD103" s="71">
        <v>0.43551797040169138</v>
      </c>
      <c r="BE103" s="23">
        <v>-0.23650262780697562</v>
      </c>
      <c r="BF103" s="71">
        <v>-0.25295508274231682</v>
      </c>
      <c r="BG103" s="71">
        <v>1.8688524590163933</v>
      </c>
      <c r="BH103" s="71">
        <v>-4.2780748663101553E-2</v>
      </c>
    </row>
    <row r="104" spans="1:60" ht="13.5" customHeight="1">
      <c r="A104" s="39" t="s">
        <v>235</v>
      </c>
      <c r="B104" s="40"/>
      <c r="C104" s="48"/>
      <c r="D104" s="48"/>
      <c r="E104" s="48"/>
      <c r="F104" s="48"/>
      <c r="G104" s="40"/>
      <c r="H104" s="48"/>
      <c r="I104" s="48"/>
      <c r="J104" s="48"/>
      <c r="K104" s="48"/>
      <c r="L104" s="40"/>
      <c r="M104" s="48"/>
      <c r="N104" s="48"/>
      <c r="O104" s="48"/>
      <c r="P104" s="48"/>
      <c r="Q104" s="40"/>
      <c r="R104" s="48"/>
      <c r="S104" s="48"/>
      <c r="T104" s="48"/>
      <c r="U104" s="48"/>
      <c r="V104" s="40"/>
      <c r="W104" s="48"/>
      <c r="X104" s="48"/>
      <c r="Y104" s="48"/>
      <c r="Z104" s="48"/>
      <c r="AA104" s="40"/>
      <c r="AB104" s="48"/>
      <c r="AC104" s="48"/>
      <c r="AD104" s="48"/>
      <c r="AE104" s="48"/>
      <c r="AF104" s="40"/>
      <c r="AG104" s="48"/>
      <c r="AH104" s="48"/>
      <c r="AI104" s="48"/>
      <c r="AJ104" s="48"/>
      <c r="AK104" s="40"/>
      <c r="AL104" s="48"/>
      <c r="AM104" s="48"/>
      <c r="AN104" s="48"/>
      <c r="AO104" s="48"/>
      <c r="AP104" s="40"/>
      <c r="AQ104" s="48"/>
      <c r="AR104" s="48"/>
      <c r="AS104" s="48"/>
      <c r="AT104" s="48"/>
      <c r="AU104" s="40"/>
      <c r="AV104" s="48"/>
      <c r="AW104" s="48"/>
      <c r="AX104" s="48"/>
      <c r="AY104" s="48"/>
      <c r="AZ104" s="40"/>
      <c r="BA104" s="48"/>
      <c r="BB104" s="48"/>
      <c r="BC104" s="48"/>
      <c r="BD104" s="48"/>
      <c r="BE104" s="40"/>
      <c r="BF104" s="48"/>
      <c r="BG104" s="48"/>
      <c r="BH104" s="48"/>
    </row>
    <row r="105" spans="1:60" ht="13.5" customHeight="1">
      <c r="A105" s="67" t="s">
        <v>165</v>
      </c>
      <c r="B105" s="119" t="s">
        <v>41</v>
      </c>
      <c r="C105" s="78" t="s">
        <v>49</v>
      </c>
      <c r="D105" s="78" t="s">
        <v>49</v>
      </c>
      <c r="E105" s="78" t="s">
        <v>49</v>
      </c>
      <c r="F105" s="78" t="s">
        <v>49</v>
      </c>
      <c r="G105" s="119" t="s">
        <v>41</v>
      </c>
      <c r="H105" s="78" t="s">
        <v>49</v>
      </c>
      <c r="I105" s="78" t="s">
        <v>49</v>
      </c>
      <c r="J105" s="78" t="s">
        <v>49</v>
      </c>
      <c r="K105" s="78" t="s">
        <v>49</v>
      </c>
      <c r="L105" s="119" t="s">
        <v>41</v>
      </c>
      <c r="M105" s="78" t="s">
        <v>49</v>
      </c>
      <c r="N105" s="78" t="s">
        <v>49</v>
      </c>
      <c r="O105" s="78" t="s">
        <v>49</v>
      </c>
      <c r="P105" s="78" t="s">
        <v>49</v>
      </c>
      <c r="Q105" s="167">
        <v>-300</v>
      </c>
      <c r="R105" s="78" t="s">
        <v>49</v>
      </c>
      <c r="S105" s="78" t="s">
        <v>49</v>
      </c>
      <c r="T105" s="78" t="s">
        <v>49</v>
      </c>
      <c r="U105" s="78" t="s">
        <v>49</v>
      </c>
      <c r="V105" s="167">
        <v>-756</v>
      </c>
      <c r="W105" s="78" t="s">
        <v>49</v>
      </c>
      <c r="X105" s="78" t="s">
        <v>49</v>
      </c>
      <c r="Y105" s="78" t="s">
        <v>49</v>
      </c>
      <c r="Z105" s="78" t="s">
        <v>49</v>
      </c>
      <c r="AA105" s="167">
        <v>505</v>
      </c>
      <c r="AB105" s="78" t="s">
        <v>49</v>
      </c>
      <c r="AC105" s="78" t="s">
        <v>49</v>
      </c>
      <c r="AD105" s="78" t="s">
        <v>49</v>
      </c>
      <c r="AE105" s="78" t="s">
        <v>49</v>
      </c>
      <c r="AF105" s="167">
        <v>646</v>
      </c>
      <c r="AG105" s="78" t="s">
        <v>49</v>
      </c>
      <c r="AH105" s="78" t="s">
        <v>49</v>
      </c>
      <c r="AI105" s="78" t="s">
        <v>49</v>
      </c>
      <c r="AJ105" s="78" t="s">
        <v>49</v>
      </c>
      <c r="AK105" s="167">
        <v>549</v>
      </c>
      <c r="AL105" s="148">
        <v>84</v>
      </c>
      <c r="AM105" s="148">
        <v>61</v>
      </c>
      <c r="AN105" s="148">
        <v>51</v>
      </c>
      <c r="AO105" s="148">
        <v>126</v>
      </c>
      <c r="AP105" s="167">
        <v>322</v>
      </c>
      <c r="AQ105" s="148">
        <v>-12</v>
      </c>
      <c r="AR105" s="148">
        <v>75</v>
      </c>
      <c r="AS105" s="148">
        <v>53</v>
      </c>
      <c r="AT105" s="148">
        <v>-10</v>
      </c>
      <c r="AU105" s="167">
        <v>106</v>
      </c>
      <c r="AV105" s="148">
        <v>-7</v>
      </c>
      <c r="AW105" s="148">
        <v>23</v>
      </c>
      <c r="AX105" s="148">
        <v>105</v>
      </c>
      <c r="AY105" s="148">
        <v>72</v>
      </c>
      <c r="AZ105" s="167">
        <v>193</v>
      </c>
      <c r="BA105" s="148">
        <v>74</v>
      </c>
      <c r="BB105" s="148">
        <v>60</v>
      </c>
      <c r="BC105" s="148">
        <v>66</v>
      </c>
      <c r="BD105" s="148">
        <v>41</v>
      </c>
      <c r="BE105" s="167">
        <v>241</v>
      </c>
      <c r="BF105" s="148">
        <v>-28</v>
      </c>
      <c r="BG105" s="148">
        <v>46</v>
      </c>
      <c r="BH105" s="148">
        <v>8</v>
      </c>
    </row>
    <row r="106" spans="1:60" ht="13.5" customHeight="1">
      <c r="B106" s="63"/>
      <c r="C106" s="78"/>
      <c r="D106" s="78"/>
      <c r="E106" s="78"/>
      <c r="F106" s="78"/>
      <c r="G106" s="63"/>
      <c r="H106" s="78"/>
      <c r="I106" s="78"/>
      <c r="J106" s="78"/>
      <c r="K106" s="78"/>
      <c r="L106" s="63"/>
      <c r="M106" s="78"/>
      <c r="N106" s="78"/>
      <c r="O106" s="78"/>
      <c r="P106" s="78"/>
      <c r="Q106" s="63"/>
      <c r="R106" s="78"/>
      <c r="S106" s="78"/>
      <c r="T106" s="78"/>
      <c r="U106" s="78"/>
      <c r="V106" s="63"/>
      <c r="W106" s="78"/>
      <c r="X106" s="78"/>
      <c r="Y106" s="78"/>
      <c r="Z106" s="78"/>
      <c r="AA106" s="63"/>
      <c r="AB106" s="78"/>
      <c r="AC106" s="78"/>
      <c r="AD106" s="78"/>
      <c r="AE106" s="78"/>
      <c r="AF106" s="63"/>
      <c r="AG106" s="78"/>
      <c r="AH106" s="78"/>
      <c r="AI106" s="78"/>
      <c r="AJ106" s="78"/>
      <c r="AK106" s="63"/>
      <c r="AL106" s="68"/>
      <c r="AM106" s="68"/>
      <c r="AN106" s="68"/>
      <c r="AO106" s="68"/>
      <c r="AP106" s="63"/>
      <c r="AQ106" s="68"/>
      <c r="AR106" s="68"/>
      <c r="AS106" s="68"/>
      <c r="AT106" s="68"/>
      <c r="AU106" s="63"/>
      <c r="AV106" s="68"/>
      <c r="AW106" s="68"/>
      <c r="AX106" s="68"/>
      <c r="AY106" s="68"/>
      <c r="AZ106" s="63"/>
      <c r="BA106" s="68"/>
      <c r="BB106" s="68"/>
      <c r="BC106" s="68"/>
      <c r="BD106" s="68"/>
      <c r="BE106" s="63"/>
      <c r="BF106" s="68"/>
      <c r="BG106" s="68"/>
      <c r="BH106" s="68"/>
    </row>
    <row r="107" spans="1:60" ht="13.5" customHeight="1">
      <c r="A107" s="67" t="s">
        <v>166</v>
      </c>
      <c r="B107" s="119" t="s">
        <v>41</v>
      </c>
      <c r="C107" s="78" t="s">
        <v>49</v>
      </c>
      <c r="D107" s="78" t="s">
        <v>49</v>
      </c>
      <c r="E107" s="78" t="s">
        <v>49</v>
      </c>
      <c r="F107" s="78" t="s">
        <v>49</v>
      </c>
      <c r="G107" s="119" t="s">
        <v>41</v>
      </c>
      <c r="H107" s="78" t="s">
        <v>49</v>
      </c>
      <c r="I107" s="78" t="s">
        <v>49</v>
      </c>
      <c r="J107" s="78" t="s">
        <v>49</v>
      </c>
      <c r="K107" s="78" t="s">
        <v>49</v>
      </c>
      <c r="L107" s="119" t="s">
        <v>41</v>
      </c>
      <c r="M107" s="78" t="s">
        <v>49</v>
      </c>
      <c r="N107" s="78" t="s">
        <v>49</v>
      </c>
      <c r="O107" s="78" t="s">
        <v>49</v>
      </c>
      <c r="P107" s="78" t="s">
        <v>49</v>
      </c>
      <c r="Q107" s="167">
        <v>84</v>
      </c>
      <c r="R107" s="78" t="s">
        <v>49</v>
      </c>
      <c r="S107" s="78" t="s">
        <v>49</v>
      </c>
      <c r="T107" s="78" t="s">
        <v>49</v>
      </c>
      <c r="U107" s="78" t="s">
        <v>49</v>
      </c>
      <c r="V107" s="167">
        <v>-33</v>
      </c>
      <c r="W107" s="78" t="s">
        <v>49</v>
      </c>
      <c r="X107" s="78" t="s">
        <v>49</v>
      </c>
      <c r="Y107" s="78" t="s">
        <v>49</v>
      </c>
      <c r="Z107" s="78" t="s">
        <v>49</v>
      </c>
      <c r="AA107" s="167">
        <v>74</v>
      </c>
      <c r="AB107" s="78" t="s">
        <v>49</v>
      </c>
      <c r="AC107" s="78" t="s">
        <v>49</v>
      </c>
      <c r="AD107" s="78" t="s">
        <v>49</v>
      </c>
      <c r="AE107" s="78" t="s">
        <v>49</v>
      </c>
      <c r="AF107" s="167">
        <v>9</v>
      </c>
      <c r="AG107" s="78" t="s">
        <v>49</v>
      </c>
      <c r="AH107" s="78" t="s">
        <v>49</v>
      </c>
      <c r="AI107" s="78" t="s">
        <v>49</v>
      </c>
      <c r="AJ107" s="78" t="s">
        <v>49</v>
      </c>
      <c r="AK107" s="167">
        <v>28</v>
      </c>
      <c r="AL107" s="148">
        <v>9</v>
      </c>
      <c r="AM107" s="148">
        <v>-9</v>
      </c>
      <c r="AN107" s="148">
        <v>6</v>
      </c>
      <c r="AO107" s="148">
        <v>-26</v>
      </c>
      <c r="AP107" s="167">
        <v>-20</v>
      </c>
      <c r="AQ107" s="148">
        <v>-9</v>
      </c>
      <c r="AR107" s="148">
        <v>14</v>
      </c>
      <c r="AS107" s="148">
        <v>2</v>
      </c>
      <c r="AT107" s="148">
        <v>-27</v>
      </c>
      <c r="AU107" s="167">
        <v>-20</v>
      </c>
      <c r="AV107" s="148">
        <v>-20</v>
      </c>
      <c r="AW107" s="148">
        <v>8</v>
      </c>
      <c r="AX107" s="148">
        <v>2</v>
      </c>
      <c r="AY107" s="148">
        <v>-25</v>
      </c>
      <c r="AZ107" s="167">
        <v>-35</v>
      </c>
      <c r="BA107" s="148">
        <v>-5</v>
      </c>
      <c r="BB107" s="148">
        <v>18</v>
      </c>
      <c r="BC107" s="148">
        <v>-7</v>
      </c>
      <c r="BD107" s="148">
        <v>-11</v>
      </c>
      <c r="BE107" s="167">
        <v>-5</v>
      </c>
      <c r="BF107" s="148">
        <v>-9</v>
      </c>
      <c r="BG107" s="148">
        <v>0</v>
      </c>
      <c r="BH107" s="148">
        <v>4</v>
      </c>
    </row>
    <row r="108" spans="1:60" ht="13.5" customHeight="1">
      <c r="A108" s="69"/>
      <c r="B108" s="167"/>
      <c r="C108" s="78"/>
      <c r="D108" s="78"/>
      <c r="E108" s="78"/>
      <c r="F108" s="78"/>
      <c r="G108" s="167"/>
      <c r="H108" s="78"/>
      <c r="I108" s="78"/>
      <c r="J108" s="78"/>
      <c r="K108" s="78"/>
      <c r="L108" s="167"/>
      <c r="M108" s="78"/>
      <c r="N108" s="78"/>
      <c r="O108" s="78"/>
      <c r="P108" s="78"/>
      <c r="Q108" s="167"/>
      <c r="R108" s="78"/>
      <c r="S108" s="78"/>
      <c r="T108" s="78"/>
      <c r="U108" s="78"/>
      <c r="V108" s="167"/>
      <c r="W108" s="78"/>
      <c r="X108" s="78"/>
      <c r="Y108" s="78"/>
      <c r="Z108" s="78"/>
      <c r="AA108" s="167"/>
      <c r="AB108" s="78"/>
      <c r="AC108" s="78"/>
      <c r="AD108" s="78"/>
      <c r="AE108" s="78"/>
      <c r="AF108" s="167"/>
      <c r="AG108" s="78"/>
      <c r="AH108" s="78"/>
      <c r="AI108" s="78"/>
      <c r="AJ108" s="78"/>
      <c r="AK108" s="167"/>
      <c r="AL108" s="148"/>
      <c r="AM108" s="148"/>
      <c r="AN108" s="148"/>
      <c r="AO108" s="148"/>
      <c r="AP108" s="167"/>
      <c r="AQ108" s="148"/>
      <c r="AR108" s="148"/>
      <c r="AS108" s="148"/>
      <c r="AT108" s="148"/>
      <c r="AU108" s="167"/>
      <c r="AV108" s="148"/>
      <c r="AW108" s="148"/>
      <c r="AX108" s="148"/>
      <c r="AY108" s="148"/>
      <c r="AZ108" s="167"/>
      <c r="BA108" s="148"/>
      <c r="BB108" s="148"/>
      <c r="BC108" s="148"/>
      <c r="BD108" s="148"/>
      <c r="BE108" s="167"/>
      <c r="BF108" s="148"/>
      <c r="BG108" s="148"/>
      <c r="BH108" s="148"/>
    </row>
    <row r="109" spans="1:60" ht="13.5" customHeight="1">
      <c r="A109" s="67" t="s">
        <v>167</v>
      </c>
      <c r="B109" s="119" t="s">
        <v>41</v>
      </c>
      <c r="C109" s="78" t="s">
        <v>49</v>
      </c>
      <c r="D109" s="78" t="s">
        <v>49</v>
      </c>
      <c r="E109" s="78" t="s">
        <v>49</v>
      </c>
      <c r="F109" s="78" t="s">
        <v>49</v>
      </c>
      <c r="G109" s="119" t="s">
        <v>41</v>
      </c>
      <c r="H109" s="78" t="s">
        <v>49</v>
      </c>
      <c r="I109" s="78" t="s">
        <v>49</v>
      </c>
      <c r="J109" s="78" t="s">
        <v>49</v>
      </c>
      <c r="K109" s="78" t="s">
        <v>49</v>
      </c>
      <c r="L109" s="119" t="s">
        <v>41</v>
      </c>
      <c r="M109" s="78" t="s">
        <v>49</v>
      </c>
      <c r="N109" s="78" t="s">
        <v>49</v>
      </c>
      <c r="O109" s="78" t="s">
        <v>49</v>
      </c>
      <c r="P109" s="78" t="s">
        <v>49</v>
      </c>
      <c r="Q109" s="167">
        <v>-21</v>
      </c>
      <c r="R109" s="78" t="s">
        <v>49</v>
      </c>
      <c r="S109" s="78" t="s">
        <v>49</v>
      </c>
      <c r="T109" s="78" t="s">
        <v>49</v>
      </c>
      <c r="U109" s="78" t="s">
        <v>49</v>
      </c>
      <c r="V109" s="167">
        <v>-131</v>
      </c>
      <c r="W109" s="78" t="s">
        <v>49</v>
      </c>
      <c r="X109" s="78" t="s">
        <v>49</v>
      </c>
      <c r="Y109" s="78" t="s">
        <v>49</v>
      </c>
      <c r="Z109" s="78" t="s">
        <v>49</v>
      </c>
      <c r="AA109" s="167">
        <v>-233</v>
      </c>
      <c r="AB109" s="78" t="s">
        <v>49</v>
      </c>
      <c r="AC109" s="78" t="s">
        <v>49</v>
      </c>
      <c r="AD109" s="78" t="s">
        <v>49</v>
      </c>
      <c r="AE109" s="78" t="s">
        <v>49</v>
      </c>
      <c r="AF109" s="167">
        <v>27</v>
      </c>
      <c r="AG109" s="78" t="s">
        <v>49</v>
      </c>
      <c r="AH109" s="78" t="s">
        <v>49</v>
      </c>
      <c r="AI109" s="78" t="s">
        <v>49</v>
      </c>
      <c r="AJ109" s="78" t="s">
        <v>49</v>
      </c>
      <c r="AK109" s="167">
        <v>-39</v>
      </c>
      <c r="AL109" s="148">
        <v>-45</v>
      </c>
      <c r="AM109" s="148">
        <v>-150</v>
      </c>
      <c r="AN109" s="148">
        <v>21</v>
      </c>
      <c r="AO109" s="148">
        <v>-97</v>
      </c>
      <c r="AP109" s="167">
        <v>-271</v>
      </c>
      <c r="AQ109" s="148">
        <v>39</v>
      </c>
      <c r="AR109" s="148">
        <v>-137</v>
      </c>
      <c r="AS109" s="148">
        <v>-12</v>
      </c>
      <c r="AT109" s="148">
        <v>86</v>
      </c>
      <c r="AU109" s="167">
        <v>-24</v>
      </c>
      <c r="AV109" s="148">
        <v>-24</v>
      </c>
      <c r="AW109" s="148">
        <v>-15</v>
      </c>
      <c r="AX109" s="148">
        <v>103</v>
      </c>
      <c r="AY109" s="148">
        <v>-54</v>
      </c>
      <c r="AZ109" s="167">
        <v>10</v>
      </c>
      <c r="BA109" s="148">
        <v>42</v>
      </c>
      <c r="BB109" s="148">
        <v>-152</v>
      </c>
      <c r="BC109" s="148">
        <v>-30</v>
      </c>
      <c r="BD109" s="148">
        <v>2</v>
      </c>
      <c r="BE109" s="167">
        <v>-138</v>
      </c>
      <c r="BF109" s="148">
        <v>9</v>
      </c>
      <c r="BG109" s="148">
        <v>-185</v>
      </c>
      <c r="BH109" s="148">
        <v>43</v>
      </c>
    </row>
    <row r="110" spans="1:60" ht="13.5" customHeight="1">
      <c r="A110" s="69"/>
      <c r="B110" s="167"/>
      <c r="C110" s="78"/>
      <c r="D110" s="78"/>
      <c r="E110" s="78"/>
      <c r="F110" s="78"/>
      <c r="G110" s="167"/>
      <c r="H110" s="78"/>
      <c r="I110" s="78"/>
      <c r="J110" s="78"/>
      <c r="K110" s="78"/>
      <c r="L110" s="167"/>
      <c r="M110" s="78"/>
      <c r="N110" s="78"/>
      <c r="O110" s="78"/>
      <c r="P110" s="78"/>
      <c r="Q110" s="167"/>
      <c r="R110" s="78"/>
      <c r="S110" s="78"/>
      <c r="T110" s="78"/>
      <c r="U110" s="78"/>
      <c r="V110" s="167"/>
      <c r="W110" s="78"/>
      <c r="X110" s="78"/>
      <c r="Y110" s="78"/>
      <c r="Z110" s="78"/>
      <c r="AA110" s="167"/>
      <c r="AB110" s="78"/>
      <c r="AC110" s="78"/>
      <c r="AD110" s="78"/>
      <c r="AE110" s="78"/>
      <c r="AF110" s="167"/>
      <c r="AG110" s="78"/>
      <c r="AH110" s="78"/>
      <c r="AI110" s="78"/>
      <c r="AJ110" s="78"/>
      <c r="AK110" s="167"/>
      <c r="AL110" s="148"/>
      <c r="AM110" s="148"/>
      <c r="AN110" s="148"/>
      <c r="AO110" s="148"/>
      <c r="AP110" s="167"/>
      <c r="AQ110" s="148"/>
      <c r="AR110" s="148"/>
      <c r="AS110" s="148"/>
      <c r="AT110" s="148"/>
      <c r="AU110" s="167"/>
      <c r="AV110" s="148"/>
      <c r="AW110" s="148"/>
      <c r="AX110" s="148"/>
      <c r="AY110" s="148"/>
      <c r="AZ110" s="167"/>
      <c r="BA110" s="148"/>
      <c r="BB110" s="148"/>
      <c r="BC110" s="148"/>
      <c r="BD110" s="148"/>
      <c r="BE110" s="167"/>
      <c r="BF110" s="148"/>
      <c r="BG110" s="148"/>
      <c r="BH110" s="148"/>
    </row>
    <row r="111" spans="1:60" ht="15" customHeight="1">
      <c r="A111" s="67" t="s">
        <v>168</v>
      </c>
      <c r="B111" s="119" t="s">
        <v>41</v>
      </c>
      <c r="C111" s="78" t="s">
        <v>49</v>
      </c>
      <c r="D111" s="78" t="s">
        <v>49</v>
      </c>
      <c r="E111" s="78" t="s">
        <v>49</v>
      </c>
      <c r="F111" s="78" t="s">
        <v>49</v>
      </c>
      <c r="G111" s="119" t="s">
        <v>41</v>
      </c>
      <c r="H111" s="78" t="s">
        <v>49</v>
      </c>
      <c r="I111" s="78" t="s">
        <v>49</v>
      </c>
      <c r="J111" s="78" t="s">
        <v>49</v>
      </c>
      <c r="K111" s="78" t="s">
        <v>49</v>
      </c>
      <c r="L111" s="119" t="s">
        <v>41</v>
      </c>
      <c r="M111" s="78" t="s">
        <v>49</v>
      </c>
      <c r="N111" s="78" t="s">
        <v>49</v>
      </c>
      <c r="O111" s="78" t="s">
        <v>49</v>
      </c>
      <c r="P111" s="78" t="s">
        <v>49</v>
      </c>
      <c r="Q111" s="149">
        <v>-136</v>
      </c>
      <c r="R111" s="78" t="s">
        <v>49</v>
      </c>
      <c r="S111" s="78" t="s">
        <v>49</v>
      </c>
      <c r="T111" s="78" t="s">
        <v>49</v>
      </c>
      <c r="U111" s="78" t="s">
        <v>49</v>
      </c>
      <c r="V111" s="149">
        <v>-64</v>
      </c>
      <c r="W111" s="78" t="s">
        <v>49</v>
      </c>
      <c r="X111" s="78" t="s">
        <v>49</v>
      </c>
      <c r="Y111" s="78" t="s">
        <v>49</v>
      </c>
      <c r="Z111" s="78" t="s">
        <v>49</v>
      </c>
      <c r="AA111" s="149">
        <v>-34</v>
      </c>
      <c r="AB111" s="78" t="s">
        <v>49</v>
      </c>
      <c r="AC111" s="78" t="s">
        <v>49</v>
      </c>
      <c r="AD111" s="78" t="s">
        <v>49</v>
      </c>
      <c r="AE111" s="78" t="s">
        <v>49</v>
      </c>
      <c r="AF111" s="149">
        <v>-29</v>
      </c>
      <c r="AG111" s="78" t="s">
        <v>49</v>
      </c>
      <c r="AH111" s="78" t="s">
        <v>49</v>
      </c>
      <c r="AI111" s="78" t="s">
        <v>49</v>
      </c>
      <c r="AJ111" s="78" t="s">
        <v>49</v>
      </c>
      <c r="AK111" s="149">
        <v>-63</v>
      </c>
      <c r="AL111" s="148">
        <v>3</v>
      </c>
      <c r="AM111" s="148">
        <v>6</v>
      </c>
      <c r="AN111" s="148">
        <v>-3</v>
      </c>
      <c r="AO111" s="148">
        <v>12</v>
      </c>
      <c r="AP111" s="167">
        <v>18</v>
      </c>
      <c r="AQ111" s="147">
        <v>-12</v>
      </c>
      <c r="AR111" s="148">
        <v>3</v>
      </c>
      <c r="AS111" s="148">
        <v>-3</v>
      </c>
      <c r="AT111" s="148">
        <v>-7</v>
      </c>
      <c r="AU111" s="167">
        <v>-19</v>
      </c>
      <c r="AV111" s="147">
        <v>1</v>
      </c>
      <c r="AW111" s="147">
        <v>-2</v>
      </c>
      <c r="AX111" s="147">
        <v>16</v>
      </c>
      <c r="AY111" s="148">
        <v>0</v>
      </c>
      <c r="AZ111" s="167">
        <v>15</v>
      </c>
      <c r="BA111" s="147">
        <v>8</v>
      </c>
      <c r="BB111" s="147">
        <v>7</v>
      </c>
      <c r="BC111" s="147">
        <v>-3</v>
      </c>
      <c r="BD111" s="148">
        <v>69</v>
      </c>
      <c r="BE111" s="167">
        <v>81</v>
      </c>
      <c r="BF111" s="147">
        <v>-30</v>
      </c>
      <c r="BG111" s="147">
        <v>3</v>
      </c>
      <c r="BH111" s="147">
        <v>-5</v>
      </c>
    </row>
    <row r="112" spans="1:60" ht="13.5" customHeight="1">
      <c r="A112" s="67"/>
      <c r="B112" s="167"/>
      <c r="C112" s="78"/>
      <c r="D112" s="78"/>
      <c r="E112" s="78"/>
      <c r="F112" s="78"/>
      <c r="G112" s="167"/>
      <c r="H112" s="78"/>
      <c r="I112" s="78"/>
      <c r="J112" s="78"/>
      <c r="K112" s="78"/>
      <c r="L112" s="167"/>
      <c r="M112" s="78"/>
      <c r="N112" s="78"/>
      <c r="O112" s="78"/>
      <c r="P112" s="78"/>
      <c r="Q112" s="167"/>
      <c r="R112" s="78"/>
      <c r="S112" s="78"/>
      <c r="T112" s="78"/>
      <c r="U112" s="78"/>
      <c r="V112" s="167"/>
      <c r="W112" s="78"/>
      <c r="X112" s="78"/>
      <c r="Y112" s="78"/>
      <c r="Z112" s="78"/>
      <c r="AA112" s="167"/>
      <c r="AB112" s="78"/>
      <c r="AC112" s="78"/>
      <c r="AD112" s="78"/>
      <c r="AE112" s="78"/>
      <c r="AF112" s="167"/>
      <c r="AG112" s="78"/>
      <c r="AH112" s="78"/>
      <c r="AI112" s="78"/>
      <c r="AJ112" s="78"/>
      <c r="AK112" s="167"/>
      <c r="AL112" s="148"/>
      <c r="AM112" s="148"/>
      <c r="AN112" s="148"/>
      <c r="AO112" s="148"/>
      <c r="AP112" s="167"/>
      <c r="AQ112" s="148"/>
      <c r="AR112" s="148"/>
      <c r="AS112" s="148"/>
      <c r="AT112" s="148"/>
      <c r="AU112" s="167"/>
      <c r="AV112" s="148"/>
      <c r="AW112" s="148"/>
      <c r="AX112" s="148"/>
      <c r="AY112" s="148"/>
      <c r="AZ112" s="167"/>
      <c r="BA112" s="148"/>
      <c r="BB112" s="148"/>
      <c r="BC112" s="148"/>
      <c r="BD112" s="148"/>
      <c r="BE112" s="167"/>
      <c r="BF112" s="148"/>
      <c r="BG112" s="148"/>
      <c r="BH112" s="148"/>
    </row>
    <row r="113" spans="1:16384" ht="13.5" customHeight="1">
      <c r="A113" s="67" t="s">
        <v>169</v>
      </c>
      <c r="B113" s="119" t="s">
        <v>41</v>
      </c>
      <c r="C113" s="78" t="s">
        <v>49</v>
      </c>
      <c r="D113" s="78" t="s">
        <v>49</v>
      </c>
      <c r="E113" s="78" t="s">
        <v>49</v>
      </c>
      <c r="F113" s="78" t="s">
        <v>49</v>
      </c>
      <c r="G113" s="119" t="s">
        <v>41</v>
      </c>
      <c r="H113" s="78" t="s">
        <v>49</v>
      </c>
      <c r="I113" s="78" t="s">
        <v>49</v>
      </c>
      <c r="J113" s="78" t="s">
        <v>49</v>
      </c>
      <c r="K113" s="78" t="s">
        <v>49</v>
      </c>
      <c r="L113" s="119" t="s">
        <v>41</v>
      </c>
      <c r="M113" s="78" t="s">
        <v>49</v>
      </c>
      <c r="N113" s="78" t="s">
        <v>49</v>
      </c>
      <c r="O113" s="78" t="s">
        <v>49</v>
      </c>
      <c r="P113" s="78" t="s">
        <v>49</v>
      </c>
      <c r="Q113" s="149">
        <v>-215</v>
      </c>
      <c r="R113" s="78" t="s">
        <v>49</v>
      </c>
      <c r="S113" s="78" t="s">
        <v>49</v>
      </c>
      <c r="T113" s="78" t="s">
        <v>49</v>
      </c>
      <c r="U113" s="78" t="s">
        <v>49</v>
      </c>
      <c r="V113" s="149">
        <v>82</v>
      </c>
      <c r="W113" s="78" t="s">
        <v>49</v>
      </c>
      <c r="X113" s="78" t="s">
        <v>49</v>
      </c>
      <c r="Y113" s="78" t="s">
        <v>49</v>
      </c>
      <c r="Z113" s="78" t="s">
        <v>49</v>
      </c>
      <c r="AA113" s="167">
        <v>-140</v>
      </c>
      <c r="AB113" s="78" t="s">
        <v>49</v>
      </c>
      <c r="AC113" s="78" t="s">
        <v>49</v>
      </c>
      <c r="AD113" s="78" t="s">
        <v>49</v>
      </c>
      <c r="AE113" s="78" t="s">
        <v>49</v>
      </c>
      <c r="AF113" s="149">
        <v>2</v>
      </c>
      <c r="AG113" s="78" t="s">
        <v>49</v>
      </c>
      <c r="AH113" s="78" t="s">
        <v>49</v>
      </c>
      <c r="AI113" s="78" t="s">
        <v>49</v>
      </c>
      <c r="AJ113" s="78" t="s">
        <v>49</v>
      </c>
      <c r="AK113" s="167">
        <v>3</v>
      </c>
      <c r="AL113" s="148">
        <v>4</v>
      </c>
      <c r="AM113" s="148">
        <v>-3</v>
      </c>
      <c r="AN113" s="148">
        <v>-1</v>
      </c>
      <c r="AO113" s="148">
        <v>110</v>
      </c>
      <c r="AP113" s="167">
        <v>110</v>
      </c>
      <c r="AQ113" s="35">
        <v>1</v>
      </c>
      <c r="AR113" s="148">
        <v>-9</v>
      </c>
      <c r="AS113" s="148">
        <v>-92</v>
      </c>
      <c r="AT113" s="148">
        <v>35</v>
      </c>
      <c r="AU113" s="167">
        <v>-65</v>
      </c>
      <c r="AV113" s="148">
        <v>-6</v>
      </c>
      <c r="AW113" s="148">
        <v>9</v>
      </c>
      <c r="AX113" s="148">
        <v>-65</v>
      </c>
      <c r="AY113" s="148">
        <v>29</v>
      </c>
      <c r="AZ113" s="167">
        <v>-33</v>
      </c>
      <c r="BA113" s="148">
        <v>7</v>
      </c>
      <c r="BB113" s="148">
        <v>77</v>
      </c>
      <c r="BC113" s="148">
        <v>-40</v>
      </c>
      <c r="BD113" s="148">
        <v>445</v>
      </c>
      <c r="BE113" s="167">
        <v>489</v>
      </c>
      <c r="BF113" s="148">
        <v>-46</v>
      </c>
      <c r="BG113" s="148">
        <v>-52</v>
      </c>
      <c r="BH113" s="148">
        <v>-58</v>
      </c>
    </row>
    <row r="114" spans="1:16384" ht="11.4" customHeight="1">
      <c r="A114" s="67"/>
      <c r="B114" s="167"/>
      <c r="C114" s="78"/>
      <c r="D114" s="78"/>
      <c r="E114" s="78"/>
      <c r="F114" s="78"/>
      <c r="G114" s="167"/>
      <c r="H114" s="78"/>
      <c r="I114" s="78"/>
      <c r="J114" s="78"/>
      <c r="K114" s="78"/>
      <c r="L114" s="167"/>
      <c r="M114" s="78"/>
      <c r="N114" s="78"/>
      <c r="O114" s="78"/>
      <c r="P114" s="78"/>
      <c r="Q114" s="167"/>
      <c r="R114" s="78"/>
      <c r="S114" s="78"/>
      <c r="T114" s="78"/>
      <c r="U114" s="78"/>
      <c r="V114" s="167"/>
      <c r="W114" s="78"/>
      <c r="X114" s="78"/>
      <c r="Y114" s="78"/>
      <c r="Z114" s="78"/>
      <c r="AA114" s="167"/>
      <c r="AB114" s="78"/>
      <c r="AC114" s="78"/>
      <c r="AD114" s="78"/>
      <c r="AE114" s="78"/>
      <c r="AF114" s="167"/>
      <c r="AG114" s="78"/>
      <c r="AH114" s="78"/>
      <c r="AI114" s="78"/>
      <c r="AJ114" s="78"/>
      <c r="AK114" s="167"/>
      <c r="AL114" s="148"/>
      <c r="AM114" s="148"/>
      <c r="AN114" s="148"/>
      <c r="AO114" s="148"/>
      <c r="AP114" s="167"/>
      <c r="AQ114" s="148"/>
      <c r="AR114" s="148"/>
      <c r="AS114" s="148"/>
      <c r="AT114" s="148"/>
      <c r="AU114" s="167"/>
      <c r="AV114" s="148"/>
      <c r="AW114" s="148"/>
      <c r="AX114" s="148"/>
      <c r="AY114" s="148"/>
      <c r="AZ114" s="167"/>
      <c r="BA114" s="148"/>
      <c r="BB114" s="148"/>
      <c r="BC114" s="148"/>
      <c r="BD114" s="148"/>
      <c r="BE114" s="167"/>
      <c r="BF114" s="148"/>
      <c r="BG114" s="148"/>
      <c r="BH114" s="148"/>
    </row>
    <row r="115" spans="1:16384" ht="15" customHeight="1">
      <c r="A115" s="87" t="s">
        <v>196</v>
      </c>
      <c r="B115" s="119" t="s">
        <v>41</v>
      </c>
      <c r="C115" s="78" t="s">
        <v>49</v>
      </c>
      <c r="D115" s="78" t="s">
        <v>49</v>
      </c>
      <c r="E115" s="78" t="s">
        <v>49</v>
      </c>
      <c r="F115" s="78" t="s">
        <v>49</v>
      </c>
      <c r="G115" s="119" t="s">
        <v>41</v>
      </c>
      <c r="H115" s="78" t="s">
        <v>49</v>
      </c>
      <c r="I115" s="78" t="s">
        <v>49</v>
      </c>
      <c r="J115" s="78" t="s">
        <v>49</v>
      </c>
      <c r="K115" s="78" t="s">
        <v>49</v>
      </c>
      <c r="L115" s="119" t="s">
        <v>41</v>
      </c>
      <c r="M115" s="78" t="s">
        <v>49</v>
      </c>
      <c r="N115" s="78" t="s">
        <v>49</v>
      </c>
      <c r="O115" s="78" t="s">
        <v>49</v>
      </c>
      <c r="P115" s="78" t="s">
        <v>49</v>
      </c>
      <c r="Q115" s="119" t="s">
        <v>41</v>
      </c>
      <c r="R115" s="78" t="s">
        <v>49</v>
      </c>
      <c r="S115" s="78" t="s">
        <v>49</v>
      </c>
      <c r="T115" s="78" t="s">
        <v>49</v>
      </c>
      <c r="U115" s="78" t="s">
        <v>49</v>
      </c>
      <c r="V115" s="167">
        <v>50</v>
      </c>
      <c r="W115" s="78" t="s">
        <v>49</v>
      </c>
      <c r="X115" s="78" t="s">
        <v>49</v>
      </c>
      <c r="Y115" s="78" t="s">
        <v>49</v>
      </c>
      <c r="Z115" s="78" t="s">
        <v>49</v>
      </c>
      <c r="AA115" s="167">
        <v>-31</v>
      </c>
      <c r="AB115" s="78" t="s">
        <v>49</v>
      </c>
      <c r="AC115" s="78" t="s">
        <v>49</v>
      </c>
      <c r="AD115" s="78" t="s">
        <v>49</v>
      </c>
      <c r="AE115" s="78" t="s">
        <v>49</v>
      </c>
      <c r="AF115" s="167">
        <v>11</v>
      </c>
      <c r="AG115" s="78" t="s">
        <v>49</v>
      </c>
      <c r="AH115" s="78" t="s">
        <v>49</v>
      </c>
      <c r="AI115" s="78" t="s">
        <v>49</v>
      </c>
      <c r="AJ115" s="78" t="s">
        <v>49</v>
      </c>
      <c r="AK115" s="167">
        <v>4</v>
      </c>
      <c r="AL115" s="148">
        <v>-1</v>
      </c>
      <c r="AM115" s="148">
        <v>-15</v>
      </c>
      <c r="AN115" s="148">
        <v>8</v>
      </c>
      <c r="AO115" s="148">
        <v>-1</v>
      </c>
      <c r="AP115" s="167">
        <v>-9</v>
      </c>
      <c r="AQ115" s="148">
        <v>-3</v>
      </c>
      <c r="AR115" s="148">
        <v>-5</v>
      </c>
      <c r="AS115" s="148">
        <v>16</v>
      </c>
      <c r="AT115" s="148">
        <v>15</v>
      </c>
      <c r="AU115" s="167">
        <v>23</v>
      </c>
      <c r="AV115" s="148">
        <v>-9</v>
      </c>
      <c r="AW115" s="148">
        <v>-25</v>
      </c>
      <c r="AX115" s="148">
        <v>4</v>
      </c>
      <c r="AY115" s="148">
        <v>-4</v>
      </c>
      <c r="AZ115" s="167">
        <v>-34</v>
      </c>
      <c r="BA115" s="148">
        <v>1</v>
      </c>
      <c r="BB115" s="148">
        <v>-17</v>
      </c>
      <c r="BC115" s="148">
        <v>-2</v>
      </c>
      <c r="BD115" s="148">
        <v>18</v>
      </c>
      <c r="BE115" s="61">
        <v>0</v>
      </c>
      <c r="BF115" s="148">
        <v>-12</v>
      </c>
      <c r="BG115" s="148">
        <v>6</v>
      </c>
      <c r="BH115" s="148">
        <v>-11</v>
      </c>
    </row>
    <row r="116" spans="1:16384" ht="13.5" customHeight="1">
      <c r="A116" s="168" t="s">
        <v>164</v>
      </c>
      <c r="B116" s="169"/>
      <c r="C116" s="170"/>
      <c r="D116" s="170"/>
      <c r="E116" s="170"/>
      <c r="F116" s="170"/>
      <c r="G116" s="169"/>
      <c r="H116" s="170"/>
      <c r="I116" s="170"/>
      <c r="J116" s="170"/>
      <c r="K116" s="170"/>
      <c r="L116" s="169"/>
      <c r="M116" s="170"/>
      <c r="N116" s="170"/>
      <c r="O116" s="170"/>
      <c r="P116" s="170"/>
      <c r="Q116" s="169">
        <f>SUM(Q105:Q115)</f>
        <v>-588</v>
      </c>
      <c r="R116" s="170"/>
      <c r="S116" s="170"/>
      <c r="T116" s="170"/>
      <c r="U116" s="170"/>
      <c r="V116" s="169">
        <v>-852</v>
      </c>
      <c r="W116" s="171"/>
      <c r="X116" s="171"/>
      <c r="Y116" s="171"/>
      <c r="Z116" s="171"/>
      <c r="AA116" s="169">
        <v>141</v>
      </c>
      <c r="AB116" s="172"/>
      <c r="AC116" s="172"/>
      <c r="AD116" s="172"/>
      <c r="AE116" s="172"/>
      <c r="AF116" s="169">
        <v>666</v>
      </c>
      <c r="AG116" s="169"/>
      <c r="AH116" s="169"/>
      <c r="AI116" s="169"/>
      <c r="AJ116" s="169"/>
      <c r="AK116" s="169">
        <v>482</v>
      </c>
      <c r="AL116" s="169">
        <v>54</v>
      </c>
      <c r="AM116" s="169">
        <v>-110</v>
      </c>
      <c r="AN116" s="169">
        <v>82</v>
      </c>
      <c r="AO116" s="169">
        <v>124</v>
      </c>
      <c r="AP116" s="169">
        <v>150</v>
      </c>
      <c r="AQ116" s="169">
        <v>4</v>
      </c>
      <c r="AR116" s="169">
        <v>-59</v>
      </c>
      <c r="AS116" s="169">
        <v>-36</v>
      </c>
      <c r="AT116" s="169">
        <v>92</v>
      </c>
      <c r="AU116" s="169">
        <v>1</v>
      </c>
      <c r="AV116" s="169">
        <v>-65</v>
      </c>
      <c r="AW116" s="169">
        <v>-2</v>
      </c>
      <c r="AX116" s="169">
        <v>165</v>
      </c>
      <c r="AY116" s="169">
        <v>18</v>
      </c>
      <c r="AZ116" s="169">
        <v>116</v>
      </c>
      <c r="BA116" s="169">
        <v>127</v>
      </c>
      <c r="BB116" s="169">
        <v>-7</v>
      </c>
      <c r="BC116" s="169">
        <v>-16</v>
      </c>
      <c r="BD116" s="169">
        <v>564</v>
      </c>
      <c r="BE116" s="169">
        <v>668</v>
      </c>
      <c r="BF116" s="169">
        <v>-116</v>
      </c>
      <c r="BG116" s="169">
        <v>-182</v>
      </c>
      <c r="BH116" s="169">
        <v>-19</v>
      </c>
    </row>
    <row r="117" spans="1:16384" ht="6.6" customHeight="1">
      <c r="A117" s="67"/>
      <c r="B117" s="167"/>
      <c r="C117" s="78"/>
      <c r="D117" s="78"/>
      <c r="E117" s="78"/>
      <c r="F117" s="78"/>
      <c r="G117" s="167"/>
      <c r="H117" s="78"/>
      <c r="I117" s="78"/>
      <c r="J117" s="78"/>
      <c r="K117" s="78"/>
      <c r="L117" s="167"/>
      <c r="M117" s="78"/>
      <c r="N117" s="78"/>
      <c r="O117" s="78"/>
      <c r="P117" s="78"/>
      <c r="Q117" s="167"/>
      <c r="R117" s="78"/>
      <c r="S117" s="78"/>
      <c r="T117" s="78"/>
      <c r="U117" s="78"/>
      <c r="V117" s="167"/>
      <c r="W117" s="68"/>
      <c r="X117" s="68"/>
      <c r="Y117" s="68"/>
      <c r="Z117" s="68"/>
      <c r="AA117" s="167"/>
      <c r="AB117" s="68"/>
      <c r="AC117" s="68"/>
      <c r="AD117" s="68"/>
      <c r="AE117" s="68"/>
      <c r="AF117" s="167"/>
      <c r="AG117" s="148"/>
      <c r="AH117" s="148"/>
      <c r="AI117" s="148"/>
      <c r="AJ117" s="148"/>
      <c r="AK117" s="167"/>
      <c r="AL117" s="148"/>
      <c r="AM117" s="148"/>
      <c r="AN117" s="148"/>
      <c r="AO117" s="148"/>
      <c r="AP117" s="167"/>
      <c r="AQ117" s="148"/>
      <c r="AR117" s="148"/>
      <c r="AS117" s="148"/>
      <c r="AT117" s="148"/>
      <c r="AU117" s="167"/>
      <c r="AV117" s="148"/>
      <c r="AW117" s="148"/>
      <c r="AX117" s="148"/>
      <c r="AY117" s="148"/>
      <c r="AZ117" s="167"/>
      <c r="BA117" s="148"/>
      <c r="BB117" s="148"/>
      <c r="BC117" s="148"/>
      <c r="BD117" s="148"/>
      <c r="BE117" s="167"/>
      <c r="BF117" s="148"/>
      <c r="BG117" s="148"/>
      <c r="BH117" s="148"/>
    </row>
    <row r="118" spans="1:16384" ht="13.5" customHeight="1">
      <c r="A118" s="67" t="s">
        <v>170</v>
      </c>
      <c r="B118" s="119" t="s">
        <v>41</v>
      </c>
      <c r="C118" s="78" t="s">
        <v>49</v>
      </c>
      <c r="D118" s="78" t="s">
        <v>49</v>
      </c>
      <c r="E118" s="78" t="s">
        <v>49</v>
      </c>
      <c r="F118" s="78" t="s">
        <v>49</v>
      </c>
      <c r="G118" s="119" t="s">
        <v>41</v>
      </c>
      <c r="H118" s="78" t="s">
        <v>49</v>
      </c>
      <c r="I118" s="78" t="s">
        <v>49</v>
      </c>
      <c r="J118" s="78" t="s">
        <v>49</v>
      </c>
      <c r="K118" s="78" t="s">
        <v>49</v>
      </c>
      <c r="L118" s="119" t="s">
        <v>41</v>
      </c>
      <c r="M118" s="78" t="s">
        <v>49</v>
      </c>
      <c r="N118" s="78" t="s">
        <v>49</v>
      </c>
      <c r="O118" s="78" t="s">
        <v>49</v>
      </c>
      <c r="P118" s="78" t="s">
        <v>49</v>
      </c>
      <c r="Q118" s="167">
        <v>690</v>
      </c>
      <c r="R118" s="78" t="s">
        <v>49</v>
      </c>
      <c r="S118" s="78" t="s">
        <v>49</v>
      </c>
      <c r="T118" s="78" t="s">
        <v>49</v>
      </c>
      <c r="U118" s="78" t="s">
        <v>49</v>
      </c>
      <c r="V118" s="167">
        <v>649</v>
      </c>
      <c r="W118" s="78" t="s">
        <v>49</v>
      </c>
      <c r="X118" s="78" t="s">
        <v>49</v>
      </c>
      <c r="Y118" s="78" t="s">
        <v>49</v>
      </c>
      <c r="Z118" s="78" t="s">
        <v>49</v>
      </c>
      <c r="AA118" s="167">
        <v>662</v>
      </c>
      <c r="AB118" s="78" t="s">
        <v>49</v>
      </c>
      <c r="AC118" s="78" t="s">
        <v>49</v>
      </c>
      <c r="AD118" s="78" t="s">
        <v>49</v>
      </c>
      <c r="AE118" s="78" t="s">
        <v>49</v>
      </c>
      <c r="AF118" s="167">
        <v>625</v>
      </c>
      <c r="AG118" s="78" t="s">
        <v>49</v>
      </c>
      <c r="AH118" s="78" t="s">
        <v>49</v>
      </c>
      <c r="AI118" s="78" t="s">
        <v>49</v>
      </c>
      <c r="AJ118" s="78" t="s">
        <v>49</v>
      </c>
      <c r="AK118" s="167">
        <v>527</v>
      </c>
      <c r="AL118" s="148">
        <v>53</v>
      </c>
      <c r="AM118" s="148">
        <v>154</v>
      </c>
      <c r="AN118" s="148">
        <v>130</v>
      </c>
      <c r="AO118" s="148">
        <v>125</v>
      </c>
      <c r="AP118" s="167">
        <v>462</v>
      </c>
      <c r="AQ118" s="148">
        <v>105</v>
      </c>
      <c r="AR118" s="148">
        <v>100</v>
      </c>
      <c r="AS118" s="148">
        <v>92</v>
      </c>
      <c r="AT118" s="148">
        <v>158</v>
      </c>
      <c r="AU118" s="167">
        <v>455</v>
      </c>
      <c r="AV118" s="148">
        <v>106</v>
      </c>
      <c r="AW118" s="148">
        <v>122</v>
      </c>
      <c r="AX118" s="148">
        <v>118</v>
      </c>
      <c r="AY118" s="148">
        <v>100</v>
      </c>
      <c r="AZ118" s="167">
        <v>446</v>
      </c>
      <c r="BA118" s="148">
        <v>207</v>
      </c>
      <c r="BB118" s="148">
        <v>93</v>
      </c>
      <c r="BC118" s="148">
        <v>82</v>
      </c>
      <c r="BD118" s="148">
        <v>85</v>
      </c>
      <c r="BE118" s="167">
        <v>467</v>
      </c>
      <c r="BF118" s="148">
        <v>49</v>
      </c>
      <c r="BG118" s="148">
        <v>104</v>
      </c>
      <c r="BH118" s="148">
        <v>89</v>
      </c>
    </row>
    <row r="119" spans="1:16384" ht="4.2" customHeight="1">
      <c r="A119" s="67"/>
      <c r="B119" s="167"/>
      <c r="C119" s="78"/>
      <c r="D119" s="78"/>
      <c r="E119" s="78"/>
      <c r="F119" s="78"/>
      <c r="G119" s="167"/>
      <c r="H119" s="78"/>
      <c r="I119" s="78"/>
      <c r="J119" s="78"/>
      <c r="K119" s="78"/>
      <c r="L119" s="167"/>
      <c r="M119" s="78"/>
      <c r="N119" s="78"/>
      <c r="O119" s="78"/>
      <c r="P119" s="78"/>
      <c r="Q119" s="167"/>
      <c r="R119" s="78"/>
      <c r="S119" s="78"/>
      <c r="T119" s="78"/>
      <c r="U119" s="78"/>
      <c r="V119" s="167"/>
      <c r="W119" s="78"/>
      <c r="X119" s="78"/>
      <c r="Y119" s="78"/>
      <c r="Z119" s="78"/>
      <c r="AA119" s="167"/>
      <c r="AB119" s="78"/>
      <c r="AC119" s="78"/>
      <c r="AD119" s="78"/>
      <c r="AE119" s="78"/>
      <c r="AF119" s="167"/>
      <c r="AG119" s="148"/>
      <c r="AH119" s="148"/>
      <c r="AI119" s="148"/>
      <c r="AJ119" s="148"/>
      <c r="AK119" s="167"/>
      <c r="AL119" s="148"/>
      <c r="AM119" s="148"/>
      <c r="AN119" s="148"/>
      <c r="AO119" s="148"/>
      <c r="AP119" s="167"/>
      <c r="AQ119" s="148"/>
      <c r="AR119" s="148"/>
      <c r="AS119" s="148"/>
      <c r="AT119" s="148"/>
      <c r="AU119" s="167"/>
      <c r="AV119" s="148"/>
      <c r="AW119" s="148"/>
      <c r="AX119" s="148"/>
      <c r="AY119" s="148"/>
      <c r="AZ119" s="167"/>
      <c r="BA119" s="148"/>
      <c r="BB119" s="148"/>
      <c r="BC119" s="148"/>
      <c r="BD119" s="148"/>
      <c r="BE119" s="167"/>
      <c r="BF119" s="148"/>
      <c r="BG119" s="148"/>
      <c r="BH119" s="148"/>
    </row>
    <row r="120" spans="1:16384" ht="11.4" customHeight="1">
      <c r="A120" s="67" t="s">
        <v>171</v>
      </c>
      <c r="B120" s="119" t="s">
        <v>41</v>
      </c>
      <c r="C120" s="78" t="s">
        <v>49</v>
      </c>
      <c r="D120" s="78" t="s">
        <v>49</v>
      </c>
      <c r="E120" s="78" t="s">
        <v>49</v>
      </c>
      <c r="F120" s="78" t="s">
        <v>49</v>
      </c>
      <c r="G120" s="119" t="s">
        <v>41</v>
      </c>
      <c r="H120" s="78" t="s">
        <v>49</v>
      </c>
      <c r="I120" s="78" t="s">
        <v>49</v>
      </c>
      <c r="J120" s="78" t="s">
        <v>49</v>
      </c>
      <c r="K120" s="78" t="s">
        <v>49</v>
      </c>
      <c r="L120" s="119" t="s">
        <v>41</v>
      </c>
      <c r="M120" s="78" t="s">
        <v>49</v>
      </c>
      <c r="N120" s="78" t="s">
        <v>49</v>
      </c>
      <c r="O120" s="78" t="s">
        <v>49</v>
      </c>
      <c r="P120" s="78" t="s">
        <v>49</v>
      </c>
      <c r="Q120" s="167">
        <v>237</v>
      </c>
      <c r="R120" s="78" t="s">
        <v>49</v>
      </c>
      <c r="S120" s="78" t="s">
        <v>49</v>
      </c>
      <c r="T120" s="78" t="s">
        <v>49</v>
      </c>
      <c r="U120" s="78" t="s">
        <v>49</v>
      </c>
      <c r="V120" s="167">
        <v>377</v>
      </c>
      <c r="W120" s="78" t="s">
        <v>49</v>
      </c>
      <c r="X120" s="78" t="s">
        <v>49</v>
      </c>
      <c r="Y120" s="78" t="s">
        <v>49</v>
      </c>
      <c r="Z120" s="78" t="s">
        <v>49</v>
      </c>
      <c r="AA120" s="167">
        <v>464</v>
      </c>
      <c r="AB120" s="78" t="s">
        <v>49</v>
      </c>
      <c r="AC120" s="78" t="s">
        <v>49</v>
      </c>
      <c r="AD120" s="78" t="s">
        <v>49</v>
      </c>
      <c r="AE120" s="78" t="s">
        <v>49</v>
      </c>
      <c r="AF120" s="167">
        <v>453</v>
      </c>
      <c r="AG120" s="78" t="s">
        <v>49</v>
      </c>
      <c r="AH120" s="78" t="s">
        <v>49</v>
      </c>
      <c r="AI120" s="78" t="s">
        <v>49</v>
      </c>
      <c r="AJ120" s="78" t="s">
        <v>49</v>
      </c>
      <c r="AK120" s="167">
        <v>431</v>
      </c>
      <c r="AL120" s="148">
        <v>20</v>
      </c>
      <c r="AM120" s="148">
        <v>223</v>
      </c>
      <c r="AN120" s="148">
        <v>41</v>
      </c>
      <c r="AO120" s="148">
        <v>210</v>
      </c>
      <c r="AP120" s="167">
        <v>494</v>
      </c>
      <c r="AQ120" s="148">
        <v>32</v>
      </c>
      <c r="AR120" s="148">
        <v>192</v>
      </c>
      <c r="AS120" s="148">
        <v>32</v>
      </c>
      <c r="AT120" s="148">
        <v>202</v>
      </c>
      <c r="AU120" s="167">
        <v>458</v>
      </c>
      <c r="AV120" s="148">
        <v>22</v>
      </c>
      <c r="AW120" s="148">
        <v>177</v>
      </c>
      <c r="AX120" s="148">
        <v>18</v>
      </c>
      <c r="AY120" s="148">
        <v>198</v>
      </c>
      <c r="AZ120" s="167">
        <v>415</v>
      </c>
      <c r="BA120" s="148">
        <v>5</v>
      </c>
      <c r="BB120" s="148">
        <v>199</v>
      </c>
      <c r="BC120" s="148">
        <v>5</v>
      </c>
      <c r="BD120" s="148">
        <v>212</v>
      </c>
      <c r="BE120" s="167">
        <v>421</v>
      </c>
      <c r="BF120" s="148">
        <v>5</v>
      </c>
      <c r="BG120" s="148">
        <v>185</v>
      </c>
      <c r="BH120" s="148">
        <v>21</v>
      </c>
    </row>
    <row r="121" spans="1:16384" ht="14.4" customHeight="1">
      <c r="A121" s="77" t="s">
        <v>245</v>
      </c>
      <c r="B121" s="212"/>
      <c r="C121" s="213"/>
      <c r="D121" s="213"/>
      <c r="E121" s="213"/>
      <c r="F121" s="214"/>
      <c r="G121" s="212"/>
      <c r="H121" s="213"/>
      <c r="I121" s="213"/>
      <c r="J121" s="213"/>
      <c r="K121" s="214"/>
      <c r="L121" s="212"/>
      <c r="M121" s="213"/>
      <c r="N121" s="213"/>
      <c r="O121" s="213"/>
      <c r="P121" s="214"/>
      <c r="Q121" s="212"/>
      <c r="R121" s="213"/>
      <c r="S121" s="213"/>
      <c r="T121" s="213"/>
      <c r="U121" s="214"/>
      <c r="V121" s="212"/>
      <c r="W121" s="213"/>
      <c r="X121" s="213"/>
      <c r="Y121" s="213"/>
      <c r="Z121" s="214"/>
      <c r="AA121" s="212"/>
      <c r="AB121" s="213"/>
      <c r="AC121" s="213"/>
      <c r="AD121" s="213"/>
      <c r="AE121" s="214"/>
      <c r="AF121" s="212"/>
      <c r="AG121" s="213"/>
      <c r="AH121" s="213"/>
      <c r="AI121" s="213"/>
      <c r="AJ121" s="214"/>
      <c r="AK121" s="167">
        <v>3314</v>
      </c>
      <c r="AL121" s="148">
        <v>907</v>
      </c>
      <c r="AM121" s="148">
        <v>950</v>
      </c>
      <c r="AN121" s="148">
        <v>968</v>
      </c>
      <c r="AO121" s="148">
        <v>765</v>
      </c>
      <c r="AP121" s="167">
        <v>3590</v>
      </c>
      <c r="AQ121" s="148">
        <v>918</v>
      </c>
      <c r="AR121" s="148">
        <v>929</v>
      </c>
      <c r="AS121" s="148">
        <v>938</v>
      </c>
      <c r="AT121" s="148">
        <v>740</v>
      </c>
      <c r="AU121" s="167">
        <v>3525</v>
      </c>
      <c r="AV121" s="148">
        <v>891</v>
      </c>
      <c r="AW121" s="148">
        <v>877</v>
      </c>
      <c r="AX121" s="148">
        <v>817</v>
      </c>
      <c r="AY121" s="148">
        <v>824</v>
      </c>
      <c r="AZ121" s="167">
        <v>3409</v>
      </c>
      <c r="BA121" s="148">
        <v>656</v>
      </c>
      <c r="BB121" s="148">
        <v>717</v>
      </c>
      <c r="BC121" s="148">
        <v>790</v>
      </c>
      <c r="BD121" s="148">
        <v>681</v>
      </c>
      <c r="BE121" s="167">
        <v>2844</v>
      </c>
      <c r="BF121" s="148">
        <v>764</v>
      </c>
      <c r="BG121" s="148">
        <v>716</v>
      </c>
      <c r="BH121" s="148">
        <v>691</v>
      </c>
    </row>
    <row r="122" spans="1:16384" ht="11.4" customHeight="1">
      <c r="A122" s="77"/>
      <c r="B122" s="212"/>
      <c r="C122" s="213"/>
      <c r="D122" s="213"/>
      <c r="E122" s="213"/>
      <c r="F122" s="214"/>
      <c r="G122" s="212"/>
      <c r="H122" s="213"/>
      <c r="I122" s="213"/>
      <c r="J122" s="213"/>
      <c r="K122" s="214"/>
      <c r="L122" s="212"/>
      <c r="M122" s="213"/>
      <c r="N122" s="213"/>
      <c r="O122" s="213"/>
      <c r="P122" s="214"/>
      <c r="Q122" s="212"/>
      <c r="R122" s="213"/>
      <c r="S122" s="213"/>
      <c r="T122" s="213"/>
      <c r="U122" s="214"/>
      <c r="V122" s="212"/>
      <c r="W122" s="213"/>
      <c r="X122" s="213"/>
      <c r="Y122" s="213"/>
      <c r="Z122" s="214"/>
      <c r="AA122" s="212"/>
      <c r="AB122" s="213"/>
      <c r="AC122" s="213"/>
      <c r="AD122" s="213"/>
      <c r="AE122" s="214"/>
      <c r="AF122" s="212"/>
      <c r="AG122" s="213"/>
      <c r="AH122" s="213"/>
      <c r="AI122" s="213"/>
      <c r="AJ122" s="214"/>
      <c r="AK122" s="167"/>
      <c r="AL122" s="148"/>
      <c r="AM122" s="148"/>
      <c r="AN122" s="148"/>
      <c r="AO122" s="148"/>
      <c r="AP122" s="167"/>
      <c r="AQ122" s="148"/>
      <c r="AR122" s="148"/>
      <c r="AS122" s="148"/>
      <c r="AT122" s="148"/>
      <c r="AU122" s="167"/>
      <c r="AV122" s="148"/>
      <c r="AW122" s="148"/>
      <c r="AX122" s="148"/>
      <c r="AY122" s="148"/>
      <c r="AZ122" s="167"/>
      <c r="BA122" s="148"/>
      <c r="BB122" s="148"/>
      <c r="BC122" s="148"/>
      <c r="BD122" s="148"/>
      <c r="BE122" s="167"/>
      <c r="BF122" s="148"/>
      <c r="BG122" s="148"/>
      <c r="BH122" s="148"/>
    </row>
    <row r="123" spans="1:16384">
      <c r="A123" s="49" t="s">
        <v>43</v>
      </c>
      <c r="B123" s="40"/>
      <c r="C123" s="50"/>
      <c r="D123" s="50"/>
      <c r="E123" s="50"/>
      <c r="F123" s="50"/>
      <c r="G123" s="40"/>
      <c r="H123" s="50"/>
      <c r="I123" s="50"/>
      <c r="J123" s="50"/>
      <c r="K123" s="50"/>
      <c r="L123" s="40"/>
      <c r="M123" s="50"/>
      <c r="N123" s="50"/>
      <c r="O123" s="50"/>
      <c r="P123" s="50"/>
      <c r="Q123" s="40"/>
      <c r="R123" s="50"/>
      <c r="S123" s="50"/>
      <c r="T123" s="50"/>
      <c r="U123" s="50"/>
      <c r="V123" s="40"/>
      <c r="W123" s="50"/>
      <c r="X123" s="50"/>
      <c r="Y123" s="50"/>
      <c r="Z123" s="50"/>
      <c r="AA123" s="40"/>
      <c r="AB123" s="50"/>
      <c r="AC123" s="50"/>
      <c r="AD123" s="50"/>
      <c r="AE123" s="50"/>
      <c r="AF123" s="40"/>
      <c r="AG123" s="50"/>
      <c r="AH123" s="50"/>
      <c r="AI123" s="50"/>
      <c r="AJ123" s="50"/>
      <c r="AK123" s="40"/>
      <c r="AL123" s="50"/>
      <c r="AM123" s="50"/>
      <c r="AN123" s="50"/>
      <c r="AO123" s="50"/>
      <c r="AP123" s="40"/>
      <c r="AQ123" s="50"/>
      <c r="AR123" s="50"/>
      <c r="AS123" s="50"/>
      <c r="AT123" s="50"/>
      <c r="AU123" s="40"/>
      <c r="AV123" s="50"/>
      <c r="AW123" s="50"/>
      <c r="AX123" s="50"/>
      <c r="AY123" s="50"/>
      <c r="AZ123" s="40"/>
      <c r="BA123" s="50"/>
      <c r="BB123" s="50"/>
      <c r="BC123" s="50"/>
      <c r="BD123" s="50"/>
      <c r="BE123" s="40"/>
      <c r="BF123" s="50"/>
      <c r="BG123" s="50"/>
      <c r="BH123" s="50"/>
    </row>
    <row r="124" spans="1:16384" ht="6.6" customHeight="1">
      <c r="A124" s="67"/>
      <c r="B124" s="67"/>
      <c r="C124" s="67"/>
      <c r="D124" s="67"/>
      <c r="E124" s="67"/>
      <c r="F124" s="67"/>
      <c r="G124" s="67"/>
      <c r="H124" s="67"/>
      <c r="I124" s="67"/>
      <c r="J124" s="67"/>
      <c r="K124" s="67"/>
      <c r="L124" s="67"/>
      <c r="M124" s="67"/>
      <c r="N124" s="67"/>
      <c r="O124" s="67"/>
      <c r="P124" s="67"/>
      <c r="Q124" s="212"/>
      <c r="R124" s="67"/>
      <c r="S124" s="67"/>
      <c r="T124" s="67"/>
      <c r="U124" s="67"/>
      <c r="V124" s="212"/>
      <c r="W124" s="67"/>
      <c r="X124" s="67"/>
      <c r="Y124" s="67"/>
      <c r="Z124" s="67"/>
      <c r="AA124" s="212"/>
      <c r="AB124" s="67"/>
      <c r="AC124" s="67"/>
      <c r="AD124" s="67"/>
      <c r="AE124" s="67"/>
      <c r="AF124" s="212"/>
      <c r="AG124" s="67"/>
      <c r="AH124" s="67"/>
      <c r="AI124" s="67"/>
      <c r="AJ124" s="67"/>
      <c r="AK124" s="212"/>
      <c r="AL124" s="67"/>
      <c r="AM124" s="67"/>
      <c r="AN124" s="67"/>
      <c r="AO124" s="67"/>
      <c r="AP124" s="212"/>
      <c r="AQ124" s="67"/>
      <c r="AR124" s="67"/>
      <c r="AS124" s="67"/>
      <c r="AT124" s="67"/>
      <c r="AU124" s="212"/>
      <c r="AV124" s="67"/>
      <c r="AW124" s="67"/>
      <c r="AX124" s="67"/>
      <c r="AY124" s="67"/>
      <c r="AZ124" s="212"/>
      <c r="BA124" s="67"/>
      <c r="BB124" s="67"/>
      <c r="BC124" s="67"/>
      <c r="BD124" s="67"/>
      <c r="BE124" s="212"/>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c r="EO124" s="67"/>
      <c r="EP124" s="67"/>
      <c r="EQ124" s="67"/>
      <c r="ER124" s="67"/>
      <c r="ES124" s="67"/>
      <c r="ET124" s="67"/>
      <c r="EU124" s="67"/>
      <c r="EV124" s="67"/>
      <c r="EW124" s="67"/>
      <c r="EX124" s="67"/>
      <c r="EY124" s="67"/>
      <c r="EZ124" s="67"/>
      <c r="FA124" s="67"/>
      <c r="FB124" s="67"/>
      <c r="FC124" s="67"/>
      <c r="FD124" s="67"/>
      <c r="FE124" s="67"/>
      <c r="FF124" s="67"/>
      <c r="FG124" s="67"/>
      <c r="FH124" s="67"/>
      <c r="FI124" s="67"/>
      <c r="FJ124" s="67"/>
      <c r="FK124" s="67"/>
      <c r="FL124" s="67"/>
      <c r="FM124" s="67"/>
      <c r="FN124" s="67"/>
      <c r="FO124" s="67"/>
      <c r="FP124" s="67"/>
      <c r="FQ124" s="67"/>
      <c r="FR124" s="67"/>
      <c r="FS124" s="67"/>
      <c r="FT124" s="67"/>
      <c r="FU124" s="67"/>
      <c r="FV124" s="67"/>
      <c r="FW124" s="67"/>
      <c r="FX124" s="67"/>
      <c r="FY124" s="67"/>
      <c r="FZ124" s="67"/>
      <c r="GA124" s="67"/>
      <c r="GB124" s="67"/>
      <c r="GC124" s="67"/>
      <c r="GD124" s="67"/>
      <c r="GE124" s="67"/>
      <c r="GF124" s="67"/>
      <c r="GG124" s="67"/>
      <c r="GH124" s="67"/>
      <c r="GI124" s="67"/>
      <c r="GJ124" s="67"/>
      <c r="GK124" s="67"/>
      <c r="GL124" s="67"/>
      <c r="GM124" s="67"/>
      <c r="GN124" s="67"/>
      <c r="GO124" s="67"/>
      <c r="GP124" s="67"/>
      <c r="GQ124" s="67"/>
      <c r="GR124" s="67"/>
      <c r="GS124" s="67"/>
      <c r="GT124" s="67"/>
      <c r="GU124" s="67"/>
      <c r="GV124" s="67"/>
      <c r="GW124" s="67"/>
      <c r="GX124" s="67"/>
      <c r="GY124" s="67"/>
      <c r="GZ124" s="67"/>
      <c r="HA124" s="67"/>
      <c r="HB124" s="67"/>
      <c r="HC124" s="67"/>
      <c r="HD124" s="67"/>
      <c r="HE124" s="67"/>
      <c r="HF124" s="67"/>
      <c r="HG124" s="67"/>
      <c r="HH124" s="67"/>
      <c r="HI124" s="67"/>
      <c r="HJ124" s="67"/>
      <c r="HK124" s="67"/>
      <c r="HL124" s="67"/>
      <c r="HM124" s="67"/>
      <c r="HN124" s="67"/>
      <c r="HO124" s="67"/>
      <c r="HP124" s="67"/>
      <c r="HQ124" s="67"/>
      <c r="HR124" s="67"/>
      <c r="HS124" s="67"/>
      <c r="HT124" s="67"/>
      <c r="HU124" s="67"/>
      <c r="HV124" s="67"/>
      <c r="HW124" s="67"/>
      <c r="HX124" s="67"/>
      <c r="HY124" s="67"/>
      <c r="HZ124" s="67"/>
      <c r="IA124" s="67"/>
      <c r="IB124" s="67"/>
      <c r="IC124" s="67"/>
      <c r="ID124" s="67"/>
      <c r="IE124" s="67"/>
      <c r="IF124" s="67"/>
      <c r="IG124" s="67"/>
      <c r="IH124" s="67"/>
      <c r="II124" s="67"/>
      <c r="IJ124" s="67"/>
      <c r="IK124" s="67"/>
      <c r="IL124" s="67"/>
      <c r="IM124" s="67"/>
      <c r="IN124" s="67"/>
      <c r="IO124" s="67"/>
      <c r="IP124" s="67"/>
      <c r="IQ124" s="67"/>
      <c r="IR124" s="67"/>
      <c r="IS124" s="67"/>
      <c r="IT124" s="67"/>
      <c r="IU124" s="67"/>
      <c r="IV124" s="67"/>
      <c r="IW124" s="67"/>
      <c r="IX124" s="67"/>
      <c r="IY124" s="67"/>
      <c r="IZ124" s="67"/>
      <c r="JA124" s="67"/>
      <c r="JB124" s="67"/>
      <c r="JC124" s="67"/>
      <c r="JD124" s="67"/>
      <c r="JE124" s="67"/>
      <c r="JF124" s="67"/>
      <c r="JG124" s="67"/>
      <c r="JH124" s="67"/>
      <c r="JI124" s="67"/>
      <c r="JJ124" s="67"/>
      <c r="JK124" s="67"/>
      <c r="JL124" s="67"/>
      <c r="JM124" s="67"/>
      <c r="JN124" s="67"/>
      <c r="JO124" s="67"/>
      <c r="JP124" s="67"/>
      <c r="JQ124" s="67"/>
      <c r="JR124" s="67"/>
      <c r="JS124" s="67"/>
      <c r="JT124" s="67"/>
      <c r="JU124" s="67"/>
      <c r="JV124" s="67"/>
      <c r="JW124" s="67"/>
      <c r="JX124" s="67"/>
      <c r="JY124" s="67"/>
      <c r="JZ124" s="67"/>
      <c r="KA124" s="67"/>
      <c r="KB124" s="67"/>
      <c r="KC124" s="67"/>
      <c r="KD124" s="67"/>
      <c r="KE124" s="67"/>
      <c r="KF124" s="67"/>
      <c r="KG124" s="67"/>
      <c r="KH124" s="67"/>
      <c r="KI124" s="67"/>
      <c r="KJ124" s="67"/>
      <c r="KK124" s="67"/>
      <c r="KL124" s="67"/>
      <c r="KM124" s="67"/>
      <c r="KN124" s="67"/>
      <c r="KO124" s="67"/>
      <c r="KP124" s="67"/>
      <c r="KQ124" s="67"/>
      <c r="KR124" s="67"/>
      <c r="KS124" s="67"/>
      <c r="KT124" s="67"/>
      <c r="KU124" s="67"/>
      <c r="KV124" s="67"/>
      <c r="KW124" s="67"/>
      <c r="KX124" s="67"/>
      <c r="KY124" s="67"/>
      <c r="KZ124" s="67"/>
      <c r="LA124" s="67"/>
      <c r="LB124" s="67"/>
      <c r="LC124" s="67"/>
      <c r="LD124" s="67"/>
      <c r="LE124" s="67"/>
      <c r="LF124" s="67"/>
      <c r="LG124" s="67"/>
      <c r="LH124" s="67"/>
      <c r="LI124" s="67"/>
      <c r="LJ124" s="67"/>
      <c r="LK124" s="67"/>
      <c r="LL124" s="67"/>
      <c r="LM124" s="67"/>
      <c r="LN124" s="67"/>
      <c r="LO124" s="67"/>
      <c r="LP124" s="67"/>
      <c r="LQ124" s="67"/>
      <c r="LR124" s="67"/>
      <c r="LS124" s="67"/>
      <c r="LT124" s="67"/>
      <c r="LU124" s="67"/>
      <c r="LV124" s="67"/>
      <c r="LW124" s="67"/>
      <c r="LX124" s="67"/>
      <c r="LY124" s="67"/>
      <c r="LZ124" s="67"/>
      <c r="MA124" s="67"/>
      <c r="MB124" s="67"/>
      <c r="MC124" s="67"/>
      <c r="MD124" s="67"/>
      <c r="ME124" s="67"/>
      <c r="MF124" s="67"/>
      <c r="MG124" s="67"/>
      <c r="MH124" s="67"/>
      <c r="MI124" s="67"/>
      <c r="MJ124" s="67"/>
      <c r="MK124" s="67"/>
      <c r="ML124" s="67"/>
      <c r="MM124" s="67"/>
      <c r="MN124" s="67"/>
      <c r="MO124" s="67"/>
      <c r="MP124" s="67"/>
      <c r="MQ124" s="67"/>
      <c r="MR124" s="67"/>
      <c r="MS124" s="67"/>
      <c r="MT124" s="67"/>
      <c r="MU124" s="67"/>
      <c r="MV124" s="67"/>
      <c r="MW124" s="67"/>
      <c r="MX124" s="67"/>
      <c r="MY124" s="67"/>
      <c r="MZ124" s="67"/>
      <c r="NA124" s="67"/>
      <c r="NB124" s="67"/>
      <c r="NC124" s="67"/>
      <c r="ND124" s="67"/>
      <c r="NE124" s="67"/>
      <c r="NF124" s="67"/>
      <c r="NG124" s="67"/>
      <c r="NH124" s="67"/>
      <c r="NI124" s="67"/>
      <c r="NJ124" s="67"/>
      <c r="NK124" s="67"/>
      <c r="NL124" s="67"/>
      <c r="NM124" s="67"/>
      <c r="NN124" s="67"/>
      <c r="NO124" s="67"/>
      <c r="NP124" s="67"/>
      <c r="NQ124" s="67"/>
      <c r="NR124" s="67"/>
      <c r="NS124" s="67"/>
      <c r="NT124" s="67"/>
      <c r="NU124" s="67"/>
      <c r="NV124" s="67"/>
      <c r="NW124" s="67"/>
      <c r="NX124" s="67"/>
      <c r="NY124" s="67"/>
      <c r="NZ124" s="67"/>
      <c r="OA124" s="67"/>
      <c r="OB124" s="67"/>
      <c r="OC124" s="67"/>
      <c r="OD124" s="67"/>
      <c r="OE124" s="67"/>
      <c r="OF124" s="67"/>
      <c r="OG124" s="67"/>
      <c r="OH124" s="67"/>
      <c r="OI124" s="67"/>
      <c r="OJ124" s="67"/>
      <c r="OK124" s="67"/>
      <c r="OL124" s="67"/>
      <c r="OM124" s="67"/>
      <c r="ON124" s="67"/>
      <c r="OO124" s="67"/>
      <c r="OP124" s="67"/>
      <c r="OQ124" s="67"/>
      <c r="OR124" s="67"/>
      <c r="OS124" s="67"/>
      <c r="OT124" s="67"/>
      <c r="OU124" s="67"/>
      <c r="OV124" s="67"/>
      <c r="OW124" s="67"/>
      <c r="OX124" s="67"/>
      <c r="OY124" s="67"/>
      <c r="OZ124" s="67"/>
      <c r="PA124" s="67"/>
      <c r="PB124" s="67"/>
      <c r="PC124" s="67"/>
      <c r="PD124" s="67"/>
      <c r="PE124" s="67"/>
      <c r="PF124" s="67"/>
      <c r="PG124" s="67"/>
      <c r="PH124" s="67"/>
      <c r="PI124" s="67"/>
      <c r="PJ124" s="67"/>
      <c r="PK124" s="67"/>
      <c r="PL124" s="67"/>
      <c r="PM124" s="67"/>
      <c r="PN124" s="67"/>
      <c r="PO124" s="67"/>
      <c r="PP124" s="67"/>
      <c r="PQ124" s="67"/>
      <c r="PR124" s="67"/>
      <c r="PS124" s="67"/>
      <c r="PT124" s="67"/>
      <c r="PU124" s="67"/>
      <c r="PV124" s="67"/>
      <c r="PW124" s="67"/>
      <c r="PX124" s="67"/>
      <c r="PY124" s="67"/>
      <c r="PZ124" s="67"/>
      <c r="QA124" s="67"/>
      <c r="QB124" s="67"/>
      <c r="QC124" s="67"/>
      <c r="QD124" s="67"/>
      <c r="QE124" s="67"/>
      <c r="QF124" s="67"/>
      <c r="QG124" s="67"/>
      <c r="QH124" s="67"/>
      <c r="QI124" s="67"/>
      <c r="QJ124" s="67"/>
      <c r="QK124" s="67"/>
      <c r="QL124" s="67"/>
      <c r="QM124" s="67"/>
      <c r="QN124" s="67"/>
      <c r="QO124" s="67"/>
      <c r="QP124" s="67"/>
      <c r="QQ124" s="67"/>
      <c r="QR124" s="67"/>
      <c r="QS124" s="67"/>
      <c r="QT124" s="67"/>
      <c r="QU124" s="67"/>
      <c r="QV124" s="67"/>
      <c r="QW124" s="67"/>
      <c r="QX124" s="67"/>
      <c r="QY124" s="67"/>
      <c r="QZ124" s="67"/>
      <c r="RA124" s="67"/>
      <c r="RB124" s="67"/>
      <c r="RC124" s="67"/>
      <c r="RD124" s="67"/>
      <c r="RE124" s="67"/>
      <c r="RF124" s="67"/>
      <c r="RG124" s="67"/>
      <c r="RH124" s="67"/>
      <c r="RI124" s="67"/>
      <c r="RJ124" s="67"/>
      <c r="RK124" s="67"/>
      <c r="RL124" s="67"/>
      <c r="RM124" s="67"/>
      <c r="RN124" s="67"/>
      <c r="RO124" s="67"/>
      <c r="RP124" s="67"/>
      <c r="RQ124" s="67"/>
      <c r="RR124" s="67"/>
      <c r="RS124" s="67"/>
      <c r="RT124" s="67"/>
      <c r="RU124" s="67"/>
      <c r="RV124" s="67"/>
      <c r="RW124" s="67"/>
      <c r="RX124" s="67"/>
      <c r="RY124" s="67"/>
      <c r="RZ124" s="67"/>
      <c r="SA124" s="67"/>
      <c r="SB124" s="67"/>
      <c r="SC124" s="67"/>
      <c r="SD124" s="67"/>
      <c r="SE124" s="67"/>
      <c r="SF124" s="67"/>
      <c r="SG124" s="67"/>
      <c r="SH124" s="67"/>
      <c r="SI124" s="67"/>
      <c r="SJ124" s="67"/>
      <c r="SK124" s="67"/>
      <c r="SL124" s="67"/>
      <c r="SM124" s="67"/>
      <c r="SN124" s="67"/>
      <c r="SO124" s="67"/>
      <c r="SP124" s="67"/>
      <c r="SQ124" s="67"/>
      <c r="SR124" s="67"/>
      <c r="SS124" s="67"/>
      <c r="ST124" s="67"/>
      <c r="SU124" s="67"/>
      <c r="SV124" s="67"/>
      <c r="SW124" s="67"/>
      <c r="SX124" s="67"/>
      <c r="SY124" s="67"/>
      <c r="SZ124" s="67"/>
      <c r="TA124" s="67"/>
      <c r="TB124" s="67"/>
      <c r="TC124" s="67"/>
      <c r="TD124" s="67"/>
      <c r="TE124" s="67"/>
      <c r="TF124" s="67"/>
      <c r="TG124" s="67"/>
      <c r="TH124" s="67"/>
      <c r="TI124" s="67"/>
      <c r="TJ124" s="67"/>
      <c r="TK124" s="67"/>
      <c r="TL124" s="67"/>
      <c r="TM124" s="67"/>
      <c r="TN124" s="67"/>
      <c r="TO124" s="67"/>
      <c r="TP124" s="67"/>
      <c r="TQ124" s="67"/>
      <c r="TR124" s="67"/>
      <c r="TS124" s="67"/>
      <c r="TT124" s="67"/>
      <c r="TU124" s="67"/>
      <c r="TV124" s="67"/>
      <c r="TW124" s="67"/>
      <c r="TX124" s="67"/>
      <c r="TY124" s="67"/>
      <c r="TZ124" s="67"/>
      <c r="UA124" s="67"/>
      <c r="UB124" s="67"/>
      <c r="UC124" s="67"/>
      <c r="UD124" s="67"/>
      <c r="UE124" s="67"/>
      <c r="UF124" s="67"/>
      <c r="UG124" s="67"/>
      <c r="UH124" s="67"/>
      <c r="UI124" s="67"/>
      <c r="UJ124" s="67"/>
      <c r="UK124" s="67"/>
      <c r="UL124" s="67"/>
      <c r="UM124" s="67"/>
      <c r="UN124" s="67"/>
      <c r="UO124" s="67"/>
      <c r="UP124" s="67"/>
      <c r="UQ124" s="67"/>
      <c r="UR124" s="67"/>
      <c r="US124" s="67"/>
      <c r="UT124" s="67"/>
      <c r="UU124" s="67"/>
      <c r="UV124" s="67"/>
      <c r="UW124" s="67"/>
      <c r="UX124" s="67"/>
      <c r="UY124" s="67"/>
      <c r="UZ124" s="67"/>
      <c r="VA124" s="67"/>
      <c r="VB124" s="67"/>
      <c r="VC124" s="67"/>
      <c r="VD124" s="67"/>
      <c r="VE124" s="67"/>
      <c r="VF124" s="67"/>
      <c r="VG124" s="67"/>
      <c r="VH124" s="67"/>
      <c r="VI124" s="67"/>
      <c r="VJ124" s="67"/>
      <c r="VK124" s="67"/>
      <c r="VL124" s="67"/>
      <c r="VM124" s="67"/>
      <c r="VN124" s="67"/>
      <c r="VO124" s="67"/>
      <c r="VP124" s="67"/>
      <c r="VQ124" s="67"/>
      <c r="VR124" s="67"/>
      <c r="VS124" s="67"/>
      <c r="VT124" s="67"/>
      <c r="VU124" s="67"/>
      <c r="VV124" s="67"/>
      <c r="VW124" s="67"/>
      <c r="VX124" s="67"/>
      <c r="VY124" s="67"/>
      <c r="VZ124" s="67"/>
      <c r="WA124" s="67"/>
      <c r="WB124" s="67"/>
      <c r="WC124" s="67"/>
      <c r="WD124" s="67"/>
      <c r="WE124" s="67"/>
      <c r="WF124" s="67"/>
      <c r="WG124" s="67"/>
      <c r="WH124" s="67"/>
      <c r="WI124" s="67"/>
      <c r="WJ124" s="67"/>
      <c r="WK124" s="67"/>
      <c r="WL124" s="67"/>
      <c r="WM124" s="67"/>
      <c r="WN124" s="67"/>
      <c r="WO124" s="67"/>
      <c r="WP124" s="67"/>
      <c r="WQ124" s="67"/>
      <c r="WR124" s="67"/>
      <c r="WS124" s="67"/>
      <c r="WT124" s="67"/>
      <c r="WU124" s="67"/>
      <c r="WV124" s="67"/>
      <c r="WW124" s="67"/>
      <c r="WX124" s="67"/>
      <c r="WY124" s="67"/>
      <c r="WZ124" s="67"/>
      <c r="XA124" s="67"/>
      <c r="XB124" s="67"/>
      <c r="XC124" s="67"/>
      <c r="XD124" s="67"/>
      <c r="XE124" s="67"/>
      <c r="XF124" s="67"/>
      <c r="XG124" s="67"/>
      <c r="XH124" s="67"/>
      <c r="XI124" s="67"/>
      <c r="XJ124" s="67"/>
      <c r="XK124" s="67"/>
      <c r="XL124" s="67"/>
      <c r="XM124" s="67"/>
      <c r="XN124" s="67"/>
      <c r="XO124" s="67"/>
      <c r="XP124" s="67"/>
      <c r="XQ124" s="67"/>
      <c r="XR124" s="67"/>
      <c r="XS124" s="67"/>
      <c r="XT124" s="67"/>
      <c r="XU124" s="67"/>
      <c r="XV124" s="67"/>
      <c r="XW124" s="67"/>
      <c r="XX124" s="67"/>
      <c r="XY124" s="67"/>
      <c r="XZ124" s="67"/>
      <c r="YA124" s="67"/>
      <c r="YB124" s="67"/>
      <c r="YC124" s="67"/>
      <c r="YD124" s="67"/>
      <c r="YE124" s="67"/>
      <c r="YF124" s="67"/>
      <c r="YG124" s="67"/>
      <c r="YH124" s="67"/>
      <c r="YI124" s="67"/>
      <c r="YJ124" s="67"/>
      <c r="YK124" s="67"/>
      <c r="YL124" s="67"/>
      <c r="YM124" s="67"/>
      <c r="YN124" s="67"/>
      <c r="YO124" s="67"/>
      <c r="YP124" s="67"/>
      <c r="YQ124" s="67"/>
      <c r="YR124" s="67"/>
      <c r="YS124" s="67"/>
      <c r="YT124" s="67"/>
      <c r="YU124" s="67"/>
      <c r="YV124" s="67"/>
      <c r="YW124" s="67"/>
      <c r="YX124" s="67"/>
      <c r="YY124" s="67"/>
      <c r="YZ124" s="67"/>
      <c r="ZA124" s="67"/>
      <c r="ZB124" s="67"/>
      <c r="ZC124" s="67"/>
      <c r="ZD124" s="67"/>
      <c r="ZE124" s="67"/>
      <c r="ZF124" s="67"/>
      <c r="ZG124" s="67"/>
      <c r="ZH124" s="67"/>
      <c r="ZI124" s="67"/>
      <c r="ZJ124" s="67"/>
      <c r="ZK124" s="67"/>
      <c r="ZL124" s="67"/>
      <c r="ZM124" s="67"/>
      <c r="ZN124" s="67"/>
      <c r="ZO124" s="67"/>
      <c r="ZP124" s="67"/>
      <c r="ZQ124" s="67"/>
      <c r="ZR124" s="67"/>
      <c r="ZS124" s="67"/>
      <c r="ZT124" s="67"/>
      <c r="ZU124" s="67"/>
      <c r="ZV124" s="67"/>
      <c r="ZW124" s="67"/>
      <c r="ZX124" s="67"/>
      <c r="ZY124" s="67"/>
      <c r="ZZ124" s="67"/>
      <c r="AAA124" s="67"/>
      <c r="AAB124" s="67"/>
      <c r="AAC124" s="67"/>
      <c r="AAD124" s="67"/>
      <c r="AAE124" s="67"/>
      <c r="AAF124" s="67"/>
      <c r="AAG124" s="67"/>
      <c r="AAH124" s="67"/>
      <c r="AAI124" s="67"/>
      <c r="AAJ124" s="67"/>
      <c r="AAK124" s="67"/>
      <c r="AAL124" s="67"/>
      <c r="AAM124" s="67"/>
      <c r="AAN124" s="67"/>
      <c r="AAO124" s="67"/>
      <c r="AAP124" s="67"/>
      <c r="AAQ124" s="67"/>
      <c r="AAR124" s="67"/>
      <c r="AAS124" s="67"/>
      <c r="AAT124" s="67"/>
      <c r="AAU124" s="67"/>
      <c r="AAV124" s="67"/>
      <c r="AAW124" s="67"/>
      <c r="AAX124" s="67"/>
      <c r="AAY124" s="67"/>
      <c r="AAZ124" s="67"/>
      <c r="ABA124" s="67"/>
      <c r="ABB124" s="67"/>
      <c r="ABC124" s="67"/>
      <c r="ABD124" s="67"/>
      <c r="ABE124" s="67"/>
      <c r="ABF124" s="67"/>
      <c r="ABG124" s="67"/>
      <c r="ABH124" s="67"/>
      <c r="ABI124" s="67"/>
      <c r="ABJ124" s="67"/>
      <c r="ABK124" s="67"/>
      <c r="ABL124" s="67"/>
      <c r="ABM124" s="67"/>
      <c r="ABN124" s="67"/>
      <c r="ABO124" s="67"/>
      <c r="ABP124" s="67"/>
      <c r="ABQ124" s="67"/>
      <c r="ABR124" s="67"/>
      <c r="ABS124" s="67"/>
      <c r="ABT124" s="67"/>
      <c r="ABU124" s="67"/>
      <c r="ABV124" s="67"/>
      <c r="ABW124" s="67"/>
      <c r="ABX124" s="67"/>
      <c r="ABY124" s="67"/>
      <c r="ABZ124" s="67"/>
      <c r="ACA124" s="67"/>
      <c r="ACB124" s="67"/>
      <c r="ACC124" s="67"/>
      <c r="ACD124" s="67"/>
      <c r="ACE124" s="67"/>
      <c r="ACF124" s="67"/>
      <c r="ACG124" s="67"/>
      <c r="ACH124" s="67"/>
      <c r="ACI124" s="67"/>
      <c r="ACJ124" s="67"/>
      <c r="ACK124" s="67"/>
      <c r="ACL124" s="67"/>
      <c r="ACM124" s="67"/>
      <c r="ACN124" s="67"/>
      <c r="ACO124" s="67"/>
      <c r="ACP124" s="67"/>
      <c r="ACQ124" s="67"/>
      <c r="ACR124" s="67"/>
      <c r="ACS124" s="67"/>
      <c r="ACT124" s="67"/>
      <c r="ACU124" s="67"/>
      <c r="ACV124" s="67"/>
      <c r="ACW124" s="67"/>
      <c r="ACX124" s="67"/>
      <c r="ACY124" s="67"/>
      <c r="ACZ124" s="67"/>
      <c r="ADA124" s="67"/>
      <c r="ADB124" s="67"/>
      <c r="ADC124" s="67"/>
      <c r="ADD124" s="67"/>
      <c r="ADE124" s="67"/>
      <c r="ADF124" s="67"/>
      <c r="ADG124" s="67"/>
      <c r="ADH124" s="67"/>
      <c r="ADI124" s="67"/>
      <c r="ADJ124" s="67"/>
      <c r="ADK124" s="67"/>
      <c r="ADL124" s="67"/>
      <c r="ADM124" s="67"/>
      <c r="ADN124" s="67"/>
      <c r="ADO124" s="67"/>
      <c r="ADP124" s="67"/>
      <c r="ADQ124" s="67"/>
      <c r="ADR124" s="67"/>
      <c r="ADS124" s="67"/>
      <c r="ADT124" s="67"/>
      <c r="ADU124" s="67"/>
      <c r="ADV124" s="67"/>
      <c r="ADW124" s="67"/>
      <c r="ADX124" s="67"/>
      <c r="ADY124" s="67"/>
      <c r="ADZ124" s="67"/>
      <c r="AEA124" s="67"/>
      <c r="AEB124" s="67"/>
      <c r="AEC124" s="67"/>
      <c r="AED124" s="67"/>
      <c r="AEE124" s="67"/>
      <c r="AEF124" s="67"/>
      <c r="AEG124" s="67"/>
      <c r="AEH124" s="67"/>
      <c r="AEI124" s="67"/>
      <c r="AEJ124" s="67"/>
      <c r="AEK124" s="67"/>
      <c r="AEL124" s="67"/>
      <c r="AEM124" s="67"/>
      <c r="AEN124" s="67"/>
      <c r="AEO124" s="67"/>
      <c r="AEP124" s="67"/>
      <c r="AEQ124" s="67"/>
      <c r="AER124" s="67"/>
      <c r="AES124" s="67"/>
      <c r="AET124" s="67"/>
      <c r="AEU124" s="67"/>
      <c r="AEV124" s="67"/>
      <c r="AEW124" s="67"/>
      <c r="AEX124" s="67"/>
      <c r="AEY124" s="67"/>
      <c r="AEZ124" s="67"/>
      <c r="AFA124" s="67"/>
      <c r="AFB124" s="67"/>
      <c r="AFC124" s="67"/>
      <c r="AFD124" s="67"/>
      <c r="AFE124" s="67"/>
      <c r="AFF124" s="67"/>
      <c r="AFG124" s="67"/>
      <c r="AFH124" s="67"/>
      <c r="AFI124" s="67"/>
      <c r="AFJ124" s="67"/>
      <c r="AFK124" s="67"/>
      <c r="AFL124" s="67"/>
      <c r="AFM124" s="67"/>
      <c r="AFN124" s="67"/>
      <c r="AFO124" s="67"/>
      <c r="AFP124" s="67"/>
      <c r="AFQ124" s="67"/>
      <c r="AFR124" s="67"/>
      <c r="AFS124" s="67"/>
      <c r="AFT124" s="67"/>
      <c r="AFU124" s="67"/>
      <c r="AFV124" s="67"/>
      <c r="AFW124" s="67"/>
      <c r="AFX124" s="67"/>
      <c r="AFY124" s="67"/>
      <c r="AFZ124" s="67"/>
      <c r="AGA124" s="67"/>
      <c r="AGB124" s="67"/>
      <c r="AGC124" s="67"/>
      <c r="AGD124" s="67"/>
      <c r="AGE124" s="67"/>
      <c r="AGF124" s="67"/>
      <c r="AGG124" s="67"/>
      <c r="AGH124" s="67"/>
      <c r="AGI124" s="67"/>
      <c r="AGJ124" s="67"/>
      <c r="AGK124" s="67"/>
      <c r="AGL124" s="67"/>
      <c r="AGM124" s="67"/>
      <c r="AGN124" s="67"/>
      <c r="AGO124" s="67"/>
      <c r="AGP124" s="67"/>
      <c r="AGQ124" s="67"/>
      <c r="AGR124" s="67"/>
      <c r="AGS124" s="67"/>
      <c r="AGT124" s="67"/>
      <c r="AGU124" s="67"/>
      <c r="AGV124" s="67"/>
      <c r="AGW124" s="67"/>
      <c r="AGX124" s="67"/>
      <c r="AGY124" s="67"/>
      <c r="AGZ124" s="67"/>
      <c r="AHA124" s="67"/>
      <c r="AHB124" s="67"/>
      <c r="AHC124" s="67"/>
      <c r="AHD124" s="67"/>
      <c r="AHE124" s="67"/>
      <c r="AHF124" s="67"/>
      <c r="AHG124" s="67"/>
      <c r="AHH124" s="67"/>
      <c r="AHI124" s="67"/>
      <c r="AHJ124" s="67"/>
      <c r="AHK124" s="67"/>
      <c r="AHL124" s="67"/>
      <c r="AHM124" s="67"/>
      <c r="AHN124" s="67"/>
      <c r="AHO124" s="67"/>
      <c r="AHP124" s="67"/>
      <c r="AHQ124" s="67"/>
      <c r="AHR124" s="67"/>
      <c r="AHS124" s="67"/>
      <c r="AHT124" s="67"/>
      <c r="AHU124" s="67"/>
      <c r="AHV124" s="67"/>
      <c r="AHW124" s="67"/>
      <c r="AHX124" s="67"/>
      <c r="AHY124" s="67"/>
      <c r="AHZ124" s="67"/>
      <c r="AIA124" s="67"/>
      <c r="AIB124" s="67"/>
      <c r="AIC124" s="67"/>
      <c r="AID124" s="67"/>
      <c r="AIE124" s="67"/>
      <c r="AIF124" s="67"/>
      <c r="AIG124" s="67"/>
      <c r="AIH124" s="67"/>
      <c r="AII124" s="67"/>
      <c r="AIJ124" s="67"/>
      <c r="AIK124" s="67"/>
      <c r="AIL124" s="67"/>
      <c r="AIM124" s="67"/>
      <c r="AIN124" s="67"/>
      <c r="AIO124" s="67"/>
      <c r="AIP124" s="67"/>
      <c r="AIQ124" s="67"/>
      <c r="AIR124" s="67"/>
      <c r="AIS124" s="67"/>
      <c r="AIT124" s="67"/>
      <c r="AIU124" s="67"/>
      <c r="AIV124" s="67"/>
      <c r="AIW124" s="67"/>
      <c r="AIX124" s="67"/>
      <c r="AIY124" s="67"/>
      <c r="AIZ124" s="67"/>
      <c r="AJA124" s="67"/>
      <c r="AJB124" s="67"/>
      <c r="AJC124" s="67"/>
      <c r="AJD124" s="67"/>
      <c r="AJE124" s="67"/>
      <c r="AJF124" s="67"/>
      <c r="AJG124" s="67"/>
      <c r="AJH124" s="67"/>
      <c r="AJI124" s="67"/>
      <c r="AJJ124" s="67"/>
      <c r="AJK124" s="67"/>
      <c r="AJL124" s="67"/>
      <c r="AJM124" s="67"/>
      <c r="AJN124" s="67"/>
      <c r="AJO124" s="67"/>
      <c r="AJP124" s="67"/>
      <c r="AJQ124" s="67"/>
      <c r="AJR124" s="67"/>
      <c r="AJS124" s="67"/>
      <c r="AJT124" s="67"/>
      <c r="AJU124" s="67"/>
      <c r="AJV124" s="67"/>
      <c r="AJW124" s="67"/>
      <c r="AJX124" s="67"/>
      <c r="AJY124" s="67"/>
      <c r="AJZ124" s="67"/>
      <c r="AKA124" s="67"/>
      <c r="AKB124" s="67"/>
      <c r="AKC124" s="67"/>
      <c r="AKD124" s="67"/>
      <c r="AKE124" s="67"/>
      <c r="AKF124" s="67"/>
      <c r="AKG124" s="67"/>
      <c r="AKH124" s="67"/>
      <c r="AKI124" s="67"/>
      <c r="AKJ124" s="67"/>
      <c r="AKK124" s="67"/>
      <c r="AKL124" s="67"/>
      <c r="AKM124" s="67"/>
      <c r="AKN124" s="67"/>
      <c r="AKO124" s="67"/>
      <c r="AKP124" s="67"/>
      <c r="AKQ124" s="67"/>
      <c r="AKR124" s="67"/>
      <c r="AKS124" s="67"/>
      <c r="AKT124" s="67"/>
      <c r="AKU124" s="67"/>
      <c r="AKV124" s="67"/>
      <c r="AKW124" s="67"/>
      <c r="AKX124" s="67"/>
      <c r="AKY124" s="67"/>
      <c r="AKZ124" s="67"/>
      <c r="ALA124" s="67"/>
      <c r="ALB124" s="67"/>
      <c r="ALC124" s="67"/>
      <c r="ALD124" s="67"/>
      <c r="ALE124" s="67"/>
      <c r="ALF124" s="67"/>
      <c r="ALG124" s="67"/>
      <c r="ALH124" s="67"/>
      <c r="ALI124" s="67"/>
      <c r="ALJ124" s="67"/>
      <c r="ALK124" s="67"/>
      <c r="ALL124" s="67"/>
      <c r="ALM124" s="67"/>
      <c r="ALN124" s="67"/>
      <c r="ALO124" s="67"/>
      <c r="ALP124" s="67"/>
      <c r="ALQ124" s="67"/>
      <c r="ALR124" s="67"/>
      <c r="ALS124" s="67"/>
      <c r="ALT124" s="67"/>
      <c r="ALU124" s="67"/>
      <c r="ALV124" s="67"/>
      <c r="ALW124" s="67"/>
      <c r="ALX124" s="67"/>
      <c r="ALY124" s="67"/>
      <c r="ALZ124" s="67"/>
      <c r="AMA124" s="67"/>
      <c r="AMB124" s="67"/>
      <c r="AMC124" s="67"/>
      <c r="AMD124" s="67"/>
      <c r="AME124" s="67"/>
      <c r="AMF124" s="67"/>
      <c r="AMG124" s="67"/>
      <c r="AMH124" s="67"/>
      <c r="AMI124" s="67"/>
      <c r="AMJ124" s="67"/>
      <c r="AMK124" s="67"/>
      <c r="AML124" s="67"/>
      <c r="AMM124" s="67"/>
      <c r="AMN124" s="67"/>
      <c r="AMO124" s="67"/>
      <c r="AMP124" s="67"/>
      <c r="AMQ124" s="67"/>
      <c r="AMR124" s="67"/>
      <c r="AMS124" s="67"/>
      <c r="AMT124" s="67"/>
      <c r="AMU124" s="67"/>
      <c r="AMV124" s="67"/>
      <c r="AMW124" s="67"/>
      <c r="AMX124" s="67"/>
      <c r="AMY124" s="67"/>
      <c r="AMZ124" s="67"/>
      <c r="ANA124" s="67"/>
      <c r="ANB124" s="67"/>
      <c r="ANC124" s="67"/>
      <c r="AND124" s="67"/>
      <c r="ANE124" s="67"/>
      <c r="ANF124" s="67"/>
      <c r="ANG124" s="67"/>
      <c r="ANH124" s="67"/>
      <c r="ANI124" s="67"/>
      <c r="ANJ124" s="67"/>
      <c r="ANK124" s="67"/>
      <c r="ANL124" s="67"/>
      <c r="ANM124" s="67"/>
      <c r="ANN124" s="67"/>
      <c r="ANO124" s="67"/>
      <c r="ANP124" s="67"/>
      <c r="ANQ124" s="67"/>
      <c r="ANR124" s="67"/>
      <c r="ANS124" s="67"/>
      <c r="ANT124" s="67"/>
      <c r="ANU124" s="67"/>
      <c r="ANV124" s="67"/>
      <c r="ANW124" s="67"/>
      <c r="ANX124" s="67"/>
      <c r="ANY124" s="67"/>
      <c r="ANZ124" s="67"/>
      <c r="AOA124" s="67"/>
      <c r="AOB124" s="67"/>
      <c r="AOC124" s="67"/>
      <c r="AOD124" s="67"/>
      <c r="AOE124" s="67"/>
      <c r="AOF124" s="67"/>
      <c r="AOG124" s="67"/>
      <c r="AOH124" s="67"/>
      <c r="AOI124" s="67"/>
      <c r="AOJ124" s="67"/>
      <c r="AOK124" s="67"/>
      <c r="AOL124" s="67"/>
      <c r="AOM124" s="67"/>
      <c r="AON124" s="67"/>
      <c r="AOO124" s="67"/>
      <c r="AOP124" s="67"/>
      <c r="AOQ124" s="67"/>
      <c r="AOR124" s="67"/>
      <c r="AOS124" s="67"/>
      <c r="AOT124" s="67"/>
      <c r="AOU124" s="67"/>
      <c r="AOV124" s="67"/>
      <c r="AOW124" s="67"/>
      <c r="AOX124" s="67"/>
      <c r="AOY124" s="67"/>
      <c r="AOZ124" s="67"/>
      <c r="APA124" s="67"/>
      <c r="APB124" s="67"/>
      <c r="APC124" s="67"/>
      <c r="APD124" s="67"/>
      <c r="APE124" s="67"/>
      <c r="APF124" s="67"/>
      <c r="APG124" s="67"/>
      <c r="APH124" s="67"/>
      <c r="API124" s="67"/>
      <c r="APJ124" s="67"/>
      <c r="APK124" s="67"/>
      <c r="APL124" s="67"/>
      <c r="APM124" s="67"/>
      <c r="APN124" s="67"/>
      <c r="APO124" s="67"/>
      <c r="APP124" s="67"/>
      <c r="APQ124" s="67"/>
      <c r="APR124" s="67"/>
      <c r="APS124" s="67"/>
      <c r="APT124" s="67"/>
      <c r="APU124" s="67"/>
      <c r="APV124" s="67"/>
      <c r="APW124" s="67"/>
      <c r="APX124" s="67"/>
      <c r="APY124" s="67"/>
      <c r="APZ124" s="67"/>
      <c r="AQA124" s="67"/>
      <c r="AQB124" s="67"/>
      <c r="AQC124" s="67"/>
      <c r="AQD124" s="67"/>
      <c r="AQE124" s="67"/>
      <c r="AQF124" s="67"/>
      <c r="AQG124" s="67"/>
      <c r="AQH124" s="67"/>
      <c r="AQI124" s="67"/>
      <c r="AQJ124" s="67"/>
      <c r="AQK124" s="67"/>
      <c r="AQL124" s="67"/>
      <c r="AQM124" s="67"/>
      <c r="AQN124" s="67"/>
      <c r="AQO124" s="67"/>
      <c r="AQP124" s="67"/>
      <c r="AQQ124" s="67"/>
      <c r="AQR124" s="67"/>
      <c r="AQS124" s="67"/>
      <c r="AQT124" s="67"/>
      <c r="AQU124" s="67"/>
      <c r="AQV124" s="67"/>
      <c r="AQW124" s="67"/>
      <c r="AQX124" s="67"/>
      <c r="AQY124" s="67"/>
      <c r="AQZ124" s="67"/>
      <c r="ARA124" s="67"/>
      <c r="ARB124" s="67"/>
      <c r="ARC124" s="67"/>
      <c r="ARD124" s="67"/>
      <c r="ARE124" s="67"/>
      <c r="ARF124" s="67"/>
      <c r="ARG124" s="67"/>
      <c r="ARH124" s="67"/>
      <c r="ARI124" s="67"/>
      <c r="ARJ124" s="67"/>
      <c r="ARK124" s="67"/>
      <c r="ARL124" s="67"/>
      <c r="ARM124" s="67"/>
      <c r="ARN124" s="67"/>
      <c r="ARO124" s="67"/>
      <c r="ARP124" s="67"/>
      <c r="ARQ124" s="67"/>
      <c r="ARR124" s="67"/>
      <c r="ARS124" s="67"/>
      <c r="ART124" s="67"/>
      <c r="ARU124" s="67"/>
      <c r="ARV124" s="67"/>
      <c r="ARW124" s="67"/>
      <c r="ARX124" s="67"/>
      <c r="ARY124" s="67"/>
      <c r="ARZ124" s="67"/>
      <c r="ASA124" s="67"/>
      <c r="ASB124" s="67"/>
      <c r="ASC124" s="67"/>
      <c r="ASD124" s="67"/>
      <c r="ASE124" s="67"/>
      <c r="ASF124" s="67"/>
      <c r="ASG124" s="67"/>
      <c r="ASH124" s="67"/>
      <c r="ASI124" s="67"/>
      <c r="ASJ124" s="67"/>
      <c r="ASK124" s="67"/>
      <c r="ASL124" s="67"/>
      <c r="ASM124" s="67"/>
      <c r="ASN124" s="67"/>
      <c r="ASO124" s="67"/>
      <c r="ASP124" s="67"/>
      <c r="ASQ124" s="67"/>
      <c r="ASR124" s="67"/>
      <c r="ASS124" s="67"/>
      <c r="AST124" s="67"/>
      <c r="ASU124" s="67"/>
      <c r="ASV124" s="67"/>
      <c r="ASW124" s="67"/>
      <c r="ASX124" s="67"/>
      <c r="ASY124" s="67"/>
      <c r="ASZ124" s="67"/>
      <c r="ATA124" s="67"/>
      <c r="ATB124" s="67"/>
      <c r="ATC124" s="67"/>
      <c r="ATD124" s="67"/>
      <c r="ATE124" s="67"/>
      <c r="ATF124" s="67"/>
      <c r="ATG124" s="67"/>
      <c r="ATH124" s="67"/>
      <c r="ATI124" s="67"/>
      <c r="ATJ124" s="67"/>
      <c r="ATK124" s="67"/>
      <c r="ATL124" s="67"/>
      <c r="ATM124" s="67"/>
      <c r="ATN124" s="67"/>
      <c r="ATO124" s="67"/>
      <c r="ATP124" s="67"/>
      <c r="ATQ124" s="67"/>
      <c r="ATR124" s="67"/>
      <c r="ATS124" s="67"/>
      <c r="ATT124" s="67"/>
      <c r="ATU124" s="67"/>
      <c r="ATV124" s="67"/>
      <c r="ATW124" s="67"/>
      <c r="ATX124" s="67"/>
      <c r="ATY124" s="67"/>
      <c r="ATZ124" s="67"/>
      <c r="AUA124" s="67"/>
      <c r="AUB124" s="67"/>
      <c r="AUC124" s="67"/>
      <c r="AUD124" s="67"/>
      <c r="AUE124" s="67"/>
      <c r="AUF124" s="67"/>
      <c r="AUG124" s="67"/>
      <c r="AUH124" s="67"/>
      <c r="AUI124" s="67"/>
      <c r="AUJ124" s="67"/>
      <c r="AUK124" s="67"/>
      <c r="AUL124" s="67"/>
      <c r="AUM124" s="67"/>
      <c r="AUN124" s="67"/>
      <c r="AUO124" s="67"/>
      <c r="AUP124" s="67"/>
      <c r="AUQ124" s="67"/>
      <c r="AUR124" s="67"/>
      <c r="AUS124" s="67"/>
      <c r="AUT124" s="67"/>
      <c r="AUU124" s="67"/>
      <c r="AUV124" s="67"/>
      <c r="AUW124" s="67"/>
      <c r="AUX124" s="67"/>
      <c r="AUY124" s="67"/>
      <c r="AUZ124" s="67"/>
      <c r="AVA124" s="67"/>
      <c r="AVB124" s="67"/>
      <c r="AVC124" s="67"/>
      <c r="AVD124" s="67"/>
      <c r="AVE124" s="67"/>
      <c r="AVF124" s="67"/>
      <c r="AVG124" s="67"/>
      <c r="AVH124" s="67"/>
      <c r="AVI124" s="67"/>
      <c r="AVJ124" s="67"/>
      <c r="AVK124" s="67"/>
      <c r="AVL124" s="67"/>
      <c r="AVM124" s="67"/>
      <c r="AVN124" s="67"/>
      <c r="AVO124" s="67"/>
      <c r="AVP124" s="67"/>
      <c r="AVQ124" s="67"/>
      <c r="AVR124" s="67"/>
      <c r="AVS124" s="67"/>
      <c r="AVT124" s="67"/>
      <c r="AVU124" s="67"/>
      <c r="AVV124" s="67"/>
      <c r="AVW124" s="67"/>
      <c r="AVX124" s="67"/>
      <c r="AVY124" s="67"/>
      <c r="AVZ124" s="67"/>
      <c r="AWA124" s="67"/>
      <c r="AWB124" s="67"/>
      <c r="AWC124" s="67"/>
      <c r="AWD124" s="67"/>
      <c r="AWE124" s="67"/>
      <c r="AWF124" s="67"/>
      <c r="AWG124" s="67"/>
      <c r="AWH124" s="67"/>
      <c r="AWI124" s="67"/>
      <c r="AWJ124" s="67"/>
      <c r="AWK124" s="67"/>
      <c r="AWL124" s="67"/>
      <c r="AWM124" s="67"/>
      <c r="AWN124" s="67"/>
      <c r="AWO124" s="67"/>
      <c r="AWP124" s="67"/>
      <c r="AWQ124" s="67"/>
      <c r="AWR124" s="67"/>
      <c r="AWS124" s="67"/>
      <c r="AWT124" s="67"/>
      <c r="AWU124" s="67"/>
      <c r="AWV124" s="67"/>
      <c r="AWW124" s="67"/>
      <c r="AWX124" s="67"/>
      <c r="AWY124" s="67"/>
      <c r="AWZ124" s="67"/>
      <c r="AXA124" s="67"/>
      <c r="AXB124" s="67"/>
      <c r="AXC124" s="67"/>
      <c r="AXD124" s="67"/>
      <c r="AXE124" s="67"/>
      <c r="AXF124" s="67"/>
      <c r="AXG124" s="67"/>
      <c r="AXH124" s="67"/>
      <c r="AXI124" s="67"/>
      <c r="AXJ124" s="67"/>
      <c r="AXK124" s="67"/>
      <c r="AXL124" s="67"/>
      <c r="AXM124" s="67"/>
      <c r="AXN124" s="67"/>
      <c r="AXO124" s="67"/>
      <c r="AXP124" s="67"/>
      <c r="AXQ124" s="67"/>
      <c r="AXR124" s="67"/>
      <c r="AXS124" s="67"/>
      <c r="AXT124" s="67"/>
      <c r="AXU124" s="67"/>
      <c r="AXV124" s="67"/>
      <c r="AXW124" s="67"/>
      <c r="AXX124" s="67"/>
      <c r="AXY124" s="67"/>
      <c r="AXZ124" s="67"/>
      <c r="AYA124" s="67"/>
      <c r="AYB124" s="67"/>
      <c r="AYC124" s="67"/>
      <c r="AYD124" s="67"/>
      <c r="AYE124" s="67"/>
      <c r="AYF124" s="67"/>
      <c r="AYG124" s="67"/>
      <c r="AYH124" s="67"/>
      <c r="AYI124" s="67"/>
      <c r="AYJ124" s="67"/>
      <c r="AYK124" s="67"/>
      <c r="AYL124" s="67"/>
      <c r="AYM124" s="67"/>
      <c r="AYN124" s="67"/>
      <c r="AYO124" s="67"/>
      <c r="AYP124" s="67"/>
      <c r="AYQ124" s="67"/>
      <c r="AYR124" s="67"/>
      <c r="AYS124" s="67"/>
      <c r="AYT124" s="67"/>
      <c r="AYU124" s="67"/>
      <c r="AYV124" s="67"/>
      <c r="AYW124" s="67"/>
      <c r="AYX124" s="67"/>
      <c r="AYY124" s="67"/>
      <c r="AYZ124" s="67"/>
      <c r="AZA124" s="67"/>
      <c r="AZB124" s="67"/>
      <c r="AZC124" s="67"/>
      <c r="AZD124" s="67"/>
      <c r="AZE124" s="67"/>
      <c r="AZF124" s="67"/>
      <c r="AZG124" s="67"/>
      <c r="AZH124" s="67"/>
      <c r="AZI124" s="67"/>
      <c r="AZJ124" s="67"/>
      <c r="AZK124" s="67"/>
      <c r="AZL124" s="67"/>
      <c r="AZM124" s="67"/>
      <c r="AZN124" s="67"/>
      <c r="AZO124" s="67"/>
      <c r="AZP124" s="67"/>
      <c r="AZQ124" s="67"/>
      <c r="AZR124" s="67"/>
      <c r="AZS124" s="67"/>
      <c r="AZT124" s="67"/>
      <c r="AZU124" s="67"/>
      <c r="AZV124" s="67"/>
      <c r="AZW124" s="67"/>
      <c r="AZX124" s="67"/>
      <c r="AZY124" s="67"/>
      <c r="AZZ124" s="67"/>
      <c r="BAA124" s="67"/>
      <c r="BAB124" s="67"/>
      <c r="BAC124" s="67"/>
      <c r="BAD124" s="67"/>
      <c r="BAE124" s="67"/>
      <c r="BAF124" s="67"/>
      <c r="BAG124" s="67"/>
      <c r="BAH124" s="67"/>
      <c r="BAI124" s="67"/>
      <c r="BAJ124" s="67"/>
      <c r="BAK124" s="67"/>
      <c r="BAL124" s="67"/>
      <c r="BAM124" s="67"/>
      <c r="BAN124" s="67"/>
      <c r="BAO124" s="67"/>
      <c r="BAP124" s="67"/>
      <c r="BAQ124" s="67"/>
      <c r="BAR124" s="67"/>
      <c r="BAS124" s="67"/>
      <c r="BAT124" s="67"/>
      <c r="BAU124" s="67"/>
      <c r="BAV124" s="67"/>
      <c r="BAW124" s="67"/>
      <c r="BAX124" s="67"/>
      <c r="BAY124" s="67"/>
      <c r="BAZ124" s="67"/>
      <c r="BBA124" s="67"/>
      <c r="BBB124" s="67"/>
      <c r="BBC124" s="67"/>
      <c r="BBD124" s="67"/>
      <c r="BBE124" s="67"/>
      <c r="BBF124" s="67"/>
      <c r="BBG124" s="67"/>
      <c r="BBH124" s="67"/>
      <c r="BBI124" s="67"/>
      <c r="BBJ124" s="67"/>
      <c r="BBK124" s="67"/>
      <c r="BBL124" s="67"/>
      <c r="BBM124" s="67"/>
      <c r="BBN124" s="67"/>
      <c r="BBO124" s="67"/>
      <c r="BBP124" s="67"/>
      <c r="BBQ124" s="67"/>
      <c r="BBR124" s="67"/>
      <c r="BBS124" s="67"/>
      <c r="BBT124" s="67"/>
      <c r="BBU124" s="67"/>
      <c r="BBV124" s="67"/>
      <c r="BBW124" s="67"/>
      <c r="BBX124" s="67"/>
      <c r="BBY124" s="67"/>
      <c r="BBZ124" s="67"/>
      <c r="BCA124" s="67"/>
      <c r="BCB124" s="67"/>
      <c r="BCC124" s="67"/>
      <c r="BCD124" s="67"/>
      <c r="BCE124" s="67"/>
      <c r="BCF124" s="67"/>
      <c r="BCG124" s="67"/>
      <c r="BCH124" s="67"/>
      <c r="BCI124" s="67"/>
      <c r="BCJ124" s="67"/>
      <c r="BCK124" s="67"/>
      <c r="BCL124" s="67"/>
      <c r="BCM124" s="67"/>
      <c r="BCN124" s="67"/>
      <c r="BCO124" s="67"/>
      <c r="BCP124" s="67"/>
      <c r="BCQ124" s="67"/>
      <c r="BCR124" s="67"/>
      <c r="BCS124" s="67"/>
      <c r="BCT124" s="67"/>
      <c r="BCU124" s="67"/>
      <c r="BCV124" s="67"/>
      <c r="BCW124" s="67"/>
      <c r="BCX124" s="67"/>
      <c r="BCY124" s="67"/>
      <c r="BCZ124" s="67"/>
      <c r="BDA124" s="67"/>
      <c r="BDB124" s="67"/>
      <c r="BDC124" s="67"/>
      <c r="BDD124" s="67"/>
      <c r="BDE124" s="67"/>
      <c r="BDF124" s="67"/>
      <c r="BDG124" s="67"/>
      <c r="BDH124" s="67"/>
      <c r="BDI124" s="67"/>
      <c r="BDJ124" s="67"/>
      <c r="BDK124" s="67"/>
      <c r="BDL124" s="67"/>
      <c r="BDM124" s="67"/>
      <c r="BDN124" s="67"/>
      <c r="BDO124" s="67"/>
      <c r="BDP124" s="67"/>
      <c r="BDQ124" s="67"/>
      <c r="BDR124" s="67"/>
      <c r="BDS124" s="67"/>
      <c r="BDT124" s="67"/>
      <c r="BDU124" s="67"/>
      <c r="BDV124" s="67"/>
      <c r="BDW124" s="67"/>
      <c r="BDX124" s="67"/>
      <c r="BDY124" s="67"/>
      <c r="BDZ124" s="67"/>
      <c r="BEA124" s="67"/>
      <c r="BEB124" s="67"/>
      <c r="BEC124" s="67"/>
      <c r="BED124" s="67"/>
      <c r="BEE124" s="67"/>
      <c r="BEF124" s="67"/>
      <c r="BEG124" s="67"/>
      <c r="BEH124" s="67"/>
      <c r="BEI124" s="67"/>
      <c r="BEJ124" s="67"/>
      <c r="BEK124" s="67"/>
      <c r="BEL124" s="67"/>
      <c r="BEM124" s="67"/>
      <c r="BEN124" s="67"/>
      <c r="BEO124" s="67"/>
      <c r="BEP124" s="67"/>
      <c r="BEQ124" s="67"/>
      <c r="BER124" s="67"/>
      <c r="BES124" s="67"/>
      <c r="BET124" s="67"/>
      <c r="BEU124" s="67"/>
      <c r="BEV124" s="67"/>
      <c r="BEW124" s="67"/>
      <c r="BEX124" s="67"/>
      <c r="BEY124" s="67"/>
      <c r="BEZ124" s="67"/>
      <c r="BFA124" s="67"/>
      <c r="BFB124" s="67"/>
      <c r="BFC124" s="67"/>
      <c r="BFD124" s="67"/>
      <c r="BFE124" s="67"/>
      <c r="BFF124" s="67"/>
      <c r="BFG124" s="67"/>
      <c r="BFH124" s="67"/>
      <c r="BFI124" s="67"/>
      <c r="BFJ124" s="67"/>
      <c r="BFK124" s="67"/>
      <c r="BFL124" s="67"/>
      <c r="BFM124" s="67"/>
      <c r="BFN124" s="67"/>
      <c r="BFO124" s="67"/>
      <c r="BFP124" s="67"/>
      <c r="BFQ124" s="67"/>
      <c r="BFR124" s="67"/>
      <c r="BFS124" s="67"/>
      <c r="BFT124" s="67"/>
      <c r="BFU124" s="67"/>
      <c r="BFV124" s="67"/>
      <c r="BFW124" s="67"/>
      <c r="BFX124" s="67"/>
      <c r="BFY124" s="67"/>
      <c r="BFZ124" s="67"/>
      <c r="BGA124" s="67"/>
      <c r="BGB124" s="67"/>
      <c r="BGC124" s="67"/>
      <c r="BGD124" s="67"/>
      <c r="BGE124" s="67"/>
      <c r="BGF124" s="67"/>
      <c r="BGG124" s="67"/>
      <c r="BGH124" s="67"/>
      <c r="BGI124" s="67"/>
      <c r="BGJ124" s="67"/>
      <c r="BGK124" s="67"/>
      <c r="BGL124" s="67"/>
      <c r="BGM124" s="67"/>
      <c r="BGN124" s="67"/>
      <c r="BGO124" s="67"/>
      <c r="BGP124" s="67"/>
      <c r="BGQ124" s="67"/>
      <c r="BGR124" s="67"/>
      <c r="BGS124" s="67"/>
      <c r="BGT124" s="67"/>
      <c r="BGU124" s="67"/>
      <c r="BGV124" s="67"/>
      <c r="BGW124" s="67"/>
      <c r="BGX124" s="67"/>
      <c r="BGY124" s="67"/>
      <c r="BGZ124" s="67"/>
      <c r="BHA124" s="67"/>
      <c r="BHB124" s="67"/>
      <c r="BHC124" s="67"/>
      <c r="BHD124" s="67"/>
      <c r="BHE124" s="67"/>
      <c r="BHF124" s="67"/>
      <c r="BHG124" s="67"/>
      <c r="BHH124" s="67"/>
      <c r="BHI124" s="67"/>
      <c r="BHJ124" s="67"/>
      <c r="BHK124" s="67"/>
      <c r="BHL124" s="67"/>
      <c r="BHM124" s="67"/>
      <c r="BHN124" s="67"/>
      <c r="BHO124" s="67"/>
      <c r="BHP124" s="67"/>
      <c r="BHQ124" s="67"/>
      <c r="BHR124" s="67"/>
      <c r="BHS124" s="67"/>
      <c r="BHT124" s="67"/>
      <c r="BHU124" s="67"/>
      <c r="BHV124" s="67"/>
      <c r="BHW124" s="67"/>
      <c r="BHX124" s="67"/>
      <c r="BHY124" s="67"/>
      <c r="BHZ124" s="67"/>
      <c r="BIA124" s="67"/>
      <c r="BIB124" s="67"/>
      <c r="BIC124" s="67"/>
      <c r="BID124" s="67"/>
      <c r="BIE124" s="67"/>
      <c r="BIF124" s="67"/>
      <c r="BIG124" s="67"/>
      <c r="BIH124" s="67"/>
      <c r="BII124" s="67"/>
      <c r="BIJ124" s="67"/>
      <c r="BIK124" s="67"/>
      <c r="BIL124" s="67"/>
      <c r="BIM124" s="67"/>
      <c r="BIN124" s="67"/>
      <c r="BIO124" s="67"/>
      <c r="BIP124" s="67"/>
      <c r="BIQ124" s="67"/>
      <c r="BIR124" s="67"/>
      <c r="BIS124" s="67"/>
      <c r="BIT124" s="67"/>
      <c r="BIU124" s="67"/>
      <c r="BIV124" s="67"/>
      <c r="BIW124" s="67"/>
      <c r="BIX124" s="67"/>
      <c r="BIY124" s="67"/>
      <c r="BIZ124" s="67"/>
      <c r="BJA124" s="67"/>
      <c r="BJB124" s="67"/>
      <c r="BJC124" s="67"/>
      <c r="BJD124" s="67"/>
      <c r="BJE124" s="67"/>
      <c r="BJF124" s="67"/>
      <c r="BJG124" s="67"/>
      <c r="BJH124" s="67"/>
      <c r="BJI124" s="67"/>
      <c r="BJJ124" s="67"/>
      <c r="BJK124" s="67"/>
      <c r="BJL124" s="67"/>
      <c r="BJM124" s="67"/>
      <c r="BJN124" s="67"/>
      <c r="BJO124" s="67"/>
      <c r="BJP124" s="67"/>
      <c r="BJQ124" s="67"/>
      <c r="BJR124" s="67"/>
      <c r="BJS124" s="67"/>
      <c r="BJT124" s="67"/>
      <c r="BJU124" s="67"/>
      <c r="BJV124" s="67"/>
      <c r="BJW124" s="67"/>
      <c r="BJX124" s="67"/>
      <c r="BJY124" s="67"/>
      <c r="BJZ124" s="67"/>
      <c r="BKA124" s="67"/>
      <c r="BKB124" s="67"/>
      <c r="BKC124" s="67"/>
      <c r="BKD124" s="67"/>
      <c r="BKE124" s="67"/>
      <c r="BKF124" s="67"/>
      <c r="BKG124" s="67"/>
      <c r="BKH124" s="67"/>
      <c r="BKI124" s="67"/>
      <c r="BKJ124" s="67"/>
      <c r="BKK124" s="67"/>
      <c r="BKL124" s="67"/>
      <c r="BKM124" s="67"/>
      <c r="BKN124" s="67"/>
      <c r="BKO124" s="67"/>
      <c r="BKP124" s="67"/>
      <c r="BKQ124" s="67"/>
      <c r="BKR124" s="67"/>
      <c r="BKS124" s="67"/>
      <c r="BKT124" s="67"/>
      <c r="BKU124" s="67"/>
      <c r="BKV124" s="67"/>
      <c r="BKW124" s="67"/>
      <c r="BKX124" s="67"/>
      <c r="BKY124" s="67"/>
      <c r="BKZ124" s="67"/>
      <c r="BLA124" s="67"/>
      <c r="BLB124" s="67"/>
      <c r="BLC124" s="67"/>
      <c r="BLD124" s="67"/>
      <c r="BLE124" s="67"/>
      <c r="BLF124" s="67"/>
      <c r="BLG124" s="67"/>
      <c r="BLH124" s="67"/>
      <c r="BLI124" s="67"/>
      <c r="BLJ124" s="67"/>
      <c r="BLK124" s="67"/>
      <c r="BLL124" s="67"/>
      <c r="BLM124" s="67"/>
      <c r="BLN124" s="67"/>
      <c r="BLO124" s="67"/>
      <c r="BLP124" s="67"/>
      <c r="BLQ124" s="67"/>
      <c r="BLR124" s="67"/>
      <c r="BLS124" s="67"/>
      <c r="BLT124" s="67"/>
      <c r="BLU124" s="67"/>
      <c r="BLV124" s="67"/>
      <c r="BLW124" s="67"/>
      <c r="BLX124" s="67"/>
      <c r="BLY124" s="67"/>
      <c r="BLZ124" s="67"/>
      <c r="BMA124" s="67"/>
      <c r="BMB124" s="67"/>
      <c r="BMC124" s="67"/>
      <c r="BMD124" s="67"/>
      <c r="BME124" s="67"/>
      <c r="BMF124" s="67"/>
      <c r="BMG124" s="67"/>
      <c r="BMH124" s="67"/>
      <c r="BMI124" s="67"/>
      <c r="BMJ124" s="67"/>
      <c r="BMK124" s="67"/>
      <c r="BML124" s="67"/>
      <c r="BMM124" s="67"/>
      <c r="BMN124" s="67"/>
      <c r="BMO124" s="67"/>
      <c r="BMP124" s="67"/>
      <c r="BMQ124" s="67"/>
      <c r="BMR124" s="67"/>
      <c r="BMS124" s="67"/>
      <c r="BMT124" s="67"/>
      <c r="BMU124" s="67"/>
      <c r="BMV124" s="67"/>
      <c r="BMW124" s="67"/>
      <c r="BMX124" s="67"/>
      <c r="BMY124" s="67"/>
      <c r="BMZ124" s="67"/>
      <c r="BNA124" s="67"/>
      <c r="BNB124" s="67"/>
      <c r="BNC124" s="67"/>
      <c r="BND124" s="67"/>
      <c r="BNE124" s="67"/>
      <c r="BNF124" s="67"/>
      <c r="BNG124" s="67"/>
      <c r="BNH124" s="67"/>
      <c r="BNI124" s="67"/>
      <c r="BNJ124" s="67"/>
      <c r="BNK124" s="67"/>
      <c r="BNL124" s="67"/>
      <c r="BNM124" s="67"/>
      <c r="BNN124" s="67"/>
      <c r="BNO124" s="67"/>
      <c r="BNP124" s="67"/>
      <c r="BNQ124" s="67"/>
      <c r="BNR124" s="67"/>
      <c r="BNS124" s="67"/>
      <c r="BNT124" s="67"/>
      <c r="BNU124" s="67"/>
      <c r="BNV124" s="67"/>
      <c r="BNW124" s="67"/>
      <c r="BNX124" s="67"/>
      <c r="BNY124" s="67"/>
      <c r="BNZ124" s="67"/>
      <c r="BOA124" s="67"/>
      <c r="BOB124" s="67"/>
      <c r="BOC124" s="67"/>
      <c r="BOD124" s="67"/>
      <c r="BOE124" s="67"/>
      <c r="BOF124" s="67"/>
      <c r="BOG124" s="67"/>
      <c r="BOH124" s="67"/>
      <c r="BOI124" s="67"/>
      <c r="BOJ124" s="67"/>
      <c r="BOK124" s="67"/>
      <c r="BOL124" s="67"/>
      <c r="BOM124" s="67"/>
      <c r="BON124" s="67"/>
      <c r="BOO124" s="67"/>
      <c r="BOP124" s="67"/>
      <c r="BOQ124" s="67"/>
      <c r="BOR124" s="67"/>
      <c r="BOS124" s="67"/>
      <c r="BOT124" s="67"/>
      <c r="BOU124" s="67"/>
      <c r="BOV124" s="67"/>
      <c r="BOW124" s="67"/>
      <c r="BOX124" s="67"/>
      <c r="BOY124" s="67"/>
      <c r="BOZ124" s="67"/>
      <c r="BPA124" s="67"/>
      <c r="BPB124" s="67"/>
      <c r="BPC124" s="67"/>
      <c r="BPD124" s="67"/>
      <c r="BPE124" s="67"/>
      <c r="BPF124" s="67"/>
      <c r="BPG124" s="67"/>
      <c r="BPH124" s="67"/>
      <c r="BPI124" s="67"/>
      <c r="BPJ124" s="67"/>
      <c r="BPK124" s="67"/>
      <c r="BPL124" s="67"/>
      <c r="BPM124" s="67"/>
      <c r="BPN124" s="67"/>
      <c r="BPO124" s="67"/>
      <c r="BPP124" s="67"/>
      <c r="BPQ124" s="67"/>
      <c r="BPR124" s="67"/>
      <c r="BPS124" s="67"/>
      <c r="BPT124" s="67"/>
      <c r="BPU124" s="67"/>
      <c r="BPV124" s="67"/>
      <c r="BPW124" s="67"/>
      <c r="BPX124" s="67"/>
      <c r="BPY124" s="67"/>
      <c r="BPZ124" s="67"/>
      <c r="BQA124" s="67"/>
      <c r="BQB124" s="67"/>
      <c r="BQC124" s="67"/>
      <c r="BQD124" s="67"/>
      <c r="BQE124" s="67"/>
      <c r="BQF124" s="67"/>
      <c r="BQG124" s="67"/>
      <c r="BQH124" s="67"/>
      <c r="BQI124" s="67"/>
      <c r="BQJ124" s="67"/>
      <c r="BQK124" s="67"/>
      <c r="BQL124" s="67"/>
      <c r="BQM124" s="67"/>
      <c r="BQN124" s="67"/>
      <c r="BQO124" s="67"/>
      <c r="BQP124" s="67"/>
      <c r="BQQ124" s="67"/>
      <c r="BQR124" s="67"/>
      <c r="BQS124" s="67"/>
      <c r="BQT124" s="67"/>
      <c r="BQU124" s="67"/>
      <c r="BQV124" s="67"/>
      <c r="BQW124" s="67"/>
      <c r="BQX124" s="67"/>
      <c r="BQY124" s="67"/>
      <c r="BQZ124" s="67"/>
      <c r="BRA124" s="67"/>
      <c r="BRB124" s="67"/>
      <c r="BRC124" s="67"/>
      <c r="BRD124" s="67"/>
      <c r="BRE124" s="67"/>
      <c r="BRF124" s="67"/>
      <c r="BRG124" s="67"/>
      <c r="BRH124" s="67"/>
      <c r="BRI124" s="67"/>
      <c r="BRJ124" s="67"/>
      <c r="BRK124" s="67"/>
      <c r="BRL124" s="67"/>
      <c r="BRM124" s="67"/>
      <c r="BRN124" s="67"/>
      <c r="BRO124" s="67"/>
      <c r="BRP124" s="67"/>
      <c r="BRQ124" s="67"/>
      <c r="BRR124" s="67"/>
      <c r="BRS124" s="67"/>
      <c r="BRT124" s="67"/>
      <c r="BRU124" s="67"/>
      <c r="BRV124" s="67"/>
      <c r="BRW124" s="67"/>
      <c r="BRX124" s="67"/>
      <c r="BRY124" s="67"/>
      <c r="BRZ124" s="67"/>
      <c r="BSA124" s="67"/>
      <c r="BSB124" s="67"/>
      <c r="BSC124" s="67"/>
      <c r="BSD124" s="67"/>
      <c r="BSE124" s="67"/>
      <c r="BSF124" s="67"/>
      <c r="BSG124" s="67"/>
      <c r="BSH124" s="67"/>
      <c r="BSI124" s="67"/>
      <c r="BSJ124" s="67"/>
      <c r="BSK124" s="67"/>
      <c r="BSL124" s="67"/>
      <c r="BSM124" s="67"/>
      <c r="BSN124" s="67"/>
      <c r="BSO124" s="67"/>
      <c r="BSP124" s="67"/>
      <c r="BSQ124" s="67"/>
      <c r="BSR124" s="67"/>
      <c r="BSS124" s="67"/>
      <c r="BST124" s="67"/>
      <c r="BSU124" s="67"/>
      <c r="BSV124" s="67"/>
      <c r="BSW124" s="67"/>
      <c r="BSX124" s="67"/>
      <c r="BSY124" s="67"/>
      <c r="BSZ124" s="67"/>
      <c r="BTA124" s="67"/>
      <c r="BTB124" s="67"/>
      <c r="BTC124" s="67"/>
      <c r="BTD124" s="67"/>
      <c r="BTE124" s="67"/>
      <c r="BTF124" s="67"/>
      <c r="BTG124" s="67"/>
      <c r="BTH124" s="67"/>
      <c r="BTI124" s="67"/>
      <c r="BTJ124" s="67"/>
      <c r="BTK124" s="67"/>
      <c r="BTL124" s="67"/>
      <c r="BTM124" s="67"/>
      <c r="BTN124" s="67"/>
      <c r="BTO124" s="67"/>
      <c r="BTP124" s="67"/>
      <c r="BTQ124" s="67"/>
      <c r="BTR124" s="67"/>
      <c r="BTS124" s="67"/>
      <c r="BTT124" s="67"/>
      <c r="BTU124" s="67"/>
      <c r="BTV124" s="67"/>
      <c r="BTW124" s="67"/>
      <c r="BTX124" s="67"/>
      <c r="BTY124" s="67"/>
      <c r="BTZ124" s="67"/>
      <c r="BUA124" s="67"/>
      <c r="BUB124" s="67"/>
      <c r="BUC124" s="67"/>
      <c r="BUD124" s="67"/>
      <c r="BUE124" s="67"/>
      <c r="BUF124" s="67"/>
      <c r="BUG124" s="67"/>
      <c r="BUH124" s="67"/>
      <c r="BUI124" s="67"/>
      <c r="BUJ124" s="67"/>
      <c r="BUK124" s="67"/>
      <c r="BUL124" s="67"/>
      <c r="BUM124" s="67"/>
      <c r="BUN124" s="67"/>
      <c r="BUO124" s="67"/>
      <c r="BUP124" s="67"/>
      <c r="BUQ124" s="67"/>
      <c r="BUR124" s="67"/>
      <c r="BUS124" s="67"/>
      <c r="BUT124" s="67"/>
      <c r="BUU124" s="67"/>
      <c r="BUV124" s="67"/>
      <c r="BUW124" s="67"/>
      <c r="BUX124" s="67"/>
      <c r="BUY124" s="67"/>
      <c r="BUZ124" s="67"/>
      <c r="BVA124" s="67"/>
      <c r="BVB124" s="67"/>
      <c r="BVC124" s="67"/>
      <c r="BVD124" s="67"/>
      <c r="BVE124" s="67"/>
      <c r="BVF124" s="67"/>
      <c r="BVG124" s="67"/>
      <c r="BVH124" s="67"/>
      <c r="BVI124" s="67"/>
      <c r="BVJ124" s="67"/>
      <c r="BVK124" s="67"/>
      <c r="BVL124" s="67"/>
      <c r="BVM124" s="67"/>
      <c r="BVN124" s="67"/>
      <c r="BVO124" s="67"/>
      <c r="BVP124" s="67"/>
      <c r="BVQ124" s="67"/>
      <c r="BVR124" s="67"/>
      <c r="BVS124" s="67"/>
      <c r="BVT124" s="67"/>
      <c r="BVU124" s="67"/>
      <c r="BVV124" s="67"/>
      <c r="BVW124" s="67"/>
      <c r="BVX124" s="67"/>
      <c r="BVY124" s="67"/>
      <c r="BVZ124" s="67"/>
      <c r="BWA124" s="67"/>
      <c r="BWB124" s="67"/>
      <c r="BWC124" s="67"/>
      <c r="BWD124" s="67"/>
      <c r="BWE124" s="67"/>
      <c r="BWF124" s="67"/>
      <c r="BWG124" s="67"/>
      <c r="BWH124" s="67"/>
      <c r="BWI124" s="67"/>
      <c r="BWJ124" s="67"/>
      <c r="BWK124" s="67"/>
      <c r="BWL124" s="67"/>
      <c r="BWM124" s="67"/>
      <c r="BWN124" s="67"/>
      <c r="BWO124" s="67"/>
      <c r="BWP124" s="67"/>
      <c r="BWQ124" s="67"/>
      <c r="BWR124" s="67"/>
      <c r="BWS124" s="67"/>
      <c r="BWT124" s="67"/>
      <c r="BWU124" s="67"/>
      <c r="BWV124" s="67"/>
      <c r="BWW124" s="67"/>
      <c r="BWX124" s="67"/>
      <c r="BWY124" s="67"/>
      <c r="BWZ124" s="67"/>
      <c r="BXA124" s="67"/>
      <c r="BXB124" s="67"/>
      <c r="BXC124" s="67"/>
      <c r="BXD124" s="67"/>
      <c r="BXE124" s="67"/>
      <c r="BXF124" s="67"/>
      <c r="BXG124" s="67"/>
      <c r="BXH124" s="67"/>
      <c r="BXI124" s="67"/>
      <c r="BXJ124" s="67"/>
      <c r="BXK124" s="67"/>
      <c r="BXL124" s="67"/>
      <c r="BXM124" s="67"/>
      <c r="BXN124" s="67"/>
      <c r="BXO124" s="67"/>
      <c r="BXP124" s="67"/>
      <c r="BXQ124" s="67"/>
      <c r="BXR124" s="67"/>
      <c r="BXS124" s="67"/>
      <c r="BXT124" s="67"/>
      <c r="BXU124" s="67"/>
      <c r="BXV124" s="67"/>
      <c r="BXW124" s="67"/>
      <c r="BXX124" s="67"/>
      <c r="BXY124" s="67"/>
      <c r="BXZ124" s="67"/>
      <c r="BYA124" s="67"/>
      <c r="BYB124" s="67"/>
      <c r="BYC124" s="67"/>
      <c r="BYD124" s="67"/>
      <c r="BYE124" s="67"/>
      <c r="BYF124" s="67"/>
      <c r="BYG124" s="67"/>
      <c r="BYH124" s="67"/>
      <c r="BYI124" s="67"/>
      <c r="BYJ124" s="67"/>
      <c r="BYK124" s="67"/>
      <c r="BYL124" s="67"/>
      <c r="BYM124" s="67"/>
      <c r="BYN124" s="67"/>
      <c r="BYO124" s="67"/>
      <c r="BYP124" s="67"/>
      <c r="BYQ124" s="67"/>
      <c r="BYR124" s="67"/>
      <c r="BYS124" s="67"/>
      <c r="BYT124" s="67"/>
      <c r="BYU124" s="67"/>
      <c r="BYV124" s="67"/>
      <c r="BYW124" s="67"/>
      <c r="BYX124" s="67"/>
      <c r="BYY124" s="67"/>
      <c r="BYZ124" s="67"/>
      <c r="BZA124" s="67"/>
      <c r="BZB124" s="67"/>
      <c r="BZC124" s="67"/>
      <c r="BZD124" s="67"/>
      <c r="BZE124" s="67"/>
      <c r="BZF124" s="67"/>
      <c r="BZG124" s="67"/>
      <c r="BZH124" s="67"/>
      <c r="BZI124" s="67"/>
      <c r="BZJ124" s="67"/>
      <c r="BZK124" s="67"/>
      <c r="BZL124" s="67"/>
      <c r="BZM124" s="67"/>
      <c r="BZN124" s="67"/>
      <c r="BZO124" s="67"/>
      <c r="BZP124" s="67"/>
      <c r="BZQ124" s="67"/>
      <c r="BZR124" s="67"/>
      <c r="BZS124" s="67"/>
      <c r="BZT124" s="67"/>
      <c r="BZU124" s="67"/>
      <c r="BZV124" s="67"/>
      <c r="BZW124" s="67"/>
      <c r="BZX124" s="67"/>
      <c r="BZY124" s="67"/>
      <c r="BZZ124" s="67"/>
      <c r="CAA124" s="67"/>
      <c r="CAB124" s="67"/>
      <c r="CAC124" s="67"/>
      <c r="CAD124" s="67"/>
      <c r="CAE124" s="67"/>
      <c r="CAF124" s="67"/>
      <c r="CAG124" s="67"/>
      <c r="CAH124" s="67"/>
      <c r="CAI124" s="67"/>
      <c r="CAJ124" s="67"/>
      <c r="CAK124" s="67"/>
      <c r="CAL124" s="67"/>
      <c r="CAM124" s="67"/>
      <c r="CAN124" s="67"/>
      <c r="CAO124" s="67"/>
      <c r="CAP124" s="67"/>
      <c r="CAQ124" s="67"/>
      <c r="CAR124" s="67"/>
      <c r="CAS124" s="67"/>
      <c r="CAT124" s="67"/>
      <c r="CAU124" s="67"/>
      <c r="CAV124" s="67"/>
      <c r="CAW124" s="67"/>
      <c r="CAX124" s="67"/>
      <c r="CAY124" s="67"/>
      <c r="CAZ124" s="67"/>
      <c r="CBA124" s="67"/>
      <c r="CBB124" s="67"/>
      <c r="CBC124" s="67"/>
      <c r="CBD124" s="67"/>
      <c r="CBE124" s="67"/>
      <c r="CBF124" s="67"/>
      <c r="CBG124" s="67"/>
      <c r="CBH124" s="67"/>
      <c r="CBI124" s="67"/>
      <c r="CBJ124" s="67"/>
      <c r="CBK124" s="67"/>
      <c r="CBL124" s="67"/>
      <c r="CBM124" s="67"/>
      <c r="CBN124" s="67"/>
      <c r="CBO124" s="67"/>
      <c r="CBP124" s="67"/>
      <c r="CBQ124" s="67"/>
      <c r="CBR124" s="67"/>
      <c r="CBS124" s="67"/>
      <c r="CBT124" s="67"/>
      <c r="CBU124" s="67"/>
      <c r="CBV124" s="67"/>
      <c r="CBW124" s="67"/>
      <c r="CBX124" s="67"/>
      <c r="CBY124" s="67"/>
      <c r="CBZ124" s="67"/>
      <c r="CCA124" s="67"/>
      <c r="CCB124" s="67"/>
      <c r="CCC124" s="67"/>
      <c r="CCD124" s="67"/>
      <c r="CCE124" s="67"/>
      <c r="CCF124" s="67"/>
      <c r="CCG124" s="67"/>
      <c r="CCH124" s="67"/>
      <c r="CCI124" s="67"/>
      <c r="CCJ124" s="67"/>
      <c r="CCK124" s="67"/>
      <c r="CCL124" s="67"/>
      <c r="CCM124" s="67"/>
      <c r="CCN124" s="67"/>
      <c r="CCO124" s="67"/>
      <c r="CCP124" s="67"/>
      <c r="CCQ124" s="67"/>
      <c r="CCR124" s="67"/>
      <c r="CCS124" s="67"/>
      <c r="CCT124" s="67"/>
      <c r="CCU124" s="67"/>
      <c r="CCV124" s="67"/>
      <c r="CCW124" s="67"/>
      <c r="CCX124" s="67"/>
      <c r="CCY124" s="67"/>
      <c r="CCZ124" s="67"/>
      <c r="CDA124" s="67"/>
      <c r="CDB124" s="67"/>
      <c r="CDC124" s="67"/>
      <c r="CDD124" s="67"/>
      <c r="CDE124" s="67"/>
      <c r="CDF124" s="67"/>
      <c r="CDG124" s="67"/>
      <c r="CDH124" s="67"/>
      <c r="CDI124" s="67"/>
      <c r="CDJ124" s="67"/>
      <c r="CDK124" s="67"/>
      <c r="CDL124" s="67"/>
      <c r="CDM124" s="67"/>
      <c r="CDN124" s="67"/>
      <c r="CDO124" s="67"/>
      <c r="CDP124" s="67"/>
      <c r="CDQ124" s="67"/>
      <c r="CDR124" s="67"/>
      <c r="CDS124" s="67"/>
      <c r="CDT124" s="67"/>
      <c r="CDU124" s="67"/>
      <c r="CDV124" s="67"/>
      <c r="CDW124" s="67"/>
      <c r="CDX124" s="67"/>
      <c r="CDY124" s="67"/>
      <c r="CDZ124" s="67"/>
      <c r="CEA124" s="67"/>
      <c r="CEB124" s="67"/>
      <c r="CEC124" s="67"/>
      <c r="CED124" s="67"/>
      <c r="CEE124" s="67"/>
      <c r="CEF124" s="67"/>
      <c r="CEG124" s="67"/>
      <c r="CEH124" s="67"/>
      <c r="CEI124" s="67"/>
      <c r="CEJ124" s="67"/>
      <c r="CEK124" s="67"/>
      <c r="CEL124" s="67"/>
      <c r="CEM124" s="67"/>
      <c r="CEN124" s="67"/>
      <c r="CEO124" s="67"/>
      <c r="CEP124" s="67"/>
      <c r="CEQ124" s="67"/>
      <c r="CER124" s="67"/>
      <c r="CES124" s="67"/>
      <c r="CET124" s="67"/>
      <c r="CEU124" s="67"/>
      <c r="CEV124" s="67"/>
      <c r="CEW124" s="67"/>
      <c r="CEX124" s="67"/>
      <c r="CEY124" s="67"/>
      <c r="CEZ124" s="67"/>
      <c r="CFA124" s="67"/>
      <c r="CFB124" s="67"/>
      <c r="CFC124" s="67"/>
      <c r="CFD124" s="67"/>
      <c r="CFE124" s="67"/>
      <c r="CFF124" s="67"/>
      <c r="CFG124" s="67"/>
      <c r="CFH124" s="67"/>
      <c r="CFI124" s="67"/>
      <c r="CFJ124" s="67"/>
      <c r="CFK124" s="67"/>
      <c r="CFL124" s="67"/>
      <c r="CFM124" s="67"/>
      <c r="CFN124" s="67"/>
      <c r="CFO124" s="67"/>
      <c r="CFP124" s="67"/>
      <c r="CFQ124" s="67"/>
      <c r="CFR124" s="67"/>
      <c r="CFS124" s="67"/>
      <c r="CFT124" s="67"/>
      <c r="CFU124" s="67"/>
      <c r="CFV124" s="67"/>
      <c r="CFW124" s="67"/>
      <c r="CFX124" s="67"/>
      <c r="CFY124" s="67"/>
      <c r="CFZ124" s="67"/>
      <c r="CGA124" s="67"/>
      <c r="CGB124" s="67"/>
      <c r="CGC124" s="67"/>
      <c r="CGD124" s="67"/>
      <c r="CGE124" s="67"/>
      <c r="CGF124" s="67"/>
      <c r="CGG124" s="67"/>
      <c r="CGH124" s="67"/>
      <c r="CGI124" s="67"/>
      <c r="CGJ124" s="67"/>
      <c r="CGK124" s="67"/>
      <c r="CGL124" s="67"/>
      <c r="CGM124" s="67"/>
      <c r="CGN124" s="67"/>
      <c r="CGO124" s="67"/>
      <c r="CGP124" s="67"/>
      <c r="CGQ124" s="67"/>
      <c r="CGR124" s="67"/>
      <c r="CGS124" s="67"/>
      <c r="CGT124" s="67"/>
      <c r="CGU124" s="67"/>
      <c r="CGV124" s="67"/>
      <c r="CGW124" s="67"/>
      <c r="CGX124" s="67"/>
      <c r="CGY124" s="67"/>
      <c r="CGZ124" s="67"/>
      <c r="CHA124" s="67"/>
      <c r="CHB124" s="67"/>
      <c r="CHC124" s="67"/>
      <c r="CHD124" s="67"/>
      <c r="CHE124" s="67"/>
      <c r="CHF124" s="67"/>
      <c r="CHG124" s="67"/>
      <c r="CHH124" s="67"/>
      <c r="CHI124" s="67"/>
      <c r="CHJ124" s="67"/>
      <c r="CHK124" s="67"/>
      <c r="CHL124" s="67"/>
      <c r="CHM124" s="67"/>
      <c r="CHN124" s="67"/>
      <c r="CHO124" s="67"/>
      <c r="CHP124" s="67"/>
      <c r="CHQ124" s="67"/>
      <c r="CHR124" s="67"/>
      <c r="CHS124" s="67"/>
      <c r="CHT124" s="67"/>
      <c r="CHU124" s="67"/>
      <c r="CHV124" s="67"/>
      <c r="CHW124" s="67"/>
      <c r="CHX124" s="67"/>
      <c r="CHY124" s="67"/>
      <c r="CHZ124" s="67"/>
      <c r="CIA124" s="67"/>
      <c r="CIB124" s="67"/>
      <c r="CIC124" s="67"/>
      <c r="CID124" s="67"/>
      <c r="CIE124" s="67"/>
      <c r="CIF124" s="67"/>
      <c r="CIG124" s="67"/>
      <c r="CIH124" s="67"/>
      <c r="CII124" s="67"/>
      <c r="CIJ124" s="67"/>
      <c r="CIK124" s="67"/>
      <c r="CIL124" s="67"/>
      <c r="CIM124" s="67"/>
      <c r="CIN124" s="67"/>
      <c r="CIO124" s="67"/>
      <c r="CIP124" s="67"/>
      <c r="CIQ124" s="67"/>
      <c r="CIR124" s="67"/>
      <c r="CIS124" s="67"/>
      <c r="CIT124" s="67"/>
      <c r="CIU124" s="67"/>
      <c r="CIV124" s="67"/>
      <c r="CIW124" s="67"/>
      <c r="CIX124" s="67"/>
      <c r="CIY124" s="67"/>
      <c r="CIZ124" s="67"/>
      <c r="CJA124" s="67"/>
      <c r="CJB124" s="67"/>
      <c r="CJC124" s="67"/>
      <c r="CJD124" s="67"/>
      <c r="CJE124" s="67"/>
      <c r="CJF124" s="67"/>
      <c r="CJG124" s="67"/>
      <c r="CJH124" s="67"/>
      <c r="CJI124" s="67"/>
      <c r="CJJ124" s="67"/>
      <c r="CJK124" s="67"/>
      <c r="CJL124" s="67"/>
      <c r="CJM124" s="67"/>
      <c r="CJN124" s="67"/>
      <c r="CJO124" s="67"/>
      <c r="CJP124" s="67"/>
      <c r="CJQ124" s="67"/>
      <c r="CJR124" s="67"/>
      <c r="CJS124" s="67"/>
      <c r="CJT124" s="67"/>
      <c r="CJU124" s="67"/>
      <c r="CJV124" s="67"/>
      <c r="CJW124" s="67"/>
      <c r="CJX124" s="67"/>
      <c r="CJY124" s="67"/>
      <c r="CJZ124" s="67"/>
      <c r="CKA124" s="67"/>
      <c r="CKB124" s="67"/>
      <c r="CKC124" s="67"/>
      <c r="CKD124" s="67"/>
      <c r="CKE124" s="67"/>
      <c r="CKF124" s="67"/>
      <c r="CKG124" s="67"/>
      <c r="CKH124" s="67"/>
      <c r="CKI124" s="67"/>
      <c r="CKJ124" s="67"/>
      <c r="CKK124" s="67"/>
      <c r="CKL124" s="67"/>
      <c r="CKM124" s="67"/>
      <c r="CKN124" s="67"/>
      <c r="CKO124" s="67"/>
      <c r="CKP124" s="67"/>
      <c r="CKQ124" s="67"/>
      <c r="CKR124" s="67"/>
      <c r="CKS124" s="67"/>
      <c r="CKT124" s="67"/>
      <c r="CKU124" s="67"/>
      <c r="CKV124" s="67"/>
      <c r="CKW124" s="67"/>
      <c r="CKX124" s="67"/>
      <c r="CKY124" s="67"/>
      <c r="CKZ124" s="67"/>
      <c r="CLA124" s="67"/>
      <c r="CLB124" s="67"/>
      <c r="CLC124" s="67"/>
      <c r="CLD124" s="67"/>
      <c r="CLE124" s="67"/>
      <c r="CLF124" s="67"/>
      <c r="CLG124" s="67"/>
      <c r="CLH124" s="67"/>
      <c r="CLI124" s="67"/>
      <c r="CLJ124" s="67"/>
      <c r="CLK124" s="67"/>
      <c r="CLL124" s="67"/>
      <c r="CLM124" s="67"/>
      <c r="CLN124" s="67"/>
      <c r="CLO124" s="67"/>
      <c r="CLP124" s="67"/>
      <c r="CLQ124" s="67"/>
      <c r="CLR124" s="67"/>
      <c r="CLS124" s="67"/>
      <c r="CLT124" s="67"/>
      <c r="CLU124" s="67"/>
      <c r="CLV124" s="67"/>
      <c r="CLW124" s="67"/>
      <c r="CLX124" s="67"/>
      <c r="CLY124" s="67"/>
      <c r="CLZ124" s="67"/>
      <c r="CMA124" s="67"/>
      <c r="CMB124" s="67"/>
      <c r="CMC124" s="67"/>
      <c r="CMD124" s="67"/>
      <c r="CME124" s="67"/>
      <c r="CMF124" s="67"/>
      <c r="CMG124" s="67"/>
      <c r="CMH124" s="67"/>
      <c r="CMI124" s="67"/>
      <c r="CMJ124" s="67"/>
      <c r="CMK124" s="67"/>
      <c r="CML124" s="67"/>
      <c r="CMM124" s="67"/>
      <c r="CMN124" s="67"/>
      <c r="CMO124" s="67"/>
      <c r="CMP124" s="67"/>
      <c r="CMQ124" s="67"/>
      <c r="CMR124" s="67"/>
      <c r="CMS124" s="67"/>
      <c r="CMT124" s="67"/>
      <c r="CMU124" s="67"/>
      <c r="CMV124" s="67"/>
      <c r="CMW124" s="67"/>
      <c r="CMX124" s="67"/>
      <c r="CMY124" s="67"/>
      <c r="CMZ124" s="67"/>
      <c r="CNA124" s="67"/>
      <c r="CNB124" s="67"/>
      <c r="CNC124" s="67"/>
      <c r="CND124" s="67"/>
      <c r="CNE124" s="67"/>
      <c r="CNF124" s="67"/>
      <c r="CNG124" s="67"/>
      <c r="CNH124" s="67"/>
      <c r="CNI124" s="67"/>
      <c r="CNJ124" s="67"/>
      <c r="CNK124" s="67"/>
      <c r="CNL124" s="67"/>
      <c r="CNM124" s="67"/>
      <c r="CNN124" s="67"/>
      <c r="CNO124" s="67"/>
      <c r="CNP124" s="67"/>
      <c r="CNQ124" s="67"/>
      <c r="CNR124" s="67"/>
      <c r="CNS124" s="67"/>
      <c r="CNT124" s="67"/>
      <c r="CNU124" s="67"/>
      <c r="CNV124" s="67"/>
      <c r="CNW124" s="67"/>
      <c r="CNX124" s="67"/>
      <c r="CNY124" s="67"/>
      <c r="CNZ124" s="67"/>
      <c r="COA124" s="67"/>
      <c r="COB124" s="67"/>
      <c r="COC124" s="67"/>
      <c r="COD124" s="67"/>
      <c r="COE124" s="67"/>
      <c r="COF124" s="67"/>
      <c r="COG124" s="67"/>
      <c r="COH124" s="67"/>
      <c r="COI124" s="67"/>
      <c r="COJ124" s="67"/>
      <c r="COK124" s="67"/>
      <c r="COL124" s="67"/>
      <c r="COM124" s="67"/>
      <c r="CON124" s="67"/>
      <c r="COO124" s="67"/>
      <c r="COP124" s="67"/>
      <c r="COQ124" s="67"/>
      <c r="COR124" s="67"/>
      <c r="COS124" s="67"/>
      <c r="COT124" s="67"/>
      <c r="COU124" s="67"/>
      <c r="COV124" s="67"/>
      <c r="COW124" s="67"/>
      <c r="COX124" s="67"/>
      <c r="COY124" s="67"/>
      <c r="COZ124" s="67"/>
      <c r="CPA124" s="67"/>
      <c r="CPB124" s="67"/>
      <c r="CPC124" s="67"/>
      <c r="CPD124" s="67"/>
      <c r="CPE124" s="67"/>
      <c r="CPF124" s="67"/>
      <c r="CPG124" s="67"/>
      <c r="CPH124" s="67"/>
      <c r="CPI124" s="67"/>
      <c r="CPJ124" s="67"/>
      <c r="CPK124" s="67"/>
      <c r="CPL124" s="67"/>
      <c r="CPM124" s="67"/>
      <c r="CPN124" s="67"/>
      <c r="CPO124" s="67"/>
      <c r="CPP124" s="67"/>
      <c r="CPQ124" s="67"/>
      <c r="CPR124" s="67"/>
      <c r="CPS124" s="67"/>
      <c r="CPT124" s="67"/>
      <c r="CPU124" s="67"/>
      <c r="CPV124" s="67"/>
      <c r="CPW124" s="67"/>
      <c r="CPX124" s="67"/>
      <c r="CPY124" s="67"/>
      <c r="CPZ124" s="67"/>
      <c r="CQA124" s="67"/>
      <c r="CQB124" s="67"/>
      <c r="CQC124" s="67"/>
      <c r="CQD124" s="67"/>
      <c r="CQE124" s="67"/>
      <c r="CQF124" s="67"/>
      <c r="CQG124" s="67"/>
      <c r="CQH124" s="67"/>
      <c r="CQI124" s="67"/>
      <c r="CQJ124" s="67"/>
      <c r="CQK124" s="67"/>
      <c r="CQL124" s="67"/>
      <c r="CQM124" s="67"/>
      <c r="CQN124" s="67"/>
      <c r="CQO124" s="67"/>
      <c r="CQP124" s="67"/>
      <c r="CQQ124" s="67"/>
      <c r="CQR124" s="67"/>
      <c r="CQS124" s="67"/>
      <c r="CQT124" s="67"/>
      <c r="CQU124" s="67"/>
      <c r="CQV124" s="67"/>
      <c r="CQW124" s="67"/>
      <c r="CQX124" s="67"/>
      <c r="CQY124" s="67"/>
      <c r="CQZ124" s="67"/>
      <c r="CRA124" s="67"/>
      <c r="CRB124" s="67"/>
      <c r="CRC124" s="67"/>
      <c r="CRD124" s="67"/>
      <c r="CRE124" s="67"/>
      <c r="CRF124" s="67"/>
      <c r="CRG124" s="67"/>
      <c r="CRH124" s="67"/>
      <c r="CRI124" s="67"/>
      <c r="CRJ124" s="67"/>
      <c r="CRK124" s="67"/>
      <c r="CRL124" s="67"/>
      <c r="CRM124" s="67"/>
      <c r="CRN124" s="67"/>
      <c r="CRO124" s="67"/>
      <c r="CRP124" s="67"/>
      <c r="CRQ124" s="67"/>
      <c r="CRR124" s="67"/>
      <c r="CRS124" s="67"/>
      <c r="CRT124" s="67"/>
      <c r="CRU124" s="67"/>
      <c r="CRV124" s="67"/>
      <c r="CRW124" s="67"/>
      <c r="CRX124" s="67"/>
      <c r="CRY124" s="67"/>
      <c r="CRZ124" s="67"/>
      <c r="CSA124" s="67"/>
      <c r="CSB124" s="67"/>
      <c r="CSC124" s="67"/>
      <c r="CSD124" s="67"/>
      <c r="CSE124" s="67"/>
      <c r="CSF124" s="67"/>
      <c r="CSG124" s="67"/>
      <c r="CSH124" s="67"/>
      <c r="CSI124" s="67"/>
      <c r="CSJ124" s="67"/>
      <c r="CSK124" s="67"/>
      <c r="CSL124" s="67"/>
      <c r="CSM124" s="67"/>
      <c r="CSN124" s="67"/>
      <c r="CSO124" s="67"/>
      <c r="CSP124" s="67"/>
      <c r="CSQ124" s="67"/>
      <c r="CSR124" s="67"/>
      <c r="CSS124" s="67"/>
      <c r="CST124" s="67"/>
      <c r="CSU124" s="67"/>
      <c r="CSV124" s="67"/>
      <c r="CSW124" s="67"/>
      <c r="CSX124" s="67"/>
      <c r="CSY124" s="67"/>
      <c r="CSZ124" s="67"/>
      <c r="CTA124" s="67"/>
      <c r="CTB124" s="67"/>
      <c r="CTC124" s="67"/>
      <c r="CTD124" s="67"/>
      <c r="CTE124" s="67"/>
      <c r="CTF124" s="67"/>
      <c r="CTG124" s="67"/>
      <c r="CTH124" s="67"/>
      <c r="CTI124" s="67"/>
      <c r="CTJ124" s="67"/>
      <c r="CTK124" s="67"/>
      <c r="CTL124" s="67"/>
      <c r="CTM124" s="67"/>
      <c r="CTN124" s="67"/>
      <c r="CTO124" s="67"/>
      <c r="CTP124" s="67"/>
      <c r="CTQ124" s="67"/>
      <c r="CTR124" s="67"/>
      <c r="CTS124" s="67"/>
      <c r="CTT124" s="67"/>
      <c r="CTU124" s="67"/>
      <c r="CTV124" s="67"/>
      <c r="CTW124" s="67"/>
      <c r="CTX124" s="67"/>
      <c r="CTY124" s="67"/>
      <c r="CTZ124" s="67"/>
      <c r="CUA124" s="67"/>
      <c r="CUB124" s="67"/>
      <c r="CUC124" s="67"/>
      <c r="CUD124" s="67"/>
      <c r="CUE124" s="67"/>
      <c r="CUF124" s="67"/>
      <c r="CUG124" s="67"/>
      <c r="CUH124" s="67"/>
      <c r="CUI124" s="67"/>
      <c r="CUJ124" s="67"/>
      <c r="CUK124" s="67"/>
      <c r="CUL124" s="67"/>
      <c r="CUM124" s="67"/>
      <c r="CUN124" s="67"/>
      <c r="CUO124" s="67"/>
      <c r="CUP124" s="67"/>
      <c r="CUQ124" s="67"/>
      <c r="CUR124" s="67"/>
      <c r="CUS124" s="67"/>
      <c r="CUT124" s="67"/>
      <c r="CUU124" s="67"/>
      <c r="CUV124" s="67"/>
      <c r="CUW124" s="67"/>
      <c r="CUX124" s="67"/>
      <c r="CUY124" s="67"/>
      <c r="CUZ124" s="67"/>
      <c r="CVA124" s="67"/>
      <c r="CVB124" s="67"/>
      <c r="CVC124" s="67"/>
      <c r="CVD124" s="67"/>
      <c r="CVE124" s="67"/>
      <c r="CVF124" s="67"/>
      <c r="CVG124" s="67"/>
      <c r="CVH124" s="67"/>
      <c r="CVI124" s="67"/>
      <c r="CVJ124" s="67"/>
      <c r="CVK124" s="67"/>
      <c r="CVL124" s="67"/>
      <c r="CVM124" s="67"/>
      <c r="CVN124" s="67"/>
      <c r="CVO124" s="67"/>
      <c r="CVP124" s="67"/>
      <c r="CVQ124" s="67"/>
      <c r="CVR124" s="67"/>
      <c r="CVS124" s="67"/>
      <c r="CVT124" s="67"/>
      <c r="CVU124" s="67"/>
      <c r="CVV124" s="67"/>
      <c r="CVW124" s="67"/>
      <c r="CVX124" s="67"/>
      <c r="CVY124" s="67"/>
      <c r="CVZ124" s="67"/>
      <c r="CWA124" s="67"/>
      <c r="CWB124" s="67"/>
      <c r="CWC124" s="67"/>
      <c r="CWD124" s="67"/>
      <c r="CWE124" s="67"/>
      <c r="CWF124" s="67"/>
      <c r="CWG124" s="67"/>
      <c r="CWH124" s="67"/>
      <c r="CWI124" s="67"/>
      <c r="CWJ124" s="67"/>
      <c r="CWK124" s="67"/>
      <c r="CWL124" s="67"/>
      <c r="CWM124" s="67"/>
      <c r="CWN124" s="67"/>
      <c r="CWO124" s="67"/>
      <c r="CWP124" s="67"/>
      <c r="CWQ124" s="67"/>
      <c r="CWR124" s="67"/>
      <c r="CWS124" s="67"/>
      <c r="CWT124" s="67"/>
      <c r="CWU124" s="67"/>
      <c r="CWV124" s="67"/>
      <c r="CWW124" s="67"/>
      <c r="CWX124" s="67"/>
      <c r="CWY124" s="67"/>
      <c r="CWZ124" s="67"/>
      <c r="CXA124" s="67"/>
      <c r="CXB124" s="67"/>
      <c r="CXC124" s="67"/>
      <c r="CXD124" s="67"/>
      <c r="CXE124" s="67"/>
      <c r="CXF124" s="67"/>
      <c r="CXG124" s="67"/>
      <c r="CXH124" s="67"/>
      <c r="CXI124" s="67"/>
      <c r="CXJ124" s="67"/>
      <c r="CXK124" s="67"/>
      <c r="CXL124" s="67"/>
      <c r="CXM124" s="67"/>
      <c r="CXN124" s="67"/>
      <c r="CXO124" s="67"/>
      <c r="CXP124" s="67"/>
      <c r="CXQ124" s="67"/>
      <c r="CXR124" s="67"/>
      <c r="CXS124" s="67"/>
      <c r="CXT124" s="67"/>
      <c r="CXU124" s="67"/>
      <c r="CXV124" s="67"/>
      <c r="CXW124" s="67"/>
      <c r="CXX124" s="67"/>
      <c r="CXY124" s="67"/>
      <c r="CXZ124" s="67"/>
      <c r="CYA124" s="67"/>
      <c r="CYB124" s="67"/>
      <c r="CYC124" s="67"/>
      <c r="CYD124" s="67"/>
      <c r="CYE124" s="67"/>
      <c r="CYF124" s="67"/>
      <c r="CYG124" s="67"/>
      <c r="CYH124" s="67"/>
      <c r="CYI124" s="67"/>
      <c r="CYJ124" s="67"/>
      <c r="CYK124" s="67"/>
      <c r="CYL124" s="67"/>
      <c r="CYM124" s="67"/>
      <c r="CYN124" s="67"/>
      <c r="CYO124" s="67"/>
      <c r="CYP124" s="67"/>
      <c r="CYQ124" s="67"/>
      <c r="CYR124" s="67"/>
      <c r="CYS124" s="67"/>
      <c r="CYT124" s="67"/>
      <c r="CYU124" s="67"/>
      <c r="CYV124" s="67"/>
      <c r="CYW124" s="67"/>
      <c r="CYX124" s="67"/>
      <c r="CYY124" s="67"/>
      <c r="CYZ124" s="67"/>
      <c r="CZA124" s="67"/>
      <c r="CZB124" s="67"/>
      <c r="CZC124" s="67"/>
      <c r="CZD124" s="67"/>
      <c r="CZE124" s="67"/>
      <c r="CZF124" s="67"/>
      <c r="CZG124" s="67"/>
      <c r="CZH124" s="67"/>
      <c r="CZI124" s="67"/>
      <c r="CZJ124" s="67"/>
      <c r="CZK124" s="67"/>
      <c r="CZL124" s="67"/>
      <c r="CZM124" s="67"/>
      <c r="CZN124" s="67"/>
      <c r="CZO124" s="67"/>
      <c r="CZP124" s="67"/>
      <c r="CZQ124" s="67"/>
      <c r="CZR124" s="67"/>
      <c r="CZS124" s="67"/>
      <c r="CZT124" s="67"/>
      <c r="CZU124" s="67"/>
      <c r="CZV124" s="67"/>
      <c r="CZW124" s="67"/>
      <c r="CZX124" s="67"/>
      <c r="CZY124" s="67"/>
      <c r="CZZ124" s="67"/>
      <c r="DAA124" s="67"/>
      <c r="DAB124" s="67"/>
      <c r="DAC124" s="67"/>
      <c r="DAD124" s="67"/>
      <c r="DAE124" s="67"/>
      <c r="DAF124" s="67"/>
      <c r="DAG124" s="67"/>
      <c r="DAH124" s="67"/>
      <c r="DAI124" s="67"/>
      <c r="DAJ124" s="67"/>
      <c r="DAK124" s="67"/>
      <c r="DAL124" s="67"/>
      <c r="DAM124" s="67"/>
      <c r="DAN124" s="67"/>
      <c r="DAO124" s="67"/>
      <c r="DAP124" s="67"/>
      <c r="DAQ124" s="67"/>
      <c r="DAR124" s="67"/>
      <c r="DAS124" s="67"/>
      <c r="DAT124" s="67"/>
      <c r="DAU124" s="67"/>
      <c r="DAV124" s="67"/>
      <c r="DAW124" s="67"/>
      <c r="DAX124" s="67"/>
      <c r="DAY124" s="67"/>
      <c r="DAZ124" s="67"/>
      <c r="DBA124" s="67"/>
      <c r="DBB124" s="67"/>
      <c r="DBC124" s="67"/>
      <c r="DBD124" s="67"/>
      <c r="DBE124" s="67"/>
      <c r="DBF124" s="67"/>
      <c r="DBG124" s="67"/>
      <c r="DBH124" s="67"/>
      <c r="DBI124" s="67"/>
      <c r="DBJ124" s="67"/>
      <c r="DBK124" s="67"/>
      <c r="DBL124" s="67"/>
      <c r="DBM124" s="67"/>
      <c r="DBN124" s="67"/>
      <c r="DBO124" s="67"/>
      <c r="DBP124" s="67"/>
      <c r="DBQ124" s="67"/>
      <c r="DBR124" s="67"/>
      <c r="DBS124" s="67"/>
      <c r="DBT124" s="67"/>
      <c r="DBU124" s="67"/>
      <c r="DBV124" s="67"/>
      <c r="DBW124" s="67"/>
      <c r="DBX124" s="67"/>
      <c r="DBY124" s="67"/>
      <c r="DBZ124" s="67"/>
      <c r="DCA124" s="67"/>
      <c r="DCB124" s="67"/>
      <c r="DCC124" s="67"/>
      <c r="DCD124" s="67"/>
      <c r="DCE124" s="67"/>
      <c r="DCF124" s="67"/>
      <c r="DCG124" s="67"/>
      <c r="DCH124" s="67"/>
      <c r="DCI124" s="67"/>
      <c r="DCJ124" s="67"/>
      <c r="DCK124" s="67"/>
      <c r="DCL124" s="67"/>
      <c r="DCM124" s="67"/>
      <c r="DCN124" s="67"/>
      <c r="DCO124" s="67"/>
      <c r="DCP124" s="67"/>
      <c r="DCQ124" s="67"/>
      <c r="DCR124" s="67"/>
      <c r="DCS124" s="67"/>
      <c r="DCT124" s="67"/>
      <c r="DCU124" s="67"/>
      <c r="DCV124" s="67"/>
      <c r="DCW124" s="67"/>
      <c r="DCX124" s="67"/>
      <c r="DCY124" s="67"/>
      <c r="DCZ124" s="67"/>
      <c r="DDA124" s="67"/>
      <c r="DDB124" s="67"/>
      <c r="DDC124" s="67"/>
      <c r="DDD124" s="67"/>
      <c r="DDE124" s="67"/>
      <c r="DDF124" s="67"/>
      <c r="DDG124" s="67"/>
      <c r="DDH124" s="67"/>
      <c r="DDI124" s="67"/>
      <c r="DDJ124" s="67"/>
      <c r="DDK124" s="67"/>
      <c r="DDL124" s="67"/>
      <c r="DDM124" s="67"/>
      <c r="DDN124" s="67"/>
      <c r="DDO124" s="67"/>
      <c r="DDP124" s="67"/>
      <c r="DDQ124" s="67"/>
      <c r="DDR124" s="67"/>
      <c r="DDS124" s="67"/>
      <c r="DDT124" s="67"/>
      <c r="DDU124" s="67"/>
      <c r="DDV124" s="67"/>
      <c r="DDW124" s="67"/>
      <c r="DDX124" s="67"/>
      <c r="DDY124" s="67"/>
      <c r="DDZ124" s="67"/>
      <c r="DEA124" s="67"/>
      <c r="DEB124" s="67"/>
      <c r="DEC124" s="67"/>
      <c r="DED124" s="67"/>
      <c r="DEE124" s="67"/>
      <c r="DEF124" s="67"/>
      <c r="DEG124" s="67"/>
      <c r="DEH124" s="67"/>
      <c r="DEI124" s="67"/>
      <c r="DEJ124" s="67"/>
      <c r="DEK124" s="67"/>
      <c r="DEL124" s="67"/>
      <c r="DEM124" s="67"/>
      <c r="DEN124" s="67"/>
      <c r="DEO124" s="67"/>
      <c r="DEP124" s="67"/>
      <c r="DEQ124" s="67"/>
      <c r="DER124" s="67"/>
      <c r="DES124" s="67"/>
      <c r="DET124" s="67"/>
      <c r="DEU124" s="67"/>
      <c r="DEV124" s="67"/>
      <c r="DEW124" s="67"/>
      <c r="DEX124" s="67"/>
      <c r="DEY124" s="67"/>
      <c r="DEZ124" s="67"/>
      <c r="DFA124" s="67"/>
      <c r="DFB124" s="67"/>
      <c r="DFC124" s="67"/>
      <c r="DFD124" s="67"/>
      <c r="DFE124" s="67"/>
      <c r="DFF124" s="67"/>
      <c r="DFG124" s="67"/>
      <c r="DFH124" s="67"/>
      <c r="DFI124" s="67"/>
      <c r="DFJ124" s="67"/>
      <c r="DFK124" s="67"/>
      <c r="DFL124" s="67"/>
      <c r="DFM124" s="67"/>
      <c r="DFN124" s="67"/>
      <c r="DFO124" s="67"/>
      <c r="DFP124" s="67"/>
      <c r="DFQ124" s="67"/>
      <c r="DFR124" s="67"/>
      <c r="DFS124" s="67"/>
      <c r="DFT124" s="67"/>
      <c r="DFU124" s="67"/>
      <c r="DFV124" s="67"/>
      <c r="DFW124" s="67"/>
      <c r="DFX124" s="67"/>
      <c r="DFY124" s="67"/>
      <c r="DFZ124" s="67"/>
      <c r="DGA124" s="67"/>
      <c r="DGB124" s="67"/>
      <c r="DGC124" s="67"/>
      <c r="DGD124" s="67"/>
      <c r="DGE124" s="67"/>
      <c r="DGF124" s="67"/>
      <c r="DGG124" s="67"/>
      <c r="DGH124" s="67"/>
      <c r="DGI124" s="67"/>
      <c r="DGJ124" s="67"/>
      <c r="DGK124" s="67"/>
      <c r="DGL124" s="67"/>
      <c r="DGM124" s="67"/>
      <c r="DGN124" s="67"/>
      <c r="DGO124" s="67"/>
      <c r="DGP124" s="67"/>
      <c r="DGQ124" s="67"/>
      <c r="DGR124" s="67"/>
      <c r="DGS124" s="67"/>
      <c r="DGT124" s="67"/>
      <c r="DGU124" s="67"/>
      <c r="DGV124" s="67"/>
      <c r="DGW124" s="67"/>
      <c r="DGX124" s="67"/>
      <c r="DGY124" s="67"/>
      <c r="DGZ124" s="67"/>
      <c r="DHA124" s="67"/>
      <c r="DHB124" s="67"/>
      <c r="DHC124" s="67"/>
      <c r="DHD124" s="67"/>
      <c r="DHE124" s="67"/>
      <c r="DHF124" s="67"/>
      <c r="DHG124" s="67"/>
      <c r="DHH124" s="67"/>
      <c r="DHI124" s="67"/>
      <c r="DHJ124" s="67"/>
      <c r="DHK124" s="67"/>
      <c r="DHL124" s="67"/>
      <c r="DHM124" s="67"/>
      <c r="DHN124" s="67"/>
      <c r="DHO124" s="67"/>
      <c r="DHP124" s="67"/>
      <c r="DHQ124" s="67"/>
      <c r="DHR124" s="67"/>
      <c r="DHS124" s="67"/>
      <c r="DHT124" s="67"/>
      <c r="DHU124" s="67"/>
      <c r="DHV124" s="67"/>
      <c r="DHW124" s="67"/>
      <c r="DHX124" s="67"/>
      <c r="DHY124" s="67"/>
      <c r="DHZ124" s="67"/>
      <c r="DIA124" s="67"/>
      <c r="DIB124" s="67"/>
      <c r="DIC124" s="67"/>
      <c r="DID124" s="67"/>
      <c r="DIE124" s="67"/>
      <c r="DIF124" s="67"/>
      <c r="DIG124" s="67"/>
      <c r="DIH124" s="67"/>
      <c r="DII124" s="67"/>
      <c r="DIJ124" s="67"/>
      <c r="DIK124" s="67"/>
      <c r="DIL124" s="67"/>
      <c r="DIM124" s="67"/>
      <c r="DIN124" s="67"/>
      <c r="DIO124" s="67"/>
      <c r="DIP124" s="67"/>
      <c r="DIQ124" s="67"/>
      <c r="DIR124" s="67"/>
      <c r="DIS124" s="67"/>
      <c r="DIT124" s="67"/>
      <c r="DIU124" s="67"/>
      <c r="DIV124" s="67"/>
      <c r="DIW124" s="67"/>
      <c r="DIX124" s="67"/>
      <c r="DIY124" s="67"/>
      <c r="DIZ124" s="67"/>
      <c r="DJA124" s="67"/>
      <c r="DJB124" s="67"/>
      <c r="DJC124" s="67"/>
      <c r="DJD124" s="67"/>
      <c r="DJE124" s="67"/>
      <c r="DJF124" s="67"/>
      <c r="DJG124" s="67"/>
      <c r="DJH124" s="67"/>
      <c r="DJI124" s="67"/>
      <c r="DJJ124" s="67"/>
      <c r="DJK124" s="67"/>
      <c r="DJL124" s="67"/>
      <c r="DJM124" s="67"/>
      <c r="DJN124" s="67"/>
      <c r="DJO124" s="67"/>
      <c r="DJP124" s="67"/>
      <c r="DJQ124" s="67"/>
      <c r="DJR124" s="67"/>
      <c r="DJS124" s="67"/>
      <c r="DJT124" s="67"/>
      <c r="DJU124" s="67"/>
      <c r="DJV124" s="67"/>
      <c r="DJW124" s="67"/>
      <c r="DJX124" s="67"/>
      <c r="DJY124" s="67"/>
      <c r="DJZ124" s="67"/>
      <c r="DKA124" s="67"/>
      <c r="DKB124" s="67"/>
      <c r="DKC124" s="67"/>
      <c r="DKD124" s="67"/>
      <c r="DKE124" s="67"/>
      <c r="DKF124" s="67"/>
      <c r="DKG124" s="67"/>
      <c r="DKH124" s="67"/>
      <c r="DKI124" s="67"/>
      <c r="DKJ124" s="67"/>
      <c r="DKK124" s="67"/>
      <c r="DKL124" s="67"/>
      <c r="DKM124" s="67"/>
      <c r="DKN124" s="67"/>
      <c r="DKO124" s="67"/>
      <c r="DKP124" s="67"/>
      <c r="DKQ124" s="67"/>
      <c r="DKR124" s="67"/>
      <c r="DKS124" s="67"/>
      <c r="DKT124" s="67"/>
      <c r="DKU124" s="67"/>
      <c r="DKV124" s="67"/>
      <c r="DKW124" s="67"/>
      <c r="DKX124" s="67"/>
      <c r="DKY124" s="67"/>
      <c r="DKZ124" s="67"/>
      <c r="DLA124" s="67"/>
      <c r="DLB124" s="67"/>
      <c r="DLC124" s="67"/>
      <c r="DLD124" s="67"/>
      <c r="DLE124" s="67"/>
      <c r="DLF124" s="67"/>
      <c r="DLG124" s="67"/>
      <c r="DLH124" s="67"/>
      <c r="DLI124" s="67"/>
      <c r="DLJ124" s="67"/>
      <c r="DLK124" s="67"/>
      <c r="DLL124" s="67"/>
      <c r="DLM124" s="67"/>
      <c r="DLN124" s="67"/>
      <c r="DLO124" s="67"/>
      <c r="DLP124" s="67"/>
      <c r="DLQ124" s="67"/>
      <c r="DLR124" s="67"/>
      <c r="DLS124" s="67"/>
      <c r="DLT124" s="67"/>
      <c r="DLU124" s="67"/>
      <c r="DLV124" s="67"/>
      <c r="DLW124" s="67"/>
      <c r="DLX124" s="67"/>
      <c r="DLY124" s="67"/>
      <c r="DLZ124" s="67"/>
      <c r="DMA124" s="67"/>
      <c r="DMB124" s="67"/>
      <c r="DMC124" s="67"/>
      <c r="DMD124" s="67"/>
      <c r="DME124" s="67"/>
      <c r="DMF124" s="67"/>
      <c r="DMG124" s="67"/>
      <c r="DMH124" s="67"/>
      <c r="DMI124" s="67"/>
      <c r="DMJ124" s="67"/>
      <c r="DMK124" s="67"/>
      <c r="DML124" s="67"/>
      <c r="DMM124" s="67"/>
      <c r="DMN124" s="67"/>
      <c r="DMO124" s="67"/>
      <c r="DMP124" s="67"/>
      <c r="DMQ124" s="67"/>
      <c r="DMR124" s="67"/>
      <c r="DMS124" s="67"/>
      <c r="DMT124" s="67"/>
      <c r="DMU124" s="67"/>
      <c r="DMV124" s="67"/>
      <c r="DMW124" s="67"/>
      <c r="DMX124" s="67"/>
      <c r="DMY124" s="67"/>
      <c r="DMZ124" s="67"/>
      <c r="DNA124" s="67"/>
      <c r="DNB124" s="67"/>
      <c r="DNC124" s="67"/>
      <c r="DND124" s="67"/>
      <c r="DNE124" s="67"/>
      <c r="DNF124" s="67"/>
      <c r="DNG124" s="67"/>
      <c r="DNH124" s="67"/>
      <c r="DNI124" s="67"/>
      <c r="DNJ124" s="67"/>
      <c r="DNK124" s="67"/>
      <c r="DNL124" s="67"/>
      <c r="DNM124" s="67"/>
      <c r="DNN124" s="67"/>
      <c r="DNO124" s="67"/>
      <c r="DNP124" s="67"/>
      <c r="DNQ124" s="67"/>
      <c r="DNR124" s="67"/>
      <c r="DNS124" s="67"/>
      <c r="DNT124" s="67"/>
      <c r="DNU124" s="67"/>
      <c r="DNV124" s="67"/>
      <c r="DNW124" s="67"/>
      <c r="DNX124" s="67"/>
      <c r="DNY124" s="67"/>
      <c r="DNZ124" s="67"/>
      <c r="DOA124" s="67"/>
      <c r="DOB124" s="67"/>
      <c r="DOC124" s="67"/>
      <c r="DOD124" s="67"/>
      <c r="DOE124" s="67"/>
      <c r="DOF124" s="67"/>
      <c r="DOG124" s="67"/>
      <c r="DOH124" s="67"/>
      <c r="DOI124" s="67"/>
      <c r="DOJ124" s="67"/>
      <c r="DOK124" s="67"/>
      <c r="DOL124" s="67"/>
      <c r="DOM124" s="67"/>
      <c r="DON124" s="67"/>
      <c r="DOO124" s="67"/>
      <c r="DOP124" s="67"/>
      <c r="DOQ124" s="67"/>
      <c r="DOR124" s="67"/>
      <c r="DOS124" s="67"/>
      <c r="DOT124" s="67"/>
      <c r="DOU124" s="67"/>
      <c r="DOV124" s="67"/>
      <c r="DOW124" s="67"/>
      <c r="DOX124" s="67"/>
      <c r="DOY124" s="67"/>
      <c r="DOZ124" s="67"/>
      <c r="DPA124" s="67"/>
      <c r="DPB124" s="67"/>
      <c r="DPC124" s="67"/>
      <c r="DPD124" s="67"/>
      <c r="DPE124" s="67"/>
      <c r="DPF124" s="67"/>
      <c r="DPG124" s="67"/>
      <c r="DPH124" s="67"/>
      <c r="DPI124" s="67"/>
      <c r="DPJ124" s="67"/>
      <c r="DPK124" s="67"/>
      <c r="DPL124" s="67"/>
      <c r="DPM124" s="67"/>
      <c r="DPN124" s="67"/>
      <c r="DPO124" s="67"/>
      <c r="DPP124" s="67"/>
      <c r="DPQ124" s="67"/>
      <c r="DPR124" s="67"/>
      <c r="DPS124" s="67"/>
      <c r="DPT124" s="67"/>
      <c r="DPU124" s="67"/>
      <c r="DPV124" s="67"/>
      <c r="DPW124" s="67"/>
      <c r="DPX124" s="67"/>
      <c r="DPY124" s="67"/>
      <c r="DPZ124" s="67"/>
      <c r="DQA124" s="67"/>
      <c r="DQB124" s="67"/>
      <c r="DQC124" s="67"/>
      <c r="DQD124" s="67"/>
      <c r="DQE124" s="67"/>
      <c r="DQF124" s="67"/>
      <c r="DQG124" s="67"/>
      <c r="DQH124" s="67"/>
      <c r="DQI124" s="67"/>
      <c r="DQJ124" s="67"/>
      <c r="DQK124" s="67"/>
      <c r="DQL124" s="67"/>
      <c r="DQM124" s="67"/>
      <c r="DQN124" s="67"/>
      <c r="DQO124" s="67"/>
      <c r="DQP124" s="67"/>
      <c r="DQQ124" s="67"/>
      <c r="DQR124" s="67"/>
      <c r="DQS124" s="67"/>
      <c r="DQT124" s="67"/>
      <c r="DQU124" s="67"/>
      <c r="DQV124" s="67"/>
      <c r="DQW124" s="67"/>
      <c r="DQX124" s="67"/>
      <c r="DQY124" s="67"/>
      <c r="DQZ124" s="67"/>
      <c r="DRA124" s="67"/>
      <c r="DRB124" s="67"/>
      <c r="DRC124" s="67"/>
      <c r="DRD124" s="67"/>
      <c r="DRE124" s="67"/>
      <c r="DRF124" s="67"/>
      <c r="DRG124" s="67"/>
      <c r="DRH124" s="67"/>
      <c r="DRI124" s="67"/>
      <c r="DRJ124" s="67"/>
      <c r="DRK124" s="67"/>
      <c r="DRL124" s="67"/>
      <c r="DRM124" s="67"/>
      <c r="DRN124" s="67"/>
      <c r="DRO124" s="67"/>
      <c r="DRP124" s="67"/>
      <c r="DRQ124" s="67"/>
      <c r="DRR124" s="67"/>
      <c r="DRS124" s="67"/>
      <c r="DRT124" s="67"/>
      <c r="DRU124" s="67"/>
      <c r="DRV124" s="67"/>
      <c r="DRW124" s="67"/>
      <c r="DRX124" s="67"/>
      <c r="DRY124" s="67"/>
      <c r="DRZ124" s="67"/>
      <c r="DSA124" s="67"/>
      <c r="DSB124" s="67"/>
      <c r="DSC124" s="67"/>
      <c r="DSD124" s="67"/>
      <c r="DSE124" s="67"/>
      <c r="DSF124" s="67"/>
      <c r="DSG124" s="67"/>
      <c r="DSH124" s="67"/>
      <c r="DSI124" s="67"/>
      <c r="DSJ124" s="67"/>
      <c r="DSK124" s="67"/>
      <c r="DSL124" s="67"/>
      <c r="DSM124" s="67"/>
      <c r="DSN124" s="67"/>
      <c r="DSO124" s="67"/>
      <c r="DSP124" s="67"/>
      <c r="DSQ124" s="67"/>
      <c r="DSR124" s="67"/>
      <c r="DSS124" s="67"/>
      <c r="DST124" s="67"/>
      <c r="DSU124" s="67"/>
      <c r="DSV124" s="67"/>
      <c r="DSW124" s="67"/>
      <c r="DSX124" s="67"/>
      <c r="DSY124" s="67"/>
      <c r="DSZ124" s="67"/>
      <c r="DTA124" s="67"/>
      <c r="DTB124" s="67"/>
      <c r="DTC124" s="67"/>
      <c r="DTD124" s="67"/>
      <c r="DTE124" s="67"/>
      <c r="DTF124" s="67"/>
      <c r="DTG124" s="67"/>
      <c r="DTH124" s="67"/>
      <c r="DTI124" s="67"/>
      <c r="DTJ124" s="67"/>
      <c r="DTK124" s="67"/>
      <c r="DTL124" s="67"/>
      <c r="DTM124" s="67"/>
      <c r="DTN124" s="67"/>
      <c r="DTO124" s="67"/>
      <c r="DTP124" s="67"/>
      <c r="DTQ124" s="67"/>
      <c r="DTR124" s="67"/>
      <c r="DTS124" s="67"/>
      <c r="DTT124" s="67"/>
      <c r="DTU124" s="67"/>
      <c r="DTV124" s="67"/>
      <c r="DTW124" s="67"/>
      <c r="DTX124" s="67"/>
      <c r="DTY124" s="67"/>
      <c r="DTZ124" s="67"/>
      <c r="DUA124" s="67"/>
      <c r="DUB124" s="67"/>
      <c r="DUC124" s="67"/>
      <c r="DUD124" s="67"/>
      <c r="DUE124" s="67"/>
      <c r="DUF124" s="67"/>
      <c r="DUG124" s="67"/>
      <c r="DUH124" s="67"/>
      <c r="DUI124" s="67"/>
      <c r="DUJ124" s="67"/>
      <c r="DUK124" s="67"/>
      <c r="DUL124" s="67"/>
      <c r="DUM124" s="67"/>
      <c r="DUN124" s="67"/>
      <c r="DUO124" s="67"/>
      <c r="DUP124" s="67"/>
      <c r="DUQ124" s="67"/>
      <c r="DUR124" s="67"/>
      <c r="DUS124" s="67"/>
      <c r="DUT124" s="67"/>
      <c r="DUU124" s="67"/>
      <c r="DUV124" s="67"/>
      <c r="DUW124" s="67"/>
      <c r="DUX124" s="67"/>
      <c r="DUY124" s="67"/>
      <c r="DUZ124" s="67"/>
      <c r="DVA124" s="67"/>
      <c r="DVB124" s="67"/>
      <c r="DVC124" s="67"/>
      <c r="DVD124" s="67"/>
      <c r="DVE124" s="67"/>
      <c r="DVF124" s="67"/>
      <c r="DVG124" s="67"/>
      <c r="DVH124" s="67"/>
      <c r="DVI124" s="67"/>
      <c r="DVJ124" s="67"/>
      <c r="DVK124" s="67"/>
      <c r="DVL124" s="67"/>
      <c r="DVM124" s="67"/>
      <c r="DVN124" s="67"/>
      <c r="DVO124" s="67"/>
      <c r="DVP124" s="67"/>
      <c r="DVQ124" s="67"/>
      <c r="DVR124" s="67"/>
      <c r="DVS124" s="67"/>
      <c r="DVT124" s="67"/>
      <c r="DVU124" s="67"/>
      <c r="DVV124" s="67"/>
      <c r="DVW124" s="67"/>
      <c r="DVX124" s="67"/>
      <c r="DVY124" s="67"/>
      <c r="DVZ124" s="67"/>
      <c r="DWA124" s="67"/>
      <c r="DWB124" s="67"/>
      <c r="DWC124" s="67"/>
      <c r="DWD124" s="67"/>
      <c r="DWE124" s="67"/>
      <c r="DWF124" s="67"/>
      <c r="DWG124" s="67"/>
      <c r="DWH124" s="67"/>
      <c r="DWI124" s="67"/>
      <c r="DWJ124" s="67"/>
      <c r="DWK124" s="67"/>
      <c r="DWL124" s="67"/>
      <c r="DWM124" s="67"/>
      <c r="DWN124" s="67"/>
      <c r="DWO124" s="67"/>
      <c r="DWP124" s="67"/>
      <c r="DWQ124" s="67"/>
      <c r="DWR124" s="67"/>
      <c r="DWS124" s="67"/>
      <c r="DWT124" s="67"/>
      <c r="DWU124" s="67"/>
      <c r="DWV124" s="67"/>
      <c r="DWW124" s="67"/>
      <c r="DWX124" s="67"/>
      <c r="DWY124" s="67"/>
      <c r="DWZ124" s="67"/>
      <c r="DXA124" s="67"/>
      <c r="DXB124" s="67"/>
      <c r="DXC124" s="67"/>
      <c r="DXD124" s="67"/>
      <c r="DXE124" s="67"/>
      <c r="DXF124" s="67"/>
      <c r="DXG124" s="67"/>
      <c r="DXH124" s="67"/>
      <c r="DXI124" s="67"/>
      <c r="DXJ124" s="67"/>
      <c r="DXK124" s="67"/>
      <c r="DXL124" s="67"/>
      <c r="DXM124" s="67"/>
      <c r="DXN124" s="67"/>
      <c r="DXO124" s="67"/>
      <c r="DXP124" s="67"/>
      <c r="DXQ124" s="67"/>
      <c r="DXR124" s="67"/>
      <c r="DXS124" s="67"/>
      <c r="DXT124" s="67"/>
      <c r="DXU124" s="67"/>
      <c r="DXV124" s="67"/>
      <c r="DXW124" s="67"/>
      <c r="DXX124" s="67"/>
      <c r="DXY124" s="67"/>
      <c r="DXZ124" s="67"/>
      <c r="DYA124" s="67"/>
      <c r="DYB124" s="67"/>
      <c r="DYC124" s="67"/>
      <c r="DYD124" s="67"/>
      <c r="DYE124" s="67"/>
      <c r="DYF124" s="67"/>
      <c r="DYG124" s="67"/>
      <c r="DYH124" s="67"/>
      <c r="DYI124" s="67"/>
      <c r="DYJ124" s="67"/>
      <c r="DYK124" s="67"/>
      <c r="DYL124" s="67"/>
      <c r="DYM124" s="67"/>
      <c r="DYN124" s="67"/>
      <c r="DYO124" s="67"/>
      <c r="DYP124" s="67"/>
      <c r="DYQ124" s="67"/>
      <c r="DYR124" s="67"/>
      <c r="DYS124" s="67"/>
      <c r="DYT124" s="67"/>
      <c r="DYU124" s="67"/>
      <c r="DYV124" s="67"/>
      <c r="DYW124" s="67"/>
      <c r="DYX124" s="67"/>
      <c r="DYY124" s="67"/>
      <c r="DYZ124" s="67"/>
      <c r="DZA124" s="67"/>
      <c r="DZB124" s="67"/>
      <c r="DZC124" s="67"/>
      <c r="DZD124" s="67"/>
      <c r="DZE124" s="67"/>
      <c r="DZF124" s="67"/>
      <c r="DZG124" s="67"/>
      <c r="DZH124" s="67"/>
      <c r="DZI124" s="67"/>
      <c r="DZJ124" s="67"/>
      <c r="DZK124" s="67"/>
      <c r="DZL124" s="67"/>
      <c r="DZM124" s="67"/>
      <c r="DZN124" s="67"/>
      <c r="DZO124" s="67"/>
      <c r="DZP124" s="67"/>
      <c r="DZQ124" s="67"/>
      <c r="DZR124" s="67"/>
      <c r="DZS124" s="67"/>
      <c r="DZT124" s="67"/>
      <c r="DZU124" s="67"/>
      <c r="DZV124" s="67"/>
      <c r="DZW124" s="67"/>
      <c r="DZX124" s="67"/>
      <c r="DZY124" s="67"/>
      <c r="DZZ124" s="67"/>
      <c r="EAA124" s="67"/>
      <c r="EAB124" s="67"/>
      <c r="EAC124" s="67"/>
      <c r="EAD124" s="67"/>
      <c r="EAE124" s="67"/>
      <c r="EAF124" s="67"/>
      <c r="EAG124" s="67"/>
      <c r="EAH124" s="67"/>
      <c r="EAI124" s="67"/>
      <c r="EAJ124" s="67"/>
      <c r="EAK124" s="67"/>
      <c r="EAL124" s="67"/>
      <c r="EAM124" s="67"/>
      <c r="EAN124" s="67"/>
      <c r="EAO124" s="67"/>
      <c r="EAP124" s="67"/>
      <c r="EAQ124" s="67"/>
      <c r="EAR124" s="67"/>
      <c r="EAS124" s="67"/>
      <c r="EAT124" s="67"/>
      <c r="EAU124" s="67"/>
      <c r="EAV124" s="67"/>
      <c r="EAW124" s="67"/>
      <c r="EAX124" s="67"/>
      <c r="EAY124" s="67"/>
      <c r="EAZ124" s="67"/>
      <c r="EBA124" s="67"/>
      <c r="EBB124" s="67"/>
      <c r="EBC124" s="67"/>
      <c r="EBD124" s="67"/>
      <c r="EBE124" s="67"/>
      <c r="EBF124" s="67"/>
      <c r="EBG124" s="67"/>
      <c r="EBH124" s="67"/>
      <c r="EBI124" s="67"/>
      <c r="EBJ124" s="67"/>
      <c r="EBK124" s="67"/>
      <c r="EBL124" s="67"/>
      <c r="EBM124" s="67"/>
      <c r="EBN124" s="67"/>
      <c r="EBO124" s="67"/>
      <c r="EBP124" s="67"/>
      <c r="EBQ124" s="67"/>
      <c r="EBR124" s="67"/>
      <c r="EBS124" s="67"/>
      <c r="EBT124" s="67"/>
      <c r="EBU124" s="67"/>
      <c r="EBV124" s="67"/>
      <c r="EBW124" s="67"/>
      <c r="EBX124" s="67"/>
      <c r="EBY124" s="67"/>
      <c r="EBZ124" s="67"/>
      <c r="ECA124" s="67"/>
      <c r="ECB124" s="67"/>
      <c r="ECC124" s="67"/>
      <c r="ECD124" s="67"/>
      <c r="ECE124" s="67"/>
      <c r="ECF124" s="67"/>
      <c r="ECG124" s="67"/>
      <c r="ECH124" s="67"/>
      <c r="ECI124" s="67"/>
      <c r="ECJ124" s="67"/>
      <c r="ECK124" s="67"/>
      <c r="ECL124" s="67"/>
      <c r="ECM124" s="67"/>
      <c r="ECN124" s="67"/>
      <c r="ECO124" s="67"/>
      <c r="ECP124" s="67"/>
      <c r="ECQ124" s="67"/>
      <c r="ECR124" s="67"/>
      <c r="ECS124" s="67"/>
      <c r="ECT124" s="67"/>
      <c r="ECU124" s="67"/>
      <c r="ECV124" s="67"/>
      <c r="ECW124" s="67"/>
      <c r="ECX124" s="67"/>
      <c r="ECY124" s="67"/>
      <c r="ECZ124" s="67"/>
      <c r="EDA124" s="67"/>
      <c r="EDB124" s="67"/>
      <c r="EDC124" s="67"/>
      <c r="EDD124" s="67"/>
      <c r="EDE124" s="67"/>
      <c r="EDF124" s="67"/>
      <c r="EDG124" s="67"/>
      <c r="EDH124" s="67"/>
      <c r="EDI124" s="67"/>
      <c r="EDJ124" s="67"/>
      <c r="EDK124" s="67"/>
      <c r="EDL124" s="67"/>
      <c r="EDM124" s="67"/>
      <c r="EDN124" s="67"/>
      <c r="EDO124" s="67"/>
      <c r="EDP124" s="67"/>
      <c r="EDQ124" s="67"/>
      <c r="EDR124" s="67"/>
      <c r="EDS124" s="67"/>
      <c r="EDT124" s="67"/>
      <c r="EDU124" s="67"/>
      <c r="EDV124" s="67"/>
      <c r="EDW124" s="67"/>
      <c r="EDX124" s="67"/>
      <c r="EDY124" s="67"/>
      <c r="EDZ124" s="67"/>
      <c r="EEA124" s="67"/>
      <c r="EEB124" s="67"/>
      <c r="EEC124" s="67"/>
      <c r="EED124" s="67"/>
      <c r="EEE124" s="67"/>
      <c r="EEF124" s="67"/>
      <c r="EEG124" s="67"/>
      <c r="EEH124" s="67"/>
      <c r="EEI124" s="67"/>
      <c r="EEJ124" s="67"/>
      <c r="EEK124" s="67"/>
      <c r="EEL124" s="67"/>
      <c r="EEM124" s="67"/>
      <c r="EEN124" s="67"/>
      <c r="EEO124" s="67"/>
      <c r="EEP124" s="67"/>
      <c r="EEQ124" s="67"/>
      <c r="EER124" s="67"/>
      <c r="EES124" s="67"/>
      <c r="EET124" s="67"/>
      <c r="EEU124" s="67"/>
      <c r="EEV124" s="67"/>
      <c r="EEW124" s="67"/>
      <c r="EEX124" s="67"/>
      <c r="EEY124" s="67"/>
      <c r="EEZ124" s="67"/>
      <c r="EFA124" s="67"/>
      <c r="EFB124" s="67"/>
      <c r="EFC124" s="67"/>
      <c r="EFD124" s="67"/>
      <c r="EFE124" s="67"/>
      <c r="EFF124" s="67"/>
      <c r="EFG124" s="67"/>
      <c r="EFH124" s="67"/>
      <c r="EFI124" s="67"/>
      <c r="EFJ124" s="67"/>
      <c r="EFK124" s="67"/>
      <c r="EFL124" s="67"/>
      <c r="EFM124" s="67"/>
      <c r="EFN124" s="67"/>
      <c r="EFO124" s="67"/>
      <c r="EFP124" s="67"/>
      <c r="EFQ124" s="67"/>
      <c r="EFR124" s="67"/>
      <c r="EFS124" s="67"/>
      <c r="EFT124" s="67"/>
      <c r="EFU124" s="67"/>
      <c r="EFV124" s="67"/>
      <c r="EFW124" s="67"/>
      <c r="EFX124" s="67"/>
      <c r="EFY124" s="67"/>
      <c r="EFZ124" s="67"/>
      <c r="EGA124" s="67"/>
      <c r="EGB124" s="67"/>
      <c r="EGC124" s="67"/>
      <c r="EGD124" s="67"/>
      <c r="EGE124" s="67"/>
      <c r="EGF124" s="67"/>
      <c r="EGG124" s="67"/>
      <c r="EGH124" s="67"/>
      <c r="EGI124" s="67"/>
      <c r="EGJ124" s="67"/>
      <c r="EGK124" s="67"/>
      <c r="EGL124" s="67"/>
      <c r="EGM124" s="67"/>
      <c r="EGN124" s="67"/>
      <c r="EGO124" s="67"/>
      <c r="EGP124" s="67"/>
      <c r="EGQ124" s="67"/>
      <c r="EGR124" s="67"/>
      <c r="EGS124" s="67"/>
      <c r="EGT124" s="67"/>
      <c r="EGU124" s="67"/>
      <c r="EGV124" s="67"/>
      <c r="EGW124" s="67"/>
      <c r="EGX124" s="67"/>
      <c r="EGY124" s="67"/>
      <c r="EGZ124" s="67"/>
      <c r="EHA124" s="67"/>
      <c r="EHB124" s="67"/>
      <c r="EHC124" s="67"/>
      <c r="EHD124" s="67"/>
      <c r="EHE124" s="67"/>
      <c r="EHF124" s="67"/>
      <c r="EHG124" s="67"/>
      <c r="EHH124" s="67"/>
      <c r="EHI124" s="67"/>
      <c r="EHJ124" s="67"/>
      <c r="EHK124" s="67"/>
      <c r="EHL124" s="67"/>
      <c r="EHM124" s="67"/>
      <c r="EHN124" s="67"/>
      <c r="EHO124" s="67"/>
      <c r="EHP124" s="67"/>
      <c r="EHQ124" s="67"/>
      <c r="EHR124" s="67"/>
      <c r="EHS124" s="67"/>
      <c r="EHT124" s="67"/>
      <c r="EHU124" s="67"/>
      <c r="EHV124" s="67"/>
      <c r="EHW124" s="67"/>
      <c r="EHX124" s="67"/>
      <c r="EHY124" s="67"/>
      <c r="EHZ124" s="67"/>
      <c r="EIA124" s="67"/>
      <c r="EIB124" s="67"/>
      <c r="EIC124" s="67"/>
      <c r="EID124" s="67"/>
      <c r="EIE124" s="67"/>
      <c r="EIF124" s="67"/>
      <c r="EIG124" s="67"/>
      <c r="EIH124" s="67"/>
      <c r="EII124" s="67"/>
      <c r="EIJ124" s="67"/>
      <c r="EIK124" s="67"/>
      <c r="EIL124" s="67"/>
      <c r="EIM124" s="67"/>
      <c r="EIN124" s="67"/>
      <c r="EIO124" s="67"/>
      <c r="EIP124" s="67"/>
      <c r="EIQ124" s="67"/>
      <c r="EIR124" s="67"/>
      <c r="EIS124" s="67"/>
      <c r="EIT124" s="67"/>
      <c r="EIU124" s="67"/>
      <c r="EIV124" s="67"/>
      <c r="EIW124" s="67"/>
      <c r="EIX124" s="67"/>
      <c r="EIY124" s="67"/>
      <c r="EIZ124" s="67"/>
      <c r="EJA124" s="67"/>
      <c r="EJB124" s="67"/>
      <c r="EJC124" s="67"/>
      <c r="EJD124" s="67"/>
      <c r="EJE124" s="67"/>
      <c r="EJF124" s="67"/>
      <c r="EJG124" s="67"/>
      <c r="EJH124" s="67"/>
      <c r="EJI124" s="67"/>
      <c r="EJJ124" s="67"/>
      <c r="EJK124" s="67"/>
      <c r="EJL124" s="67"/>
      <c r="EJM124" s="67"/>
      <c r="EJN124" s="67"/>
      <c r="EJO124" s="67"/>
      <c r="EJP124" s="67"/>
      <c r="EJQ124" s="67"/>
      <c r="EJR124" s="67"/>
      <c r="EJS124" s="67"/>
      <c r="EJT124" s="67"/>
      <c r="EJU124" s="67"/>
      <c r="EJV124" s="67"/>
      <c r="EJW124" s="67"/>
      <c r="EJX124" s="67"/>
      <c r="EJY124" s="67"/>
      <c r="EJZ124" s="67"/>
      <c r="EKA124" s="67"/>
      <c r="EKB124" s="67"/>
      <c r="EKC124" s="67"/>
      <c r="EKD124" s="67"/>
      <c r="EKE124" s="67"/>
      <c r="EKF124" s="67"/>
      <c r="EKG124" s="67"/>
      <c r="EKH124" s="67"/>
      <c r="EKI124" s="67"/>
      <c r="EKJ124" s="67"/>
      <c r="EKK124" s="67"/>
      <c r="EKL124" s="67"/>
      <c r="EKM124" s="67"/>
      <c r="EKN124" s="67"/>
      <c r="EKO124" s="67"/>
      <c r="EKP124" s="67"/>
      <c r="EKQ124" s="67"/>
      <c r="EKR124" s="67"/>
      <c r="EKS124" s="67"/>
      <c r="EKT124" s="67"/>
      <c r="EKU124" s="67"/>
      <c r="EKV124" s="67"/>
      <c r="EKW124" s="67"/>
      <c r="EKX124" s="67"/>
      <c r="EKY124" s="67"/>
      <c r="EKZ124" s="67"/>
      <c r="ELA124" s="67"/>
      <c r="ELB124" s="67"/>
      <c r="ELC124" s="67"/>
      <c r="ELD124" s="67"/>
      <c r="ELE124" s="67"/>
      <c r="ELF124" s="67"/>
      <c r="ELG124" s="67"/>
      <c r="ELH124" s="67"/>
      <c r="ELI124" s="67"/>
      <c r="ELJ124" s="67"/>
      <c r="ELK124" s="67"/>
      <c r="ELL124" s="67"/>
      <c r="ELM124" s="67"/>
      <c r="ELN124" s="67"/>
      <c r="ELO124" s="67"/>
      <c r="ELP124" s="67"/>
      <c r="ELQ124" s="67"/>
      <c r="ELR124" s="67"/>
      <c r="ELS124" s="67"/>
      <c r="ELT124" s="67"/>
      <c r="ELU124" s="67"/>
      <c r="ELV124" s="67"/>
      <c r="ELW124" s="67"/>
      <c r="ELX124" s="67"/>
      <c r="ELY124" s="67"/>
      <c r="ELZ124" s="67"/>
      <c r="EMA124" s="67"/>
      <c r="EMB124" s="67"/>
      <c r="EMC124" s="67"/>
      <c r="EMD124" s="67"/>
      <c r="EME124" s="67"/>
      <c r="EMF124" s="67"/>
      <c r="EMG124" s="67"/>
      <c r="EMH124" s="67"/>
      <c r="EMI124" s="67"/>
      <c r="EMJ124" s="67"/>
      <c r="EMK124" s="67"/>
      <c r="EML124" s="67"/>
      <c r="EMM124" s="67"/>
      <c r="EMN124" s="67"/>
      <c r="EMO124" s="67"/>
      <c r="EMP124" s="67"/>
      <c r="EMQ124" s="67"/>
      <c r="EMR124" s="67"/>
      <c r="EMS124" s="67"/>
      <c r="EMT124" s="67"/>
      <c r="EMU124" s="67"/>
      <c r="EMV124" s="67"/>
      <c r="EMW124" s="67"/>
      <c r="EMX124" s="67"/>
      <c r="EMY124" s="67"/>
      <c r="EMZ124" s="67"/>
      <c r="ENA124" s="67"/>
      <c r="ENB124" s="67"/>
      <c r="ENC124" s="67"/>
      <c r="END124" s="67"/>
      <c r="ENE124" s="67"/>
      <c r="ENF124" s="67"/>
      <c r="ENG124" s="67"/>
      <c r="ENH124" s="67"/>
      <c r="ENI124" s="67"/>
      <c r="ENJ124" s="67"/>
      <c r="ENK124" s="67"/>
      <c r="ENL124" s="67"/>
      <c r="ENM124" s="67"/>
      <c r="ENN124" s="67"/>
      <c r="ENO124" s="67"/>
      <c r="ENP124" s="67"/>
      <c r="ENQ124" s="67"/>
      <c r="ENR124" s="67"/>
      <c r="ENS124" s="67"/>
      <c r="ENT124" s="67"/>
      <c r="ENU124" s="67"/>
      <c r="ENV124" s="67"/>
      <c r="ENW124" s="67"/>
      <c r="ENX124" s="67"/>
      <c r="ENY124" s="67"/>
      <c r="ENZ124" s="67"/>
      <c r="EOA124" s="67"/>
      <c r="EOB124" s="67"/>
      <c r="EOC124" s="67"/>
      <c r="EOD124" s="67"/>
      <c r="EOE124" s="67"/>
      <c r="EOF124" s="67"/>
      <c r="EOG124" s="67"/>
      <c r="EOH124" s="67"/>
      <c r="EOI124" s="67"/>
      <c r="EOJ124" s="67"/>
      <c r="EOK124" s="67"/>
      <c r="EOL124" s="67"/>
      <c r="EOM124" s="67"/>
      <c r="EON124" s="67"/>
      <c r="EOO124" s="67"/>
      <c r="EOP124" s="67"/>
      <c r="EOQ124" s="67"/>
      <c r="EOR124" s="67"/>
      <c r="EOS124" s="67"/>
      <c r="EOT124" s="67"/>
      <c r="EOU124" s="67"/>
      <c r="EOV124" s="67"/>
      <c r="EOW124" s="67"/>
      <c r="EOX124" s="67"/>
      <c r="EOY124" s="67"/>
      <c r="EOZ124" s="67"/>
      <c r="EPA124" s="67"/>
      <c r="EPB124" s="67"/>
      <c r="EPC124" s="67"/>
      <c r="EPD124" s="67"/>
      <c r="EPE124" s="67"/>
      <c r="EPF124" s="67"/>
      <c r="EPG124" s="67"/>
      <c r="EPH124" s="67"/>
      <c r="EPI124" s="67"/>
      <c r="EPJ124" s="67"/>
      <c r="EPK124" s="67"/>
      <c r="EPL124" s="67"/>
      <c r="EPM124" s="67"/>
      <c r="EPN124" s="67"/>
      <c r="EPO124" s="67"/>
      <c r="EPP124" s="67"/>
      <c r="EPQ124" s="67"/>
      <c r="EPR124" s="67"/>
      <c r="EPS124" s="67"/>
      <c r="EPT124" s="67"/>
      <c r="EPU124" s="67"/>
      <c r="EPV124" s="67"/>
      <c r="EPW124" s="67"/>
      <c r="EPX124" s="67"/>
      <c r="EPY124" s="67"/>
      <c r="EPZ124" s="67"/>
      <c r="EQA124" s="67"/>
      <c r="EQB124" s="67"/>
      <c r="EQC124" s="67"/>
      <c r="EQD124" s="67"/>
      <c r="EQE124" s="67"/>
      <c r="EQF124" s="67"/>
      <c r="EQG124" s="67"/>
      <c r="EQH124" s="67"/>
      <c r="EQI124" s="67"/>
      <c r="EQJ124" s="67"/>
      <c r="EQK124" s="67"/>
      <c r="EQL124" s="67"/>
      <c r="EQM124" s="67"/>
      <c r="EQN124" s="67"/>
      <c r="EQO124" s="67"/>
      <c r="EQP124" s="67"/>
      <c r="EQQ124" s="67"/>
      <c r="EQR124" s="67"/>
      <c r="EQS124" s="67"/>
      <c r="EQT124" s="67"/>
      <c r="EQU124" s="67"/>
      <c r="EQV124" s="67"/>
      <c r="EQW124" s="67"/>
      <c r="EQX124" s="67"/>
      <c r="EQY124" s="67"/>
      <c r="EQZ124" s="67"/>
      <c r="ERA124" s="67"/>
      <c r="ERB124" s="67"/>
      <c r="ERC124" s="67"/>
      <c r="ERD124" s="67"/>
      <c r="ERE124" s="67"/>
      <c r="ERF124" s="67"/>
      <c r="ERG124" s="67"/>
      <c r="ERH124" s="67"/>
      <c r="ERI124" s="67"/>
      <c r="ERJ124" s="67"/>
      <c r="ERK124" s="67"/>
      <c r="ERL124" s="67"/>
      <c r="ERM124" s="67"/>
      <c r="ERN124" s="67"/>
      <c r="ERO124" s="67"/>
      <c r="ERP124" s="67"/>
      <c r="ERQ124" s="67"/>
      <c r="ERR124" s="67"/>
      <c r="ERS124" s="67"/>
      <c r="ERT124" s="67"/>
      <c r="ERU124" s="67"/>
      <c r="ERV124" s="67"/>
      <c r="ERW124" s="67"/>
      <c r="ERX124" s="67"/>
      <c r="ERY124" s="67"/>
      <c r="ERZ124" s="67"/>
      <c r="ESA124" s="67"/>
      <c r="ESB124" s="67"/>
      <c r="ESC124" s="67"/>
      <c r="ESD124" s="67"/>
      <c r="ESE124" s="67"/>
      <c r="ESF124" s="67"/>
      <c r="ESG124" s="67"/>
      <c r="ESH124" s="67"/>
      <c r="ESI124" s="67"/>
      <c r="ESJ124" s="67"/>
      <c r="ESK124" s="67"/>
      <c r="ESL124" s="67"/>
      <c r="ESM124" s="67"/>
      <c r="ESN124" s="67"/>
      <c r="ESO124" s="67"/>
      <c r="ESP124" s="67"/>
      <c r="ESQ124" s="67"/>
      <c r="ESR124" s="67"/>
      <c r="ESS124" s="67"/>
      <c r="EST124" s="67"/>
      <c r="ESU124" s="67"/>
      <c r="ESV124" s="67"/>
      <c r="ESW124" s="67"/>
      <c r="ESX124" s="67"/>
      <c r="ESY124" s="67"/>
      <c r="ESZ124" s="67"/>
      <c r="ETA124" s="67"/>
      <c r="ETB124" s="67"/>
      <c r="ETC124" s="67"/>
      <c r="ETD124" s="67"/>
      <c r="ETE124" s="67"/>
      <c r="ETF124" s="67"/>
      <c r="ETG124" s="67"/>
      <c r="ETH124" s="67"/>
      <c r="ETI124" s="67"/>
      <c r="ETJ124" s="67"/>
      <c r="ETK124" s="67"/>
      <c r="ETL124" s="67"/>
      <c r="ETM124" s="67"/>
      <c r="ETN124" s="67"/>
      <c r="ETO124" s="67"/>
      <c r="ETP124" s="67"/>
      <c r="ETQ124" s="67"/>
      <c r="ETR124" s="67"/>
      <c r="ETS124" s="67"/>
      <c r="ETT124" s="67"/>
      <c r="ETU124" s="67"/>
      <c r="ETV124" s="67"/>
      <c r="ETW124" s="67"/>
      <c r="ETX124" s="67"/>
      <c r="ETY124" s="67"/>
      <c r="ETZ124" s="67"/>
      <c r="EUA124" s="67"/>
      <c r="EUB124" s="67"/>
      <c r="EUC124" s="67"/>
      <c r="EUD124" s="67"/>
      <c r="EUE124" s="67"/>
      <c r="EUF124" s="67"/>
      <c r="EUG124" s="67"/>
      <c r="EUH124" s="67"/>
      <c r="EUI124" s="67"/>
      <c r="EUJ124" s="67"/>
      <c r="EUK124" s="67"/>
      <c r="EUL124" s="67"/>
      <c r="EUM124" s="67"/>
      <c r="EUN124" s="67"/>
      <c r="EUO124" s="67"/>
      <c r="EUP124" s="67"/>
      <c r="EUQ124" s="67"/>
      <c r="EUR124" s="67"/>
      <c r="EUS124" s="67"/>
      <c r="EUT124" s="67"/>
      <c r="EUU124" s="67"/>
      <c r="EUV124" s="67"/>
      <c r="EUW124" s="67"/>
      <c r="EUX124" s="67"/>
      <c r="EUY124" s="67"/>
      <c r="EUZ124" s="67"/>
      <c r="EVA124" s="67"/>
      <c r="EVB124" s="67"/>
      <c r="EVC124" s="67"/>
      <c r="EVD124" s="67"/>
      <c r="EVE124" s="67"/>
      <c r="EVF124" s="67"/>
      <c r="EVG124" s="67"/>
      <c r="EVH124" s="67"/>
      <c r="EVI124" s="67"/>
      <c r="EVJ124" s="67"/>
      <c r="EVK124" s="67"/>
      <c r="EVL124" s="67"/>
      <c r="EVM124" s="67"/>
      <c r="EVN124" s="67"/>
      <c r="EVO124" s="67"/>
      <c r="EVP124" s="67"/>
      <c r="EVQ124" s="67"/>
      <c r="EVR124" s="67"/>
      <c r="EVS124" s="67"/>
      <c r="EVT124" s="67"/>
      <c r="EVU124" s="67"/>
      <c r="EVV124" s="67"/>
      <c r="EVW124" s="67"/>
      <c r="EVX124" s="67"/>
      <c r="EVY124" s="67"/>
      <c r="EVZ124" s="67"/>
      <c r="EWA124" s="67"/>
      <c r="EWB124" s="67"/>
      <c r="EWC124" s="67"/>
      <c r="EWD124" s="67"/>
      <c r="EWE124" s="67"/>
      <c r="EWF124" s="67"/>
      <c r="EWG124" s="67"/>
      <c r="EWH124" s="67"/>
      <c r="EWI124" s="67"/>
      <c r="EWJ124" s="67"/>
      <c r="EWK124" s="67"/>
      <c r="EWL124" s="67"/>
      <c r="EWM124" s="67"/>
      <c r="EWN124" s="67"/>
      <c r="EWO124" s="67"/>
      <c r="EWP124" s="67"/>
      <c r="EWQ124" s="67"/>
      <c r="EWR124" s="67"/>
      <c r="EWS124" s="67"/>
      <c r="EWT124" s="67"/>
      <c r="EWU124" s="67"/>
      <c r="EWV124" s="67"/>
      <c r="EWW124" s="67"/>
      <c r="EWX124" s="67"/>
      <c r="EWY124" s="67"/>
      <c r="EWZ124" s="67"/>
      <c r="EXA124" s="67"/>
      <c r="EXB124" s="67"/>
      <c r="EXC124" s="67"/>
      <c r="EXD124" s="67"/>
      <c r="EXE124" s="67"/>
      <c r="EXF124" s="67"/>
      <c r="EXG124" s="67"/>
      <c r="EXH124" s="67"/>
      <c r="EXI124" s="67"/>
      <c r="EXJ124" s="67"/>
      <c r="EXK124" s="67"/>
      <c r="EXL124" s="67"/>
      <c r="EXM124" s="67"/>
      <c r="EXN124" s="67"/>
      <c r="EXO124" s="67"/>
      <c r="EXP124" s="67"/>
      <c r="EXQ124" s="67"/>
      <c r="EXR124" s="67"/>
      <c r="EXS124" s="67"/>
      <c r="EXT124" s="67"/>
      <c r="EXU124" s="67"/>
      <c r="EXV124" s="67"/>
      <c r="EXW124" s="67"/>
      <c r="EXX124" s="67"/>
      <c r="EXY124" s="67"/>
      <c r="EXZ124" s="67"/>
      <c r="EYA124" s="67"/>
      <c r="EYB124" s="67"/>
      <c r="EYC124" s="67"/>
      <c r="EYD124" s="67"/>
      <c r="EYE124" s="67"/>
      <c r="EYF124" s="67"/>
      <c r="EYG124" s="67"/>
      <c r="EYH124" s="67"/>
      <c r="EYI124" s="67"/>
      <c r="EYJ124" s="67"/>
      <c r="EYK124" s="67"/>
      <c r="EYL124" s="67"/>
      <c r="EYM124" s="67"/>
      <c r="EYN124" s="67"/>
      <c r="EYO124" s="67"/>
      <c r="EYP124" s="67"/>
      <c r="EYQ124" s="67"/>
      <c r="EYR124" s="67"/>
      <c r="EYS124" s="67"/>
      <c r="EYT124" s="67"/>
      <c r="EYU124" s="67"/>
      <c r="EYV124" s="67"/>
      <c r="EYW124" s="67"/>
      <c r="EYX124" s="67"/>
      <c r="EYY124" s="67"/>
      <c r="EYZ124" s="67"/>
      <c r="EZA124" s="67"/>
      <c r="EZB124" s="67"/>
      <c r="EZC124" s="67"/>
      <c r="EZD124" s="67"/>
      <c r="EZE124" s="67"/>
      <c r="EZF124" s="67"/>
      <c r="EZG124" s="67"/>
      <c r="EZH124" s="67"/>
      <c r="EZI124" s="67"/>
      <c r="EZJ124" s="67"/>
      <c r="EZK124" s="67"/>
      <c r="EZL124" s="67"/>
      <c r="EZM124" s="67"/>
      <c r="EZN124" s="67"/>
      <c r="EZO124" s="67"/>
      <c r="EZP124" s="67"/>
      <c r="EZQ124" s="67"/>
      <c r="EZR124" s="67"/>
      <c r="EZS124" s="67"/>
      <c r="EZT124" s="67"/>
      <c r="EZU124" s="67"/>
      <c r="EZV124" s="67"/>
      <c r="EZW124" s="67"/>
      <c r="EZX124" s="67"/>
      <c r="EZY124" s="67"/>
      <c r="EZZ124" s="67"/>
      <c r="FAA124" s="67"/>
      <c r="FAB124" s="67"/>
      <c r="FAC124" s="67"/>
      <c r="FAD124" s="67"/>
      <c r="FAE124" s="67"/>
      <c r="FAF124" s="67"/>
      <c r="FAG124" s="67"/>
      <c r="FAH124" s="67"/>
      <c r="FAI124" s="67"/>
      <c r="FAJ124" s="67"/>
      <c r="FAK124" s="67"/>
      <c r="FAL124" s="67"/>
      <c r="FAM124" s="67"/>
      <c r="FAN124" s="67"/>
      <c r="FAO124" s="67"/>
      <c r="FAP124" s="67"/>
      <c r="FAQ124" s="67"/>
      <c r="FAR124" s="67"/>
      <c r="FAS124" s="67"/>
      <c r="FAT124" s="67"/>
      <c r="FAU124" s="67"/>
      <c r="FAV124" s="67"/>
      <c r="FAW124" s="67"/>
      <c r="FAX124" s="67"/>
      <c r="FAY124" s="67"/>
      <c r="FAZ124" s="67"/>
      <c r="FBA124" s="67"/>
      <c r="FBB124" s="67"/>
      <c r="FBC124" s="67"/>
      <c r="FBD124" s="67"/>
      <c r="FBE124" s="67"/>
      <c r="FBF124" s="67"/>
      <c r="FBG124" s="67"/>
      <c r="FBH124" s="67"/>
      <c r="FBI124" s="67"/>
      <c r="FBJ124" s="67"/>
      <c r="FBK124" s="67"/>
      <c r="FBL124" s="67"/>
      <c r="FBM124" s="67"/>
      <c r="FBN124" s="67"/>
      <c r="FBO124" s="67"/>
      <c r="FBP124" s="67"/>
      <c r="FBQ124" s="67"/>
      <c r="FBR124" s="67"/>
      <c r="FBS124" s="67"/>
      <c r="FBT124" s="67"/>
      <c r="FBU124" s="67"/>
      <c r="FBV124" s="67"/>
      <c r="FBW124" s="67"/>
      <c r="FBX124" s="67"/>
      <c r="FBY124" s="67"/>
      <c r="FBZ124" s="67"/>
      <c r="FCA124" s="67"/>
      <c r="FCB124" s="67"/>
      <c r="FCC124" s="67"/>
      <c r="FCD124" s="67"/>
      <c r="FCE124" s="67"/>
      <c r="FCF124" s="67"/>
      <c r="FCG124" s="67"/>
      <c r="FCH124" s="67"/>
      <c r="FCI124" s="67"/>
      <c r="FCJ124" s="67"/>
      <c r="FCK124" s="67"/>
      <c r="FCL124" s="67"/>
      <c r="FCM124" s="67"/>
      <c r="FCN124" s="67"/>
      <c r="FCO124" s="67"/>
      <c r="FCP124" s="67"/>
      <c r="FCQ124" s="67"/>
      <c r="FCR124" s="67"/>
      <c r="FCS124" s="67"/>
      <c r="FCT124" s="67"/>
      <c r="FCU124" s="67"/>
      <c r="FCV124" s="67"/>
      <c r="FCW124" s="67"/>
      <c r="FCX124" s="67"/>
      <c r="FCY124" s="67"/>
      <c r="FCZ124" s="67"/>
      <c r="FDA124" s="67"/>
      <c r="FDB124" s="67"/>
      <c r="FDC124" s="67"/>
      <c r="FDD124" s="67"/>
      <c r="FDE124" s="67"/>
      <c r="FDF124" s="67"/>
      <c r="FDG124" s="67"/>
      <c r="FDH124" s="67"/>
      <c r="FDI124" s="67"/>
      <c r="FDJ124" s="67"/>
      <c r="FDK124" s="67"/>
      <c r="FDL124" s="67"/>
      <c r="FDM124" s="67"/>
      <c r="FDN124" s="67"/>
      <c r="FDO124" s="67"/>
      <c r="FDP124" s="67"/>
      <c r="FDQ124" s="67"/>
      <c r="FDR124" s="67"/>
      <c r="FDS124" s="67"/>
      <c r="FDT124" s="67"/>
      <c r="FDU124" s="67"/>
      <c r="FDV124" s="67"/>
      <c r="FDW124" s="67"/>
      <c r="FDX124" s="67"/>
      <c r="FDY124" s="67"/>
      <c r="FDZ124" s="67"/>
      <c r="FEA124" s="67"/>
      <c r="FEB124" s="67"/>
      <c r="FEC124" s="67"/>
      <c r="FED124" s="67"/>
      <c r="FEE124" s="67"/>
      <c r="FEF124" s="67"/>
      <c r="FEG124" s="67"/>
      <c r="FEH124" s="67"/>
      <c r="FEI124" s="67"/>
      <c r="FEJ124" s="67"/>
      <c r="FEK124" s="67"/>
      <c r="FEL124" s="67"/>
      <c r="FEM124" s="67"/>
      <c r="FEN124" s="67"/>
      <c r="FEO124" s="67"/>
      <c r="FEP124" s="67"/>
      <c r="FEQ124" s="67"/>
      <c r="FER124" s="67"/>
      <c r="FES124" s="67"/>
      <c r="FET124" s="67"/>
      <c r="FEU124" s="67"/>
      <c r="FEV124" s="67"/>
      <c r="FEW124" s="67"/>
      <c r="FEX124" s="67"/>
      <c r="FEY124" s="67"/>
      <c r="FEZ124" s="67"/>
      <c r="FFA124" s="67"/>
      <c r="FFB124" s="67"/>
      <c r="FFC124" s="67"/>
      <c r="FFD124" s="67"/>
      <c r="FFE124" s="67"/>
      <c r="FFF124" s="67"/>
      <c r="FFG124" s="67"/>
      <c r="FFH124" s="67"/>
      <c r="FFI124" s="67"/>
      <c r="FFJ124" s="67"/>
      <c r="FFK124" s="67"/>
      <c r="FFL124" s="67"/>
      <c r="FFM124" s="67"/>
      <c r="FFN124" s="67"/>
      <c r="FFO124" s="67"/>
      <c r="FFP124" s="67"/>
      <c r="FFQ124" s="67"/>
      <c r="FFR124" s="67"/>
      <c r="FFS124" s="67"/>
      <c r="FFT124" s="67"/>
      <c r="FFU124" s="67"/>
      <c r="FFV124" s="67"/>
      <c r="FFW124" s="67"/>
      <c r="FFX124" s="67"/>
      <c r="FFY124" s="67"/>
      <c r="FFZ124" s="67"/>
      <c r="FGA124" s="67"/>
      <c r="FGB124" s="67"/>
      <c r="FGC124" s="67"/>
      <c r="FGD124" s="67"/>
      <c r="FGE124" s="67"/>
      <c r="FGF124" s="67"/>
      <c r="FGG124" s="67"/>
      <c r="FGH124" s="67"/>
      <c r="FGI124" s="67"/>
      <c r="FGJ124" s="67"/>
      <c r="FGK124" s="67"/>
      <c r="FGL124" s="67"/>
      <c r="FGM124" s="67"/>
      <c r="FGN124" s="67"/>
      <c r="FGO124" s="67"/>
      <c r="FGP124" s="67"/>
      <c r="FGQ124" s="67"/>
      <c r="FGR124" s="67"/>
      <c r="FGS124" s="67"/>
      <c r="FGT124" s="67"/>
      <c r="FGU124" s="67"/>
      <c r="FGV124" s="67"/>
      <c r="FGW124" s="67"/>
      <c r="FGX124" s="67"/>
      <c r="FGY124" s="67"/>
      <c r="FGZ124" s="67"/>
      <c r="FHA124" s="67"/>
      <c r="FHB124" s="67"/>
      <c r="FHC124" s="67"/>
      <c r="FHD124" s="67"/>
      <c r="FHE124" s="67"/>
      <c r="FHF124" s="67"/>
      <c r="FHG124" s="67"/>
      <c r="FHH124" s="67"/>
      <c r="FHI124" s="67"/>
      <c r="FHJ124" s="67"/>
      <c r="FHK124" s="67"/>
      <c r="FHL124" s="67"/>
      <c r="FHM124" s="67"/>
      <c r="FHN124" s="67"/>
      <c r="FHO124" s="67"/>
      <c r="FHP124" s="67"/>
      <c r="FHQ124" s="67"/>
      <c r="FHR124" s="67"/>
      <c r="FHS124" s="67"/>
      <c r="FHT124" s="67"/>
      <c r="FHU124" s="67"/>
      <c r="FHV124" s="67"/>
      <c r="FHW124" s="67"/>
      <c r="FHX124" s="67"/>
      <c r="FHY124" s="67"/>
      <c r="FHZ124" s="67"/>
      <c r="FIA124" s="67"/>
      <c r="FIB124" s="67"/>
      <c r="FIC124" s="67"/>
      <c r="FID124" s="67"/>
      <c r="FIE124" s="67"/>
      <c r="FIF124" s="67"/>
      <c r="FIG124" s="67"/>
      <c r="FIH124" s="67"/>
      <c r="FII124" s="67"/>
      <c r="FIJ124" s="67"/>
      <c r="FIK124" s="67"/>
      <c r="FIL124" s="67"/>
      <c r="FIM124" s="67"/>
      <c r="FIN124" s="67"/>
      <c r="FIO124" s="67"/>
      <c r="FIP124" s="67"/>
      <c r="FIQ124" s="67"/>
      <c r="FIR124" s="67"/>
      <c r="FIS124" s="67"/>
      <c r="FIT124" s="67"/>
      <c r="FIU124" s="67"/>
      <c r="FIV124" s="67"/>
      <c r="FIW124" s="67"/>
      <c r="FIX124" s="67"/>
      <c r="FIY124" s="67"/>
      <c r="FIZ124" s="67"/>
      <c r="FJA124" s="67"/>
      <c r="FJB124" s="67"/>
      <c r="FJC124" s="67"/>
      <c r="FJD124" s="67"/>
      <c r="FJE124" s="67"/>
      <c r="FJF124" s="67"/>
      <c r="FJG124" s="67"/>
      <c r="FJH124" s="67"/>
      <c r="FJI124" s="67"/>
      <c r="FJJ124" s="67"/>
      <c r="FJK124" s="67"/>
      <c r="FJL124" s="67"/>
      <c r="FJM124" s="67"/>
      <c r="FJN124" s="67"/>
      <c r="FJO124" s="67"/>
      <c r="FJP124" s="67"/>
      <c r="FJQ124" s="67"/>
      <c r="FJR124" s="67"/>
      <c r="FJS124" s="67"/>
      <c r="FJT124" s="67"/>
      <c r="FJU124" s="67"/>
      <c r="FJV124" s="67"/>
      <c r="FJW124" s="67"/>
      <c r="FJX124" s="67"/>
      <c r="FJY124" s="67"/>
      <c r="FJZ124" s="67"/>
      <c r="FKA124" s="67"/>
      <c r="FKB124" s="67"/>
      <c r="FKC124" s="67"/>
      <c r="FKD124" s="67"/>
      <c r="FKE124" s="67"/>
      <c r="FKF124" s="67"/>
      <c r="FKG124" s="67"/>
      <c r="FKH124" s="67"/>
      <c r="FKI124" s="67"/>
      <c r="FKJ124" s="67"/>
      <c r="FKK124" s="67"/>
      <c r="FKL124" s="67"/>
      <c r="FKM124" s="67"/>
      <c r="FKN124" s="67"/>
      <c r="FKO124" s="67"/>
      <c r="FKP124" s="67"/>
      <c r="FKQ124" s="67"/>
      <c r="FKR124" s="67"/>
      <c r="FKS124" s="67"/>
      <c r="FKT124" s="67"/>
      <c r="FKU124" s="67"/>
      <c r="FKV124" s="67"/>
      <c r="FKW124" s="67"/>
      <c r="FKX124" s="67"/>
      <c r="FKY124" s="67"/>
      <c r="FKZ124" s="67"/>
      <c r="FLA124" s="67"/>
      <c r="FLB124" s="67"/>
      <c r="FLC124" s="67"/>
      <c r="FLD124" s="67"/>
      <c r="FLE124" s="67"/>
      <c r="FLF124" s="67"/>
      <c r="FLG124" s="67"/>
      <c r="FLH124" s="67"/>
      <c r="FLI124" s="67"/>
      <c r="FLJ124" s="67"/>
      <c r="FLK124" s="67"/>
      <c r="FLL124" s="67"/>
      <c r="FLM124" s="67"/>
      <c r="FLN124" s="67"/>
      <c r="FLO124" s="67"/>
      <c r="FLP124" s="67"/>
      <c r="FLQ124" s="67"/>
      <c r="FLR124" s="67"/>
      <c r="FLS124" s="67"/>
      <c r="FLT124" s="67"/>
      <c r="FLU124" s="67"/>
      <c r="FLV124" s="67"/>
      <c r="FLW124" s="67"/>
      <c r="FLX124" s="67"/>
      <c r="FLY124" s="67"/>
      <c r="FLZ124" s="67"/>
      <c r="FMA124" s="67"/>
      <c r="FMB124" s="67"/>
      <c r="FMC124" s="67"/>
      <c r="FMD124" s="67"/>
      <c r="FME124" s="67"/>
      <c r="FMF124" s="67"/>
      <c r="FMG124" s="67"/>
      <c r="FMH124" s="67"/>
      <c r="FMI124" s="67"/>
      <c r="FMJ124" s="67"/>
      <c r="FMK124" s="67"/>
      <c r="FML124" s="67"/>
      <c r="FMM124" s="67"/>
      <c r="FMN124" s="67"/>
      <c r="FMO124" s="67"/>
      <c r="FMP124" s="67"/>
      <c r="FMQ124" s="67"/>
      <c r="FMR124" s="67"/>
      <c r="FMS124" s="67"/>
      <c r="FMT124" s="67"/>
      <c r="FMU124" s="67"/>
      <c r="FMV124" s="67"/>
      <c r="FMW124" s="67"/>
      <c r="FMX124" s="67"/>
      <c r="FMY124" s="67"/>
      <c r="FMZ124" s="67"/>
      <c r="FNA124" s="67"/>
      <c r="FNB124" s="67"/>
      <c r="FNC124" s="67"/>
      <c r="FND124" s="67"/>
      <c r="FNE124" s="67"/>
      <c r="FNF124" s="67"/>
      <c r="FNG124" s="67"/>
      <c r="FNH124" s="67"/>
      <c r="FNI124" s="67"/>
      <c r="FNJ124" s="67"/>
      <c r="FNK124" s="67"/>
      <c r="FNL124" s="67"/>
      <c r="FNM124" s="67"/>
      <c r="FNN124" s="67"/>
      <c r="FNO124" s="67"/>
      <c r="FNP124" s="67"/>
      <c r="FNQ124" s="67"/>
      <c r="FNR124" s="67"/>
      <c r="FNS124" s="67"/>
      <c r="FNT124" s="67"/>
      <c r="FNU124" s="67"/>
      <c r="FNV124" s="67"/>
      <c r="FNW124" s="67"/>
      <c r="FNX124" s="67"/>
      <c r="FNY124" s="67"/>
      <c r="FNZ124" s="67"/>
      <c r="FOA124" s="67"/>
      <c r="FOB124" s="67"/>
      <c r="FOC124" s="67"/>
      <c r="FOD124" s="67"/>
      <c r="FOE124" s="67"/>
      <c r="FOF124" s="67"/>
      <c r="FOG124" s="67"/>
      <c r="FOH124" s="67"/>
      <c r="FOI124" s="67"/>
      <c r="FOJ124" s="67"/>
      <c r="FOK124" s="67"/>
      <c r="FOL124" s="67"/>
      <c r="FOM124" s="67"/>
      <c r="FON124" s="67"/>
      <c r="FOO124" s="67"/>
      <c r="FOP124" s="67"/>
      <c r="FOQ124" s="67"/>
      <c r="FOR124" s="67"/>
      <c r="FOS124" s="67"/>
      <c r="FOT124" s="67"/>
      <c r="FOU124" s="67"/>
      <c r="FOV124" s="67"/>
      <c r="FOW124" s="67"/>
      <c r="FOX124" s="67"/>
      <c r="FOY124" s="67"/>
      <c r="FOZ124" s="67"/>
      <c r="FPA124" s="67"/>
      <c r="FPB124" s="67"/>
      <c r="FPC124" s="67"/>
      <c r="FPD124" s="67"/>
      <c r="FPE124" s="67"/>
      <c r="FPF124" s="67"/>
      <c r="FPG124" s="67"/>
      <c r="FPH124" s="67"/>
      <c r="FPI124" s="67"/>
      <c r="FPJ124" s="67"/>
      <c r="FPK124" s="67"/>
      <c r="FPL124" s="67"/>
      <c r="FPM124" s="67"/>
      <c r="FPN124" s="67"/>
      <c r="FPO124" s="67"/>
      <c r="FPP124" s="67"/>
      <c r="FPQ124" s="67"/>
      <c r="FPR124" s="67"/>
      <c r="FPS124" s="67"/>
      <c r="FPT124" s="67"/>
      <c r="FPU124" s="67"/>
      <c r="FPV124" s="67"/>
      <c r="FPW124" s="67"/>
      <c r="FPX124" s="67"/>
      <c r="FPY124" s="67"/>
      <c r="FPZ124" s="67"/>
      <c r="FQA124" s="67"/>
      <c r="FQB124" s="67"/>
      <c r="FQC124" s="67"/>
      <c r="FQD124" s="67"/>
      <c r="FQE124" s="67"/>
      <c r="FQF124" s="67"/>
      <c r="FQG124" s="67"/>
      <c r="FQH124" s="67"/>
      <c r="FQI124" s="67"/>
      <c r="FQJ124" s="67"/>
      <c r="FQK124" s="67"/>
      <c r="FQL124" s="67"/>
      <c r="FQM124" s="67"/>
      <c r="FQN124" s="67"/>
      <c r="FQO124" s="67"/>
      <c r="FQP124" s="67"/>
      <c r="FQQ124" s="67"/>
      <c r="FQR124" s="67"/>
      <c r="FQS124" s="67"/>
      <c r="FQT124" s="67"/>
      <c r="FQU124" s="67"/>
      <c r="FQV124" s="67"/>
      <c r="FQW124" s="67"/>
      <c r="FQX124" s="67"/>
      <c r="FQY124" s="67"/>
      <c r="FQZ124" s="67"/>
      <c r="FRA124" s="67"/>
      <c r="FRB124" s="67"/>
      <c r="FRC124" s="67"/>
      <c r="FRD124" s="67"/>
      <c r="FRE124" s="67"/>
      <c r="FRF124" s="67"/>
      <c r="FRG124" s="67"/>
      <c r="FRH124" s="67"/>
      <c r="FRI124" s="67"/>
      <c r="FRJ124" s="67"/>
      <c r="FRK124" s="67"/>
      <c r="FRL124" s="67"/>
      <c r="FRM124" s="67"/>
      <c r="FRN124" s="67"/>
      <c r="FRO124" s="67"/>
      <c r="FRP124" s="67"/>
      <c r="FRQ124" s="67"/>
      <c r="FRR124" s="67"/>
      <c r="FRS124" s="67"/>
      <c r="FRT124" s="67"/>
      <c r="FRU124" s="67"/>
      <c r="FRV124" s="67"/>
      <c r="FRW124" s="67"/>
      <c r="FRX124" s="67"/>
      <c r="FRY124" s="67"/>
      <c r="FRZ124" s="67"/>
      <c r="FSA124" s="67"/>
      <c r="FSB124" s="67"/>
      <c r="FSC124" s="67"/>
      <c r="FSD124" s="67"/>
      <c r="FSE124" s="67"/>
      <c r="FSF124" s="67"/>
      <c r="FSG124" s="67"/>
      <c r="FSH124" s="67"/>
      <c r="FSI124" s="67"/>
      <c r="FSJ124" s="67"/>
      <c r="FSK124" s="67"/>
      <c r="FSL124" s="67"/>
      <c r="FSM124" s="67"/>
      <c r="FSN124" s="67"/>
      <c r="FSO124" s="67"/>
      <c r="FSP124" s="67"/>
      <c r="FSQ124" s="67"/>
      <c r="FSR124" s="67"/>
      <c r="FSS124" s="67"/>
      <c r="FST124" s="67"/>
      <c r="FSU124" s="67"/>
      <c r="FSV124" s="67"/>
      <c r="FSW124" s="67"/>
      <c r="FSX124" s="67"/>
      <c r="FSY124" s="67"/>
      <c r="FSZ124" s="67"/>
      <c r="FTA124" s="67"/>
      <c r="FTB124" s="67"/>
      <c r="FTC124" s="67"/>
      <c r="FTD124" s="67"/>
      <c r="FTE124" s="67"/>
      <c r="FTF124" s="67"/>
      <c r="FTG124" s="67"/>
      <c r="FTH124" s="67"/>
      <c r="FTI124" s="67"/>
      <c r="FTJ124" s="67"/>
      <c r="FTK124" s="67"/>
      <c r="FTL124" s="67"/>
      <c r="FTM124" s="67"/>
      <c r="FTN124" s="67"/>
      <c r="FTO124" s="67"/>
      <c r="FTP124" s="67"/>
      <c r="FTQ124" s="67"/>
      <c r="FTR124" s="67"/>
      <c r="FTS124" s="67"/>
      <c r="FTT124" s="67"/>
      <c r="FTU124" s="67"/>
      <c r="FTV124" s="67"/>
      <c r="FTW124" s="67"/>
      <c r="FTX124" s="67"/>
      <c r="FTY124" s="67"/>
      <c r="FTZ124" s="67"/>
      <c r="FUA124" s="67"/>
      <c r="FUB124" s="67"/>
      <c r="FUC124" s="67"/>
      <c r="FUD124" s="67"/>
      <c r="FUE124" s="67"/>
      <c r="FUF124" s="67"/>
      <c r="FUG124" s="67"/>
      <c r="FUH124" s="67"/>
      <c r="FUI124" s="67"/>
      <c r="FUJ124" s="67"/>
      <c r="FUK124" s="67"/>
      <c r="FUL124" s="67"/>
      <c r="FUM124" s="67"/>
      <c r="FUN124" s="67"/>
      <c r="FUO124" s="67"/>
      <c r="FUP124" s="67"/>
      <c r="FUQ124" s="67"/>
      <c r="FUR124" s="67"/>
      <c r="FUS124" s="67"/>
      <c r="FUT124" s="67"/>
      <c r="FUU124" s="67"/>
      <c r="FUV124" s="67"/>
      <c r="FUW124" s="67"/>
      <c r="FUX124" s="67"/>
      <c r="FUY124" s="67"/>
      <c r="FUZ124" s="67"/>
      <c r="FVA124" s="67"/>
      <c r="FVB124" s="67"/>
      <c r="FVC124" s="67"/>
      <c r="FVD124" s="67"/>
      <c r="FVE124" s="67"/>
      <c r="FVF124" s="67"/>
      <c r="FVG124" s="67"/>
      <c r="FVH124" s="67"/>
      <c r="FVI124" s="67"/>
      <c r="FVJ124" s="67"/>
      <c r="FVK124" s="67"/>
      <c r="FVL124" s="67"/>
      <c r="FVM124" s="67"/>
      <c r="FVN124" s="67"/>
      <c r="FVO124" s="67"/>
      <c r="FVP124" s="67"/>
      <c r="FVQ124" s="67"/>
      <c r="FVR124" s="67"/>
      <c r="FVS124" s="67"/>
      <c r="FVT124" s="67"/>
      <c r="FVU124" s="67"/>
      <c r="FVV124" s="67"/>
      <c r="FVW124" s="67"/>
      <c r="FVX124" s="67"/>
      <c r="FVY124" s="67"/>
      <c r="FVZ124" s="67"/>
      <c r="FWA124" s="67"/>
      <c r="FWB124" s="67"/>
      <c r="FWC124" s="67"/>
      <c r="FWD124" s="67"/>
      <c r="FWE124" s="67"/>
      <c r="FWF124" s="67"/>
      <c r="FWG124" s="67"/>
      <c r="FWH124" s="67"/>
      <c r="FWI124" s="67"/>
      <c r="FWJ124" s="67"/>
      <c r="FWK124" s="67"/>
      <c r="FWL124" s="67"/>
      <c r="FWM124" s="67"/>
      <c r="FWN124" s="67"/>
      <c r="FWO124" s="67"/>
      <c r="FWP124" s="67"/>
      <c r="FWQ124" s="67"/>
      <c r="FWR124" s="67"/>
      <c r="FWS124" s="67"/>
      <c r="FWT124" s="67"/>
      <c r="FWU124" s="67"/>
      <c r="FWV124" s="67"/>
      <c r="FWW124" s="67"/>
      <c r="FWX124" s="67"/>
      <c r="FWY124" s="67"/>
      <c r="FWZ124" s="67"/>
      <c r="FXA124" s="67"/>
      <c r="FXB124" s="67"/>
      <c r="FXC124" s="67"/>
      <c r="FXD124" s="67"/>
      <c r="FXE124" s="67"/>
      <c r="FXF124" s="67"/>
      <c r="FXG124" s="67"/>
      <c r="FXH124" s="67"/>
      <c r="FXI124" s="67"/>
      <c r="FXJ124" s="67"/>
      <c r="FXK124" s="67"/>
      <c r="FXL124" s="67"/>
      <c r="FXM124" s="67"/>
      <c r="FXN124" s="67"/>
      <c r="FXO124" s="67"/>
      <c r="FXP124" s="67"/>
      <c r="FXQ124" s="67"/>
      <c r="FXR124" s="67"/>
      <c r="FXS124" s="67"/>
      <c r="FXT124" s="67"/>
      <c r="FXU124" s="67"/>
      <c r="FXV124" s="67"/>
      <c r="FXW124" s="67"/>
      <c r="FXX124" s="67"/>
      <c r="FXY124" s="67"/>
      <c r="FXZ124" s="67"/>
      <c r="FYA124" s="67"/>
      <c r="FYB124" s="67"/>
      <c r="FYC124" s="67"/>
      <c r="FYD124" s="67"/>
      <c r="FYE124" s="67"/>
      <c r="FYF124" s="67"/>
      <c r="FYG124" s="67"/>
      <c r="FYH124" s="67"/>
      <c r="FYI124" s="67"/>
      <c r="FYJ124" s="67"/>
      <c r="FYK124" s="67"/>
      <c r="FYL124" s="67"/>
      <c r="FYM124" s="67"/>
      <c r="FYN124" s="67"/>
      <c r="FYO124" s="67"/>
      <c r="FYP124" s="67"/>
      <c r="FYQ124" s="67"/>
      <c r="FYR124" s="67"/>
      <c r="FYS124" s="67"/>
      <c r="FYT124" s="67"/>
      <c r="FYU124" s="67"/>
      <c r="FYV124" s="67"/>
      <c r="FYW124" s="67"/>
      <c r="FYX124" s="67"/>
      <c r="FYY124" s="67"/>
      <c r="FYZ124" s="67"/>
      <c r="FZA124" s="67"/>
      <c r="FZB124" s="67"/>
      <c r="FZC124" s="67"/>
      <c r="FZD124" s="67"/>
      <c r="FZE124" s="67"/>
      <c r="FZF124" s="67"/>
      <c r="FZG124" s="67"/>
      <c r="FZH124" s="67"/>
      <c r="FZI124" s="67"/>
      <c r="FZJ124" s="67"/>
      <c r="FZK124" s="67"/>
      <c r="FZL124" s="67"/>
      <c r="FZM124" s="67"/>
      <c r="FZN124" s="67"/>
      <c r="FZO124" s="67"/>
      <c r="FZP124" s="67"/>
      <c r="FZQ124" s="67"/>
      <c r="FZR124" s="67"/>
      <c r="FZS124" s="67"/>
      <c r="FZT124" s="67"/>
      <c r="FZU124" s="67"/>
      <c r="FZV124" s="67"/>
      <c r="FZW124" s="67"/>
      <c r="FZX124" s="67"/>
      <c r="FZY124" s="67"/>
      <c r="FZZ124" s="67"/>
      <c r="GAA124" s="67"/>
      <c r="GAB124" s="67"/>
      <c r="GAC124" s="67"/>
      <c r="GAD124" s="67"/>
      <c r="GAE124" s="67"/>
      <c r="GAF124" s="67"/>
      <c r="GAG124" s="67"/>
      <c r="GAH124" s="67"/>
      <c r="GAI124" s="67"/>
      <c r="GAJ124" s="67"/>
      <c r="GAK124" s="67"/>
      <c r="GAL124" s="67"/>
      <c r="GAM124" s="67"/>
      <c r="GAN124" s="67"/>
      <c r="GAO124" s="67"/>
      <c r="GAP124" s="67"/>
      <c r="GAQ124" s="67"/>
      <c r="GAR124" s="67"/>
      <c r="GAS124" s="67"/>
      <c r="GAT124" s="67"/>
      <c r="GAU124" s="67"/>
      <c r="GAV124" s="67"/>
      <c r="GAW124" s="67"/>
      <c r="GAX124" s="67"/>
      <c r="GAY124" s="67"/>
      <c r="GAZ124" s="67"/>
      <c r="GBA124" s="67"/>
      <c r="GBB124" s="67"/>
      <c r="GBC124" s="67"/>
      <c r="GBD124" s="67"/>
      <c r="GBE124" s="67"/>
      <c r="GBF124" s="67"/>
      <c r="GBG124" s="67"/>
      <c r="GBH124" s="67"/>
      <c r="GBI124" s="67"/>
      <c r="GBJ124" s="67"/>
      <c r="GBK124" s="67"/>
      <c r="GBL124" s="67"/>
      <c r="GBM124" s="67"/>
      <c r="GBN124" s="67"/>
      <c r="GBO124" s="67"/>
      <c r="GBP124" s="67"/>
      <c r="GBQ124" s="67"/>
      <c r="GBR124" s="67"/>
      <c r="GBS124" s="67"/>
      <c r="GBT124" s="67"/>
      <c r="GBU124" s="67"/>
      <c r="GBV124" s="67"/>
      <c r="GBW124" s="67"/>
      <c r="GBX124" s="67"/>
      <c r="GBY124" s="67"/>
      <c r="GBZ124" s="67"/>
      <c r="GCA124" s="67"/>
      <c r="GCB124" s="67"/>
      <c r="GCC124" s="67"/>
      <c r="GCD124" s="67"/>
      <c r="GCE124" s="67"/>
      <c r="GCF124" s="67"/>
      <c r="GCG124" s="67"/>
      <c r="GCH124" s="67"/>
      <c r="GCI124" s="67"/>
      <c r="GCJ124" s="67"/>
      <c r="GCK124" s="67"/>
      <c r="GCL124" s="67"/>
      <c r="GCM124" s="67"/>
      <c r="GCN124" s="67"/>
      <c r="GCO124" s="67"/>
      <c r="GCP124" s="67"/>
      <c r="GCQ124" s="67"/>
      <c r="GCR124" s="67"/>
      <c r="GCS124" s="67"/>
      <c r="GCT124" s="67"/>
      <c r="GCU124" s="67"/>
      <c r="GCV124" s="67"/>
      <c r="GCW124" s="67"/>
      <c r="GCX124" s="67"/>
      <c r="GCY124" s="67"/>
      <c r="GCZ124" s="67"/>
      <c r="GDA124" s="67"/>
      <c r="GDB124" s="67"/>
      <c r="GDC124" s="67"/>
      <c r="GDD124" s="67"/>
      <c r="GDE124" s="67"/>
      <c r="GDF124" s="67"/>
      <c r="GDG124" s="67"/>
      <c r="GDH124" s="67"/>
      <c r="GDI124" s="67"/>
      <c r="GDJ124" s="67"/>
      <c r="GDK124" s="67"/>
      <c r="GDL124" s="67"/>
      <c r="GDM124" s="67"/>
      <c r="GDN124" s="67"/>
      <c r="GDO124" s="67"/>
      <c r="GDP124" s="67"/>
      <c r="GDQ124" s="67"/>
      <c r="GDR124" s="67"/>
      <c r="GDS124" s="67"/>
      <c r="GDT124" s="67"/>
      <c r="GDU124" s="67"/>
      <c r="GDV124" s="67"/>
      <c r="GDW124" s="67"/>
      <c r="GDX124" s="67"/>
      <c r="GDY124" s="67"/>
      <c r="GDZ124" s="67"/>
      <c r="GEA124" s="67"/>
      <c r="GEB124" s="67"/>
      <c r="GEC124" s="67"/>
      <c r="GED124" s="67"/>
      <c r="GEE124" s="67"/>
      <c r="GEF124" s="67"/>
      <c r="GEG124" s="67"/>
      <c r="GEH124" s="67"/>
      <c r="GEI124" s="67"/>
      <c r="GEJ124" s="67"/>
      <c r="GEK124" s="67"/>
      <c r="GEL124" s="67"/>
      <c r="GEM124" s="67"/>
      <c r="GEN124" s="67"/>
      <c r="GEO124" s="67"/>
      <c r="GEP124" s="67"/>
      <c r="GEQ124" s="67"/>
      <c r="GER124" s="67"/>
      <c r="GES124" s="67"/>
      <c r="GET124" s="67"/>
      <c r="GEU124" s="67"/>
      <c r="GEV124" s="67"/>
      <c r="GEW124" s="67"/>
      <c r="GEX124" s="67"/>
      <c r="GEY124" s="67"/>
      <c r="GEZ124" s="67"/>
      <c r="GFA124" s="67"/>
      <c r="GFB124" s="67"/>
      <c r="GFC124" s="67"/>
      <c r="GFD124" s="67"/>
      <c r="GFE124" s="67"/>
      <c r="GFF124" s="67"/>
      <c r="GFG124" s="67"/>
      <c r="GFH124" s="67"/>
      <c r="GFI124" s="67"/>
      <c r="GFJ124" s="67"/>
      <c r="GFK124" s="67"/>
      <c r="GFL124" s="67"/>
      <c r="GFM124" s="67"/>
      <c r="GFN124" s="67"/>
      <c r="GFO124" s="67"/>
      <c r="GFP124" s="67"/>
      <c r="GFQ124" s="67"/>
      <c r="GFR124" s="67"/>
      <c r="GFS124" s="67"/>
      <c r="GFT124" s="67"/>
      <c r="GFU124" s="67"/>
      <c r="GFV124" s="67"/>
      <c r="GFW124" s="67"/>
      <c r="GFX124" s="67"/>
      <c r="GFY124" s="67"/>
      <c r="GFZ124" s="67"/>
      <c r="GGA124" s="67"/>
      <c r="GGB124" s="67"/>
      <c r="GGC124" s="67"/>
      <c r="GGD124" s="67"/>
      <c r="GGE124" s="67"/>
      <c r="GGF124" s="67"/>
      <c r="GGG124" s="67"/>
      <c r="GGH124" s="67"/>
      <c r="GGI124" s="67"/>
      <c r="GGJ124" s="67"/>
      <c r="GGK124" s="67"/>
      <c r="GGL124" s="67"/>
      <c r="GGM124" s="67"/>
      <c r="GGN124" s="67"/>
      <c r="GGO124" s="67"/>
      <c r="GGP124" s="67"/>
      <c r="GGQ124" s="67"/>
      <c r="GGR124" s="67"/>
      <c r="GGS124" s="67"/>
      <c r="GGT124" s="67"/>
      <c r="GGU124" s="67"/>
      <c r="GGV124" s="67"/>
      <c r="GGW124" s="67"/>
      <c r="GGX124" s="67"/>
      <c r="GGY124" s="67"/>
      <c r="GGZ124" s="67"/>
      <c r="GHA124" s="67"/>
      <c r="GHB124" s="67"/>
      <c r="GHC124" s="67"/>
      <c r="GHD124" s="67"/>
      <c r="GHE124" s="67"/>
      <c r="GHF124" s="67"/>
      <c r="GHG124" s="67"/>
      <c r="GHH124" s="67"/>
      <c r="GHI124" s="67"/>
      <c r="GHJ124" s="67"/>
      <c r="GHK124" s="67"/>
      <c r="GHL124" s="67"/>
      <c r="GHM124" s="67"/>
      <c r="GHN124" s="67"/>
      <c r="GHO124" s="67"/>
      <c r="GHP124" s="67"/>
      <c r="GHQ124" s="67"/>
      <c r="GHR124" s="67"/>
      <c r="GHS124" s="67"/>
      <c r="GHT124" s="67"/>
      <c r="GHU124" s="67"/>
      <c r="GHV124" s="67"/>
      <c r="GHW124" s="67"/>
      <c r="GHX124" s="67"/>
      <c r="GHY124" s="67"/>
      <c r="GHZ124" s="67"/>
      <c r="GIA124" s="67"/>
      <c r="GIB124" s="67"/>
      <c r="GIC124" s="67"/>
      <c r="GID124" s="67"/>
      <c r="GIE124" s="67"/>
      <c r="GIF124" s="67"/>
      <c r="GIG124" s="67"/>
      <c r="GIH124" s="67"/>
      <c r="GII124" s="67"/>
      <c r="GIJ124" s="67"/>
      <c r="GIK124" s="67"/>
      <c r="GIL124" s="67"/>
      <c r="GIM124" s="67"/>
      <c r="GIN124" s="67"/>
      <c r="GIO124" s="67"/>
      <c r="GIP124" s="67"/>
      <c r="GIQ124" s="67"/>
      <c r="GIR124" s="67"/>
      <c r="GIS124" s="67"/>
      <c r="GIT124" s="67"/>
      <c r="GIU124" s="67"/>
      <c r="GIV124" s="67"/>
      <c r="GIW124" s="67"/>
      <c r="GIX124" s="67"/>
      <c r="GIY124" s="67"/>
      <c r="GIZ124" s="67"/>
      <c r="GJA124" s="67"/>
      <c r="GJB124" s="67"/>
      <c r="GJC124" s="67"/>
      <c r="GJD124" s="67"/>
      <c r="GJE124" s="67"/>
      <c r="GJF124" s="67"/>
      <c r="GJG124" s="67"/>
      <c r="GJH124" s="67"/>
      <c r="GJI124" s="67"/>
      <c r="GJJ124" s="67"/>
      <c r="GJK124" s="67"/>
      <c r="GJL124" s="67"/>
      <c r="GJM124" s="67"/>
      <c r="GJN124" s="67"/>
      <c r="GJO124" s="67"/>
      <c r="GJP124" s="67"/>
      <c r="GJQ124" s="67"/>
      <c r="GJR124" s="67"/>
      <c r="GJS124" s="67"/>
      <c r="GJT124" s="67"/>
      <c r="GJU124" s="67"/>
      <c r="GJV124" s="67"/>
      <c r="GJW124" s="67"/>
      <c r="GJX124" s="67"/>
      <c r="GJY124" s="67"/>
      <c r="GJZ124" s="67"/>
      <c r="GKA124" s="67"/>
      <c r="GKB124" s="67"/>
      <c r="GKC124" s="67"/>
      <c r="GKD124" s="67"/>
      <c r="GKE124" s="67"/>
      <c r="GKF124" s="67"/>
      <c r="GKG124" s="67"/>
      <c r="GKH124" s="67"/>
      <c r="GKI124" s="67"/>
      <c r="GKJ124" s="67"/>
      <c r="GKK124" s="67"/>
      <c r="GKL124" s="67"/>
      <c r="GKM124" s="67"/>
      <c r="GKN124" s="67"/>
      <c r="GKO124" s="67"/>
      <c r="GKP124" s="67"/>
      <c r="GKQ124" s="67"/>
      <c r="GKR124" s="67"/>
      <c r="GKS124" s="67"/>
      <c r="GKT124" s="67"/>
      <c r="GKU124" s="67"/>
      <c r="GKV124" s="67"/>
      <c r="GKW124" s="67"/>
      <c r="GKX124" s="67"/>
      <c r="GKY124" s="67"/>
      <c r="GKZ124" s="67"/>
      <c r="GLA124" s="67"/>
      <c r="GLB124" s="67"/>
      <c r="GLC124" s="67"/>
      <c r="GLD124" s="67"/>
      <c r="GLE124" s="67"/>
      <c r="GLF124" s="67"/>
      <c r="GLG124" s="67"/>
      <c r="GLH124" s="67"/>
      <c r="GLI124" s="67"/>
      <c r="GLJ124" s="67"/>
      <c r="GLK124" s="67"/>
      <c r="GLL124" s="67"/>
      <c r="GLM124" s="67"/>
      <c r="GLN124" s="67"/>
      <c r="GLO124" s="67"/>
      <c r="GLP124" s="67"/>
      <c r="GLQ124" s="67"/>
      <c r="GLR124" s="67"/>
      <c r="GLS124" s="67"/>
      <c r="GLT124" s="67"/>
      <c r="GLU124" s="67"/>
      <c r="GLV124" s="67"/>
      <c r="GLW124" s="67"/>
      <c r="GLX124" s="67"/>
      <c r="GLY124" s="67"/>
      <c r="GLZ124" s="67"/>
      <c r="GMA124" s="67"/>
      <c r="GMB124" s="67"/>
      <c r="GMC124" s="67"/>
      <c r="GMD124" s="67"/>
      <c r="GME124" s="67"/>
      <c r="GMF124" s="67"/>
      <c r="GMG124" s="67"/>
      <c r="GMH124" s="67"/>
      <c r="GMI124" s="67"/>
      <c r="GMJ124" s="67"/>
      <c r="GMK124" s="67"/>
      <c r="GML124" s="67"/>
      <c r="GMM124" s="67"/>
      <c r="GMN124" s="67"/>
      <c r="GMO124" s="67"/>
      <c r="GMP124" s="67"/>
      <c r="GMQ124" s="67"/>
      <c r="GMR124" s="67"/>
      <c r="GMS124" s="67"/>
      <c r="GMT124" s="67"/>
      <c r="GMU124" s="67"/>
      <c r="GMV124" s="67"/>
      <c r="GMW124" s="67"/>
      <c r="GMX124" s="67"/>
      <c r="GMY124" s="67"/>
      <c r="GMZ124" s="67"/>
      <c r="GNA124" s="67"/>
      <c r="GNB124" s="67"/>
      <c r="GNC124" s="67"/>
      <c r="GND124" s="67"/>
      <c r="GNE124" s="67"/>
      <c r="GNF124" s="67"/>
      <c r="GNG124" s="67"/>
      <c r="GNH124" s="67"/>
      <c r="GNI124" s="67"/>
      <c r="GNJ124" s="67"/>
      <c r="GNK124" s="67"/>
      <c r="GNL124" s="67"/>
      <c r="GNM124" s="67"/>
      <c r="GNN124" s="67"/>
      <c r="GNO124" s="67"/>
      <c r="GNP124" s="67"/>
      <c r="GNQ124" s="67"/>
      <c r="GNR124" s="67"/>
      <c r="GNS124" s="67"/>
      <c r="GNT124" s="67"/>
      <c r="GNU124" s="67"/>
      <c r="GNV124" s="67"/>
      <c r="GNW124" s="67"/>
      <c r="GNX124" s="67"/>
      <c r="GNY124" s="67"/>
      <c r="GNZ124" s="67"/>
      <c r="GOA124" s="67"/>
      <c r="GOB124" s="67"/>
      <c r="GOC124" s="67"/>
      <c r="GOD124" s="67"/>
      <c r="GOE124" s="67"/>
      <c r="GOF124" s="67"/>
      <c r="GOG124" s="67"/>
      <c r="GOH124" s="67"/>
      <c r="GOI124" s="67"/>
      <c r="GOJ124" s="67"/>
      <c r="GOK124" s="67"/>
      <c r="GOL124" s="67"/>
      <c r="GOM124" s="67"/>
      <c r="GON124" s="67"/>
      <c r="GOO124" s="67"/>
      <c r="GOP124" s="67"/>
      <c r="GOQ124" s="67"/>
      <c r="GOR124" s="67"/>
      <c r="GOS124" s="67"/>
      <c r="GOT124" s="67"/>
      <c r="GOU124" s="67"/>
      <c r="GOV124" s="67"/>
      <c r="GOW124" s="67"/>
      <c r="GOX124" s="67"/>
      <c r="GOY124" s="67"/>
      <c r="GOZ124" s="67"/>
      <c r="GPA124" s="67"/>
      <c r="GPB124" s="67"/>
      <c r="GPC124" s="67"/>
      <c r="GPD124" s="67"/>
      <c r="GPE124" s="67"/>
      <c r="GPF124" s="67"/>
      <c r="GPG124" s="67"/>
      <c r="GPH124" s="67"/>
      <c r="GPI124" s="67"/>
      <c r="GPJ124" s="67"/>
      <c r="GPK124" s="67"/>
      <c r="GPL124" s="67"/>
      <c r="GPM124" s="67"/>
      <c r="GPN124" s="67"/>
      <c r="GPO124" s="67"/>
      <c r="GPP124" s="67"/>
      <c r="GPQ124" s="67"/>
      <c r="GPR124" s="67"/>
      <c r="GPS124" s="67"/>
      <c r="GPT124" s="67"/>
      <c r="GPU124" s="67"/>
      <c r="GPV124" s="67"/>
      <c r="GPW124" s="67"/>
      <c r="GPX124" s="67"/>
      <c r="GPY124" s="67"/>
      <c r="GPZ124" s="67"/>
      <c r="GQA124" s="67"/>
      <c r="GQB124" s="67"/>
      <c r="GQC124" s="67"/>
      <c r="GQD124" s="67"/>
      <c r="GQE124" s="67"/>
      <c r="GQF124" s="67"/>
      <c r="GQG124" s="67"/>
      <c r="GQH124" s="67"/>
      <c r="GQI124" s="67"/>
      <c r="GQJ124" s="67"/>
      <c r="GQK124" s="67"/>
      <c r="GQL124" s="67"/>
      <c r="GQM124" s="67"/>
      <c r="GQN124" s="67"/>
      <c r="GQO124" s="67"/>
      <c r="GQP124" s="67"/>
      <c r="GQQ124" s="67"/>
      <c r="GQR124" s="67"/>
      <c r="GQS124" s="67"/>
      <c r="GQT124" s="67"/>
      <c r="GQU124" s="67"/>
      <c r="GQV124" s="67"/>
      <c r="GQW124" s="67"/>
      <c r="GQX124" s="67"/>
      <c r="GQY124" s="67"/>
      <c r="GQZ124" s="67"/>
      <c r="GRA124" s="67"/>
      <c r="GRB124" s="67"/>
      <c r="GRC124" s="67"/>
      <c r="GRD124" s="67"/>
      <c r="GRE124" s="67"/>
      <c r="GRF124" s="67"/>
      <c r="GRG124" s="67"/>
      <c r="GRH124" s="67"/>
      <c r="GRI124" s="67"/>
      <c r="GRJ124" s="67"/>
      <c r="GRK124" s="67"/>
      <c r="GRL124" s="67"/>
      <c r="GRM124" s="67"/>
      <c r="GRN124" s="67"/>
      <c r="GRO124" s="67"/>
      <c r="GRP124" s="67"/>
      <c r="GRQ124" s="67"/>
      <c r="GRR124" s="67"/>
      <c r="GRS124" s="67"/>
      <c r="GRT124" s="67"/>
      <c r="GRU124" s="67"/>
      <c r="GRV124" s="67"/>
      <c r="GRW124" s="67"/>
      <c r="GRX124" s="67"/>
      <c r="GRY124" s="67"/>
      <c r="GRZ124" s="67"/>
      <c r="GSA124" s="67"/>
      <c r="GSB124" s="67"/>
      <c r="GSC124" s="67"/>
      <c r="GSD124" s="67"/>
      <c r="GSE124" s="67"/>
      <c r="GSF124" s="67"/>
      <c r="GSG124" s="67"/>
      <c r="GSH124" s="67"/>
      <c r="GSI124" s="67"/>
      <c r="GSJ124" s="67"/>
      <c r="GSK124" s="67"/>
      <c r="GSL124" s="67"/>
      <c r="GSM124" s="67"/>
      <c r="GSN124" s="67"/>
      <c r="GSO124" s="67"/>
      <c r="GSP124" s="67"/>
      <c r="GSQ124" s="67"/>
      <c r="GSR124" s="67"/>
      <c r="GSS124" s="67"/>
      <c r="GST124" s="67"/>
      <c r="GSU124" s="67"/>
      <c r="GSV124" s="67"/>
      <c r="GSW124" s="67"/>
      <c r="GSX124" s="67"/>
      <c r="GSY124" s="67"/>
      <c r="GSZ124" s="67"/>
      <c r="GTA124" s="67"/>
      <c r="GTB124" s="67"/>
      <c r="GTC124" s="67"/>
      <c r="GTD124" s="67"/>
      <c r="GTE124" s="67"/>
      <c r="GTF124" s="67"/>
      <c r="GTG124" s="67"/>
      <c r="GTH124" s="67"/>
      <c r="GTI124" s="67"/>
      <c r="GTJ124" s="67"/>
      <c r="GTK124" s="67"/>
      <c r="GTL124" s="67"/>
      <c r="GTM124" s="67"/>
      <c r="GTN124" s="67"/>
      <c r="GTO124" s="67"/>
      <c r="GTP124" s="67"/>
      <c r="GTQ124" s="67"/>
      <c r="GTR124" s="67"/>
      <c r="GTS124" s="67"/>
      <c r="GTT124" s="67"/>
      <c r="GTU124" s="67"/>
      <c r="GTV124" s="67"/>
      <c r="GTW124" s="67"/>
      <c r="GTX124" s="67"/>
      <c r="GTY124" s="67"/>
      <c r="GTZ124" s="67"/>
      <c r="GUA124" s="67"/>
      <c r="GUB124" s="67"/>
      <c r="GUC124" s="67"/>
      <c r="GUD124" s="67"/>
      <c r="GUE124" s="67"/>
      <c r="GUF124" s="67"/>
      <c r="GUG124" s="67"/>
      <c r="GUH124" s="67"/>
      <c r="GUI124" s="67"/>
      <c r="GUJ124" s="67"/>
      <c r="GUK124" s="67"/>
      <c r="GUL124" s="67"/>
      <c r="GUM124" s="67"/>
      <c r="GUN124" s="67"/>
      <c r="GUO124" s="67"/>
      <c r="GUP124" s="67"/>
      <c r="GUQ124" s="67"/>
      <c r="GUR124" s="67"/>
      <c r="GUS124" s="67"/>
      <c r="GUT124" s="67"/>
      <c r="GUU124" s="67"/>
      <c r="GUV124" s="67"/>
      <c r="GUW124" s="67"/>
      <c r="GUX124" s="67"/>
      <c r="GUY124" s="67"/>
      <c r="GUZ124" s="67"/>
      <c r="GVA124" s="67"/>
      <c r="GVB124" s="67"/>
      <c r="GVC124" s="67"/>
      <c r="GVD124" s="67"/>
      <c r="GVE124" s="67"/>
      <c r="GVF124" s="67"/>
      <c r="GVG124" s="67"/>
      <c r="GVH124" s="67"/>
      <c r="GVI124" s="67"/>
      <c r="GVJ124" s="67"/>
      <c r="GVK124" s="67"/>
      <c r="GVL124" s="67"/>
      <c r="GVM124" s="67"/>
      <c r="GVN124" s="67"/>
      <c r="GVO124" s="67"/>
      <c r="GVP124" s="67"/>
      <c r="GVQ124" s="67"/>
      <c r="GVR124" s="67"/>
      <c r="GVS124" s="67"/>
      <c r="GVT124" s="67"/>
      <c r="GVU124" s="67"/>
      <c r="GVV124" s="67"/>
      <c r="GVW124" s="67"/>
      <c r="GVX124" s="67"/>
      <c r="GVY124" s="67"/>
      <c r="GVZ124" s="67"/>
      <c r="GWA124" s="67"/>
      <c r="GWB124" s="67"/>
      <c r="GWC124" s="67"/>
      <c r="GWD124" s="67"/>
      <c r="GWE124" s="67"/>
      <c r="GWF124" s="67"/>
      <c r="GWG124" s="67"/>
      <c r="GWH124" s="67"/>
      <c r="GWI124" s="67"/>
      <c r="GWJ124" s="67"/>
      <c r="GWK124" s="67"/>
      <c r="GWL124" s="67"/>
      <c r="GWM124" s="67"/>
      <c r="GWN124" s="67"/>
      <c r="GWO124" s="67"/>
      <c r="GWP124" s="67"/>
      <c r="GWQ124" s="67"/>
      <c r="GWR124" s="67"/>
      <c r="GWS124" s="67"/>
      <c r="GWT124" s="67"/>
      <c r="GWU124" s="67"/>
      <c r="GWV124" s="67"/>
      <c r="GWW124" s="67"/>
      <c r="GWX124" s="67"/>
      <c r="GWY124" s="67"/>
      <c r="GWZ124" s="67"/>
      <c r="GXA124" s="67"/>
      <c r="GXB124" s="67"/>
      <c r="GXC124" s="67"/>
      <c r="GXD124" s="67"/>
      <c r="GXE124" s="67"/>
      <c r="GXF124" s="67"/>
      <c r="GXG124" s="67"/>
      <c r="GXH124" s="67"/>
      <c r="GXI124" s="67"/>
      <c r="GXJ124" s="67"/>
      <c r="GXK124" s="67"/>
      <c r="GXL124" s="67"/>
      <c r="GXM124" s="67"/>
      <c r="GXN124" s="67"/>
      <c r="GXO124" s="67"/>
      <c r="GXP124" s="67"/>
      <c r="GXQ124" s="67"/>
      <c r="GXR124" s="67"/>
      <c r="GXS124" s="67"/>
      <c r="GXT124" s="67"/>
      <c r="GXU124" s="67"/>
      <c r="GXV124" s="67"/>
      <c r="GXW124" s="67"/>
      <c r="GXX124" s="67"/>
      <c r="GXY124" s="67"/>
      <c r="GXZ124" s="67"/>
      <c r="GYA124" s="67"/>
      <c r="GYB124" s="67"/>
      <c r="GYC124" s="67"/>
      <c r="GYD124" s="67"/>
      <c r="GYE124" s="67"/>
      <c r="GYF124" s="67"/>
      <c r="GYG124" s="67"/>
      <c r="GYH124" s="67"/>
      <c r="GYI124" s="67"/>
      <c r="GYJ124" s="67"/>
      <c r="GYK124" s="67"/>
      <c r="GYL124" s="67"/>
      <c r="GYM124" s="67"/>
      <c r="GYN124" s="67"/>
      <c r="GYO124" s="67"/>
      <c r="GYP124" s="67"/>
      <c r="GYQ124" s="67"/>
      <c r="GYR124" s="67"/>
      <c r="GYS124" s="67"/>
      <c r="GYT124" s="67"/>
      <c r="GYU124" s="67"/>
      <c r="GYV124" s="67"/>
      <c r="GYW124" s="67"/>
      <c r="GYX124" s="67"/>
      <c r="GYY124" s="67"/>
      <c r="GYZ124" s="67"/>
      <c r="GZA124" s="67"/>
      <c r="GZB124" s="67"/>
      <c r="GZC124" s="67"/>
      <c r="GZD124" s="67"/>
      <c r="GZE124" s="67"/>
      <c r="GZF124" s="67"/>
      <c r="GZG124" s="67"/>
      <c r="GZH124" s="67"/>
      <c r="GZI124" s="67"/>
      <c r="GZJ124" s="67"/>
      <c r="GZK124" s="67"/>
      <c r="GZL124" s="67"/>
      <c r="GZM124" s="67"/>
      <c r="GZN124" s="67"/>
      <c r="GZO124" s="67"/>
      <c r="GZP124" s="67"/>
      <c r="GZQ124" s="67"/>
      <c r="GZR124" s="67"/>
      <c r="GZS124" s="67"/>
      <c r="GZT124" s="67"/>
      <c r="GZU124" s="67"/>
      <c r="GZV124" s="67"/>
      <c r="GZW124" s="67"/>
      <c r="GZX124" s="67"/>
      <c r="GZY124" s="67"/>
      <c r="GZZ124" s="67"/>
      <c r="HAA124" s="67"/>
      <c r="HAB124" s="67"/>
      <c r="HAC124" s="67"/>
      <c r="HAD124" s="67"/>
      <c r="HAE124" s="67"/>
      <c r="HAF124" s="67"/>
      <c r="HAG124" s="67"/>
      <c r="HAH124" s="67"/>
      <c r="HAI124" s="67"/>
      <c r="HAJ124" s="67"/>
      <c r="HAK124" s="67"/>
      <c r="HAL124" s="67"/>
      <c r="HAM124" s="67"/>
      <c r="HAN124" s="67"/>
      <c r="HAO124" s="67"/>
      <c r="HAP124" s="67"/>
      <c r="HAQ124" s="67"/>
      <c r="HAR124" s="67"/>
      <c r="HAS124" s="67"/>
      <c r="HAT124" s="67"/>
      <c r="HAU124" s="67"/>
      <c r="HAV124" s="67"/>
      <c r="HAW124" s="67"/>
      <c r="HAX124" s="67"/>
      <c r="HAY124" s="67"/>
      <c r="HAZ124" s="67"/>
      <c r="HBA124" s="67"/>
      <c r="HBB124" s="67"/>
      <c r="HBC124" s="67"/>
      <c r="HBD124" s="67"/>
      <c r="HBE124" s="67"/>
      <c r="HBF124" s="67"/>
      <c r="HBG124" s="67"/>
      <c r="HBH124" s="67"/>
      <c r="HBI124" s="67"/>
      <c r="HBJ124" s="67"/>
      <c r="HBK124" s="67"/>
      <c r="HBL124" s="67"/>
      <c r="HBM124" s="67"/>
      <c r="HBN124" s="67"/>
      <c r="HBO124" s="67"/>
      <c r="HBP124" s="67"/>
      <c r="HBQ124" s="67"/>
      <c r="HBR124" s="67"/>
      <c r="HBS124" s="67"/>
      <c r="HBT124" s="67"/>
      <c r="HBU124" s="67"/>
      <c r="HBV124" s="67"/>
      <c r="HBW124" s="67"/>
      <c r="HBX124" s="67"/>
      <c r="HBY124" s="67"/>
      <c r="HBZ124" s="67"/>
      <c r="HCA124" s="67"/>
      <c r="HCB124" s="67"/>
      <c r="HCC124" s="67"/>
      <c r="HCD124" s="67"/>
      <c r="HCE124" s="67"/>
      <c r="HCF124" s="67"/>
      <c r="HCG124" s="67"/>
      <c r="HCH124" s="67"/>
      <c r="HCI124" s="67"/>
      <c r="HCJ124" s="67"/>
      <c r="HCK124" s="67"/>
      <c r="HCL124" s="67"/>
      <c r="HCM124" s="67"/>
      <c r="HCN124" s="67"/>
      <c r="HCO124" s="67"/>
      <c r="HCP124" s="67"/>
      <c r="HCQ124" s="67"/>
      <c r="HCR124" s="67"/>
      <c r="HCS124" s="67"/>
      <c r="HCT124" s="67"/>
      <c r="HCU124" s="67"/>
      <c r="HCV124" s="67"/>
      <c r="HCW124" s="67"/>
      <c r="HCX124" s="67"/>
      <c r="HCY124" s="67"/>
      <c r="HCZ124" s="67"/>
      <c r="HDA124" s="67"/>
      <c r="HDB124" s="67"/>
      <c r="HDC124" s="67"/>
      <c r="HDD124" s="67"/>
      <c r="HDE124" s="67"/>
      <c r="HDF124" s="67"/>
      <c r="HDG124" s="67"/>
      <c r="HDH124" s="67"/>
      <c r="HDI124" s="67"/>
      <c r="HDJ124" s="67"/>
      <c r="HDK124" s="67"/>
      <c r="HDL124" s="67"/>
      <c r="HDM124" s="67"/>
      <c r="HDN124" s="67"/>
      <c r="HDO124" s="67"/>
      <c r="HDP124" s="67"/>
      <c r="HDQ124" s="67"/>
      <c r="HDR124" s="67"/>
      <c r="HDS124" s="67"/>
      <c r="HDT124" s="67"/>
      <c r="HDU124" s="67"/>
      <c r="HDV124" s="67"/>
      <c r="HDW124" s="67"/>
      <c r="HDX124" s="67"/>
      <c r="HDY124" s="67"/>
      <c r="HDZ124" s="67"/>
      <c r="HEA124" s="67"/>
      <c r="HEB124" s="67"/>
      <c r="HEC124" s="67"/>
      <c r="HED124" s="67"/>
      <c r="HEE124" s="67"/>
      <c r="HEF124" s="67"/>
      <c r="HEG124" s="67"/>
      <c r="HEH124" s="67"/>
      <c r="HEI124" s="67"/>
      <c r="HEJ124" s="67"/>
      <c r="HEK124" s="67"/>
      <c r="HEL124" s="67"/>
      <c r="HEM124" s="67"/>
      <c r="HEN124" s="67"/>
      <c r="HEO124" s="67"/>
      <c r="HEP124" s="67"/>
      <c r="HEQ124" s="67"/>
      <c r="HER124" s="67"/>
      <c r="HES124" s="67"/>
      <c r="HET124" s="67"/>
      <c r="HEU124" s="67"/>
      <c r="HEV124" s="67"/>
      <c r="HEW124" s="67"/>
      <c r="HEX124" s="67"/>
      <c r="HEY124" s="67"/>
      <c r="HEZ124" s="67"/>
      <c r="HFA124" s="67"/>
      <c r="HFB124" s="67"/>
      <c r="HFC124" s="67"/>
      <c r="HFD124" s="67"/>
      <c r="HFE124" s="67"/>
      <c r="HFF124" s="67"/>
      <c r="HFG124" s="67"/>
      <c r="HFH124" s="67"/>
      <c r="HFI124" s="67"/>
      <c r="HFJ124" s="67"/>
      <c r="HFK124" s="67"/>
      <c r="HFL124" s="67"/>
      <c r="HFM124" s="67"/>
      <c r="HFN124" s="67"/>
      <c r="HFO124" s="67"/>
      <c r="HFP124" s="67"/>
      <c r="HFQ124" s="67"/>
      <c r="HFR124" s="67"/>
      <c r="HFS124" s="67"/>
      <c r="HFT124" s="67"/>
      <c r="HFU124" s="67"/>
      <c r="HFV124" s="67"/>
      <c r="HFW124" s="67"/>
      <c r="HFX124" s="67"/>
      <c r="HFY124" s="67"/>
      <c r="HFZ124" s="67"/>
      <c r="HGA124" s="67"/>
      <c r="HGB124" s="67"/>
      <c r="HGC124" s="67"/>
      <c r="HGD124" s="67"/>
      <c r="HGE124" s="67"/>
      <c r="HGF124" s="67"/>
      <c r="HGG124" s="67"/>
      <c r="HGH124" s="67"/>
      <c r="HGI124" s="67"/>
      <c r="HGJ124" s="67"/>
      <c r="HGK124" s="67"/>
      <c r="HGL124" s="67"/>
      <c r="HGM124" s="67"/>
      <c r="HGN124" s="67"/>
      <c r="HGO124" s="67"/>
      <c r="HGP124" s="67"/>
      <c r="HGQ124" s="67"/>
      <c r="HGR124" s="67"/>
      <c r="HGS124" s="67"/>
      <c r="HGT124" s="67"/>
      <c r="HGU124" s="67"/>
      <c r="HGV124" s="67"/>
      <c r="HGW124" s="67"/>
      <c r="HGX124" s="67"/>
      <c r="HGY124" s="67"/>
      <c r="HGZ124" s="67"/>
      <c r="HHA124" s="67"/>
      <c r="HHB124" s="67"/>
      <c r="HHC124" s="67"/>
      <c r="HHD124" s="67"/>
      <c r="HHE124" s="67"/>
      <c r="HHF124" s="67"/>
      <c r="HHG124" s="67"/>
      <c r="HHH124" s="67"/>
      <c r="HHI124" s="67"/>
      <c r="HHJ124" s="67"/>
      <c r="HHK124" s="67"/>
      <c r="HHL124" s="67"/>
      <c r="HHM124" s="67"/>
      <c r="HHN124" s="67"/>
      <c r="HHO124" s="67"/>
      <c r="HHP124" s="67"/>
      <c r="HHQ124" s="67"/>
      <c r="HHR124" s="67"/>
      <c r="HHS124" s="67"/>
      <c r="HHT124" s="67"/>
      <c r="HHU124" s="67"/>
      <c r="HHV124" s="67"/>
      <c r="HHW124" s="67"/>
      <c r="HHX124" s="67"/>
      <c r="HHY124" s="67"/>
      <c r="HHZ124" s="67"/>
      <c r="HIA124" s="67"/>
      <c r="HIB124" s="67"/>
      <c r="HIC124" s="67"/>
      <c r="HID124" s="67"/>
      <c r="HIE124" s="67"/>
      <c r="HIF124" s="67"/>
      <c r="HIG124" s="67"/>
      <c r="HIH124" s="67"/>
      <c r="HII124" s="67"/>
      <c r="HIJ124" s="67"/>
      <c r="HIK124" s="67"/>
      <c r="HIL124" s="67"/>
      <c r="HIM124" s="67"/>
      <c r="HIN124" s="67"/>
      <c r="HIO124" s="67"/>
      <c r="HIP124" s="67"/>
      <c r="HIQ124" s="67"/>
      <c r="HIR124" s="67"/>
      <c r="HIS124" s="67"/>
      <c r="HIT124" s="67"/>
      <c r="HIU124" s="67"/>
      <c r="HIV124" s="67"/>
      <c r="HIW124" s="67"/>
      <c r="HIX124" s="67"/>
      <c r="HIY124" s="67"/>
      <c r="HIZ124" s="67"/>
      <c r="HJA124" s="67"/>
      <c r="HJB124" s="67"/>
      <c r="HJC124" s="67"/>
      <c r="HJD124" s="67"/>
      <c r="HJE124" s="67"/>
      <c r="HJF124" s="67"/>
      <c r="HJG124" s="67"/>
      <c r="HJH124" s="67"/>
      <c r="HJI124" s="67"/>
      <c r="HJJ124" s="67"/>
      <c r="HJK124" s="67"/>
      <c r="HJL124" s="67"/>
      <c r="HJM124" s="67"/>
      <c r="HJN124" s="67"/>
      <c r="HJO124" s="67"/>
      <c r="HJP124" s="67"/>
      <c r="HJQ124" s="67"/>
      <c r="HJR124" s="67"/>
      <c r="HJS124" s="67"/>
      <c r="HJT124" s="67"/>
      <c r="HJU124" s="67"/>
      <c r="HJV124" s="67"/>
      <c r="HJW124" s="67"/>
      <c r="HJX124" s="67"/>
      <c r="HJY124" s="67"/>
      <c r="HJZ124" s="67"/>
      <c r="HKA124" s="67"/>
      <c r="HKB124" s="67"/>
      <c r="HKC124" s="67"/>
      <c r="HKD124" s="67"/>
      <c r="HKE124" s="67"/>
      <c r="HKF124" s="67"/>
      <c r="HKG124" s="67"/>
      <c r="HKH124" s="67"/>
      <c r="HKI124" s="67"/>
      <c r="HKJ124" s="67"/>
      <c r="HKK124" s="67"/>
      <c r="HKL124" s="67"/>
      <c r="HKM124" s="67"/>
      <c r="HKN124" s="67"/>
      <c r="HKO124" s="67"/>
      <c r="HKP124" s="67"/>
      <c r="HKQ124" s="67"/>
      <c r="HKR124" s="67"/>
      <c r="HKS124" s="67"/>
      <c r="HKT124" s="67"/>
      <c r="HKU124" s="67"/>
      <c r="HKV124" s="67"/>
      <c r="HKW124" s="67"/>
      <c r="HKX124" s="67"/>
      <c r="HKY124" s="67"/>
      <c r="HKZ124" s="67"/>
      <c r="HLA124" s="67"/>
      <c r="HLB124" s="67"/>
      <c r="HLC124" s="67"/>
      <c r="HLD124" s="67"/>
      <c r="HLE124" s="67"/>
      <c r="HLF124" s="67"/>
      <c r="HLG124" s="67"/>
      <c r="HLH124" s="67"/>
      <c r="HLI124" s="67"/>
      <c r="HLJ124" s="67"/>
      <c r="HLK124" s="67"/>
      <c r="HLL124" s="67"/>
      <c r="HLM124" s="67"/>
      <c r="HLN124" s="67"/>
      <c r="HLO124" s="67"/>
      <c r="HLP124" s="67"/>
      <c r="HLQ124" s="67"/>
      <c r="HLR124" s="67"/>
      <c r="HLS124" s="67"/>
      <c r="HLT124" s="67"/>
      <c r="HLU124" s="67"/>
      <c r="HLV124" s="67"/>
      <c r="HLW124" s="67"/>
      <c r="HLX124" s="67"/>
      <c r="HLY124" s="67"/>
      <c r="HLZ124" s="67"/>
      <c r="HMA124" s="67"/>
      <c r="HMB124" s="67"/>
      <c r="HMC124" s="67"/>
      <c r="HMD124" s="67"/>
      <c r="HME124" s="67"/>
      <c r="HMF124" s="67"/>
      <c r="HMG124" s="67"/>
      <c r="HMH124" s="67"/>
      <c r="HMI124" s="67"/>
      <c r="HMJ124" s="67"/>
      <c r="HMK124" s="67"/>
      <c r="HML124" s="67"/>
      <c r="HMM124" s="67"/>
      <c r="HMN124" s="67"/>
      <c r="HMO124" s="67"/>
      <c r="HMP124" s="67"/>
      <c r="HMQ124" s="67"/>
      <c r="HMR124" s="67"/>
      <c r="HMS124" s="67"/>
      <c r="HMT124" s="67"/>
      <c r="HMU124" s="67"/>
      <c r="HMV124" s="67"/>
      <c r="HMW124" s="67"/>
      <c r="HMX124" s="67"/>
      <c r="HMY124" s="67"/>
      <c r="HMZ124" s="67"/>
      <c r="HNA124" s="67"/>
      <c r="HNB124" s="67"/>
      <c r="HNC124" s="67"/>
      <c r="HND124" s="67"/>
      <c r="HNE124" s="67"/>
      <c r="HNF124" s="67"/>
      <c r="HNG124" s="67"/>
      <c r="HNH124" s="67"/>
      <c r="HNI124" s="67"/>
      <c r="HNJ124" s="67"/>
      <c r="HNK124" s="67"/>
      <c r="HNL124" s="67"/>
      <c r="HNM124" s="67"/>
      <c r="HNN124" s="67"/>
      <c r="HNO124" s="67"/>
      <c r="HNP124" s="67"/>
      <c r="HNQ124" s="67"/>
      <c r="HNR124" s="67"/>
      <c r="HNS124" s="67"/>
      <c r="HNT124" s="67"/>
      <c r="HNU124" s="67"/>
      <c r="HNV124" s="67"/>
      <c r="HNW124" s="67"/>
      <c r="HNX124" s="67"/>
      <c r="HNY124" s="67"/>
      <c r="HNZ124" s="67"/>
      <c r="HOA124" s="67"/>
      <c r="HOB124" s="67"/>
      <c r="HOC124" s="67"/>
      <c r="HOD124" s="67"/>
      <c r="HOE124" s="67"/>
      <c r="HOF124" s="67"/>
      <c r="HOG124" s="67"/>
      <c r="HOH124" s="67"/>
      <c r="HOI124" s="67"/>
      <c r="HOJ124" s="67"/>
      <c r="HOK124" s="67"/>
      <c r="HOL124" s="67"/>
      <c r="HOM124" s="67"/>
      <c r="HON124" s="67"/>
      <c r="HOO124" s="67"/>
      <c r="HOP124" s="67"/>
      <c r="HOQ124" s="67"/>
      <c r="HOR124" s="67"/>
      <c r="HOS124" s="67"/>
      <c r="HOT124" s="67"/>
      <c r="HOU124" s="67"/>
      <c r="HOV124" s="67"/>
      <c r="HOW124" s="67"/>
      <c r="HOX124" s="67"/>
      <c r="HOY124" s="67"/>
      <c r="HOZ124" s="67"/>
      <c r="HPA124" s="67"/>
      <c r="HPB124" s="67"/>
      <c r="HPC124" s="67"/>
      <c r="HPD124" s="67"/>
      <c r="HPE124" s="67"/>
      <c r="HPF124" s="67"/>
      <c r="HPG124" s="67"/>
      <c r="HPH124" s="67"/>
      <c r="HPI124" s="67"/>
      <c r="HPJ124" s="67"/>
      <c r="HPK124" s="67"/>
      <c r="HPL124" s="67"/>
      <c r="HPM124" s="67"/>
      <c r="HPN124" s="67"/>
      <c r="HPO124" s="67"/>
      <c r="HPP124" s="67"/>
      <c r="HPQ124" s="67"/>
      <c r="HPR124" s="67"/>
      <c r="HPS124" s="67"/>
      <c r="HPT124" s="67"/>
      <c r="HPU124" s="67"/>
      <c r="HPV124" s="67"/>
      <c r="HPW124" s="67"/>
      <c r="HPX124" s="67"/>
      <c r="HPY124" s="67"/>
      <c r="HPZ124" s="67"/>
      <c r="HQA124" s="67"/>
      <c r="HQB124" s="67"/>
      <c r="HQC124" s="67"/>
      <c r="HQD124" s="67"/>
      <c r="HQE124" s="67"/>
      <c r="HQF124" s="67"/>
      <c r="HQG124" s="67"/>
      <c r="HQH124" s="67"/>
      <c r="HQI124" s="67"/>
      <c r="HQJ124" s="67"/>
      <c r="HQK124" s="67"/>
      <c r="HQL124" s="67"/>
      <c r="HQM124" s="67"/>
      <c r="HQN124" s="67"/>
      <c r="HQO124" s="67"/>
      <c r="HQP124" s="67"/>
      <c r="HQQ124" s="67"/>
      <c r="HQR124" s="67"/>
      <c r="HQS124" s="67"/>
      <c r="HQT124" s="67"/>
      <c r="HQU124" s="67"/>
      <c r="HQV124" s="67"/>
      <c r="HQW124" s="67"/>
      <c r="HQX124" s="67"/>
      <c r="HQY124" s="67"/>
      <c r="HQZ124" s="67"/>
      <c r="HRA124" s="67"/>
      <c r="HRB124" s="67"/>
      <c r="HRC124" s="67"/>
      <c r="HRD124" s="67"/>
      <c r="HRE124" s="67"/>
      <c r="HRF124" s="67"/>
      <c r="HRG124" s="67"/>
      <c r="HRH124" s="67"/>
      <c r="HRI124" s="67"/>
      <c r="HRJ124" s="67"/>
      <c r="HRK124" s="67"/>
      <c r="HRL124" s="67"/>
      <c r="HRM124" s="67"/>
      <c r="HRN124" s="67"/>
      <c r="HRO124" s="67"/>
      <c r="HRP124" s="67"/>
      <c r="HRQ124" s="67"/>
      <c r="HRR124" s="67"/>
      <c r="HRS124" s="67"/>
      <c r="HRT124" s="67"/>
      <c r="HRU124" s="67"/>
      <c r="HRV124" s="67"/>
      <c r="HRW124" s="67"/>
      <c r="HRX124" s="67"/>
      <c r="HRY124" s="67"/>
      <c r="HRZ124" s="67"/>
      <c r="HSA124" s="67"/>
      <c r="HSB124" s="67"/>
      <c r="HSC124" s="67"/>
      <c r="HSD124" s="67"/>
      <c r="HSE124" s="67"/>
      <c r="HSF124" s="67"/>
      <c r="HSG124" s="67"/>
      <c r="HSH124" s="67"/>
      <c r="HSI124" s="67"/>
      <c r="HSJ124" s="67"/>
      <c r="HSK124" s="67"/>
      <c r="HSL124" s="67"/>
      <c r="HSM124" s="67"/>
      <c r="HSN124" s="67"/>
      <c r="HSO124" s="67"/>
      <c r="HSP124" s="67"/>
      <c r="HSQ124" s="67"/>
      <c r="HSR124" s="67"/>
      <c r="HSS124" s="67"/>
      <c r="HST124" s="67"/>
      <c r="HSU124" s="67"/>
      <c r="HSV124" s="67"/>
      <c r="HSW124" s="67"/>
      <c r="HSX124" s="67"/>
      <c r="HSY124" s="67"/>
      <c r="HSZ124" s="67"/>
      <c r="HTA124" s="67"/>
      <c r="HTB124" s="67"/>
      <c r="HTC124" s="67"/>
      <c r="HTD124" s="67"/>
      <c r="HTE124" s="67"/>
      <c r="HTF124" s="67"/>
      <c r="HTG124" s="67"/>
      <c r="HTH124" s="67"/>
      <c r="HTI124" s="67"/>
      <c r="HTJ124" s="67"/>
      <c r="HTK124" s="67"/>
      <c r="HTL124" s="67"/>
      <c r="HTM124" s="67"/>
      <c r="HTN124" s="67"/>
      <c r="HTO124" s="67"/>
      <c r="HTP124" s="67"/>
      <c r="HTQ124" s="67"/>
      <c r="HTR124" s="67"/>
      <c r="HTS124" s="67"/>
      <c r="HTT124" s="67"/>
      <c r="HTU124" s="67"/>
      <c r="HTV124" s="67"/>
      <c r="HTW124" s="67"/>
      <c r="HTX124" s="67"/>
      <c r="HTY124" s="67"/>
      <c r="HTZ124" s="67"/>
      <c r="HUA124" s="67"/>
      <c r="HUB124" s="67"/>
      <c r="HUC124" s="67"/>
      <c r="HUD124" s="67"/>
      <c r="HUE124" s="67"/>
      <c r="HUF124" s="67"/>
      <c r="HUG124" s="67"/>
      <c r="HUH124" s="67"/>
      <c r="HUI124" s="67"/>
      <c r="HUJ124" s="67"/>
      <c r="HUK124" s="67"/>
      <c r="HUL124" s="67"/>
      <c r="HUM124" s="67"/>
      <c r="HUN124" s="67"/>
      <c r="HUO124" s="67"/>
      <c r="HUP124" s="67"/>
      <c r="HUQ124" s="67"/>
      <c r="HUR124" s="67"/>
      <c r="HUS124" s="67"/>
      <c r="HUT124" s="67"/>
      <c r="HUU124" s="67"/>
      <c r="HUV124" s="67"/>
      <c r="HUW124" s="67"/>
      <c r="HUX124" s="67"/>
      <c r="HUY124" s="67"/>
      <c r="HUZ124" s="67"/>
      <c r="HVA124" s="67"/>
      <c r="HVB124" s="67"/>
      <c r="HVC124" s="67"/>
      <c r="HVD124" s="67"/>
      <c r="HVE124" s="67"/>
      <c r="HVF124" s="67"/>
      <c r="HVG124" s="67"/>
      <c r="HVH124" s="67"/>
      <c r="HVI124" s="67"/>
      <c r="HVJ124" s="67"/>
      <c r="HVK124" s="67"/>
      <c r="HVL124" s="67"/>
      <c r="HVM124" s="67"/>
      <c r="HVN124" s="67"/>
      <c r="HVO124" s="67"/>
      <c r="HVP124" s="67"/>
      <c r="HVQ124" s="67"/>
      <c r="HVR124" s="67"/>
      <c r="HVS124" s="67"/>
      <c r="HVT124" s="67"/>
      <c r="HVU124" s="67"/>
      <c r="HVV124" s="67"/>
      <c r="HVW124" s="67"/>
      <c r="HVX124" s="67"/>
      <c r="HVY124" s="67"/>
      <c r="HVZ124" s="67"/>
      <c r="HWA124" s="67"/>
      <c r="HWB124" s="67"/>
      <c r="HWC124" s="67"/>
      <c r="HWD124" s="67"/>
      <c r="HWE124" s="67"/>
      <c r="HWF124" s="67"/>
      <c r="HWG124" s="67"/>
      <c r="HWH124" s="67"/>
      <c r="HWI124" s="67"/>
      <c r="HWJ124" s="67"/>
      <c r="HWK124" s="67"/>
      <c r="HWL124" s="67"/>
      <c r="HWM124" s="67"/>
      <c r="HWN124" s="67"/>
      <c r="HWO124" s="67"/>
      <c r="HWP124" s="67"/>
      <c r="HWQ124" s="67"/>
      <c r="HWR124" s="67"/>
      <c r="HWS124" s="67"/>
      <c r="HWT124" s="67"/>
      <c r="HWU124" s="67"/>
      <c r="HWV124" s="67"/>
      <c r="HWW124" s="67"/>
      <c r="HWX124" s="67"/>
      <c r="HWY124" s="67"/>
      <c r="HWZ124" s="67"/>
      <c r="HXA124" s="67"/>
      <c r="HXB124" s="67"/>
      <c r="HXC124" s="67"/>
      <c r="HXD124" s="67"/>
      <c r="HXE124" s="67"/>
      <c r="HXF124" s="67"/>
      <c r="HXG124" s="67"/>
      <c r="HXH124" s="67"/>
      <c r="HXI124" s="67"/>
      <c r="HXJ124" s="67"/>
      <c r="HXK124" s="67"/>
      <c r="HXL124" s="67"/>
      <c r="HXM124" s="67"/>
      <c r="HXN124" s="67"/>
      <c r="HXO124" s="67"/>
      <c r="HXP124" s="67"/>
      <c r="HXQ124" s="67"/>
      <c r="HXR124" s="67"/>
      <c r="HXS124" s="67"/>
      <c r="HXT124" s="67"/>
      <c r="HXU124" s="67"/>
      <c r="HXV124" s="67"/>
      <c r="HXW124" s="67"/>
      <c r="HXX124" s="67"/>
      <c r="HXY124" s="67"/>
      <c r="HXZ124" s="67"/>
      <c r="HYA124" s="67"/>
      <c r="HYB124" s="67"/>
      <c r="HYC124" s="67"/>
      <c r="HYD124" s="67"/>
      <c r="HYE124" s="67"/>
      <c r="HYF124" s="67"/>
      <c r="HYG124" s="67"/>
      <c r="HYH124" s="67"/>
      <c r="HYI124" s="67"/>
      <c r="HYJ124" s="67"/>
      <c r="HYK124" s="67"/>
      <c r="HYL124" s="67"/>
      <c r="HYM124" s="67"/>
      <c r="HYN124" s="67"/>
      <c r="HYO124" s="67"/>
      <c r="HYP124" s="67"/>
      <c r="HYQ124" s="67"/>
      <c r="HYR124" s="67"/>
      <c r="HYS124" s="67"/>
      <c r="HYT124" s="67"/>
      <c r="HYU124" s="67"/>
      <c r="HYV124" s="67"/>
      <c r="HYW124" s="67"/>
      <c r="HYX124" s="67"/>
      <c r="HYY124" s="67"/>
      <c r="HYZ124" s="67"/>
      <c r="HZA124" s="67"/>
      <c r="HZB124" s="67"/>
      <c r="HZC124" s="67"/>
      <c r="HZD124" s="67"/>
      <c r="HZE124" s="67"/>
      <c r="HZF124" s="67"/>
      <c r="HZG124" s="67"/>
      <c r="HZH124" s="67"/>
      <c r="HZI124" s="67"/>
      <c r="HZJ124" s="67"/>
      <c r="HZK124" s="67"/>
      <c r="HZL124" s="67"/>
      <c r="HZM124" s="67"/>
      <c r="HZN124" s="67"/>
      <c r="HZO124" s="67"/>
      <c r="HZP124" s="67"/>
      <c r="HZQ124" s="67"/>
      <c r="HZR124" s="67"/>
      <c r="HZS124" s="67"/>
      <c r="HZT124" s="67"/>
      <c r="HZU124" s="67"/>
      <c r="HZV124" s="67"/>
      <c r="HZW124" s="67"/>
      <c r="HZX124" s="67"/>
      <c r="HZY124" s="67"/>
      <c r="HZZ124" s="67"/>
      <c r="IAA124" s="67"/>
      <c r="IAB124" s="67"/>
      <c r="IAC124" s="67"/>
      <c r="IAD124" s="67"/>
      <c r="IAE124" s="67"/>
      <c r="IAF124" s="67"/>
      <c r="IAG124" s="67"/>
      <c r="IAH124" s="67"/>
      <c r="IAI124" s="67"/>
      <c r="IAJ124" s="67"/>
      <c r="IAK124" s="67"/>
      <c r="IAL124" s="67"/>
      <c r="IAM124" s="67"/>
      <c r="IAN124" s="67"/>
      <c r="IAO124" s="67"/>
      <c r="IAP124" s="67"/>
      <c r="IAQ124" s="67"/>
      <c r="IAR124" s="67"/>
      <c r="IAS124" s="67"/>
      <c r="IAT124" s="67"/>
      <c r="IAU124" s="67"/>
      <c r="IAV124" s="67"/>
      <c r="IAW124" s="67"/>
      <c r="IAX124" s="67"/>
      <c r="IAY124" s="67"/>
      <c r="IAZ124" s="67"/>
      <c r="IBA124" s="67"/>
      <c r="IBB124" s="67"/>
      <c r="IBC124" s="67"/>
      <c r="IBD124" s="67"/>
      <c r="IBE124" s="67"/>
      <c r="IBF124" s="67"/>
      <c r="IBG124" s="67"/>
      <c r="IBH124" s="67"/>
      <c r="IBI124" s="67"/>
      <c r="IBJ124" s="67"/>
      <c r="IBK124" s="67"/>
      <c r="IBL124" s="67"/>
      <c r="IBM124" s="67"/>
      <c r="IBN124" s="67"/>
      <c r="IBO124" s="67"/>
      <c r="IBP124" s="67"/>
      <c r="IBQ124" s="67"/>
      <c r="IBR124" s="67"/>
      <c r="IBS124" s="67"/>
      <c r="IBT124" s="67"/>
      <c r="IBU124" s="67"/>
      <c r="IBV124" s="67"/>
      <c r="IBW124" s="67"/>
      <c r="IBX124" s="67"/>
      <c r="IBY124" s="67"/>
      <c r="IBZ124" s="67"/>
      <c r="ICA124" s="67"/>
      <c r="ICB124" s="67"/>
      <c r="ICC124" s="67"/>
      <c r="ICD124" s="67"/>
      <c r="ICE124" s="67"/>
      <c r="ICF124" s="67"/>
      <c r="ICG124" s="67"/>
      <c r="ICH124" s="67"/>
      <c r="ICI124" s="67"/>
      <c r="ICJ124" s="67"/>
      <c r="ICK124" s="67"/>
      <c r="ICL124" s="67"/>
      <c r="ICM124" s="67"/>
      <c r="ICN124" s="67"/>
      <c r="ICO124" s="67"/>
      <c r="ICP124" s="67"/>
      <c r="ICQ124" s="67"/>
      <c r="ICR124" s="67"/>
      <c r="ICS124" s="67"/>
      <c r="ICT124" s="67"/>
      <c r="ICU124" s="67"/>
      <c r="ICV124" s="67"/>
      <c r="ICW124" s="67"/>
      <c r="ICX124" s="67"/>
      <c r="ICY124" s="67"/>
      <c r="ICZ124" s="67"/>
      <c r="IDA124" s="67"/>
      <c r="IDB124" s="67"/>
      <c r="IDC124" s="67"/>
      <c r="IDD124" s="67"/>
      <c r="IDE124" s="67"/>
      <c r="IDF124" s="67"/>
      <c r="IDG124" s="67"/>
      <c r="IDH124" s="67"/>
      <c r="IDI124" s="67"/>
      <c r="IDJ124" s="67"/>
      <c r="IDK124" s="67"/>
      <c r="IDL124" s="67"/>
      <c r="IDM124" s="67"/>
      <c r="IDN124" s="67"/>
      <c r="IDO124" s="67"/>
      <c r="IDP124" s="67"/>
      <c r="IDQ124" s="67"/>
      <c r="IDR124" s="67"/>
      <c r="IDS124" s="67"/>
      <c r="IDT124" s="67"/>
      <c r="IDU124" s="67"/>
      <c r="IDV124" s="67"/>
      <c r="IDW124" s="67"/>
      <c r="IDX124" s="67"/>
      <c r="IDY124" s="67"/>
      <c r="IDZ124" s="67"/>
      <c r="IEA124" s="67"/>
      <c r="IEB124" s="67"/>
      <c r="IEC124" s="67"/>
      <c r="IED124" s="67"/>
      <c r="IEE124" s="67"/>
      <c r="IEF124" s="67"/>
      <c r="IEG124" s="67"/>
      <c r="IEH124" s="67"/>
      <c r="IEI124" s="67"/>
      <c r="IEJ124" s="67"/>
      <c r="IEK124" s="67"/>
      <c r="IEL124" s="67"/>
      <c r="IEM124" s="67"/>
      <c r="IEN124" s="67"/>
      <c r="IEO124" s="67"/>
      <c r="IEP124" s="67"/>
      <c r="IEQ124" s="67"/>
      <c r="IER124" s="67"/>
      <c r="IES124" s="67"/>
      <c r="IET124" s="67"/>
      <c r="IEU124" s="67"/>
      <c r="IEV124" s="67"/>
      <c r="IEW124" s="67"/>
      <c r="IEX124" s="67"/>
      <c r="IEY124" s="67"/>
      <c r="IEZ124" s="67"/>
      <c r="IFA124" s="67"/>
      <c r="IFB124" s="67"/>
      <c r="IFC124" s="67"/>
      <c r="IFD124" s="67"/>
      <c r="IFE124" s="67"/>
      <c r="IFF124" s="67"/>
      <c r="IFG124" s="67"/>
      <c r="IFH124" s="67"/>
      <c r="IFI124" s="67"/>
      <c r="IFJ124" s="67"/>
      <c r="IFK124" s="67"/>
      <c r="IFL124" s="67"/>
      <c r="IFM124" s="67"/>
      <c r="IFN124" s="67"/>
      <c r="IFO124" s="67"/>
      <c r="IFP124" s="67"/>
      <c r="IFQ124" s="67"/>
      <c r="IFR124" s="67"/>
      <c r="IFS124" s="67"/>
      <c r="IFT124" s="67"/>
      <c r="IFU124" s="67"/>
      <c r="IFV124" s="67"/>
      <c r="IFW124" s="67"/>
      <c r="IFX124" s="67"/>
      <c r="IFY124" s="67"/>
      <c r="IFZ124" s="67"/>
      <c r="IGA124" s="67"/>
      <c r="IGB124" s="67"/>
      <c r="IGC124" s="67"/>
      <c r="IGD124" s="67"/>
      <c r="IGE124" s="67"/>
      <c r="IGF124" s="67"/>
      <c r="IGG124" s="67"/>
      <c r="IGH124" s="67"/>
      <c r="IGI124" s="67"/>
      <c r="IGJ124" s="67"/>
      <c r="IGK124" s="67"/>
      <c r="IGL124" s="67"/>
      <c r="IGM124" s="67"/>
      <c r="IGN124" s="67"/>
      <c r="IGO124" s="67"/>
      <c r="IGP124" s="67"/>
      <c r="IGQ124" s="67"/>
      <c r="IGR124" s="67"/>
      <c r="IGS124" s="67"/>
      <c r="IGT124" s="67"/>
      <c r="IGU124" s="67"/>
      <c r="IGV124" s="67"/>
      <c r="IGW124" s="67"/>
      <c r="IGX124" s="67"/>
      <c r="IGY124" s="67"/>
      <c r="IGZ124" s="67"/>
      <c r="IHA124" s="67"/>
      <c r="IHB124" s="67"/>
      <c r="IHC124" s="67"/>
      <c r="IHD124" s="67"/>
      <c r="IHE124" s="67"/>
      <c r="IHF124" s="67"/>
      <c r="IHG124" s="67"/>
      <c r="IHH124" s="67"/>
      <c r="IHI124" s="67"/>
      <c r="IHJ124" s="67"/>
      <c r="IHK124" s="67"/>
      <c r="IHL124" s="67"/>
      <c r="IHM124" s="67"/>
      <c r="IHN124" s="67"/>
      <c r="IHO124" s="67"/>
      <c r="IHP124" s="67"/>
      <c r="IHQ124" s="67"/>
      <c r="IHR124" s="67"/>
      <c r="IHS124" s="67"/>
      <c r="IHT124" s="67"/>
      <c r="IHU124" s="67"/>
      <c r="IHV124" s="67"/>
      <c r="IHW124" s="67"/>
      <c r="IHX124" s="67"/>
      <c r="IHY124" s="67"/>
      <c r="IHZ124" s="67"/>
      <c r="IIA124" s="67"/>
      <c r="IIB124" s="67"/>
      <c r="IIC124" s="67"/>
      <c r="IID124" s="67"/>
      <c r="IIE124" s="67"/>
      <c r="IIF124" s="67"/>
      <c r="IIG124" s="67"/>
      <c r="IIH124" s="67"/>
      <c r="III124" s="67"/>
      <c r="IIJ124" s="67"/>
      <c r="IIK124" s="67"/>
      <c r="IIL124" s="67"/>
      <c r="IIM124" s="67"/>
      <c r="IIN124" s="67"/>
      <c r="IIO124" s="67"/>
      <c r="IIP124" s="67"/>
      <c r="IIQ124" s="67"/>
      <c r="IIR124" s="67"/>
      <c r="IIS124" s="67"/>
      <c r="IIT124" s="67"/>
      <c r="IIU124" s="67"/>
      <c r="IIV124" s="67"/>
      <c r="IIW124" s="67"/>
      <c r="IIX124" s="67"/>
      <c r="IIY124" s="67"/>
      <c r="IIZ124" s="67"/>
      <c r="IJA124" s="67"/>
      <c r="IJB124" s="67"/>
      <c r="IJC124" s="67"/>
      <c r="IJD124" s="67"/>
      <c r="IJE124" s="67"/>
      <c r="IJF124" s="67"/>
      <c r="IJG124" s="67"/>
      <c r="IJH124" s="67"/>
      <c r="IJI124" s="67"/>
      <c r="IJJ124" s="67"/>
      <c r="IJK124" s="67"/>
      <c r="IJL124" s="67"/>
      <c r="IJM124" s="67"/>
      <c r="IJN124" s="67"/>
      <c r="IJO124" s="67"/>
      <c r="IJP124" s="67"/>
      <c r="IJQ124" s="67"/>
      <c r="IJR124" s="67"/>
      <c r="IJS124" s="67"/>
      <c r="IJT124" s="67"/>
      <c r="IJU124" s="67"/>
      <c r="IJV124" s="67"/>
      <c r="IJW124" s="67"/>
      <c r="IJX124" s="67"/>
      <c r="IJY124" s="67"/>
      <c r="IJZ124" s="67"/>
      <c r="IKA124" s="67"/>
      <c r="IKB124" s="67"/>
      <c r="IKC124" s="67"/>
      <c r="IKD124" s="67"/>
      <c r="IKE124" s="67"/>
      <c r="IKF124" s="67"/>
      <c r="IKG124" s="67"/>
      <c r="IKH124" s="67"/>
      <c r="IKI124" s="67"/>
      <c r="IKJ124" s="67"/>
      <c r="IKK124" s="67"/>
      <c r="IKL124" s="67"/>
      <c r="IKM124" s="67"/>
      <c r="IKN124" s="67"/>
      <c r="IKO124" s="67"/>
      <c r="IKP124" s="67"/>
      <c r="IKQ124" s="67"/>
      <c r="IKR124" s="67"/>
      <c r="IKS124" s="67"/>
      <c r="IKT124" s="67"/>
      <c r="IKU124" s="67"/>
      <c r="IKV124" s="67"/>
      <c r="IKW124" s="67"/>
      <c r="IKX124" s="67"/>
      <c r="IKY124" s="67"/>
      <c r="IKZ124" s="67"/>
      <c r="ILA124" s="67"/>
      <c r="ILB124" s="67"/>
      <c r="ILC124" s="67"/>
      <c r="ILD124" s="67"/>
      <c r="ILE124" s="67"/>
      <c r="ILF124" s="67"/>
      <c r="ILG124" s="67"/>
      <c r="ILH124" s="67"/>
      <c r="ILI124" s="67"/>
      <c r="ILJ124" s="67"/>
      <c r="ILK124" s="67"/>
      <c r="ILL124" s="67"/>
      <c r="ILM124" s="67"/>
      <c r="ILN124" s="67"/>
      <c r="ILO124" s="67"/>
      <c r="ILP124" s="67"/>
      <c r="ILQ124" s="67"/>
      <c r="ILR124" s="67"/>
      <c r="ILS124" s="67"/>
      <c r="ILT124" s="67"/>
      <c r="ILU124" s="67"/>
      <c r="ILV124" s="67"/>
      <c r="ILW124" s="67"/>
      <c r="ILX124" s="67"/>
      <c r="ILY124" s="67"/>
      <c r="ILZ124" s="67"/>
      <c r="IMA124" s="67"/>
      <c r="IMB124" s="67"/>
      <c r="IMC124" s="67"/>
      <c r="IMD124" s="67"/>
      <c r="IME124" s="67"/>
      <c r="IMF124" s="67"/>
      <c r="IMG124" s="67"/>
      <c r="IMH124" s="67"/>
      <c r="IMI124" s="67"/>
      <c r="IMJ124" s="67"/>
      <c r="IMK124" s="67"/>
      <c r="IML124" s="67"/>
      <c r="IMM124" s="67"/>
      <c r="IMN124" s="67"/>
      <c r="IMO124" s="67"/>
      <c r="IMP124" s="67"/>
      <c r="IMQ124" s="67"/>
      <c r="IMR124" s="67"/>
      <c r="IMS124" s="67"/>
      <c r="IMT124" s="67"/>
      <c r="IMU124" s="67"/>
      <c r="IMV124" s="67"/>
      <c r="IMW124" s="67"/>
      <c r="IMX124" s="67"/>
      <c r="IMY124" s="67"/>
      <c r="IMZ124" s="67"/>
      <c r="INA124" s="67"/>
      <c r="INB124" s="67"/>
      <c r="INC124" s="67"/>
      <c r="IND124" s="67"/>
      <c r="INE124" s="67"/>
      <c r="INF124" s="67"/>
      <c r="ING124" s="67"/>
      <c r="INH124" s="67"/>
      <c r="INI124" s="67"/>
      <c r="INJ124" s="67"/>
      <c r="INK124" s="67"/>
      <c r="INL124" s="67"/>
      <c r="INM124" s="67"/>
      <c r="INN124" s="67"/>
      <c r="INO124" s="67"/>
      <c r="INP124" s="67"/>
      <c r="INQ124" s="67"/>
      <c r="INR124" s="67"/>
      <c r="INS124" s="67"/>
      <c r="INT124" s="67"/>
      <c r="INU124" s="67"/>
      <c r="INV124" s="67"/>
      <c r="INW124" s="67"/>
      <c r="INX124" s="67"/>
      <c r="INY124" s="67"/>
      <c r="INZ124" s="67"/>
      <c r="IOA124" s="67"/>
      <c r="IOB124" s="67"/>
      <c r="IOC124" s="67"/>
      <c r="IOD124" s="67"/>
      <c r="IOE124" s="67"/>
      <c r="IOF124" s="67"/>
      <c r="IOG124" s="67"/>
      <c r="IOH124" s="67"/>
      <c r="IOI124" s="67"/>
      <c r="IOJ124" s="67"/>
      <c r="IOK124" s="67"/>
      <c r="IOL124" s="67"/>
      <c r="IOM124" s="67"/>
      <c r="ION124" s="67"/>
      <c r="IOO124" s="67"/>
      <c r="IOP124" s="67"/>
      <c r="IOQ124" s="67"/>
      <c r="IOR124" s="67"/>
      <c r="IOS124" s="67"/>
      <c r="IOT124" s="67"/>
      <c r="IOU124" s="67"/>
      <c r="IOV124" s="67"/>
      <c r="IOW124" s="67"/>
      <c r="IOX124" s="67"/>
      <c r="IOY124" s="67"/>
      <c r="IOZ124" s="67"/>
      <c r="IPA124" s="67"/>
      <c r="IPB124" s="67"/>
      <c r="IPC124" s="67"/>
      <c r="IPD124" s="67"/>
      <c r="IPE124" s="67"/>
      <c r="IPF124" s="67"/>
      <c r="IPG124" s="67"/>
      <c r="IPH124" s="67"/>
      <c r="IPI124" s="67"/>
      <c r="IPJ124" s="67"/>
      <c r="IPK124" s="67"/>
      <c r="IPL124" s="67"/>
      <c r="IPM124" s="67"/>
      <c r="IPN124" s="67"/>
      <c r="IPO124" s="67"/>
      <c r="IPP124" s="67"/>
      <c r="IPQ124" s="67"/>
      <c r="IPR124" s="67"/>
      <c r="IPS124" s="67"/>
      <c r="IPT124" s="67"/>
      <c r="IPU124" s="67"/>
      <c r="IPV124" s="67"/>
      <c r="IPW124" s="67"/>
      <c r="IPX124" s="67"/>
      <c r="IPY124" s="67"/>
      <c r="IPZ124" s="67"/>
      <c r="IQA124" s="67"/>
      <c r="IQB124" s="67"/>
      <c r="IQC124" s="67"/>
      <c r="IQD124" s="67"/>
      <c r="IQE124" s="67"/>
      <c r="IQF124" s="67"/>
      <c r="IQG124" s="67"/>
      <c r="IQH124" s="67"/>
      <c r="IQI124" s="67"/>
      <c r="IQJ124" s="67"/>
      <c r="IQK124" s="67"/>
      <c r="IQL124" s="67"/>
      <c r="IQM124" s="67"/>
      <c r="IQN124" s="67"/>
      <c r="IQO124" s="67"/>
      <c r="IQP124" s="67"/>
      <c r="IQQ124" s="67"/>
      <c r="IQR124" s="67"/>
      <c r="IQS124" s="67"/>
      <c r="IQT124" s="67"/>
      <c r="IQU124" s="67"/>
      <c r="IQV124" s="67"/>
      <c r="IQW124" s="67"/>
      <c r="IQX124" s="67"/>
      <c r="IQY124" s="67"/>
      <c r="IQZ124" s="67"/>
      <c r="IRA124" s="67"/>
      <c r="IRB124" s="67"/>
      <c r="IRC124" s="67"/>
      <c r="IRD124" s="67"/>
      <c r="IRE124" s="67"/>
      <c r="IRF124" s="67"/>
      <c r="IRG124" s="67"/>
      <c r="IRH124" s="67"/>
      <c r="IRI124" s="67"/>
      <c r="IRJ124" s="67"/>
      <c r="IRK124" s="67"/>
      <c r="IRL124" s="67"/>
      <c r="IRM124" s="67"/>
      <c r="IRN124" s="67"/>
      <c r="IRO124" s="67"/>
      <c r="IRP124" s="67"/>
      <c r="IRQ124" s="67"/>
      <c r="IRR124" s="67"/>
      <c r="IRS124" s="67"/>
      <c r="IRT124" s="67"/>
      <c r="IRU124" s="67"/>
      <c r="IRV124" s="67"/>
      <c r="IRW124" s="67"/>
      <c r="IRX124" s="67"/>
      <c r="IRY124" s="67"/>
      <c r="IRZ124" s="67"/>
      <c r="ISA124" s="67"/>
      <c r="ISB124" s="67"/>
      <c r="ISC124" s="67"/>
      <c r="ISD124" s="67"/>
      <c r="ISE124" s="67"/>
      <c r="ISF124" s="67"/>
      <c r="ISG124" s="67"/>
      <c r="ISH124" s="67"/>
      <c r="ISI124" s="67"/>
      <c r="ISJ124" s="67"/>
      <c r="ISK124" s="67"/>
      <c r="ISL124" s="67"/>
      <c r="ISM124" s="67"/>
      <c r="ISN124" s="67"/>
      <c r="ISO124" s="67"/>
      <c r="ISP124" s="67"/>
      <c r="ISQ124" s="67"/>
      <c r="ISR124" s="67"/>
      <c r="ISS124" s="67"/>
      <c r="IST124" s="67"/>
      <c r="ISU124" s="67"/>
      <c r="ISV124" s="67"/>
      <c r="ISW124" s="67"/>
      <c r="ISX124" s="67"/>
      <c r="ISY124" s="67"/>
      <c r="ISZ124" s="67"/>
      <c r="ITA124" s="67"/>
      <c r="ITB124" s="67"/>
      <c r="ITC124" s="67"/>
      <c r="ITD124" s="67"/>
      <c r="ITE124" s="67"/>
      <c r="ITF124" s="67"/>
      <c r="ITG124" s="67"/>
      <c r="ITH124" s="67"/>
      <c r="ITI124" s="67"/>
      <c r="ITJ124" s="67"/>
      <c r="ITK124" s="67"/>
      <c r="ITL124" s="67"/>
      <c r="ITM124" s="67"/>
      <c r="ITN124" s="67"/>
      <c r="ITO124" s="67"/>
      <c r="ITP124" s="67"/>
      <c r="ITQ124" s="67"/>
      <c r="ITR124" s="67"/>
      <c r="ITS124" s="67"/>
      <c r="ITT124" s="67"/>
      <c r="ITU124" s="67"/>
      <c r="ITV124" s="67"/>
      <c r="ITW124" s="67"/>
      <c r="ITX124" s="67"/>
      <c r="ITY124" s="67"/>
      <c r="ITZ124" s="67"/>
      <c r="IUA124" s="67"/>
      <c r="IUB124" s="67"/>
      <c r="IUC124" s="67"/>
      <c r="IUD124" s="67"/>
      <c r="IUE124" s="67"/>
      <c r="IUF124" s="67"/>
      <c r="IUG124" s="67"/>
      <c r="IUH124" s="67"/>
      <c r="IUI124" s="67"/>
      <c r="IUJ124" s="67"/>
      <c r="IUK124" s="67"/>
      <c r="IUL124" s="67"/>
      <c r="IUM124" s="67"/>
      <c r="IUN124" s="67"/>
      <c r="IUO124" s="67"/>
      <c r="IUP124" s="67"/>
      <c r="IUQ124" s="67"/>
      <c r="IUR124" s="67"/>
      <c r="IUS124" s="67"/>
      <c r="IUT124" s="67"/>
      <c r="IUU124" s="67"/>
      <c r="IUV124" s="67"/>
      <c r="IUW124" s="67"/>
      <c r="IUX124" s="67"/>
      <c r="IUY124" s="67"/>
      <c r="IUZ124" s="67"/>
      <c r="IVA124" s="67"/>
      <c r="IVB124" s="67"/>
      <c r="IVC124" s="67"/>
      <c r="IVD124" s="67"/>
      <c r="IVE124" s="67"/>
      <c r="IVF124" s="67"/>
      <c r="IVG124" s="67"/>
      <c r="IVH124" s="67"/>
      <c r="IVI124" s="67"/>
      <c r="IVJ124" s="67"/>
      <c r="IVK124" s="67"/>
      <c r="IVL124" s="67"/>
      <c r="IVM124" s="67"/>
      <c r="IVN124" s="67"/>
      <c r="IVO124" s="67"/>
      <c r="IVP124" s="67"/>
      <c r="IVQ124" s="67"/>
      <c r="IVR124" s="67"/>
      <c r="IVS124" s="67"/>
      <c r="IVT124" s="67"/>
      <c r="IVU124" s="67"/>
      <c r="IVV124" s="67"/>
      <c r="IVW124" s="67"/>
      <c r="IVX124" s="67"/>
      <c r="IVY124" s="67"/>
      <c r="IVZ124" s="67"/>
      <c r="IWA124" s="67"/>
      <c r="IWB124" s="67"/>
      <c r="IWC124" s="67"/>
      <c r="IWD124" s="67"/>
      <c r="IWE124" s="67"/>
      <c r="IWF124" s="67"/>
      <c r="IWG124" s="67"/>
      <c r="IWH124" s="67"/>
      <c r="IWI124" s="67"/>
      <c r="IWJ124" s="67"/>
      <c r="IWK124" s="67"/>
      <c r="IWL124" s="67"/>
      <c r="IWM124" s="67"/>
      <c r="IWN124" s="67"/>
      <c r="IWO124" s="67"/>
      <c r="IWP124" s="67"/>
      <c r="IWQ124" s="67"/>
      <c r="IWR124" s="67"/>
      <c r="IWS124" s="67"/>
      <c r="IWT124" s="67"/>
      <c r="IWU124" s="67"/>
      <c r="IWV124" s="67"/>
      <c r="IWW124" s="67"/>
      <c r="IWX124" s="67"/>
      <c r="IWY124" s="67"/>
      <c r="IWZ124" s="67"/>
      <c r="IXA124" s="67"/>
      <c r="IXB124" s="67"/>
      <c r="IXC124" s="67"/>
      <c r="IXD124" s="67"/>
      <c r="IXE124" s="67"/>
      <c r="IXF124" s="67"/>
      <c r="IXG124" s="67"/>
      <c r="IXH124" s="67"/>
      <c r="IXI124" s="67"/>
      <c r="IXJ124" s="67"/>
      <c r="IXK124" s="67"/>
      <c r="IXL124" s="67"/>
      <c r="IXM124" s="67"/>
      <c r="IXN124" s="67"/>
      <c r="IXO124" s="67"/>
      <c r="IXP124" s="67"/>
      <c r="IXQ124" s="67"/>
      <c r="IXR124" s="67"/>
      <c r="IXS124" s="67"/>
      <c r="IXT124" s="67"/>
      <c r="IXU124" s="67"/>
      <c r="IXV124" s="67"/>
      <c r="IXW124" s="67"/>
      <c r="IXX124" s="67"/>
      <c r="IXY124" s="67"/>
      <c r="IXZ124" s="67"/>
      <c r="IYA124" s="67"/>
      <c r="IYB124" s="67"/>
      <c r="IYC124" s="67"/>
      <c r="IYD124" s="67"/>
      <c r="IYE124" s="67"/>
      <c r="IYF124" s="67"/>
      <c r="IYG124" s="67"/>
      <c r="IYH124" s="67"/>
      <c r="IYI124" s="67"/>
      <c r="IYJ124" s="67"/>
      <c r="IYK124" s="67"/>
      <c r="IYL124" s="67"/>
      <c r="IYM124" s="67"/>
      <c r="IYN124" s="67"/>
      <c r="IYO124" s="67"/>
      <c r="IYP124" s="67"/>
      <c r="IYQ124" s="67"/>
      <c r="IYR124" s="67"/>
      <c r="IYS124" s="67"/>
      <c r="IYT124" s="67"/>
      <c r="IYU124" s="67"/>
      <c r="IYV124" s="67"/>
      <c r="IYW124" s="67"/>
      <c r="IYX124" s="67"/>
      <c r="IYY124" s="67"/>
      <c r="IYZ124" s="67"/>
      <c r="IZA124" s="67"/>
      <c r="IZB124" s="67"/>
      <c r="IZC124" s="67"/>
      <c r="IZD124" s="67"/>
      <c r="IZE124" s="67"/>
      <c r="IZF124" s="67"/>
      <c r="IZG124" s="67"/>
      <c r="IZH124" s="67"/>
      <c r="IZI124" s="67"/>
      <c r="IZJ124" s="67"/>
      <c r="IZK124" s="67"/>
      <c r="IZL124" s="67"/>
      <c r="IZM124" s="67"/>
      <c r="IZN124" s="67"/>
      <c r="IZO124" s="67"/>
      <c r="IZP124" s="67"/>
      <c r="IZQ124" s="67"/>
      <c r="IZR124" s="67"/>
      <c r="IZS124" s="67"/>
      <c r="IZT124" s="67"/>
      <c r="IZU124" s="67"/>
      <c r="IZV124" s="67"/>
      <c r="IZW124" s="67"/>
      <c r="IZX124" s="67"/>
      <c r="IZY124" s="67"/>
      <c r="IZZ124" s="67"/>
      <c r="JAA124" s="67"/>
      <c r="JAB124" s="67"/>
      <c r="JAC124" s="67"/>
      <c r="JAD124" s="67"/>
      <c r="JAE124" s="67"/>
      <c r="JAF124" s="67"/>
      <c r="JAG124" s="67"/>
      <c r="JAH124" s="67"/>
      <c r="JAI124" s="67"/>
      <c r="JAJ124" s="67"/>
      <c r="JAK124" s="67"/>
      <c r="JAL124" s="67"/>
      <c r="JAM124" s="67"/>
      <c r="JAN124" s="67"/>
      <c r="JAO124" s="67"/>
      <c r="JAP124" s="67"/>
      <c r="JAQ124" s="67"/>
      <c r="JAR124" s="67"/>
      <c r="JAS124" s="67"/>
      <c r="JAT124" s="67"/>
      <c r="JAU124" s="67"/>
      <c r="JAV124" s="67"/>
      <c r="JAW124" s="67"/>
      <c r="JAX124" s="67"/>
      <c r="JAY124" s="67"/>
      <c r="JAZ124" s="67"/>
      <c r="JBA124" s="67"/>
      <c r="JBB124" s="67"/>
      <c r="JBC124" s="67"/>
      <c r="JBD124" s="67"/>
      <c r="JBE124" s="67"/>
      <c r="JBF124" s="67"/>
      <c r="JBG124" s="67"/>
      <c r="JBH124" s="67"/>
      <c r="JBI124" s="67"/>
      <c r="JBJ124" s="67"/>
      <c r="JBK124" s="67"/>
      <c r="JBL124" s="67"/>
      <c r="JBM124" s="67"/>
      <c r="JBN124" s="67"/>
      <c r="JBO124" s="67"/>
      <c r="JBP124" s="67"/>
      <c r="JBQ124" s="67"/>
      <c r="JBR124" s="67"/>
      <c r="JBS124" s="67"/>
      <c r="JBT124" s="67"/>
      <c r="JBU124" s="67"/>
      <c r="JBV124" s="67"/>
      <c r="JBW124" s="67"/>
      <c r="JBX124" s="67"/>
      <c r="JBY124" s="67"/>
      <c r="JBZ124" s="67"/>
      <c r="JCA124" s="67"/>
      <c r="JCB124" s="67"/>
      <c r="JCC124" s="67"/>
      <c r="JCD124" s="67"/>
      <c r="JCE124" s="67"/>
      <c r="JCF124" s="67"/>
      <c r="JCG124" s="67"/>
      <c r="JCH124" s="67"/>
      <c r="JCI124" s="67"/>
      <c r="JCJ124" s="67"/>
      <c r="JCK124" s="67"/>
      <c r="JCL124" s="67"/>
      <c r="JCM124" s="67"/>
      <c r="JCN124" s="67"/>
      <c r="JCO124" s="67"/>
      <c r="JCP124" s="67"/>
      <c r="JCQ124" s="67"/>
      <c r="JCR124" s="67"/>
      <c r="JCS124" s="67"/>
      <c r="JCT124" s="67"/>
      <c r="JCU124" s="67"/>
      <c r="JCV124" s="67"/>
      <c r="JCW124" s="67"/>
      <c r="JCX124" s="67"/>
      <c r="JCY124" s="67"/>
      <c r="JCZ124" s="67"/>
      <c r="JDA124" s="67"/>
      <c r="JDB124" s="67"/>
      <c r="JDC124" s="67"/>
      <c r="JDD124" s="67"/>
      <c r="JDE124" s="67"/>
      <c r="JDF124" s="67"/>
      <c r="JDG124" s="67"/>
      <c r="JDH124" s="67"/>
      <c r="JDI124" s="67"/>
      <c r="JDJ124" s="67"/>
      <c r="JDK124" s="67"/>
      <c r="JDL124" s="67"/>
      <c r="JDM124" s="67"/>
      <c r="JDN124" s="67"/>
      <c r="JDO124" s="67"/>
      <c r="JDP124" s="67"/>
      <c r="JDQ124" s="67"/>
      <c r="JDR124" s="67"/>
      <c r="JDS124" s="67"/>
      <c r="JDT124" s="67"/>
      <c r="JDU124" s="67"/>
      <c r="JDV124" s="67"/>
      <c r="JDW124" s="67"/>
      <c r="JDX124" s="67"/>
      <c r="JDY124" s="67"/>
      <c r="JDZ124" s="67"/>
      <c r="JEA124" s="67"/>
      <c r="JEB124" s="67"/>
      <c r="JEC124" s="67"/>
      <c r="JED124" s="67"/>
      <c r="JEE124" s="67"/>
      <c r="JEF124" s="67"/>
      <c r="JEG124" s="67"/>
      <c r="JEH124" s="67"/>
      <c r="JEI124" s="67"/>
      <c r="JEJ124" s="67"/>
      <c r="JEK124" s="67"/>
      <c r="JEL124" s="67"/>
      <c r="JEM124" s="67"/>
      <c r="JEN124" s="67"/>
      <c r="JEO124" s="67"/>
      <c r="JEP124" s="67"/>
      <c r="JEQ124" s="67"/>
      <c r="JER124" s="67"/>
      <c r="JES124" s="67"/>
      <c r="JET124" s="67"/>
      <c r="JEU124" s="67"/>
      <c r="JEV124" s="67"/>
      <c r="JEW124" s="67"/>
      <c r="JEX124" s="67"/>
      <c r="JEY124" s="67"/>
      <c r="JEZ124" s="67"/>
      <c r="JFA124" s="67"/>
      <c r="JFB124" s="67"/>
      <c r="JFC124" s="67"/>
      <c r="JFD124" s="67"/>
      <c r="JFE124" s="67"/>
      <c r="JFF124" s="67"/>
      <c r="JFG124" s="67"/>
      <c r="JFH124" s="67"/>
      <c r="JFI124" s="67"/>
      <c r="JFJ124" s="67"/>
      <c r="JFK124" s="67"/>
      <c r="JFL124" s="67"/>
      <c r="JFM124" s="67"/>
      <c r="JFN124" s="67"/>
      <c r="JFO124" s="67"/>
      <c r="JFP124" s="67"/>
      <c r="JFQ124" s="67"/>
      <c r="JFR124" s="67"/>
      <c r="JFS124" s="67"/>
      <c r="JFT124" s="67"/>
      <c r="JFU124" s="67"/>
      <c r="JFV124" s="67"/>
      <c r="JFW124" s="67"/>
      <c r="JFX124" s="67"/>
      <c r="JFY124" s="67"/>
      <c r="JFZ124" s="67"/>
      <c r="JGA124" s="67"/>
      <c r="JGB124" s="67"/>
      <c r="JGC124" s="67"/>
      <c r="JGD124" s="67"/>
      <c r="JGE124" s="67"/>
      <c r="JGF124" s="67"/>
      <c r="JGG124" s="67"/>
      <c r="JGH124" s="67"/>
      <c r="JGI124" s="67"/>
      <c r="JGJ124" s="67"/>
      <c r="JGK124" s="67"/>
      <c r="JGL124" s="67"/>
      <c r="JGM124" s="67"/>
      <c r="JGN124" s="67"/>
      <c r="JGO124" s="67"/>
      <c r="JGP124" s="67"/>
      <c r="JGQ124" s="67"/>
      <c r="JGR124" s="67"/>
      <c r="JGS124" s="67"/>
      <c r="JGT124" s="67"/>
      <c r="JGU124" s="67"/>
      <c r="JGV124" s="67"/>
      <c r="JGW124" s="67"/>
      <c r="JGX124" s="67"/>
      <c r="JGY124" s="67"/>
      <c r="JGZ124" s="67"/>
      <c r="JHA124" s="67"/>
      <c r="JHB124" s="67"/>
      <c r="JHC124" s="67"/>
      <c r="JHD124" s="67"/>
      <c r="JHE124" s="67"/>
      <c r="JHF124" s="67"/>
      <c r="JHG124" s="67"/>
      <c r="JHH124" s="67"/>
      <c r="JHI124" s="67"/>
      <c r="JHJ124" s="67"/>
      <c r="JHK124" s="67"/>
      <c r="JHL124" s="67"/>
      <c r="JHM124" s="67"/>
      <c r="JHN124" s="67"/>
      <c r="JHO124" s="67"/>
      <c r="JHP124" s="67"/>
      <c r="JHQ124" s="67"/>
      <c r="JHR124" s="67"/>
      <c r="JHS124" s="67"/>
      <c r="JHT124" s="67"/>
      <c r="JHU124" s="67"/>
      <c r="JHV124" s="67"/>
      <c r="JHW124" s="67"/>
      <c r="JHX124" s="67"/>
      <c r="JHY124" s="67"/>
      <c r="JHZ124" s="67"/>
      <c r="JIA124" s="67"/>
      <c r="JIB124" s="67"/>
      <c r="JIC124" s="67"/>
      <c r="JID124" s="67"/>
      <c r="JIE124" s="67"/>
      <c r="JIF124" s="67"/>
      <c r="JIG124" s="67"/>
      <c r="JIH124" s="67"/>
      <c r="JII124" s="67"/>
      <c r="JIJ124" s="67"/>
      <c r="JIK124" s="67"/>
      <c r="JIL124" s="67"/>
      <c r="JIM124" s="67"/>
      <c r="JIN124" s="67"/>
      <c r="JIO124" s="67"/>
      <c r="JIP124" s="67"/>
      <c r="JIQ124" s="67"/>
      <c r="JIR124" s="67"/>
      <c r="JIS124" s="67"/>
      <c r="JIT124" s="67"/>
      <c r="JIU124" s="67"/>
      <c r="JIV124" s="67"/>
      <c r="JIW124" s="67"/>
      <c r="JIX124" s="67"/>
      <c r="JIY124" s="67"/>
      <c r="JIZ124" s="67"/>
      <c r="JJA124" s="67"/>
      <c r="JJB124" s="67"/>
      <c r="JJC124" s="67"/>
      <c r="JJD124" s="67"/>
      <c r="JJE124" s="67"/>
      <c r="JJF124" s="67"/>
      <c r="JJG124" s="67"/>
      <c r="JJH124" s="67"/>
      <c r="JJI124" s="67"/>
      <c r="JJJ124" s="67"/>
      <c r="JJK124" s="67"/>
      <c r="JJL124" s="67"/>
      <c r="JJM124" s="67"/>
      <c r="JJN124" s="67"/>
      <c r="JJO124" s="67"/>
      <c r="JJP124" s="67"/>
      <c r="JJQ124" s="67"/>
      <c r="JJR124" s="67"/>
      <c r="JJS124" s="67"/>
      <c r="JJT124" s="67"/>
      <c r="JJU124" s="67"/>
      <c r="JJV124" s="67"/>
      <c r="JJW124" s="67"/>
      <c r="JJX124" s="67"/>
      <c r="JJY124" s="67"/>
      <c r="JJZ124" s="67"/>
      <c r="JKA124" s="67"/>
      <c r="JKB124" s="67"/>
      <c r="JKC124" s="67"/>
      <c r="JKD124" s="67"/>
      <c r="JKE124" s="67"/>
      <c r="JKF124" s="67"/>
      <c r="JKG124" s="67"/>
      <c r="JKH124" s="67"/>
      <c r="JKI124" s="67"/>
      <c r="JKJ124" s="67"/>
      <c r="JKK124" s="67"/>
      <c r="JKL124" s="67"/>
      <c r="JKM124" s="67"/>
      <c r="JKN124" s="67"/>
      <c r="JKO124" s="67"/>
      <c r="JKP124" s="67"/>
      <c r="JKQ124" s="67"/>
      <c r="JKR124" s="67"/>
      <c r="JKS124" s="67"/>
      <c r="JKT124" s="67"/>
      <c r="JKU124" s="67"/>
      <c r="JKV124" s="67"/>
      <c r="JKW124" s="67"/>
      <c r="JKX124" s="67"/>
      <c r="JKY124" s="67"/>
      <c r="JKZ124" s="67"/>
      <c r="JLA124" s="67"/>
      <c r="JLB124" s="67"/>
      <c r="JLC124" s="67"/>
      <c r="JLD124" s="67"/>
      <c r="JLE124" s="67"/>
      <c r="JLF124" s="67"/>
      <c r="JLG124" s="67"/>
      <c r="JLH124" s="67"/>
      <c r="JLI124" s="67"/>
      <c r="JLJ124" s="67"/>
      <c r="JLK124" s="67"/>
      <c r="JLL124" s="67"/>
      <c r="JLM124" s="67"/>
      <c r="JLN124" s="67"/>
      <c r="JLO124" s="67"/>
      <c r="JLP124" s="67"/>
      <c r="JLQ124" s="67"/>
      <c r="JLR124" s="67"/>
      <c r="JLS124" s="67"/>
      <c r="JLT124" s="67"/>
      <c r="JLU124" s="67"/>
      <c r="JLV124" s="67"/>
      <c r="JLW124" s="67"/>
      <c r="JLX124" s="67"/>
      <c r="JLY124" s="67"/>
      <c r="JLZ124" s="67"/>
      <c r="JMA124" s="67"/>
      <c r="JMB124" s="67"/>
      <c r="JMC124" s="67"/>
      <c r="JMD124" s="67"/>
      <c r="JME124" s="67"/>
      <c r="JMF124" s="67"/>
      <c r="JMG124" s="67"/>
      <c r="JMH124" s="67"/>
      <c r="JMI124" s="67"/>
      <c r="JMJ124" s="67"/>
      <c r="JMK124" s="67"/>
      <c r="JML124" s="67"/>
      <c r="JMM124" s="67"/>
      <c r="JMN124" s="67"/>
      <c r="JMO124" s="67"/>
      <c r="JMP124" s="67"/>
      <c r="JMQ124" s="67"/>
      <c r="JMR124" s="67"/>
      <c r="JMS124" s="67"/>
      <c r="JMT124" s="67"/>
      <c r="JMU124" s="67"/>
      <c r="JMV124" s="67"/>
      <c r="JMW124" s="67"/>
      <c r="JMX124" s="67"/>
      <c r="JMY124" s="67"/>
      <c r="JMZ124" s="67"/>
      <c r="JNA124" s="67"/>
      <c r="JNB124" s="67"/>
      <c r="JNC124" s="67"/>
      <c r="JND124" s="67"/>
      <c r="JNE124" s="67"/>
      <c r="JNF124" s="67"/>
      <c r="JNG124" s="67"/>
      <c r="JNH124" s="67"/>
      <c r="JNI124" s="67"/>
      <c r="JNJ124" s="67"/>
      <c r="JNK124" s="67"/>
      <c r="JNL124" s="67"/>
      <c r="JNM124" s="67"/>
      <c r="JNN124" s="67"/>
      <c r="JNO124" s="67"/>
      <c r="JNP124" s="67"/>
      <c r="JNQ124" s="67"/>
      <c r="JNR124" s="67"/>
      <c r="JNS124" s="67"/>
      <c r="JNT124" s="67"/>
      <c r="JNU124" s="67"/>
      <c r="JNV124" s="67"/>
      <c r="JNW124" s="67"/>
      <c r="JNX124" s="67"/>
      <c r="JNY124" s="67"/>
      <c r="JNZ124" s="67"/>
      <c r="JOA124" s="67"/>
      <c r="JOB124" s="67"/>
      <c r="JOC124" s="67"/>
      <c r="JOD124" s="67"/>
      <c r="JOE124" s="67"/>
      <c r="JOF124" s="67"/>
      <c r="JOG124" s="67"/>
      <c r="JOH124" s="67"/>
      <c r="JOI124" s="67"/>
      <c r="JOJ124" s="67"/>
      <c r="JOK124" s="67"/>
      <c r="JOL124" s="67"/>
      <c r="JOM124" s="67"/>
      <c r="JON124" s="67"/>
      <c r="JOO124" s="67"/>
      <c r="JOP124" s="67"/>
      <c r="JOQ124" s="67"/>
      <c r="JOR124" s="67"/>
      <c r="JOS124" s="67"/>
      <c r="JOT124" s="67"/>
      <c r="JOU124" s="67"/>
      <c r="JOV124" s="67"/>
      <c r="JOW124" s="67"/>
      <c r="JOX124" s="67"/>
      <c r="JOY124" s="67"/>
      <c r="JOZ124" s="67"/>
      <c r="JPA124" s="67"/>
      <c r="JPB124" s="67"/>
      <c r="JPC124" s="67"/>
      <c r="JPD124" s="67"/>
      <c r="JPE124" s="67"/>
      <c r="JPF124" s="67"/>
      <c r="JPG124" s="67"/>
      <c r="JPH124" s="67"/>
      <c r="JPI124" s="67"/>
      <c r="JPJ124" s="67"/>
      <c r="JPK124" s="67"/>
      <c r="JPL124" s="67"/>
      <c r="JPM124" s="67"/>
      <c r="JPN124" s="67"/>
      <c r="JPO124" s="67"/>
      <c r="JPP124" s="67"/>
      <c r="JPQ124" s="67"/>
      <c r="JPR124" s="67"/>
      <c r="JPS124" s="67"/>
      <c r="JPT124" s="67"/>
      <c r="JPU124" s="67"/>
      <c r="JPV124" s="67"/>
      <c r="JPW124" s="67"/>
      <c r="JPX124" s="67"/>
      <c r="JPY124" s="67"/>
      <c r="JPZ124" s="67"/>
      <c r="JQA124" s="67"/>
      <c r="JQB124" s="67"/>
      <c r="JQC124" s="67"/>
      <c r="JQD124" s="67"/>
      <c r="JQE124" s="67"/>
      <c r="JQF124" s="67"/>
      <c r="JQG124" s="67"/>
      <c r="JQH124" s="67"/>
      <c r="JQI124" s="67"/>
      <c r="JQJ124" s="67"/>
      <c r="JQK124" s="67"/>
      <c r="JQL124" s="67"/>
      <c r="JQM124" s="67"/>
      <c r="JQN124" s="67"/>
      <c r="JQO124" s="67"/>
      <c r="JQP124" s="67"/>
      <c r="JQQ124" s="67"/>
      <c r="JQR124" s="67"/>
      <c r="JQS124" s="67"/>
      <c r="JQT124" s="67"/>
      <c r="JQU124" s="67"/>
      <c r="JQV124" s="67"/>
      <c r="JQW124" s="67"/>
      <c r="JQX124" s="67"/>
      <c r="JQY124" s="67"/>
      <c r="JQZ124" s="67"/>
      <c r="JRA124" s="67"/>
      <c r="JRB124" s="67"/>
      <c r="JRC124" s="67"/>
      <c r="JRD124" s="67"/>
      <c r="JRE124" s="67"/>
      <c r="JRF124" s="67"/>
      <c r="JRG124" s="67"/>
      <c r="JRH124" s="67"/>
      <c r="JRI124" s="67"/>
      <c r="JRJ124" s="67"/>
      <c r="JRK124" s="67"/>
      <c r="JRL124" s="67"/>
      <c r="JRM124" s="67"/>
      <c r="JRN124" s="67"/>
      <c r="JRO124" s="67"/>
      <c r="JRP124" s="67"/>
      <c r="JRQ124" s="67"/>
      <c r="JRR124" s="67"/>
      <c r="JRS124" s="67"/>
      <c r="JRT124" s="67"/>
      <c r="JRU124" s="67"/>
      <c r="JRV124" s="67"/>
      <c r="JRW124" s="67"/>
      <c r="JRX124" s="67"/>
      <c r="JRY124" s="67"/>
      <c r="JRZ124" s="67"/>
      <c r="JSA124" s="67"/>
      <c r="JSB124" s="67"/>
      <c r="JSC124" s="67"/>
      <c r="JSD124" s="67"/>
      <c r="JSE124" s="67"/>
      <c r="JSF124" s="67"/>
      <c r="JSG124" s="67"/>
      <c r="JSH124" s="67"/>
      <c r="JSI124" s="67"/>
      <c r="JSJ124" s="67"/>
      <c r="JSK124" s="67"/>
      <c r="JSL124" s="67"/>
      <c r="JSM124" s="67"/>
      <c r="JSN124" s="67"/>
      <c r="JSO124" s="67"/>
      <c r="JSP124" s="67"/>
      <c r="JSQ124" s="67"/>
      <c r="JSR124" s="67"/>
      <c r="JSS124" s="67"/>
      <c r="JST124" s="67"/>
      <c r="JSU124" s="67"/>
      <c r="JSV124" s="67"/>
      <c r="JSW124" s="67"/>
      <c r="JSX124" s="67"/>
      <c r="JSY124" s="67"/>
      <c r="JSZ124" s="67"/>
      <c r="JTA124" s="67"/>
      <c r="JTB124" s="67"/>
      <c r="JTC124" s="67"/>
      <c r="JTD124" s="67"/>
      <c r="JTE124" s="67"/>
      <c r="JTF124" s="67"/>
      <c r="JTG124" s="67"/>
      <c r="JTH124" s="67"/>
      <c r="JTI124" s="67"/>
      <c r="JTJ124" s="67"/>
      <c r="JTK124" s="67"/>
      <c r="JTL124" s="67"/>
      <c r="JTM124" s="67"/>
      <c r="JTN124" s="67"/>
      <c r="JTO124" s="67"/>
      <c r="JTP124" s="67"/>
      <c r="JTQ124" s="67"/>
      <c r="JTR124" s="67"/>
      <c r="JTS124" s="67"/>
      <c r="JTT124" s="67"/>
      <c r="JTU124" s="67"/>
      <c r="JTV124" s="67"/>
      <c r="JTW124" s="67"/>
      <c r="JTX124" s="67"/>
      <c r="JTY124" s="67"/>
      <c r="JTZ124" s="67"/>
      <c r="JUA124" s="67"/>
      <c r="JUB124" s="67"/>
      <c r="JUC124" s="67"/>
      <c r="JUD124" s="67"/>
      <c r="JUE124" s="67"/>
      <c r="JUF124" s="67"/>
      <c r="JUG124" s="67"/>
      <c r="JUH124" s="67"/>
      <c r="JUI124" s="67"/>
      <c r="JUJ124" s="67"/>
      <c r="JUK124" s="67"/>
      <c r="JUL124" s="67"/>
      <c r="JUM124" s="67"/>
      <c r="JUN124" s="67"/>
      <c r="JUO124" s="67"/>
      <c r="JUP124" s="67"/>
      <c r="JUQ124" s="67"/>
      <c r="JUR124" s="67"/>
      <c r="JUS124" s="67"/>
      <c r="JUT124" s="67"/>
      <c r="JUU124" s="67"/>
      <c r="JUV124" s="67"/>
      <c r="JUW124" s="67"/>
      <c r="JUX124" s="67"/>
      <c r="JUY124" s="67"/>
      <c r="JUZ124" s="67"/>
      <c r="JVA124" s="67"/>
      <c r="JVB124" s="67"/>
      <c r="JVC124" s="67"/>
      <c r="JVD124" s="67"/>
      <c r="JVE124" s="67"/>
      <c r="JVF124" s="67"/>
      <c r="JVG124" s="67"/>
      <c r="JVH124" s="67"/>
      <c r="JVI124" s="67"/>
      <c r="JVJ124" s="67"/>
      <c r="JVK124" s="67"/>
      <c r="JVL124" s="67"/>
      <c r="JVM124" s="67"/>
      <c r="JVN124" s="67"/>
      <c r="JVO124" s="67"/>
      <c r="JVP124" s="67"/>
      <c r="JVQ124" s="67"/>
      <c r="JVR124" s="67"/>
      <c r="JVS124" s="67"/>
      <c r="JVT124" s="67"/>
      <c r="JVU124" s="67"/>
      <c r="JVV124" s="67"/>
      <c r="JVW124" s="67"/>
      <c r="JVX124" s="67"/>
      <c r="JVY124" s="67"/>
      <c r="JVZ124" s="67"/>
      <c r="JWA124" s="67"/>
      <c r="JWB124" s="67"/>
      <c r="JWC124" s="67"/>
      <c r="JWD124" s="67"/>
      <c r="JWE124" s="67"/>
      <c r="JWF124" s="67"/>
      <c r="JWG124" s="67"/>
      <c r="JWH124" s="67"/>
      <c r="JWI124" s="67"/>
      <c r="JWJ124" s="67"/>
      <c r="JWK124" s="67"/>
      <c r="JWL124" s="67"/>
      <c r="JWM124" s="67"/>
      <c r="JWN124" s="67"/>
      <c r="JWO124" s="67"/>
      <c r="JWP124" s="67"/>
      <c r="JWQ124" s="67"/>
      <c r="JWR124" s="67"/>
      <c r="JWS124" s="67"/>
      <c r="JWT124" s="67"/>
      <c r="JWU124" s="67"/>
      <c r="JWV124" s="67"/>
      <c r="JWW124" s="67"/>
      <c r="JWX124" s="67"/>
      <c r="JWY124" s="67"/>
      <c r="JWZ124" s="67"/>
      <c r="JXA124" s="67"/>
      <c r="JXB124" s="67"/>
      <c r="JXC124" s="67"/>
      <c r="JXD124" s="67"/>
      <c r="JXE124" s="67"/>
      <c r="JXF124" s="67"/>
      <c r="JXG124" s="67"/>
      <c r="JXH124" s="67"/>
      <c r="JXI124" s="67"/>
      <c r="JXJ124" s="67"/>
      <c r="JXK124" s="67"/>
      <c r="JXL124" s="67"/>
      <c r="JXM124" s="67"/>
      <c r="JXN124" s="67"/>
      <c r="JXO124" s="67"/>
      <c r="JXP124" s="67"/>
      <c r="JXQ124" s="67"/>
      <c r="JXR124" s="67"/>
      <c r="JXS124" s="67"/>
      <c r="JXT124" s="67"/>
      <c r="JXU124" s="67"/>
      <c r="JXV124" s="67"/>
      <c r="JXW124" s="67"/>
      <c r="JXX124" s="67"/>
      <c r="JXY124" s="67"/>
      <c r="JXZ124" s="67"/>
      <c r="JYA124" s="67"/>
      <c r="JYB124" s="67"/>
      <c r="JYC124" s="67"/>
      <c r="JYD124" s="67"/>
      <c r="JYE124" s="67"/>
      <c r="JYF124" s="67"/>
      <c r="JYG124" s="67"/>
      <c r="JYH124" s="67"/>
      <c r="JYI124" s="67"/>
      <c r="JYJ124" s="67"/>
      <c r="JYK124" s="67"/>
      <c r="JYL124" s="67"/>
      <c r="JYM124" s="67"/>
      <c r="JYN124" s="67"/>
      <c r="JYO124" s="67"/>
      <c r="JYP124" s="67"/>
      <c r="JYQ124" s="67"/>
      <c r="JYR124" s="67"/>
      <c r="JYS124" s="67"/>
      <c r="JYT124" s="67"/>
      <c r="JYU124" s="67"/>
      <c r="JYV124" s="67"/>
      <c r="JYW124" s="67"/>
      <c r="JYX124" s="67"/>
      <c r="JYY124" s="67"/>
      <c r="JYZ124" s="67"/>
      <c r="JZA124" s="67"/>
      <c r="JZB124" s="67"/>
      <c r="JZC124" s="67"/>
      <c r="JZD124" s="67"/>
      <c r="JZE124" s="67"/>
      <c r="JZF124" s="67"/>
      <c r="JZG124" s="67"/>
      <c r="JZH124" s="67"/>
      <c r="JZI124" s="67"/>
      <c r="JZJ124" s="67"/>
      <c r="JZK124" s="67"/>
      <c r="JZL124" s="67"/>
      <c r="JZM124" s="67"/>
      <c r="JZN124" s="67"/>
      <c r="JZO124" s="67"/>
      <c r="JZP124" s="67"/>
      <c r="JZQ124" s="67"/>
      <c r="JZR124" s="67"/>
      <c r="JZS124" s="67"/>
      <c r="JZT124" s="67"/>
      <c r="JZU124" s="67"/>
      <c r="JZV124" s="67"/>
      <c r="JZW124" s="67"/>
      <c r="JZX124" s="67"/>
      <c r="JZY124" s="67"/>
      <c r="JZZ124" s="67"/>
      <c r="KAA124" s="67"/>
      <c r="KAB124" s="67"/>
      <c r="KAC124" s="67"/>
      <c r="KAD124" s="67"/>
      <c r="KAE124" s="67"/>
      <c r="KAF124" s="67"/>
      <c r="KAG124" s="67"/>
      <c r="KAH124" s="67"/>
      <c r="KAI124" s="67"/>
      <c r="KAJ124" s="67"/>
      <c r="KAK124" s="67"/>
      <c r="KAL124" s="67"/>
      <c r="KAM124" s="67"/>
      <c r="KAN124" s="67"/>
      <c r="KAO124" s="67"/>
      <c r="KAP124" s="67"/>
      <c r="KAQ124" s="67"/>
      <c r="KAR124" s="67"/>
      <c r="KAS124" s="67"/>
      <c r="KAT124" s="67"/>
      <c r="KAU124" s="67"/>
      <c r="KAV124" s="67"/>
      <c r="KAW124" s="67"/>
      <c r="KAX124" s="67"/>
      <c r="KAY124" s="67"/>
      <c r="KAZ124" s="67"/>
      <c r="KBA124" s="67"/>
      <c r="KBB124" s="67"/>
      <c r="KBC124" s="67"/>
      <c r="KBD124" s="67"/>
      <c r="KBE124" s="67"/>
      <c r="KBF124" s="67"/>
      <c r="KBG124" s="67"/>
      <c r="KBH124" s="67"/>
      <c r="KBI124" s="67"/>
      <c r="KBJ124" s="67"/>
      <c r="KBK124" s="67"/>
      <c r="KBL124" s="67"/>
      <c r="KBM124" s="67"/>
      <c r="KBN124" s="67"/>
      <c r="KBO124" s="67"/>
      <c r="KBP124" s="67"/>
      <c r="KBQ124" s="67"/>
      <c r="KBR124" s="67"/>
      <c r="KBS124" s="67"/>
      <c r="KBT124" s="67"/>
      <c r="KBU124" s="67"/>
      <c r="KBV124" s="67"/>
      <c r="KBW124" s="67"/>
      <c r="KBX124" s="67"/>
      <c r="KBY124" s="67"/>
      <c r="KBZ124" s="67"/>
      <c r="KCA124" s="67"/>
      <c r="KCB124" s="67"/>
      <c r="KCC124" s="67"/>
      <c r="KCD124" s="67"/>
      <c r="KCE124" s="67"/>
      <c r="KCF124" s="67"/>
      <c r="KCG124" s="67"/>
      <c r="KCH124" s="67"/>
      <c r="KCI124" s="67"/>
      <c r="KCJ124" s="67"/>
      <c r="KCK124" s="67"/>
      <c r="KCL124" s="67"/>
      <c r="KCM124" s="67"/>
      <c r="KCN124" s="67"/>
      <c r="KCO124" s="67"/>
      <c r="KCP124" s="67"/>
      <c r="KCQ124" s="67"/>
      <c r="KCR124" s="67"/>
      <c r="KCS124" s="67"/>
      <c r="KCT124" s="67"/>
      <c r="KCU124" s="67"/>
      <c r="KCV124" s="67"/>
      <c r="KCW124" s="67"/>
      <c r="KCX124" s="67"/>
      <c r="KCY124" s="67"/>
      <c r="KCZ124" s="67"/>
      <c r="KDA124" s="67"/>
      <c r="KDB124" s="67"/>
      <c r="KDC124" s="67"/>
      <c r="KDD124" s="67"/>
      <c r="KDE124" s="67"/>
      <c r="KDF124" s="67"/>
      <c r="KDG124" s="67"/>
      <c r="KDH124" s="67"/>
      <c r="KDI124" s="67"/>
      <c r="KDJ124" s="67"/>
      <c r="KDK124" s="67"/>
      <c r="KDL124" s="67"/>
      <c r="KDM124" s="67"/>
      <c r="KDN124" s="67"/>
      <c r="KDO124" s="67"/>
      <c r="KDP124" s="67"/>
      <c r="KDQ124" s="67"/>
      <c r="KDR124" s="67"/>
      <c r="KDS124" s="67"/>
      <c r="KDT124" s="67"/>
      <c r="KDU124" s="67"/>
      <c r="KDV124" s="67"/>
      <c r="KDW124" s="67"/>
      <c r="KDX124" s="67"/>
      <c r="KDY124" s="67"/>
      <c r="KDZ124" s="67"/>
      <c r="KEA124" s="67"/>
      <c r="KEB124" s="67"/>
      <c r="KEC124" s="67"/>
      <c r="KED124" s="67"/>
      <c r="KEE124" s="67"/>
      <c r="KEF124" s="67"/>
      <c r="KEG124" s="67"/>
      <c r="KEH124" s="67"/>
      <c r="KEI124" s="67"/>
      <c r="KEJ124" s="67"/>
      <c r="KEK124" s="67"/>
      <c r="KEL124" s="67"/>
      <c r="KEM124" s="67"/>
      <c r="KEN124" s="67"/>
      <c r="KEO124" s="67"/>
      <c r="KEP124" s="67"/>
      <c r="KEQ124" s="67"/>
      <c r="KER124" s="67"/>
      <c r="KES124" s="67"/>
      <c r="KET124" s="67"/>
      <c r="KEU124" s="67"/>
      <c r="KEV124" s="67"/>
      <c r="KEW124" s="67"/>
      <c r="KEX124" s="67"/>
      <c r="KEY124" s="67"/>
      <c r="KEZ124" s="67"/>
      <c r="KFA124" s="67"/>
      <c r="KFB124" s="67"/>
      <c r="KFC124" s="67"/>
      <c r="KFD124" s="67"/>
      <c r="KFE124" s="67"/>
      <c r="KFF124" s="67"/>
      <c r="KFG124" s="67"/>
      <c r="KFH124" s="67"/>
      <c r="KFI124" s="67"/>
      <c r="KFJ124" s="67"/>
      <c r="KFK124" s="67"/>
      <c r="KFL124" s="67"/>
      <c r="KFM124" s="67"/>
      <c r="KFN124" s="67"/>
      <c r="KFO124" s="67"/>
      <c r="KFP124" s="67"/>
      <c r="KFQ124" s="67"/>
      <c r="KFR124" s="67"/>
      <c r="KFS124" s="67"/>
      <c r="KFT124" s="67"/>
      <c r="KFU124" s="67"/>
      <c r="KFV124" s="67"/>
      <c r="KFW124" s="67"/>
      <c r="KFX124" s="67"/>
      <c r="KFY124" s="67"/>
      <c r="KFZ124" s="67"/>
      <c r="KGA124" s="67"/>
      <c r="KGB124" s="67"/>
      <c r="KGC124" s="67"/>
      <c r="KGD124" s="67"/>
      <c r="KGE124" s="67"/>
      <c r="KGF124" s="67"/>
      <c r="KGG124" s="67"/>
      <c r="KGH124" s="67"/>
      <c r="KGI124" s="67"/>
      <c r="KGJ124" s="67"/>
      <c r="KGK124" s="67"/>
      <c r="KGL124" s="67"/>
      <c r="KGM124" s="67"/>
      <c r="KGN124" s="67"/>
      <c r="KGO124" s="67"/>
      <c r="KGP124" s="67"/>
      <c r="KGQ124" s="67"/>
      <c r="KGR124" s="67"/>
      <c r="KGS124" s="67"/>
      <c r="KGT124" s="67"/>
      <c r="KGU124" s="67"/>
      <c r="KGV124" s="67"/>
      <c r="KGW124" s="67"/>
      <c r="KGX124" s="67"/>
      <c r="KGY124" s="67"/>
      <c r="KGZ124" s="67"/>
      <c r="KHA124" s="67"/>
      <c r="KHB124" s="67"/>
      <c r="KHC124" s="67"/>
      <c r="KHD124" s="67"/>
      <c r="KHE124" s="67"/>
      <c r="KHF124" s="67"/>
      <c r="KHG124" s="67"/>
      <c r="KHH124" s="67"/>
      <c r="KHI124" s="67"/>
      <c r="KHJ124" s="67"/>
      <c r="KHK124" s="67"/>
      <c r="KHL124" s="67"/>
      <c r="KHM124" s="67"/>
      <c r="KHN124" s="67"/>
      <c r="KHO124" s="67"/>
      <c r="KHP124" s="67"/>
      <c r="KHQ124" s="67"/>
      <c r="KHR124" s="67"/>
      <c r="KHS124" s="67"/>
      <c r="KHT124" s="67"/>
      <c r="KHU124" s="67"/>
      <c r="KHV124" s="67"/>
      <c r="KHW124" s="67"/>
      <c r="KHX124" s="67"/>
      <c r="KHY124" s="67"/>
      <c r="KHZ124" s="67"/>
      <c r="KIA124" s="67"/>
      <c r="KIB124" s="67"/>
      <c r="KIC124" s="67"/>
      <c r="KID124" s="67"/>
      <c r="KIE124" s="67"/>
      <c r="KIF124" s="67"/>
      <c r="KIG124" s="67"/>
      <c r="KIH124" s="67"/>
      <c r="KII124" s="67"/>
      <c r="KIJ124" s="67"/>
      <c r="KIK124" s="67"/>
      <c r="KIL124" s="67"/>
      <c r="KIM124" s="67"/>
      <c r="KIN124" s="67"/>
      <c r="KIO124" s="67"/>
      <c r="KIP124" s="67"/>
      <c r="KIQ124" s="67"/>
      <c r="KIR124" s="67"/>
      <c r="KIS124" s="67"/>
      <c r="KIT124" s="67"/>
      <c r="KIU124" s="67"/>
      <c r="KIV124" s="67"/>
      <c r="KIW124" s="67"/>
      <c r="KIX124" s="67"/>
      <c r="KIY124" s="67"/>
      <c r="KIZ124" s="67"/>
      <c r="KJA124" s="67"/>
      <c r="KJB124" s="67"/>
      <c r="KJC124" s="67"/>
      <c r="KJD124" s="67"/>
      <c r="KJE124" s="67"/>
      <c r="KJF124" s="67"/>
      <c r="KJG124" s="67"/>
      <c r="KJH124" s="67"/>
      <c r="KJI124" s="67"/>
      <c r="KJJ124" s="67"/>
      <c r="KJK124" s="67"/>
      <c r="KJL124" s="67"/>
      <c r="KJM124" s="67"/>
      <c r="KJN124" s="67"/>
      <c r="KJO124" s="67"/>
      <c r="KJP124" s="67"/>
      <c r="KJQ124" s="67"/>
      <c r="KJR124" s="67"/>
      <c r="KJS124" s="67"/>
      <c r="KJT124" s="67"/>
      <c r="KJU124" s="67"/>
      <c r="KJV124" s="67"/>
      <c r="KJW124" s="67"/>
      <c r="KJX124" s="67"/>
      <c r="KJY124" s="67"/>
      <c r="KJZ124" s="67"/>
      <c r="KKA124" s="67"/>
      <c r="KKB124" s="67"/>
      <c r="KKC124" s="67"/>
      <c r="KKD124" s="67"/>
      <c r="KKE124" s="67"/>
      <c r="KKF124" s="67"/>
      <c r="KKG124" s="67"/>
      <c r="KKH124" s="67"/>
      <c r="KKI124" s="67"/>
      <c r="KKJ124" s="67"/>
      <c r="KKK124" s="67"/>
      <c r="KKL124" s="67"/>
      <c r="KKM124" s="67"/>
      <c r="KKN124" s="67"/>
      <c r="KKO124" s="67"/>
      <c r="KKP124" s="67"/>
      <c r="KKQ124" s="67"/>
      <c r="KKR124" s="67"/>
      <c r="KKS124" s="67"/>
      <c r="KKT124" s="67"/>
      <c r="KKU124" s="67"/>
      <c r="KKV124" s="67"/>
      <c r="KKW124" s="67"/>
      <c r="KKX124" s="67"/>
      <c r="KKY124" s="67"/>
      <c r="KKZ124" s="67"/>
      <c r="KLA124" s="67"/>
      <c r="KLB124" s="67"/>
      <c r="KLC124" s="67"/>
      <c r="KLD124" s="67"/>
      <c r="KLE124" s="67"/>
      <c r="KLF124" s="67"/>
      <c r="KLG124" s="67"/>
      <c r="KLH124" s="67"/>
      <c r="KLI124" s="67"/>
      <c r="KLJ124" s="67"/>
      <c r="KLK124" s="67"/>
      <c r="KLL124" s="67"/>
      <c r="KLM124" s="67"/>
      <c r="KLN124" s="67"/>
      <c r="KLO124" s="67"/>
      <c r="KLP124" s="67"/>
      <c r="KLQ124" s="67"/>
      <c r="KLR124" s="67"/>
      <c r="KLS124" s="67"/>
      <c r="KLT124" s="67"/>
      <c r="KLU124" s="67"/>
      <c r="KLV124" s="67"/>
      <c r="KLW124" s="67"/>
      <c r="KLX124" s="67"/>
      <c r="KLY124" s="67"/>
      <c r="KLZ124" s="67"/>
      <c r="KMA124" s="67"/>
      <c r="KMB124" s="67"/>
      <c r="KMC124" s="67"/>
      <c r="KMD124" s="67"/>
      <c r="KME124" s="67"/>
      <c r="KMF124" s="67"/>
      <c r="KMG124" s="67"/>
      <c r="KMH124" s="67"/>
      <c r="KMI124" s="67"/>
      <c r="KMJ124" s="67"/>
      <c r="KMK124" s="67"/>
      <c r="KML124" s="67"/>
      <c r="KMM124" s="67"/>
      <c r="KMN124" s="67"/>
      <c r="KMO124" s="67"/>
      <c r="KMP124" s="67"/>
      <c r="KMQ124" s="67"/>
      <c r="KMR124" s="67"/>
      <c r="KMS124" s="67"/>
      <c r="KMT124" s="67"/>
      <c r="KMU124" s="67"/>
      <c r="KMV124" s="67"/>
      <c r="KMW124" s="67"/>
      <c r="KMX124" s="67"/>
      <c r="KMY124" s="67"/>
      <c r="KMZ124" s="67"/>
      <c r="KNA124" s="67"/>
      <c r="KNB124" s="67"/>
      <c r="KNC124" s="67"/>
      <c r="KND124" s="67"/>
      <c r="KNE124" s="67"/>
      <c r="KNF124" s="67"/>
      <c r="KNG124" s="67"/>
      <c r="KNH124" s="67"/>
      <c r="KNI124" s="67"/>
      <c r="KNJ124" s="67"/>
      <c r="KNK124" s="67"/>
      <c r="KNL124" s="67"/>
      <c r="KNM124" s="67"/>
      <c r="KNN124" s="67"/>
      <c r="KNO124" s="67"/>
      <c r="KNP124" s="67"/>
      <c r="KNQ124" s="67"/>
      <c r="KNR124" s="67"/>
      <c r="KNS124" s="67"/>
      <c r="KNT124" s="67"/>
      <c r="KNU124" s="67"/>
      <c r="KNV124" s="67"/>
      <c r="KNW124" s="67"/>
      <c r="KNX124" s="67"/>
      <c r="KNY124" s="67"/>
      <c r="KNZ124" s="67"/>
      <c r="KOA124" s="67"/>
      <c r="KOB124" s="67"/>
      <c r="KOC124" s="67"/>
      <c r="KOD124" s="67"/>
      <c r="KOE124" s="67"/>
      <c r="KOF124" s="67"/>
      <c r="KOG124" s="67"/>
      <c r="KOH124" s="67"/>
      <c r="KOI124" s="67"/>
      <c r="KOJ124" s="67"/>
      <c r="KOK124" s="67"/>
      <c r="KOL124" s="67"/>
      <c r="KOM124" s="67"/>
      <c r="KON124" s="67"/>
      <c r="KOO124" s="67"/>
      <c r="KOP124" s="67"/>
      <c r="KOQ124" s="67"/>
      <c r="KOR124" s="67"/>
      <c r="KOS124" s="67"/>
      <c r="KOT124" s="67"/>
      <c r="KOU124" s="67"/>
      <c r="KOV124" s="67"/>
      <c r="KOW124" s="67"/>
      <c r="KOX124" s="67"/>
      <c r="KOY124" s="67"/>
      <c r="KOZ124" s="67"/>
      <c r="KPA124" s="67"/>
      <c r="KPB124" s="67"/>
      <c r="KPC124" s="67"/>
      <c r="KPD124" s="67"/>
      <c r="KPE124" s="67"/>
      <c r="KPF124" s="67"/>
      <c r="KPG124" s="67"/>
      <c r="KPH124" s="67"/>
      <c r="KPI124" s="67"/>
      <c r="KPJ124" s="67"/>
      <c r="KPK124" s="67"/>
      <c r="KPL124" s="67"/>
      <c r="KPM124" s="67"/>
      <c r="KPN124" s="67"/>
      <c r="KPO124" s="67"/>
      <c r="KPP124" s="67"/>
      <c r="KPQ124" s="67"/>
      <c r="KPR124" s="67"/>
      <c r="KPS124" s="67"/>
      <c r="KPT124" s="67"/>
      <c r="KPU124" s="67"/>
      <c r="KPV124" s="67"/>
      <c r="KPW124" s="67"/>
      <c r="KPX124" s="67"/>
      <c r="KPY124" s="67"/>
      <c r="KPZ124" s="67"/>
      <c r="KQA124" s="67"/>
      <c r="KQB124" s="67"/>
      <c r="KQC124" s="67"/>
      <c r="KQD124" s="67"/>
      <c r="KQE124" s="67"/>
      <c r="KQF124" s="67"/>
      <c r="KQG124" s="67"/>
      <c r="KQH124" s="67"/>
      <c r="KQI124" s="67"/>
      <c r="KQJ124" s="67"/>
      <c r="KQK124" s="67"/>
      <c r="KQL124" s="67"/>
      <c r="KQM124" s="67"/>
      <c r="KQN124" s="67"/>
      <c r="KQO124" s="67"/>
      <c r="KQP124" s="67"/>
      <c r="KQQ124" s="67"/>
      <c r="KQR124" s="67"/>
      <c r="KQS124" s="67"/>
      <c r="KQT124" s="67"/>
      <c r="KQU124" s="67"/>
      <c r="KQV124" s="67"/>
      <c r="KQW124" s="67"/>
      <c r="KQX124" s="67"/>
      <c r="KQY124" s="67"/>
      <c r="KQZ124" s="67"/>
      <c r="KRA124" s="67"/>
      <c r="KRB124" s="67"/>
      <c r="KRC124" s="67"/>
      <c r="KRD124" s="67"/>
      <c r="KRE124" s="67"/>
      <c r="KRF124" s="67"/>
      <c r="KRG124" s="67"/>
      <c r="KRH124" s="67"/>
      <c r="KRI124" s="67"/>
      <c r="KRJ124" s="67"/>
      <c r="KRK124" s="67"/>
      <c r="KRL124" s="67"/>
      <c r="KRM124" s="67"/>
      <c r="KRN124" s="67"/>
      <c r="KRO124" s="67"/>
      <c r="KRP124" s="67"/>
      <c r="KRQ124" s="67"/>
      <c r="KRR124" s="67"/>
      <c r="KRS124" s="67"/>
      <c r="KRT124" s="67"/>
      <c r="KRU124" s="67"/>
      <c r="KRV124" s="67"/>
      <c r="KRW124" s="67"/>
      <c r="KRX124" s="67"/>
      <c r="KRY124" s="67"/>
      <c r="KRZ124" s="67"/>
      <c r="KSA124" s="67"/>
      <c r="KSB124" s="67"/>
      <c r="KSC124" s="67"/>
      <c r="KSD124" s="67"/>
      <c r="KSE124" s="67"/>
      <c r="KSF124" s="67"/>
      <c r="KSG124" s="67"/>
      <c r="KSH124" s="67"/>
      <c r="KSI124" s="67"/>
      <c r="KSJ124" s="67"/>
      <c r="KSK124" s="67"/>
      <c r="KSL124" s="67"/>
      <c r="KSM124" s="67"/>
      <c r="KSN124" s="67"/>
      <c r="KSO124" s="67"/>
      <c r="KSP124" s="67"/>
      <c r="KSQ124" s="67"/>
      <c r="KSR124" s="67"/>
      <c r="KSS124" s="67"/>
      <c r="KST124" s="67"/>
      <c r="KSU124" s="67"/>
      <c r="KSV124" s="67"/>
      <c r="KSW124" s="67"/>
      <c r="KSX124" s="67"/>
      <c r="KSY124" s="67"/>
      <c r="KSZ124" s="67"/>
      <c r="KTA124" s="67"/>
      <c r="KTB124" s="67"/>
      <c r="KTC124" s="67"/>
      <c r="KTD124" s="67"/>
      <c r="KTE124" s="67"/>
      <c r="KTF124" s="67"/>
      <c r="KTG124" s="67"/>
      <c r="KTH124" s="67"/>
      <c r="KTI124" s="67"/>
      <c r="KTJ124" s="67"/>
      <c r="KTK124" s="67"/>
      <c r="KTL124" s="67"/>
      <c r="KTM124" s="67"/>
      <c r="KTN124" s="67"/>
      <c r="KTO124" s="67"/>
      <c r="KTP124" s="67"/>
      <c r="KTQ124" s="67"/>
      <c r="KTR124" s="67"/>
      <c r="KTS124" s="67"/>
      <c r="KTT124" s="67"/>
      <c r="KTU124" s="67"/>
      <c r="KTV124" s="67"/>
      <c r="KTW124" s="67"/>
      <c r="KTX124" s="67"/>
      <c r="KTY124" s="67"/>
      <c r="KTZ124" s="67"/>
      <c r="KUA124" s="67"/>
      <c r="KUB124" s="67"/>
      <c r="KUC124" s="67"/>
      <c r="KUD124" s="67"/>
      <c r="KUE124" s="67"/>
      <c r="KUF124" s="67"/>
      <c r="KUG124" s="67"/>
      <c r="KUH124" s="67"/>
      <c r="KUI124" s="67"/>
      <c r="KUJ124" s="67"/>
      <c r="KUK124" s="67"/>
      <c r="KUL124" s="67"/>
      <c r="KUM124" s="67"/>
      <c r="KUN124" s="67"/>
      <c r="KUO124" s="67"/>
      <c r="KUP124" s="67"/>
      <c r="KUQ124" s="67"/>
      <c r="KUR124" s="67"/>
      <c r="KUS124" s="67"/>
      <c r="KUT124" s="67"/>
      <c r="KUU124" s="67"/>
      <c r="KUV124" s="67"/>
      <c r="KUW124" s="67"/>
      <c r="KUX124" s="67"/>
      <c r="KUY124" s="67"/>
      <c r="KUZ124" s="67"/>
      <c r="KVA124" s="67"/>
      <c r="KVB124" s="67"/>
      <c r="KVC124" s="67"/>
      <c r="KVD124" s="67"/>
      <c r="KVE124" s="67"/>
      <c r="KVF124" s="67"/>
      <c r="KVG124" s="67"/>
      <c r="KVH124" s="67"/>
      <c r="KVI124" s="67"/>
      <c r="KVJ124" s="67"/>
      <c r="KVK124" s="67"/>
      <c r="KVL124" s="67"/>
      <c r="KVM124" s="67"/>
      <c r="KVN124" s="67"/>
      <c r="KVO124" s="67"/>
      <c r="KVP124" s="67"/>
      <c r="KVQ124" s="67"/>
      <c r="KVR124" s="67"/>
      <c r="KVS124" s="67"/>
      <c r="KVT124" s="67"/>
      <c r="KVU124" s="67"/>
      <c r="KVV124" s="67"/>
      <c r="KVW124" s="67"/>
      <c r="KVX124" s="67"/>
      <c r="KVY124" s="67"/>
      <c r="KVZ124" s="67"/>
      <c r="KWA124" s="67"/>
      <c r="KWB124" s="67"/>
      <c r="KWC124" s="67"/>
      <c r="KWD124" s="67"/>
      <c r="KWE124" s="67"/>
      <c r="KWF124" s="67"/>
      <c r="KWG124" s="67"/>
      <c r="KWH124" s="67"/>
      <c r="KWI124" s="67"/>
      <c r="KWJ124" s="67"/>
      <c r="KWK124" s="67"/>
      <c r="KWL124" s="67"/>
      <c r="KWM124" s="67"/>
      <c r="KWN124" s="67"/>
      <c r="KWO124" s="67"/>
      <c r="KWP124" s="67"/>
      <c r="KWQ124" s="67"/>
      <c r="KWR124" s="67"/>
      <c r="KWS124" s="67"/>
      <c r="KWT124" s="67"/>
      <c r="KWU124" s="67"/>
      <c r="KWV124" s="67"/>
      <c r="KWW124" s="67"/>
      <c r="KWX124" s="67"/>
      <c r="KWY124" s="67"/>
      <c r="KWZ124" s="67"/>
      <c r="KXA124" s="67"/>
      <c r="KXB124" s="67"/>
      <c r="KXC124" s="67"/>
      <c r="KXD124" s="67"/>
      <c r="KXE124" s="67"/>
      <c r="KXF124" s="67"/>
      <c r="KXG124" s="67"/>
      <c r="KXH124" s="67"/>
      <c r="KXI124" s="67"/>
      <c r="KXJ124" s="67"/>
      <c r="KXK124" s="67"/>
      <c r="KXL124" s="67"/>
      <c r="KXM124" s="67"/>
      <c r="KXN124" s="67"/>
      <c r="KXO124" s="67"/>
      <c r="KXP124" s="67"/>
      <c r="KXQ124" s="67"/>
      <c r="KXR124" s="67"/>
      <c r="KXS124" s="67"/>
      <c r="KXT124" s="67"/>
      <c r="KXU124" s="67"/>
      <c r="KXV124" s="67"/>
      <c r="KXW124" s="67"/>
      <c r="KXX124" s="67"/>
      <c r="KXY124" s="67"/>
      <c r="KXZ124" s="67"/>
      <c r="KYA124" s="67"/>
      <c r="KYB124" s="67"/>
      <c r="KYC124" s="67"/>
      <c r="KYD124" s="67"/>
      <c r="KYE124" s="67"/>
      <c r="KYF124" s="67"/>
      <c r="KYG124" s="67"/>
      <c r="KYH124" s="67"/>
      <c r="KYI124" s="67"/>
      <c r="KYJ124" s="67"/>
      <c r="KYK124" s="67"/>
      <c r="KYL124" s="67"/>
      <c r="KYM124" s="67"/>
      <c r="KYN124" s="67"/>
      <c r="KYO124" s="67"/>
      <c r="KYP124" s="67"/>
      <c r="KYQ124" s="67"/>
      <c r="KYR124" s="67"/>
      <c r="KYS124" s="67"/>
      <c r="KYT124" s="67"/>
      <c r="KYU124" s="67"/>
      <c r="KYV124" s="67"/>
      <c r="KYW124" s="67"/>
      <c r="KYX124" s="67"/>
      <c r="KYY124" s="67"/>
      <c r="KYZ124" s="67"/>
      <c r="KZA124" s="67"/>
      <c r="KZB124" s="67"/>
      <c r="KZC124" s="67"/>
      <c r="KZD124" s="67"/>
      <c r="KZE124" s="67"/>
      <c r="KZF124" s="67"/>
      <c r="KZG124" s="67"/>
      <c r="KZH124" s="67"/>
      <c r="KZI124" s="67"/>
      <c r="KZJ124" s="67"/>
      <c r="KZK124" s="67"/>
      <c r="KZL124" s="67"/>
      <c r="KZM124" s="67"/>
      <c r="KZN124" s="67"/>
      <c r="KZO124" s="67"/>
      <c r="KZP124" s="67"/>
      <c r="KZQ124" s="67"/>
      <c r="KZR124" s="67"/>
      <c r="KZS124" s="67"/>
      <c r="KZT124" s="67"/>
      <c r="KZU124" s="67"/>
      <c r="KZV124" s="67"/>
      <c r="KZW124" s="67"/>
      <c r="KZX124" s="67"/>
      <c r="KZY124" s="67"/>
      <c r="KZZ124" s="67"/>
      <c r="LAA124" s="67"/>
      <c r="LAB124" s="67"/>
      <c r="LAC124" s="67"/>
      <c r="LAD124" s="67"/>
      <c r="LAE124" s="67"/>
      <c r="LAF124" s="67"/>
      <c r="LAG124" s="67"/>
      <c r="LAH124" s="67"/>
      <c r="LAI124" s="67"/>
      <c r="LAJ124" s="67"/>
      <c r="LAK124" s="67"/>
      <c r="LAL124" s="67"/>
      <c r="LAM124" s="67"/>
      <c r="LAN124" s="67"/>
      <c r="LAO124" s="67"/>
      <c r="LAP124" s="67"/>
      <c r="LAQ124" s="67"/>
      <c r="LAR124" s="67"/>
      <c r="LAS124" s="67"/>
      <c r="LAT124" s="67"/>
      <c r="LAU124" s="67"/>
      <c r="LAV124" s="67"/>
      <c r="LAW124" s="67"/>
      <c r="LAX124" s="67"/>
      <c r="LAY124" s="67"/>
      <c r="LAZ124" s="67"/>
      <c r="LBA124" s="67"/>
      <c r="LBB124" s="67"/>
      <c r="LBC124" s="67"/>
      <c r="LBD124" s="67"/>
      <c r="LBE124" s="67"/>
      <c r="LBF124" s="67"/>
      <c r="LBG124" s="67"/>
      <c r="LBH124" s="67"/>
      <c r="LBI124" s="67"/>
      <c r="LBJ124" s="67"/>
      <c r="LBK124" s="67"/>
      <c r="LBL124" s="67"/>
      <c r="LBM124" s="67"/>
      <c r="LBN124" s="67"/>
      <c r="LBO124" s="67"/>
      <c r="LBP124" s="67"/>
      <c r="LBQ124" s="67"/>
      <c r="LBR124" s="67"/>
      <c r="LBS124" s="67"/>
      <c r="LBT124" s="67"/>
      <c r="LBU124" s="67"/>
      <c r="LBV124" s="67"/>
      <c r="LBW124" s="67"/>
      <c r="LBX124" s="67"/>
      <c r="LBY124" s="67"/>
      <c r="LBZ124" s="67"/>
      <c r="LCA124" s="67"/>
      <c r="LCB124" s="67"/>
      <c r="LCC124" s="67"/>
      <c r="LCD124" s="67"/>
      <c r="LCE124" s="67"/>
      <c r="LCF124" s="67"/>
      <c r="LCG124" s="67"/>
      <c r="LCH124" s="67"/>
      <c r="LCI124" s="67"/>
      <c r="LCJ124" s="67"/>
      <c r="LCK124" s="67"/>
      <c r="LCL124" s="67"/>
      <c r="LCM124" s="67"/>
      <c r="LCN124" s="67"/>
      <c r="LCO124" s="67"/>
      <c r="LCP124" s="67"/>
      <c r="LCQ124" s="67"/>
      <c r="LCR124" s="67"/>
      <c r="LCS124" s="67"/>
      <c r="LCT124" s="67"/>
      <c r="LCU124" s="67"/>
      <c r="LCV124" s="67"/>
      <c r="LCW124" s="67"/>
      <c r="LCX124" s="67"/>
      <c r="LCY124" s="67"/>
      <c r="LCZ124" s="67"/>
      <c r="LDA124" s="67"/>
      <c r="LDB124" s="67"/>
      <c r="LDC124" s="67"/>
      <c r="LDD124" s="67"/>
      <c r="LDE124" s="67"/>
      <c r="LDF124" s="67"/>
      <c r="LDG124" s="67"/>
      <c r="LDH124" s="67"/>
      <c r="LDI124" s="67"/>
      <c r="LDJ124" s="67"/>
      <c r="LDK124" s="67"/>
      <c r="LDL124" s="67"/>
      <c r="LDM124" s="67"/>
      <c r="LDN124" s="67"/>
      <c r="LDO124" s="67"/>
      <c r="LDP124" s="67"/>
      <c r="LDQ124" s="67"/>
      <c r="LDR124" s="67"/>
      <c r="LDS124" s="67"/>
      <c r="LDT124" s="67"/>
      <c r="LDU124" s="67"/>
      <c r="LDV124" s="67"/>
      <c r="LDW124" s="67"/>
      <c r="LDX124" s="67"/>
      <c r="LDY124" s="67"/>
      <c r="LDZ124" s="67"/>
      <c r="LEA124" s="67"/>
      <c r="LEB124" s="67"/>
      <c r="LEC124" s="67"/>
      <c r="LED124" s="67"/>
      <c r="LEE124" s="67"/>
      <c r="LEF124" s="67"/>
      <c r="LEG124" s="67"/>
      <c r="LEH124" s="67"/>
      <c r="LEI124" s="67"/>
      <c r="LEJ124" s="67"/>
      <c r="LEK124" s="67"/>
      <c r="LEL124" s="67"/>
      <c r="LEM124" s="67"/>
      <c r="LEN124" s="67"/>
      <c r="LEO124" s="67"/>
      <c r="LEP124" s="67"/>
      <c r="LEQ124" s="67"/>
      <c r="LER124" s="67"/>
      <c r="LES124" s="67"/>
      <c r="LET124" s="67"/>
      <c r="LEU124" s="67"/>
      <c r="LEV124" s="67"/>
      <c r="LEW124" s="67"/>
      <c r="LEX124" s="67"/>
      <c r="LEY124" s="67"/>
      <c r="LEZ124" s="67"/>
      <c r="LFA124" s="67"/>
      <c r="LFB124" s="67"/>
      <c r="LFC124" s="67"/>
      <c r="LFD124" s="67"/>
      <c r="LFE124" s="67"/>
      <c r="LFF124" s="67"/>
      <c r="LFG124" s="67"/>
      <c r="LFH124" s="67"/>
      <c r="LFI124" s="67"/>
      <c r="LFJ124" s="67"/>
      <c r="LFK124" s="67"/>
      <c r="LFL124" s="67"/>
      <c r="LFM124" s="67"/>
      <c r="LFN124" s="67"/>
      <c r="LFO124" s="67"/>
      <c r="LFP124" s="67"/>
      <c r="LFQ124" s="67"/>
      <c r="LFR124" s="67"/>
      <c r="LFS124" s="67"/>
      <c r="LFT124" s="67"/>
      <c r="LFU124" s="67"/>
      <c r="LFV124" s="67"/>
      <c r="LFW124" s="67"/>
      <c r="LFX124" s="67"/>
      <c r="LFY124" s="67"/>
      <c r="LFZ124" s="67"/>
      <c r="LGA124" s="67"/>
      <c r="LGB124" s="67"/>
      <c r="LGC124" s="67"/>
      <c r="LGD124" s="67"/>
      <c r="LGE124" s="67"/>
      <c r="LGF124" s="67"/>
      <c r="LGG124" s="67"/>
      <c r="LGH124" s="67"/>
      <c r="LGI124" s="67"/>
      <c r="LGJ124" s="67"/>
      <c r="LGK124" s="67"/>
      <c r="LGL124" s="67"/>
      <c r="LGM124" s="67"/>
      <c r="LGN124" s="67"/>
      <c r="LGO124" s="67"/>
      <c r="LGP124" s="67"/>
      <c r="LGQ124" s="67"/>
      <c r="LGR124" s="67"/>
      <c r="LGS124" s="67"/>
      <c r="LGT124" s="67"/>
      <c r="LGU124" s="67"/>
      <c r="LGV124" s="67"/>
      <c r="LGW124" s="67"/>
      <c r="LGX124" s="67"/>
      <c r="LGY124" s="67"/>
      <c r="LGZ124" s="67"/>
      <c r="LHA124" s="67"/>
      <c r="LHB124" s="67"/>
      <c r="LHC124" s="67"/>
      <c r="LHD124" s="67"/>
      <c r="LHE124" s="67"/>
      <c r="LHF124" s="67"/>
      <c r="LHG124" s="67"/>
      <c r="LHH124" s="67"/>
      <c r="LHI124" s="67"/>
      <c r="LHJ124" s="67"/>
      <c r="LHK124" s="67"/>
      <c r="LHL124" s="67"/>
      <c r="LHM124" s="67"/>
      <c r="LHN124" s="67"/>
      <c r="LHO124" s="67"/>
      <c r="LHP124" s="67"/>
      <c r="LHQ124" s="67"/>
      <c r="LHR124" s="67"/>
      <c r="LHS124" s="67"/>
      <c r="LHT124" s="67"/>
      <c r="LHU124" s="67"/>
      <c r="LHV124" s="67"/>
      <c r="LHW124" s="67"/>
      <c r="LHX124" s="67"/>
      <c r="LHY124" s="67"/>
      <c r="LHZ124" s="67"/>
      <c r="LIA124" s="67"/>
      <c r="LIB124" s="67"/>
      <c r="LIC124" s="67"/>
      <c r="LID124" s="67"/>
      <c r="LIE124" s="67"/>
      <c r="LIF124" s="67"/>
      <c r="LIG124" s="67"/>
      <c r="LIH124" s="67"/>
      <c r="LII124" s="67"/>
      <c r="LIJ124" s="67"/>
      <c r="LIK124" s="67"/>
      <c r="LIL124" s="67"/>
      <c r="LIM124" s="67"/>
      <c r="LIN124" s="67"/>
      <c r="LIO124" s="67"/>
      <c r="LIP124" s="67"/>
      <c r="LIQ124" s="67"/>
      <c r="LIR124" s="67"/>
      <c r="LIS124" s="67"/>
      <c r="LIT124" s="67"/>
      <c r="LIU124" s="67"/>
      <c r="LIV124" s="67"/>
      <c r="LIW124" s="67"/>
      <c r="LIX124" s="67"/>
      <c r="LIY124" s="67"/>
      <c r="LIZ124" s="67"/>
      <c r="LJA124" s="67"/>
      <c r="LJB124" s="67"/>
      <c r="LJC124" s="67"/>
      <c r="LJD124" s="67"/>
      <c r="LJE124" s="67"/>
      <c r="LJF124" s="67"/>
      <c r="LJG124" s="67"/>
      <c r="LJH124" s="67"/>
      <c r="LJI124" s="67"/>
      <c r="LJJ124" s="67"/>
      <c r="LJK124" s="67"/>
      <c r="LJL124" s="67"/>
      <c r="LJM124" s="67"/>
      <c r="LJN124" s="67"/>
      <c r="LJO124" s="67"/>
      <c r="LJP124" s="67"/>
      <c r="LJQ124" s="67"/>
      <c r="LJR124" s="67"/>
      <c r="LJS124" s="67"/>
      <c r="LJT124" s="67"/>
      <c r="LJU124" s="67"/>
      <c r="LJV124" s="67"/>
      <c r="LJW124" s="67"/>
      <c r="LJX124" s="67"/>
      <c r="LJY124" s="67"/>
      <c r="LJZ124" s="67"/>
      <c r="LKA124" s="67"/>
      <c r="LKB124" s="67"/>
      <c r="LKC124" s="67"/>
      <c r="LKD124" s="67"/>
      <c r="LKE124" s="67"/>
      <c r="LKF124" s="67"/>
      <c r="LKG124" s="67"/>
      <c r="LKH124" s="67"/>
      <c r="LKI124" s="67"/>
      <c r="LKJ124" s="67"/>
      <c r="LKK124" s="67"/>
      <c r="LKL124" s="67"/>
      <c r="LKM124" s="67"/>
      <c r="LKN124" s="67"/>
      <c r="LKO124" s="67"/>
      <c r="LKP124" s="67"/>
      <c r="LKQ124" s="67"/>
      <c r="LKR124" s="67"/>
      <c r="LKS124" s="67"/>
      <c r="LKT124" s="67"/>
      <c r="LKU124" s="67"/>
      <c r="LKV124" s="67"/>
      <c r="LKW124" s="67"/>
      <c r="LKX124" s="67"/>
      <c r="LKY124" s="67"/>
      <c r="LKZ124" s="67"/>
      <c r="LLA124" s="67"/>
      <c r="LLB124" s="67"/>
      <c r="LLC124" s="67"/>
      <c r="LLD124" s="67"/>
      <c r="LLE124" s="67"/>
      <c r="LLF124" s="67"/>
      <c r="LLG124" s="67"/>
      <c r="LLH124" s="67"/>
      <c r="LLI124" s="67"/>
      <c r="LLJ124" s="67"/>
      <c r="LLK124" s="67"/>
      <c r="LLL124" s="67"/>
      <c r="LLM124" s="67"/>
      <c r="LLN124" s="67"/>
      <c r="LLO124" s="67"/>
      <c r="LLP124" s="67"/>
      <c r="LLQ124" s="67"/>
      <c r="LLR124" s="67"/>
      <c r="LLS124" s="67"/>
      <c r="LLT124" s="67"/>
      <c r="LLU124" s="67"/>
      <c r="LLV124" s="67"/>
      <c r="LLW124" s="67"/>
      <c r="LLX124" s="67"/>
      <c r="LLY124" s="67"/>
      <c r="LLZ124" s="67"/>
      <c r="LMA124" s="67"/>
      <c r="LMB124" s="67"/>
      <c r="LMC124" s="67"/>
      <c r="LMD124" s="67"/>
      <c r="LME124" s="67"/>
      <c r="LMF124" s="67"/>
      <c r="LMG124" s="67"/>
      <c r="LMH124" s="67"/>
      <c r="LMI124" s="67"/>
      <c r="LMJ124" s="67"/>
      <c r="LMK124" s="67"/>
      <c r="LML124" s="67"/>
      <c r="LMM124" s="67"/>
      <c r="LMN124" s="67"/>
      <c r="LMO124" s="67"/>
      <c r="LMP124" s="67"/>
      <c r="LMQ124" s="67"/>
      <c r="LMR124" s="67"/>
      <c r="LMS124" s="67"/>
      <c r="LMT124" s="67"/>
      <c r="LMU124" s="67"/>
      <c r="LMV124" s="67"/>
      <c r="LMW124" s="67"/>
      <c r="LMX124" s="67"/>
      <c r="LMY124" s="67"/>
      <c r="LMZ124" s="67"/>
      <c r="LNA124" s="67"/>
      <c r="LNB124" s="67"/>
      <c r="LNC124" s="67"/>
      <c r="LND124" s="67"/>
      <c r="LNE124" s="67"/>
      <c r="LNF124" s="67"/>
      <c r="LNG124" s="67"/>
      <c r="LNH124" s="67"/>
      <c r="LNI124" s="67"/>
      <c r="LNJ124" s="67"/>
      <c r="LNK124" s="67"/>
      <c r="LNL124" s="67"/>
      <c r="LNM124" s="67"/>
      <c r="LNN124" s="67"/>
      <c r="LNO124" s="67"/>
      <c r="LNP124" s="67"/>
      <c r="LNQ124" s="67"/>
      <c r="LNR124" s="67"/>
      <c r="LNS124" s="67"/>
      <c r="LNT124" s="67"/>
      <c r="LNU124" s="67"/>
      <c r="LNV124" s="67"/>
      <c r="LNW124" s="67"/>
      <c r="LNX124" s="67"/>
      <c r="LNY124" s="67"/>
      <c r="LNZ124" s="67"/>
      <c r="LOA124" s="67"/>
      <c r="LOB124" s="67"/>
      <c r="LOC124" s="67"/>
      <c r="LOD124" s="67"/>
      <c r="LOE124" s="67"/>
      <c r="LOF124" s="67"/>
      <c r="LOG124" s="67"/>
      <c r="LOH124" s="67"/>
      <c r="LOI124" s="67"/>
      <c r="LOJ124" s="67"/>
      <c r="LOK124" s="67"/>
      <c r="LOL124" s="67"/>
      <c r="LOM124" s="67"/>
      <c r="LON124" s="67"/>
      <c r="LOO124" s="67"/>
      <c r="LOP124" s="67"/>
      <c r="LOQ124" s="67"/>
      <c r="LOR124" s="67"/>
      <c r="LOS124" s="67"/>
      <c r="LOT124" s="67"/>
      <c r="LOU124" s="67"/>
      <c r="LOV124" s="67"/>
      <c r="LOW124" s="67"/>
      <c r="LOX124" s="67"/>
      <c r="LOY124" s="67"/>
      <c r="LOZ124" s="67"/>
      <c r="LPA124" s="67"/>
      <c r="LPB124" s="67"/>
      <c r="LPC124" s="67"/>
      <c r="LPD124" s="67"/>
      <c r="LPE124" s="67"/>
      <c r="LPF124" s="67"/>
      <c r="LPG124" s="67"/>
      <c r="LPH124" s="67"/>
      <c r="LPI124" s="67"/>
      <c r="LPJ124" s="67"/>
      <c r="LPK124" s="67"/>
      <c r="LPL124" s="67"/>
      <c r="LPM124" s="67"/>
      <c r="LPN124" s="67"/>
      <c r="LPO124" s="67"/>
      <c r="LPP124" s="67"/>
      <c r="LPQ124" s="67"/>
      <c r="LPR124" s="67"/>
      <c r="LPS124" s="67"/>
      <c r="LPT124" s="67"/>
      <c r="LPU124" s="67"/>
      <c r="LPV124" s="67"/>
      <c r="LPW124" s="67"/>
      <c r="LPX124" s="67"/>
      <c r="LPY124" s="67"/>
      <c r="LPZ124" s="67"/>
      <c r="LQA124" s="67"/>
      <c r="LQB124" s="67"/>
      <c r="LQC124" s="67"/>
      <c r="LQD124" s="67"/>
      <c r="LQE124" s="67"/>
      <c r="LQF124" s="67"/>
      <c r="LQG124" s="67"/>
      <c r="LQH124" s="67"/>
      <c r="LQI124" s="67"/>
      <c r="LQJ124" s="67"/>
      <c r="LQK124" s="67"/>
      <c r="LQL124" s="67"/>
      <c r="LQM124" s="67"/>
      <c r="LQN124" s="67"/>
      <c r="LQO124" s="67"/>
      <c r="LQP124" s="67"/>
      <c r="LQQ124" s="67"/>
      <c r="LQR124" s="67"/>
      <c r="LQS124" s="67"/>
      <c r="LQT124" s="67"/>
      <c r="LQU124" s="67"/>
      <c r="LQV124" s="67"/>
      <c r="LQW124" s="67"/>
      <c r="LQX124" s="67"/>
      <c r="LQY124" s="67"/>
      <c r="LQZ124" s="67"/>
      <c r="LRA124" s="67"/>
      <c r="LRB124" s="67"/>
      <c r="LRC124" s="67"/>
      <c r="LRD124" s="67"/>
      <c r="LRE124" s="67"/>
      <c r="LRF124" s="67"/>
      <c r="LRG124" s="67"/>
      <c r="LRH124" s="67"/>
      <c r="LRI124" s="67"/>
      <c r="LRJ124" s="67"/>
      <c r="LRK124" s="67"/>
      <c r="LRL124" s="67"/>
      <c r="LRM124" s="67"/>
      <c r="LRN124" s="67"/>
      <c r="LRO124" s="67"/>
      <c r="LRP124" s="67"/>
      <c r="LRQ124" s="67"/>
      <c r="LRR124" s="67"/>
      <c r="LRS124" s="67"/>
      <c r="LRT124" s="67"/>
      <c r="LRU124" s="67"/>
      <c r="LRV124" s="67"/>
      <c r="LRW124" s="67"/>
      <c r="LRX124" s="67"/>
      <c r="LRY124" s="67"/>
      <c r="LRZ124" s="67"/>
      <c r="LSA124" s="67"/>
      <c r="LSB124" s="67"/>
      <c r="LSC124" s="67"/>
      <c r="LSD124" s="67"/>
      <c r="LSE124" s="67"/>
      <c r="LSF124" s="67"/>
      <c r="LSG124" s="67"/>
      <c r="LSH124" s="67"/>
      <c r="LSI124" s="67"/>
      <c r="LSJ124" s="67"/>
      <c r="LSK124" s="67"/>
      <c r="LSL124" s="67"/>
      <c r="LSM124" s="67"/>
      <c r="LSN124" s="67"/>
      <c r="LSO124" s="67"/>
      <c r="LSP124" s="67"/>
      <c r="LSQ124" s="67"/>
      <c r="LSR124" s="67"/>
      <c r="LSS124" s="67"/>
      <c r="LST124" s="67"/>
      <c r="LSU124" s="67"/>
      <c r="LSV124" s="67"/>
      <c r="LSW124" s="67"/>
      <c r="LSX124" s="67"/>
      <c r="LSY124" s="67"/>
      <c r="LSZ124" s="67"/>
      <c r="LTA124" s="67"/>
      <c r="LTB124" s="67"/>
      <c r="LTC124" s="67"/>
      <c r="LTD124" s="67"/>
      <c r="LTE124" s="67"/>
      <c r="LTF124" s="67"/>
      <c r="LTG124" s="67"/>
      <c r="LTH124" s="67"/>
      <c r="LTI124" s="67"/>
      <c r="LTJ124" s="67"/>
      <c r="LTK124" s="67"/>
      <c r="LTL124" s="67"/>
      <c r="LTM124" s="67"/>
      <c r="LTN124" s="67"/>
      <c r="LTO124" s="67"/>
      <c r="LTP124" s="67"/>
      <c r="LTQ124" s="67"/>
      <c r="LTR124" s="67"/>
      <c r="LTS124" s="67"/>
      <c r="LTT124" s="67"/>
      <c r="LTU124" s="67"/>
      <c r="LTV124" s="67"/>
      <c r="LTW124" s="67"/>
      <c r="LTX124" s="67"/>
      <c r="LTY124" s="67"/>
      <c r="LTZ124" s="67"/>
      <c r="LUA124" s="67"/>
      <c r="LUB124" s="67"/>
      <c r="LUC124" s="67"/>
      <c r="LUD124" s="67"/>
      <c r="LUE124" s="67"/>
      <c r="LUF124" s="67"/>
      <c r="LUG124" s="67"/>
      <c r="LUH124" s="67"/>
      <c r="LUI124" s="67"/>
      <c r="LUJ124" s="67"/>
      <c r="LUK124" s="67"/>
      <c r="LUL124" s="67"/>
      <c r="LUM124" s="67"/>
      <c r="LUN124" s="67"/>
      <c r="LUO124" s="67"/>
      <c r="LUP124" s="67"/>
      <c r="LUQ124" s="67"/>
      <c r="LUR124" s="67"/>
      <c r="LUS124" s="67"/>
      <c r="LUT124" s="67"/>
      <c r="LUU124" s="67"/>
      <c r="LUV124" s="67"/>
      <c r="LUW124" s="67"/>
      <c r="LUX124" s="67"/>
      <c r="LUY124" s="67"/>
      <c r="LUZ124" s="67"/>
      <c r="LVA124" s="67"/>
      <c r="LVB124" s="67"/>
      <c r="LVC124" s="67"/>
      <c r="LVD124" s="67"/>
      <c r="LVE124" s="67"/>
      <c r="LVF124" s="67"/>
      <c r="LVG124" s="67"/>
      <c r="LVH124" s="67"/>
      <c r="LVI124" s="67"/>
      <c r="LVJ124" s="67"/>
      <c r="LVK124" s="67"/>
      <c r="LVL124" s="67"/>
      <c r="LVM124" s="67"/>
      <c r="LVN124" s="67"/>
      <c r="LVO124" s="67"/>
      <c r="LVP124" s="67"/>
      <c r="LVQ124" s="67"/>
      <c r="LVR124" s="67"/>
      <c r="LVS124" s="67"/>
      <c r="LVT124" s="67"/>
      <c r="LVU124" s="67"/>
      <c r="LVV124" s="67"/>
      <c r="LVW124" s="67"/>
      <c r="LVX124" s="67"/>
      <c r="LVY124" s="67"/>
      <c r="LVZ124" s="67"/>
      <c r="LWA124" s="67"/>
      <c r="LWB124" s="67"/>
      <c r="LWC124" s="67"/>
      <c r="LWD124" s="67"/>
      <c r="LWE124" s="67"/>
      <c r="LWF124" s="67"/>
      <c r="LWG124" s="67"/>
      <c r="LWH124" s="67"/>
      <c r="LWI124" s="67"/>
      <c r="LWJ124" s="67"/>
      <c r="LWK124" s="67"/>
      <c r="LWL124" s="67"/>
      <c r="LWM124" s="67"/>
      <c r="LWN124" s="67"/>
      <c r="LWO124" s="67"/>
      <c r="LWP124" s="67"/>
      <c r="LWQ124" s="67"/>
      <c r="LWR124" s="67"/>
      <c r="LWS124" s="67"/>
      <c r="LWT124" s="67"/>
      <c r="LWU124" s="67"/>
      <c r="LWV124" s="67"/>
      <c r="LWW124" s="67"/>
      <c r="LWX124" s="67"/>
      <c r="LWY124" s="67"/>
      <c r="LWZ124" s="67"/>
      <c r="LXA124" s="67"/>
      <c r="LXB124" s="67"/>
      <c r="LXC124" s="67"/>
      <c r="LXD124" s="67"/>
      <c r="LXE124" s="67"/>
      <c r="LXF124" s="67"/>
      <c r="LXG124" s="67"/>
      <c r="LXH124" s="67"/>
      <c r="LXI124" s="67"/>
      <c r="LXJ124" s="67"/>
      <c r="LXK124" s="67"/>
      <c r="LXL124" s="67"/>
      <c r="LXM124" s="67"/>
      <c r="LXN124" s="67"/>
      <c r="LXO124" s="67"/>
      <c r="LXP124" s="67"/>
      <c r="LXQ124" s="67"/>
      <c r="LXR124" s="67"/>
      <c r="LXS124" s="67"/>
      <c r="LXT124" s="67"/>
      <c r="LXU124" s="67"/>
      <c r="LXV124" s="67"/>
      <c r="LXW124" s="67"/>
      <c r="LXX124" s="67"/>
      <c r="LXY124" s="67"/>
      <c r="LXZ124" s="67"/>
      <c r="LYA124" s="67"/>
      <c r="LYB124" s="67"/>
      <c r="LYC124" s="67"/>
      <c r="LYD124" s="67"/>
      <c r="LYE124" s="67"/>
      <c r="LYF124" s="67"/>
      <c r="LYG124" s="67"/>
      <c r="LYH124" s="67"/>
      <c r="LYI124" s="67"/>
      <c r="LYJ124" s="67"/>
      <c r="LYK124" s="67"/>
      <c r="LYL124" s="67"/>
      <c r="LYM124" s="67"/>
      <c r="LYN124" s="67"/>
      <c r="LYO124" s="67"/>
      <c r="LYP124" s="67"/>
      <c r="LYQ124" s="67"/>
      <c r="LYR124" s="67"/>
      <c r="LYS124" s="67"/>
      <c r="LYT124" s="67"/>
      <c r="LYU124" s="67"/>
      <c r="LYV124" s="67"/>
      <c r="LYW124" s="67"/>
      <c r="LYX124" s="67"/>
      <c r="LYY124" s="67"/>
      <c r="LYZ124" s="67"/>
      <c r="LZA124" s="67"/>
      <c r="LZB124" s="67"/>
      <c r="LZC124" s="67"/>
      <c r="LZD124" s="67"/>
      <c r="LZE124" s="67"/>
      <c r="LZF124" s="67"/>
      <c r="LZG124" s="67"/>
      <c r="LZH124" s="67"/>
      <c r="LZI124" s="67"/>
      <c r="LZJ124" s="67"/>
      <c r="LZK124" s="67"/>
      <c r="LZL124" s="67"/>
      <c r="LZM124" s="67"/>
      <c r="LZN124" s="67"/>
      <c r="LZO124" s="67"/>
      <c r="LZP124" s="67"/>
      <c r="LZQ124" s="67"/>
      <c r="LZR124" s="67"/>
      <c r="LZS124" s="67"/>
      <c r="LZT124" s="67"/>
      <c r="LZU124" s="67"/>
      <c r="LZV124" s="67"/>
      <c r="LZW124" s="67"/>
      <c r="LZX124" s="67"/>
      <c r="LZY124" s="67"/>
      <c r="LZZ124" s="67"/>
      <c r="MAA124" s="67"/>
      <c r="MAB124" s="67"/>
      <c r="MAC124" s="67"/>
      <c r="MAD124" s="67"/>
      <c r="MAE124" s="67"/>
      <c r="MAF124" s="67"/>
      <c r="MAG124" s="67"/>
      <c r="MAH124" s="67"/>
      <c r="MAI124" s="67"/>
      <c r="MAJ124" s="67"/>
      <c r="MAK124" s="67"/>
      <c r="MAL124" s="67"/>
      <c r="MAM124" s="67"/>
      <c r="MAN124" s="67"/>
      <c r="MAO124" s="67"/>
      <c r="MAP124" s="67"/>
      <c r="MAQ124" s="67"/>
      <c r="MAR124" s="67"/>
      <c r="MAS124" s="67"/>
      <c r="MAT124" s="67"/>
      <c r="MAU124" s="67"/>
      <c r="MAV124" s="67"/>
      <c r="MAW124" s="67"/>
      <c r="MAX124" s="67"/>
      <c r="MAY124" s="67"/>
      <c r="MAZ124" s="67"/>
      <c r="MBA124" s="67"/>
      <c r="MBB124" s="67"/>
      <c r="MBC124" s="67"/>
      <c r="MBD124" s="67"/>
      <c r="MBE124" s="67"/>
      <c r="MBF124" s="67"/>
      <c r="MBG124" s="67"/>
      <c r="MBH124" s="67"/>
      <c r="MBI124" s="67"/>
      <c r="MBJ124" s="67"/>
      <c r="MBK124" s="67"/>
      <c r="MBL124" s="67"/>
      <c r="MBM124" s="67"/>
      <c r="MBN124" s="67"/>
      <c r="MBO124" s="67"/>
      <c r="MBP124" s="67"/>
      <c r="MBQ124" s="67"/>
      <c r="MBR124" s="67"/>
      <c r="MBS124" s="67"/>
      <c r="MBT124" s="67"/>
      <c r="MBU124" s="67"/>
      <c r="MBV124" s="67"/>
      <c r="MBW124" s="67"/>
      <c r="MBX124" s="67"/>
      <c r="MBY124" s="67"/>
      <c r="MBZ124" s="67"/>
      <c r="MCA124" s="67"/>
      <c r="MCB124" s="67"/>
      <c r="MCC124" s="67"/>
      <c r="MCD124" s="67"/>
      <c r="MCE124" s="67"/>
      <c r="MCF124" s="67"/>
      <c r="MCG124" s="67"/>
      <c r="MCH124" s="67"/>
      <c r="MCI124" s="67"/>
      <c r="MCJ124" s="67"/>
      <c r="MCK124" s="67"/>
      <c r="MCL124" s="67"/>
      <c r="MCM124" s="67"/>
      <c r="MCN124" s="67"/>
      <c r="MCO124" s="67"/>
      <c r="MCP124" s="67"/>
      <c r="MCQ124" s="67"/>
      <c r="MCR124" s="67"/>
      <c r="MCS124" s="67"/>
      <c r="MCT124" s="67"/>
      <c r="MCU124" s="67"/>
      <c r="MCV124" s="67"/>
      <c r="MCW124" s="67"/>
      <c r="MCX124" s="67"/>
      <c r="MCY124" s="67"/>
      <c r="MCZ124" s="67"/>
      <c r="MDA124" s="67"/>
      <c r="MDB124" s="67"/>
      <c r="MDC124" s="67"/>
      <c r="MDD124" s="67"/>
      <c r="MDE124" s="67"/>
      <c r="MDF124" s="67"/>
      <c r="MDG124" s="67"/>
      <c r="MDH124" s="67"/>
      <c r="MDI124" s="67"/>
      <c r="MDJ124" s="67"/>
      <c r="MDK124" s="67"/>
      <c r="MDL124" s="67"/>
      <c r="MDM124" s="67"/>
      <c r="MDN124" s="67"/>
      <c r="MDO124" s="67"/>
      <c r="MDP124" s="67"/>
      <c r="MDQ124" s="67"/>
      <c r="MDR124" s="67"/>
      <c r="MDS124" s="67"/>
      <c r="MDT124" s="67"/>
      <c r="MDU124" s="67"/>
      <c r="MDV124" s="67"/>
      <c r="MDW124" s="67"/>
      <c r="MDX124" s="67"/>
      <c r="MDY124" s="67"/>
      <c r="MDZ124" s="67"/>
      <c r="MEA124" s="67"/>
      <c r="MEB124" s="67"/>
      <c r="MEC124" s="67"/>
      <c r="MED124" s="67"/>
      <c r="MEE124" s="67"/>
      <c r="MEF124" s="67"/>
      <c r="MEG124" s="67"/>
      <c r="MEH124" s="67"/>
      <c r="MEI124" s="67"/>
      <c r="MEJ124" s="67"/>
      <c r="MEK124" s="67"/>
      <c r="MEL124" s="67"/>
      <c r="MEM124" s="67"/>
      <c r="MEN124" s="67"/>
      <c r="MEO124" s="67"/>
      <c r="MEP124" s="67"/>
      <c r="MEQ124" s="67"/>
      <c r="MER124" s="67"/>
      <c r="MES124" s="67"/>
      <c r="MET124" s="67"/>
      <c r="MEU124" s="67"/>
      <c r="MEV124" s="67"/>
      <c r="MEW124" s="67"/>
      <c r="MEX124" s="67"/>
      <c r="MEY124" s="67"/>
      <c r="MEZ124" s="67"/>
      <c r="MFA124" s="67"/>
      <c r="MFB124" s="67"/>
      <c r="MFC124" s="67"/>
      <c r="MFD124" s="67"/>
      <c r="MFE124" s="67"/>
      <c r="MFF124" s="67"/>
      <c r="MFG124" s="67"/>
      <c r="MFH124" s="67"/>
      <c r="MFI124" s="67"/>
      <c r="MFJ124" s="67"/>
      <c r="MFK124" s="67"/>
      <c r="MFL124" s="67"/>
      <c r="MFM124" s="67"/>
      <c r="MFN124" s="67"/>
      <c r="MFO124" s="67"/>
      <c r="MFP124" s="67"/>
      <c r="MFQ124" s="67"/>
      <c r="MFR124" s="67"/>
      <c r="MFS124" s="67"/>
      <c r="MFT124" s="67"/>
      <c r="MFU124" s="67"/>
      <c r="MFV124" s="67"/>
      <c r="MFW124" s="67"/>
      <c r="MFX124" s="67"/>
      <c r="MFY124" s="67"/>
      <c r="MFZ124" s="67"/>
      <c r="MGA124" s="67"/>
      <c r="MGB124" s="67"/>
      <c r="MGC124" s="67"/>
      <c r="MGD124" s="67"/>
      <c r="MGE124" s="67"/>
      <c r="MGF124" s="67"/>
      <c r="MGG124" s="67"/>
      <c r="MGH124" s="67"/>
      <c r="MGI124" s="67"/>
      <c r="MGJ124" s="67"/>
      <c r="MGK124" s="67"/>
      <c r="MGL124" s="67"/>
      <c r="MGM124" s="67"/>
      <c r="MGN124" s="67"/>
      <c r="MGO124" s="67"/>
      <c r="MGP124" s="67"/>
      <c r="MGQ124" s="67"/>
      <c r="MGR124" s="67"/>
      <c r="MGS124" s="67"/>
      <c r="MGT124" s="67"/>
      <c r="MGU124" s="67"/>
      <c r="MGV124" s="67"/>
      <c r="MGW124" s="67"/>
      <c r="MGX124" s="67"/>
      <c r="MGY124" s="67"/>
      <c r="MGZ124" s="67"/>
      <c r="MHA124" s="67"/>
      <c r="MHB124" s="67"/>
      <c r="MHC124" s="67"/>
      <c r="MHD124" s="67"/>
      <c r="MHE124" s="67"/>
      <c r="MHF124" s="67"/>
      <c r="MHG124" s="67"/>
      <c r="MHH124" s="67"/>
      <c r="MHI124" s="67"/>
      <c r="MHJ124" s="67"/>
      <c r="MHK124" s="67"/>
      <c r="MHL124" s="67"/>
      <c r="MHM124" s="67"/>
      <c r="MHN124" s="67"/>
      <c r="MHO124" s="67"/>
      <c r="MHP124" s="67"/>
      <c r="MHQ124" s="67"/>
      <c r="MHR124" s="67"/>
      <c r="MHS124" s="67"/>
      <c r="MHT124" s="67"/>
      <c r="MHU124" s="67"/>
      <c r="MHV124" s="67"/>
      <c r="MHW124" s="67"/>
      <c r="MHX124" s="67"/>
      <c r="MHY124" s="67"/>
      <c r="MHZ124" s="67"/>
      <c r="MIA124" s="67"/>
      <c r="MIB124" s="67"/>
      <c r="MIC124" s="67"/>
      <c r="MID124" s="67"/>
      <c r="MIE124" s="67"/>
      <c r="MIF124" s="67"/>
      <c r="MIG124" s="67"/>
      <c r="MIH124" s="67"/>
      <c r="MII124" s="67"/>
      <c r="MIJ124" s="67"/>
      <c r="MIK124" s="67"/>
      <c r="MIL124" s="67"/>
      <c r="MIM124" s="67"/>
      <c r="MIN124" s="67"/>
      <c r="MIO124" s="67"/>
      <c r="MIP124" s="67"/>
      <c r="MIQ124" s="67"/>
      <c r="MIR124" s="67"/>
      <c r="MIS124" s="67"/>
      <c r="MIT124" s="67"/>
      <c r="MIU124" s="67"/>
      <c r="MIV124" s="67"/>
      <c r="MIW124" s="67"/>
      <c r="MIX124" s="67"/>
      <c r="MIY124" s="67"/>
      <c r="MIZ124" s="67"/>
      <c r="MJA124" s="67"/>
      <c r="MJB124" s="67"/>
      <c r="MJC124" s="67"/>
      <c r="MJD124" s="67"/>
      <c r="MJE124" s="67"/>
      <c r="MJF124" s="67"/>
      <c r="MJG124" s="67"/>
      <c r="MJH124" s="67"/>
      <c r="MJI124" s="67"/>
      <c r="MJJ124" s="67"/>
      <c r="MJK124" s="67"/>
      <c r="MJL124" s="67"/>
      <c r="MJM124" s="67"/>
      <c r="MJN124" s="67"/>
      <c r="MJO124" s="67"/>
      <c r="MJP124" s="67"/>
      <c r="MJQ124" s="67"/>
      <c r="MJR124" s="67"/>
      <c r="MJS124" s="67"/>
      <c r="MJT124" s="67"/>
      <c r="MJU124" s="67"/>
      <c r="MJV124" s="67"/>
      <c r="MJW124" s="67"/>
      <c r="MJX124" s="67"/>
      <c r="MJY124" s="67"/>
      <c r="MJZ124" s="67"/>
      <c r="MKA124" s="67"/>
      <c r="MKB124" s="67"/>
      <c r="MKC124" s="67"/>
      <c r="MKD124" s="67"/>
      <c r="MKE124" s="67"/>
      <c r="MKF124" s="67"/>
      <c r="MKG124" s="67"/>
      <c r="MKH124" s="67"/>
      <c r="MKI124" s="67"/>
      <c r="MKJ124" s="67"/>
      <c r="MKK124" s="67"/>
      <c r="MKL124" s="67"/>
      <c r="MKM124" s="67"/>
      <c r="MKN124" s="67"/>
      <c r="MKO124" s="67"/>
      <c r="MKP124" s="67"/>
      <c r="MKQ124" s="67"/>
      <c r="MKR124" s="67"/>
      <c r="MKS124" s="67"/>
      <c r="MKT124" s="67"/>
      <c r="MKU124" s="67"/>
      <c r="MKV124" s="67"/>
      <c r="MKW124" s="67"/>
      <c r="MKX124" s="67"/>
      <c r="MKY124" s="67"/>
      <c r="MKZ124" s="67"/>
      <c r="MLA124" s="67"/>
      <c r="MLB124" s="67"/>
      <c r="MLC124" s="67"/>
      <c r="MLD124" s="67"/>
      <c r="MLE124" s="67"/>
      <c r="MLF124" s="67"/>
      <c r="MLG124" s="67"/>
      <c r="MLH124" s="67"/>
      <c r="MLI124" s="67"/>
      <c r="MLJ124" s="67"/>
      <c r="MLK124" s="67"/>
      <c r="MLL124" s="67"/>
      <c r="MLM124" s="67"/>
      <c r="MLN124" s="67"/>
      <c r="MLO124" s="67"/>
      <c r="MLP124" s="67"/>
      <c r="MLQ124" s="67"/>
      <c r="MLR124" s="67"/>
      <c r="MLS124" s="67"/>
      <c r="MLT124" s="67"/>
      <c r="MLU124" s="67"/>
      <c r="MLV124" s="67"/>
      <c r="MLW124" s="67"/>
      <c r="MLX124" s="67"/>
      <c r="MLY124" s="67"/>
      <c r="MLZ124" s="67"/>
      <c r="MMA124" s="67"/>
      <c r="MMB124" s="67"/>
      <c r="MMC124" s="67"/>
      <c r="MMD124" s="67"/>
      <c r="MME124" s="67"/>
      <c r="MMF124" s="67"/>
      <c r="MMG124" s="67"/>
      <c r="MMH124" s="67"/>
      <c r="MMI124" s="67"/>
      <c r="MMJ124" s="67"/>
      <c r="MMK124" s="67"/>
      <c r="MML124" s="67"/>
      <c r="MMM124" s="67"/>
      <c r="MMN124" s="67"/>
      <c r="MMO124" s="67"/>
      <c r="MMP124" s="67"/>
      <c r="MMQ124" s="67"/>
      <c r="MMR124" s="67"/>
      <c r="MMS124" s="67"/>
      <c r="MMT124" s="67"/>
      <c r="MMU124" s="67"/>
      <c r="MMV124" s="67"/>
      <c r="MMW124" s="67"/>
      <c r="MMX124" s="67"/>
      <c r="MMY124" s="67"/>
      <c r="MMZ124" s="67"/>
      <c r="MNA124" s="67"/>
      <c r="MNB124" s="67"/>
      <c r="MNC124" s="67"/>
      <c r="MND124" s="67"/>
      <c r="MNE124" s="67"/>
      <c r="MNF124" s="67"/>
      <c r="MNG124" s="67"/>
      <c r="MNH124" s="67"/>
      <c r="MNI124" s="67"/>
      <c r="MNJ124" s="67"/>
      <c r="MNK124" s="67"/>
      <c r="MNL124" s="67"/>
      <c r="MNM124" s="67"/>
      <c r="MNN124" s="67"/>
      <c r="MNO124" s="67"/>
      <c r="MNP124" s="67"/>
      <c r="MNQ124" s="67"/>
      <c r="MNR124" s="67"/>
      <c r="MNS124" s="67"/>
      <c r="MNT124" s="67"/>
      <c r="MNU124" s="67"/>
      <c r="MNV124" s="67"/>
      <c r="MNW124" s="67"/>
      <c r="MNX124" s="67"/>
      <c r="MNY124" s="67"/>
      <c r="MNZ124" s="67"/>
      <c r="MOA124" s="67"/>
      <c r="MOB124" s="67"/>
      <c r="MOC124" s="67"/>
      <c r="MOD124" s="67"/>
      <c r="MOE124" s="67"/>
      <c r="MOF124" s="67"/>
      <c r="MOG124" s="67"/>
      <c r="MOH124" s="67"/>
      <c r="MOI124" s="67"/>
      <c r="MOJ124" s="67"/>
      <c r="MOK124" s="67"/>
      <c r="MOL124" s="67"/>
      <c r="MOM124" s="67"/>
      <c r="MON124" s="67"/>
      <c r="MOO124" s="67"/>
      <c r="MOP124" s="67"/>
      <c r="MOQ124" s="67"/>
      <c r="MOR124" s="67"/>
      <c r="MOS124" s="67"/>
      <c r="MOT124" s="67"/>
      <c r="MOU124" s="67"/>
      <c r="MOV124" s="67"/>
      <c r="MOW124" s="67"/>
      <c r="MOX124" s="67"/>
      <c r="MOY124" s="67"/>
      <c r="MOZ124" s="67"/>
      <c r="MPA124" s="67"/>
      <c r="MPB124" s="67"/>
      <c r="MPC124" s="67"/>
      <c r="MPD124" s="67"/>
      <c r="MPE124" s="67"/>
      <c r="MPF124" s="67"/>
      <c r="MPG124" s="67"/>
      <c r="MPH124" s="67"/>
      <c r="MPI124" s="67"/>
      <c r="MPJ124" s="67"/>
      <c r="MPK124" s="67"/>
      <c r="MPL124" s="67"/>
      <c r="MPM124" s="67"/>
      <c r="MPN124" s="67"/>
      <c r="MPO124" s="67"/>
      <c r="MPP124" s="67"/>
      <c r="MPQ124" s="67"/>
      <c r="MPR124" s="67"/>
      <c r="MPS124" s="67"/>
      <c r="MPT124" s="67"/>
      <c r="MPU124" s="67"/>
      <c r="MPV124" s="67"/>
      <c r="MPW124" s="67"/>
      <c r="MPX124" s="67"/>
      <c r="MPY124" s="67"/>
      <c r="MPZ124" s="67"/>
      <c r="MQA124" s="67"/>
      <c r="MQB124" s="67"/>
      <c r="MQC124" s="67"/>
      <c r="MQD124" s="67"/>
      <c r="MQE124" s="67"/>
      <c r="MQF124" s="67"/>
      <c r="MQG124" s="67"/>
      <c r="MQH124" s="67"/>
      <c r="MQI124" s="67"/>
      <c r="MQJ124" s="67"/>
      <c r="MQK124" s="67"/>
      <c r="MQL124" s="67"/>
      <c r="MQM124" s="67"/>
      <c r="MQN124" s="67"/>
      <c r="MQO124" s="67"/>
      <c r="MQP124" s="67"/>
      <c r="MQQ124" s="67"/>
      <c r="MQR124" s="67"/>
      <c r="MQS124" s="67"/>
      <c r="MQT124" s="67"/>
      <c r="MQU124" s="67"/>
      <c r="MQV124" s="67"/>
      <c r="MQW124" s="67"/>
      <c r="MQX124" s="67"/>
      <c r="MQY124" s="67"/>
      <c r="MQZ124" s="67"/>
      <c r="MRA124" s="67"/>
      <c r="MRB124" s="67"/>
      <c r="MRC124" s="67"/>
      <c r="MRD124" s="67"/>
      <c r="MRE124" s="67"/>
      <c r="MRF124" s="67"/>
      <c r="MRG124" s="67"/>
      <c r="MRH124" s="67"/>
      <c r="MRI124" s="67"/>
      <c r="MRJ124" s="67"/>
      <c r="MRK124" s="67"/>
      <c r="MRL124" s="67"/>
      <c r="MRM124" s="67"/>
      <c r="MRN124" s="67"/>
      <c r="MRO124" s="67"/>
      <c r="MRP124" s="67"/>
      <c r="MRQ124" s="67"/>
      <c r="MRR124" s="67"/>
      <c r="MRS124" s="67"/>
      <c r="MRT124" s="67"/>
      <c r="MRU124" s="67"/>
      <c r="MRV124" s="67"/>
      <c r="MRW124" s="67"/>
      <c r="MRX124" s="67"/>
      <c r="MRY124" s="67"/>
      <c r="MRZ124" s="67"/>
      <c r="MSA124" s="67"/>
      <c r="MSB124" s="67"/>
      <c r="MSC124" s="67"/>
      <c r="MSD124" s="67"/>
      <c r="MSE124" s="67"/>
      <c r="MSF124" s="67"/>
      <c r="MSG124" s="67"/>
      <c r="MSH124" s="67"/>
      <c r="MSI124" s="67"/>
      <c r="MSJ124" s="67"/>
      <c r="MSK124" s="67"/>
      <c r="MSL124" s="67"/>
      <c r="MSM124" s="67"/>
      <c r="MSN124" s="67"/>
      <c r="MSO124" s="67"/>
      <c r="MSP124" s="67"/>
      <c r="MSQ124" s="67"/>
      <c r="MSR124" s="67"/>
      <c r="MSS124" s="67"/>
      <c r="MST124" s="67"/>
      <c r="MSU124" s="67"/>
      <c r="MSV124" s="67"/>
      <c r="MSW124" s="67"/>
      <c r="MSX124" s="67"/>
      <c r="MSY124" s="67"/>
      <c r="MSZ124" s="67"/>
      <c r="MTA124" s="67"/>
      <c r="MTB124" s="67"/>
      <c r="MTC124" s="67"/>
      <c r="MTD124" s="67"/>
      <c r="MTE124" s="67"/>
      <c r="MTF124" s="67"/>
      <c r="MTG124" s="67"/>
      <c r="MTH124" s="67"/>
      <c r="MTI124" s="67"/>
      <c r="MTJ124" s="67"/>
      <c r="MTK124" s="67"/>
      <c r="MTL124" s="67"/>
      <c r="MTM124" s="67"/>
      <c r="MTN124" s="67"/>
      <c r="MTO124" s="67"/>
      <c r="MTP124" s="67"/>
      <c r="MTQ124" s="67"/>
      <c r="MTR124" s="67"/>
      <c r="MTS124" s="67"/>
      <c r="MTT124" s="67"/>
      <c r="MTU124" s="67"/>
      <c r="MTV124" s="67"/>
      <c r="MTW124" s="67"/>
      <c r="MTX124" s="67"/>
      <c r="MTY124" s="67"/>
      <c r="MTZ124" s="67"/>
      <c r="MUA124" s="67"/>
      <c r="MUB124" s="67"/>
      <c r="MUC124" s="67"/>
      <c r="MUD124" s="67"/>
      <c r="MUE124" s="67"/>
      <c r="MUF124" s="67"/>
      <c r="MUG124" s="67"/>
      <c r="MUH124" s="67"/>
      <c r="MUI124" s="67"/>
      <c r="MUJ124" s="67"/>
      <c r="MUK124" s="67"/>
      <c r="MUL124" s="67"/>
      <c r="MUM124" s="67"/>
      <c r="MUN124" s="67"/>
      <c r="MUO124" s="67"/>
      <c r="MUP124" s="67"/>
      <c r="MUQ124" s="67"/>
      <c r="MUR124" s="67"/>
      <c r="MUS124" s="67"/>
      <c r="MUT124" s="67"/>
      <c r="MUU124" s="67"/>
      <c r="MUV124" s="67"/>
      <c r="MUW124" s="67"/>
      <c r="MUX124" s="67"/>
      <c r="MUY124" s="67"/>
      <c r="MUZ124" s="67"/>
      <c r="MVA124" s="67"/>
      <c r="MVB124" s="67"/>
      <c r="MVC124" s="67"/>
      <c r="MVD124" s="67"/>
      <c r="MVE124" s="67"/>
      <c r="MVF124" s="67"/>
      <c r="MVG124" s="67"/>
      <c r="MVH124" s="67"/>
      <c r="MVI124" s="67"/>
      <c r="MVJ124" s="67"/>
      <c r="MVK124" s="67"/>
      <c r="MVL124" s="67"/>
      <c r="MVM124" s="67"/>
      <c r="MVN124" s="67"/>
      <c r="MVO124" s="67"/>
      <c r="MVP124" s="67"/>
      <c r="MVQ124" s="67"/>
      <c r="MVR124" s="67"/>
      <c r="MVS124" s="67"/>
      <c r="MVT124" s="67"/>
      <c r="MVU124" s="67"/>
      <c r="MVV124" s="67"/>
      <c r="MVW124" s="67"/>
      <c r="MVX124" s="67"/>
      <c r="MVY124" s="67"/>
      <c r="MVZ124" s="67"/>
      <c r="MWA124" s="67"/>
      <c r="MWB124" s="67"/>
      <c r="MWC124" s="67"/>
      <c r="MWD124" s="67"/>
      <c r="MWE124" s="67"/>
      <c r="MWF124" s="67"/>
      <c r="MWG124" s="67"/>
      <c r="MWH124" s="67"/>
      <c r="MWI124" s="67"/>
      <c r="MWJ124" s="67"/>
      <c r="MWK124" s="67"/>
      <c r="MWL124" s="67"/>
      <c r="MWM124" s="67"/>
      <c r="MWN124" s="67"/>
      <c r="MWO124" s="67"/>
      <c r="MWP124" s="67"/>
      <c r="MWQ124" s="67"/>
      <c r="MWR124" s="67"/>
      <c r="MWS124" s="67"/>
      <c r="MWT124" s="67"/>
      <c r="MWU124" s="67"/>
      <c r="MWV124" s="67"/>
      <c r="MWW124" s="67"/>
      <c r="MWX124" s="67"/>
      <c r="MWY124" s="67"/>
      <c r="MWZ124" s="67"/>
      <c r="MXA124" s="67"/>
      <c r="MXB124" s="67"/>
      <c r="MXC124" s="67"/>
      <c r="MXD124" s="67"/>
      <c r="MXE124" s="67"/>
      <c r="MXF124" s="67"/>
      <c r="MXG124" s="67"/>
      <c r="MXH124" s="67"/>
      <c r="MXI124" s="67"/>
      <c r="MXJ124" s="67"/>
      <c r="MXK124" s="67"/>
      <c r="MXL124" s="67"/>
      <c r="MXM124" s="67"/>
      <c r="MXN124" s="67"/>
      <c r="MXO124" s="67"/>
      <c r="MXP124" s="67"/>
      <c r="MXQ124" s="67"/>
      <c r="MXR124" s="67"/>
      <c r="MXS124" s="67"/>
      <c r="MXT124" s="67"/>
      <c r="MXU124" s="67"/>
      <c r="MXV124" s="67"/>
      <c r="MXW124" s="67"/>
      <c r="MXX124" s="67"/>
      <c r="MXY124" s="67"/>
      <c r="MXZ124" s="67"/>
      <c r="MYA124" s="67"/>
      <c r="MYB124" s="67"/>
      <c r="MYC124" s="67"/>
      <c r="MYD124" s="67"/>
      <c r="MYE124" s="67"/>
      <c r="MYF124" s="67"/>
      <c r="MYG124" s="67"/>
      <c r="MYH124" s="67"/>
      <c r="MYI124" s="67"/>
      <c r="MYJ124" s="67"/>
      <c r="MYK124" s="67"/>
      <c r="MYL124" s="67"/>
      <c r="MYM124" s="67"/>
      <c r="MYN124" s="67"/>
      <c r="MYO124" s="67"/>
      <c r="MYP124" s="67"/>
      <c r="MYQ124" s="67"/>
      <c r="MYR124" s="67"/>
      <c r="MYS124" s="67"/>
      <c r="MYT124" s="67"/>
      <c r="MYU124" s="67"/>
      <c r="MYV124" s="67"/>
      <c r="MYW124" s="67"/>
      <c r="MYX124" s="67"/>
      <c r="MYY124" s="67"/>
      <c r="MYZ124" s="67"/>
      <c r="MZA124" s="67"/>
      <c r="MZB124" s="67"/>
      <c r="MZC124" s="67"/>
      <c r="MZD124" s="67"/>
      <c r="MZE124" s="67"/>
      <c r="MZF124" s="67"/>
      <c r="MZG124" s="67"/>
      <c r="MZH124" s="67"/>
      <c r="MZI124" s="67"/>
      <c r="MZJ124" s="67"/>
      <c r="MZK124" s="67"/>
      <c r="MZL124" s="67"/>
      <c r="MZM124" s="67"/>
      <c r="MZN124" s="67"/>
      <c r="MZO124" s="67"/>
      <c r="MZP124" s="67"/>
      <c r="MZQ124" s="67"/>
      <c r="MZR124" s="67"/>
      <c r="MZS124" s="67"/>
      <c r="MZT124" s="67"/>
      <c r="MZU124" s="67"/>
      <c r="MZV124" s="67"/>
      <c r="MZW124" s="67"/>
      <c r="MZX124" s="67"/>
      <c r="MZY124" s="67"/>
      <c r="MZZ124" s="67"/>
      <c r="NAA124" s="67"/>
      <c r="NAB124" s="67"/>
      <c r="NAC124" s="67"/>
      <c r="NAD124" s="67"/>
      <c r="NAE124" s="67"/>
      <c r="NAF124" s="67"/>
      <c r="NAG124" s="67"/>
      <c r="NAH124" s="67"/>
      <c r="NAI124" s="67"/>
      <c r="NAJ124" s="67"/>
      <c r="NAK124" s="67"/>
      <c r="NAL124" s="67"/>
      <c r="NAM124" s="67"/>
      <c r="NAN124" s="67"/>
      <c r="NAO124" s="67"/>
      <c r="NAP124" s="67"/>
      <c r="NAQ124" s="67"/>
      <c r="NAR124" s="67"/>
      <c r="NAS124" s="67"/>
      <c r="NAT124" s="67"/>
      <c r="NAU124" s="67"/>
      <c r="NAV124" s="67"/>
      <c r="NAW124" s="67"/>
      <c r="NAX124" s="67"/>
      <c r="NAY124" s="67"/>
      <c r="NAZ124" s="67"/>
      <c r="NBA124" s="67"/>
      <c r="NBB124" s="67"/>
      <c r="NBC124" s="67"/>
      <c r="NBD124" s="67"/>
      <c r="NBE124" s="67"/>
      <c r="NBF124" s="67"/>
      <c r="NBG124" s="67"/>
      <c r="NBH124" s="67"/>
      <c r="NBI124" s="67"/>
      <c r="NBJ124" s="67"/>
      <c r="NBK124" s="67"/>
      <c r="NBL124" s="67"/>
      <c r="NBM124" s="67"/>
      <c r="NBN124" s="67"/>
      <c r="NBO124" s="67"/>
      <c r="NBP124" s="67"/>
      <c r="NBQ124" s="67"/>
      <c r="NBR124" s="67"/>
      <c r="NBS124" s="67"/>
      <c r="NBT124" s="67"/>
      <c r="NBU124" s="67"/>
      <c r="NBV124" s="67"/>
      <c r="NBW124" s="67"/>
      <c r="NBX124" s="67"/>
      <c r="NBY124" s="67"/>
      <c r="NBZ124" s="67"/>
      <c r="NCA124" s="67"/>
      <c r="NCB124" s="67"/>
      <c r="NCC124" s="67"/>
      <c r="NCD124" s="67"/>
      <c r="NCE124" s="67"/>
      <c r="NCF124" s="67"/>
      <c r="NCG124" s="67"/>
      <c r="NCH124" s="67"/>
      <c r="NCI124" s="67"/>
      <c r="NCJ124" s="67"/>
      <c r="NCK124" s="67"/>
      <c r="NCL124" s="67"/>
      <c r="NCM124" s="67"/>
      <c r="NCN124" s="67"/>
      <c r="NCO124" s="67"/>
      <c r="NCP124" s="67"/>
      <c r="NCQ124" s="67"/>
      <c r="NCR124" s="67"/>
      <c r="NCS124" s="67"/>
      <c r="NCT124" s="67"/>
      <c r="NCU124" s="67"/>
      <c r="NCV124" s="67"/>
      <c r="NCW124" s="67"/>
      <c r="NCX124" s="67"/>
      <c r="NCY124" s="67"/>
      <c r="NCZ124" s="67"/>
      <c r="NDA124" s="67"/>
      <c r="NDB124" s="67"/>
      <c r="NDC124" s="67"/>
      <c r="NDD124" s="67"/>
      <c r="NDE124" s="67"/>
      <c r="NDF124" s="67"/>
      <c r="NDG124" s="67"/>
      <c r="NDH124" s="67"/>
      <c r="NDI124" s="67"/>
      <c r="NDJ124" s="67"/>
      <c r="NDK124" s="67"/>
      <c r="NDL124" s="67"/>
      <c r="NDM124" s="67"/>
      <c r="NDN124" s="67"/>
      <c r="NDO124" s="67"/>
      <c r="NDP124" s="67"/>
      <c r="NDQ124" s="67"/>
      <c r="NDR124" s="67"/>
      <c r="NDS124" s="67"/>
      <c r="NDT124" s="67"/>
      <c r="NDU124" s="67"/>
      <c r="NDV124" s="67"/>
      <c r="NDW124" s="67"/>
      <c r="NDX124" s="67"/>
      <c r="NDY124" s="67"/>
      <c r="NDZ124" s="67"/>
      <c r="NEA124" s="67"/>
      <c r="NEB124" s="67"/>
      <c r="NEC124" s="67"/>
      <c r="NED124" s="67"/>
      <c r="NEE124" s="67"/>
      <c r="NEF124" s="67"/>
      <c r="NEG124" s="67"/>
      <c r="NEH124" s="67"/>
      <c r="NEI124" s="67"/>
      <c r="NEJ124" s="67"/>
      <c r="NEK124" s="67"/>
      <c r="NEL124" s="67"/>
      <c r="NEM124" s="67"/>
      <c r="NEN124" s="67"/>
      <c r="NEO124" s="67"/>
      <c r="NEP124" s="67"/>
      <c r="NEQ124" s="67"/>
      <c r="NER124" s="67"/>
      <c r="NES124" s="67"/>
      <c r="NET124" s="67"/>
      <c r="NEU124" s="67"/>
      <c r="NEV124" s="67"/>
      <c r="NEW124" s="67"/>
      <c r="NEX124" s="67"/>
      <c r="NEY124" s="67"/>
      <c r="NEZ124" s="67"/>
      <c r="NFA124" s="67"/>
      <c r="NFB124" s="67"/>
      <c r="NFC124" s="67"/>
      <c r="NFD124" s="67"/>
      <c r="NFE124" s="67"/>
      <c r="NFF124" s="67"/>
      <c r="NFG124" s="67"/>
      <c r="NFH124" s="67"/>
      <c r="NFI124" s="67"/>
      <c r="NFJ124" s="67"/>
      <c r="NFK124" s="67"/>
      <c r="NFL124" s="67"/>
      <c r="NFM124" s="67"/>
      <c r="NFN124" s="67"/>
      <c r="NFO124" s="67"/>
      <c r="NFP124" s="67"/>
      <c r="NFQ124" s="67"/>
      <c r="NFR124" s="67"/>
      <c r="NFS124" s="67"/>
      <c r="NFT124" s="67"/>
      <c r="NFU124" s="67"/>
      <c r="NFV124" s="67"/>
      <c r="NFW124" s="67"/>
      <c r="NFX124" s="67"/>
      <c r="NFY124" s="67"/>
      <c r="NFZ124" s="67"/>
      <c r="NGA124" s="67"/>
      <c r="NGB124" s="67"/>
      <c r="NGC124" s="67"/>
      <c r="NGD124" s="67"/>
      <c r="NGE124" s="67"/>
      <c r="NGF124" s="67"/>
      <c r="NGG124" s="67"/>
      <c r="NGH124" s="67"/>
      <c r="NGI124" s="67"/>
      <c r="NGJ124" s="67"/>
      <c r="NGK124" s="67"/>
      <c r="NGL124" s="67"/>
      <c r="NGM124" s="67"/>
      <c r="NGN124" s="67"/>
      <c r="NGO124" s="67"/>
      <c r="NGP124" s="67"/>
      <c r="NGQ124" s="67"/>
      <c r="NGR124" s="67"/>
      <c r="NGS124" s="67"/>
      <c r="NGT124" s="67"/>
      <c r="NGU124" s="67"/>
      <c r="NGV124" s="67"/>
      <c r="NGW124" s="67"/>
      <c r="NGX124" s="67"/>
      <c r="NGY124" s="67"/>
      <c r="NGZ124" s="67"/>
      <c r="NHA124" s="67"/>
      <c r="NHB124" s="67"/>
      <c r="NHC124" s="67"/>
      <c r="NHD124" s="67"/>
      <c r="NHE124" s="67"/>
      <c r="NHF124" s="67"/>
      <c r="NHG124" s="67"/>
      <c r="NHH124" s="67"/>
      <c r="NHI124" s="67"/>
      <c r="NHJ124" s="67"/>
      <c r="NHK124" s="67"/>
      <c r="NHL124" s="67"/>
      <c r="NHM124" s="67"/>
      <c r="NHN124" s="67"/>
      <c r="NHO124" s="67"/>
      <c r="NHP124" s="67"/>
      <c r="NHQ124" s="67"/>
      <c r="NHR124" s="67"/>
      <c r="NHS124" s="67"/>
      <c r="NHT124" s="67"/>
      <c r="NHU124" s="67"/>
      <c r="NHV124" s="67"/>
      <c r="NHW124" s="67"/>
      <c r="NHX124" s="67"/>
      <c r="NHY124" s="67"/>
      <c r="NHZ124" s="67"/>
      <c r="NIA124" s="67"/>
      <c r="NIB124" s="67"/>
      <c r="NIC124" s="67"/>
      <c r="NID124" s="67"/>
      <c r="NIE124" s="67"/>
      <c r="NIF124" s="67"/>
      <c r="NIG124" s="67"/>
      <c r="NIH124" s="67"/>
      <c r="NII124" s="67"/>
      <c r="NIJ124" s="67"/>
      <c r="NIK124" s="67"/>
      <c r="NIL124" s="67"/>
      <c r="NIM124" s="67"/>
      <c r="NIN124" s="67"/>
      <c r="NIO124" s="67"/>
      <c r="NIP124" s="67"/>
      <c r="NIQ124" s="67"/>
      <c r="NIR124" s="67"/>
      <c r="NIS124" s="67"/>
      <c r="NIT124" s="67"/>
      <c r="NIU124" s="67"/>
      <c r="NIV124" s="67"/>
      <c r="NIW124" s="67"/>
      <c r="NIX124" s="67"/>
      <c r="NIY124" s="67"/>
      <c r="NIZ124" s="67"/>
      <c r="NJA124" s="67"/>
      <c r="NJB124" s="67"/>
      <c r="NJC124" s="67"/>
      <c r="NJD124" s="67"/>
      <c r="NJE124" s="67"/>
      <c r="NJF124" s="67"/>
      <c r="NJG124" s="67"/>
      <c r="NJH124" s="67"/>
      <c r="NJI124" s="67"/>
      <c r="NJJ124" s="67"/>
      <c r="NJK124" s="67"/>
      <c r="NJL124" s="67"/>
      <c r="NJM124" s="67"/>
      <c r="NJN124" s="67"/>
      <c r="NJO124" s="67"/>
      <c r="NJP124" s="67"/>
      <c r="NJQ124" s="67"/>
      <c r="NJR124" s="67"/>
      <c r="NJS124" s="67"/>
      <c r="NJT124" s="67"/>
      <c r="NJU124" s="67"/>
      <c r="NJV124" s="67"/>
      <c r="NJW124" s="67"/>
      <c r="NJX124" s="67"/>
      <c r="NJY124" s="67"/>
      <c r="NJZ124" s="67"/>
      <c r="NKA124" s="67"/>
      <c r="NKB124" s="67"/>
      <c r="NKC124" s="67"/>
      <c r="NKD124" s="67"/>
      <c r="NKE124" s="67"/>
      <c r="NKF124" s="67"/>
      <c r="NKG124" s="67"/>
      <c r="NKH124" s="67"/>
      <c r="NKI124" s="67"/>
      <c r="NKJ124" s="67"/>
      <c r="NKK124" s="67"/>
      <c r="NKL124" s="67"/>
      <c r="NKM124" s="67"/>
      <c r="NKN124" s="67"/>
      <c r="NKO124" s="67"/>
      <c r="NKP124" s="67"/>
      <c r="NKQ124" s="67"/>
      <c r="NKR124" s="67"/>
      <c r="NKS124" s="67"/>
      <c r="NKT124" s="67"/>
      <c r="NKU124" s="67"/>
      <c r="NKV124" s="67"/>
      <c r="NKW124" s="67"/>
      <c r="NKX124" s="67"/>
      <c r="NKY124" s="67"/>
      <c r="NKZ124" s="67"/>
      <c r="NLA124" s="67"/>
      <c r="NLB124" s="67"/>
      <c r="NLC124" s="67"/>
      <c r="NLD124" s="67"/>
      <c r="NLE124" s="67"/>
      <c r="NLF124" s="67"/>
      <c r="NLG124" s="67"/>
      <c r="NLH124" s="67"/>
      <c r="NLI124" s="67"/>
      <c r="NLJ124" s="67"/>
      <c r="NLK124" s="67"/>
      <c r="NLL124" s="67"/>
      <c r="NLM124" s="67"/>
      <c r="NLN124" s="67"/>
      <c r="NLO124" s="67"/>
      <c r="NLP124" s="67"/>
      <c r="NLQ124" s="67"/>
      <c r="NLR124" s="67"/>
      <c r="NLS124" s="67"/>
      <c r="NLT124" s="67"/>
      <c r="NLU124" s="67"/>
      <c r="NLV124" s="67"/>
      <c r="NLW124" s="67"/>
      <c r="NLX124" s="67"/>
      <c r="NLY124" s="67"/>
      <c r="NLZ124" s="67"/>
      <c r="NMA124" s="67"/>
      <c r="NMB124" s="67"/>
      <c r="NMC124" s="67"/>
      <c r="NMD124" s="67"/>
      <c r="NME124" s="67"/>
      <c r="NMF124" s="67"/>
      <c r="NMG124" s="67"/>
      <c r="NMH124" s="67"/>
      <c r="NMI124" s="67"/>
      <c r="NMJ124" s="67"/>
      <c r="NMK124" s="67"/>
      <c r="NML124" s="67"/>
      <c r="NMM124" s="67"/>
      <c r="NMN124" s="67"/>
      <c r="NMO124" s="67"/>
      <c r="NMP124" s="67"/>
      <c r="NMQ124" s="67"/>
      <c r="NMR124" s="67"/>
      <c r="NMS124" s="67"/>
      <c r="NMT124" s="67"/>
      <c r="NMU124" s="67"/>
      <c r="NMV124" s="67"/>
      <c r="NMW124" s="67"/>
      <c r="NMX124" s="67"/>
      <c r="NMY124" s="67"/>
      <c r="NMZ124" s="67"/>
      <c r="NNA124" s="67"/>
      <c r="NNB124" s="67"/>
      <c r="NNC124" s="67"/>
      <c r="NND124" s="67"/>
      <c r="NNE124" s="67"/>
      <c r="NNF124" s="67"/>
      <c r="NNG124" s="67"/>
      <c r="NNH124" s="67"/>
      <c r="NNI124" s="67"/>
      <c r="NNJ124" s="67"/>
      <c r="NNK124" s="67"/>
      <c r="NNL124" s="67"/>
      <c r="NNM124" s="67"/>
      <c r="NNN124" s="67"/>
      <c r="NNO124" s="67"/>
      <c r="NNP124" s="67"/>
      <c r="NNQ124" s="67"/>
      <c r="NNR124" s="67"/>
      <c r="NNS124" s="67"/>
      <c r="NNT124" s="67"/>
      <c r="NNU124" s="67"/>
      <c r="NNV124" s="67"/>
      <c r="NNW124" s="67"/>
      <c r="NNX124" s="67"/>
      <c r="NNY124" s="67"/>
      <c r="NNZ124" s="67"/>
      <c r="NOA124" s="67"/>
      <c r="NOB124" s="67"/>
      <c r="NOC124" s="67"/>
      <c r="NOD124" s="67"/>
      <c r="NOE124" s="67"/>
      <c r="NOF124" s="67"/>
      <c r="NOG124" s="67"/>
      <c r="NOH124" s="67"/>
      <c r="NOI124" s="67"/>
      <c r="NOJ124" s="67"/>
      <c r="NOK124" s="67"/>
      <c r="NOL124" s="67"/>
      <c r="NOM124" s="67"/>
      <c r="NON124" s="67"/>
      <c r="NOO124" s="67"/>
      <c r="NOP124" s="67"/>
      <c r="NOQ124" s="67"/>
      <c r="NOR124" s="67"/>
      <c r="NOS124" s="67"/>
      <c r="NOT124" s="67"/>
      <c r="NOU124" s="67"/>
      <c r="NOV124" s="67"/>
      <c r="NOW124" s="67"/>
      <c r="NOX124" s="67"/>
      <c r="NOY124" s="67"/>
      <c r="NOZ124" s="67"/>
      <c r="NPA124" s="67"/>
      <c r="NPB124" s="67"/>
      <c r="NPC124" s="67"/>
      <c r="NPD124" s="67"/>
      <c r="NPE124" s="67"/>
      <c r="NPF124" s="67"/>
      <c r="NPG124" s="67"/>
      <c r="NPH124" s="67"/>
      <c r="NPI124" s="67"/>
      <c r="NPJ124" s="67"/>
      <c r="NPK124" s="67"/>
      <c r="NPL124" s="67"/>
      <c r="NPM124" s="67"/>
      <c r="NPN124" s="67"/>
      <c r="NPO124" s="67"/>
      <c r="NPP124" s="67"/>
      <c r="NPQ124" s="67"/>
      <c r="NPR124" s="67"/>
      <c r="NPS124" s="67"/>
      <c r="NPT124" s="67"/>
      <c r="NPU124" s="67"/>
      <c r="NPV124" s="67"/>
      <c r="NPW124" s="67"/>
      <c r="NPX124" s="67"/>
      <c r="NPY124" s="67"/>
      <c r="NPZ124" s="67"/>
      <c r="NQA124" s="67"/>
      <c r="NQB124" s="67"/>
      <c r="NQC124" s="67"/>
      <c r="NQD124" s="67"/>
      <c r="NQE124" s="67"/>
      <c r="NQF124" s="67"/>
      <c r="NQG124" s="67"/>
      <c r="NQH124" s="67"/>
      <c r="NQI124" s="67"/>
      <c r="NQJ124" s="67"/>
      <c r="NQK124" s="67"/>
      <c r="NQL124" s="67"/>
      <c r="NQM124" s="67"/>
      <c r="NQN124" s="67"/>
      <c r="NQO124" s="67"/>
      <c r="NQP124" s="67"/>
      <c r="NQQ124" s="67"/>
      <c r="NQR124" s="67"/>
      <c r="NQS124" s="67"/>
      <c r="NQT124" s="67"/>
      <c r="NQU124" s="67"/>
      <c r="NQV124" s="67"/>
      <c r="NQW124" s="67"/>
      <c r="NQX124" s="67"/>
      <c r="NQY124" s="67"/>
      <c r="NQZ124" s="67"/>
      <c r="NRA124" s="67"/>
      <c r="NRB124" s="67"/>
      <c r="NRC124" s="67"/>
      <c r="NRD124" s="67"/>
      <c r="NRE124" s="67"/>
      <c r="NRF124" s="67"/>
      <c r="NRG124" s="67"/>
      <c r="NRH124" s="67"/>
      <c r="NRI124" s="67"/>
      <c r="NRJ124" s="67"/>
      <c r="NRK124" s="67"/>
      <c r="NRL124" s="67"/>
      <c r="NRM124" s="67"/>
      <c r="NRN124" s="67"/>
      <c r="NRO124" s="67"/>
      <c r="NRP124" s="67"/>
      <c r="NRQ124" s="67"/>
      <c r="NRR124" s="67"/>
      <c r="NRS124" s="67"/>
      <c r="NRT124" s="67"/>
      <c r="NRU124" s="67"/>
      <c r="NRV124" s="67"/>
      <c r="NRW124" s="67"/>
      <c r="NRX124" s="67"/>
      <c r="NRY124" s="67"/>
      <c r="NRZ124" s="67"/>
      <c r="NSA124" s="67"/>
      <c r="NSB124" s="67"/>
      <c r="NSC124" s="67"/>
      <c r="NSD124" s="67"/>
      <c r="NSE124" s="67"/>
      <c r="NSF124" s="67"/>
      <c r="NSG124" s="67"/>
      <c r="NSH124" s="67"/>
      <c r="NSI124" s="67"/>
      <c r="NSJ124" s="67"/>
      <c r="NSK124" s="67"/>
      <c r="NSL124" s="67"/>
      <c r="NSM124" s="67"/>
      <c r="NSN124" s="67"/>
      <c r="NSO124" s="67"/>
      <c r="NSP124" s="67"/>
      <c r="NSQ124" s="67"/>
      <c r="NSR124" s="67"/>
      <c r="NSS124" s="67"/>
      <c r="NST124" s="67"/>
      <c r="NSU124" s="67"/>
      <c r="NSV124" s="67"/>
      <c r="NSW124" s="67"/>
      <c r="NSX124" s="67"/>
      <c r="NSY124" s="67"/>
      <c r="NSZ124" s="67"/>
      <c r="NTA124" s="67"/>
      <c r="NTB124" s="67"/>
      <c r="NTC124" s="67"/>
      <c r="NTD124" s="67"/>
      <c r="NTE124" s="67"/>
      <c r="NTF124" s="67"/>
      <c r="NTG124" s="67"/>
      <c r="NTH124" s="67"/>
      <c r="NTI124" s="67"/>
      <c r="NTJ124" s="67"/>
      <c r="NTK124" s="67"/>
      <c r="NTL124" s="67"/>
      <c r="NTM124" s="67"/>
      <c r="NTN124" s="67"/>
      <c r="NTO124" s="67"/>
      <c r="NTP124" s="67"/>
      <c r="NTQ124" s="67"/>
      <c r="NTR124" s="67"/>
      <c r="NTS124" s="67"/>
      <c r="NTT124" s="67"/>
      <c r="NTU124" s="67"/>
      <c r="NTV124" s="67"/>
      <c r="NTW124" s="67"/>
      <c r="NTX124" s="67"/>
      <c r="NTY124" s="67"/>
      <c r="NTZ124" s="67"/>
      <c r="NUA124" s="67"/>
      <c r="NUB124" s="67"/>
      <c r="NUC124" s="67"/>
      <c r="NUD124" s="67"/>
      <c r="NUE124" s="67"/>
      <c r="NUF124" s="67"/>
      <c r="NUG124" s="67"/>
      <c r="NUH124" s="67"/>
      <c r="NUI124" s="67"/>
      <c r="NUJ124" s="67"/>
      <c r="NUK124" s="67"/>
      <c r="NUL124" s="67"/>
      <c r="NUM124" s="67"/>
      <c r="NUN124" s="67"/>
      <c r="NUO124" s="67"/>
      <c r="NUP124" s="67"/>
      <c r="NUQ124" s="67"/>
      <c r="NUR124" s="67"/>
      <c r="NUS124" s="67"/>
      <c r="NUT124" s="67"/>
      <c r="NUU124" s="67"/>
      <c r="NUV124" s="67"/>
      <c r="NUW124" s="67"/>
      <c r="NUX124" s="67"/>
      <c r="NUY124" s="67"/>
      <c r="NUZ124" s="67"/>
      <c r="NVA124" s="67"/>
      <c r="NVB124" s="67"/>
      <c r="NVC124" s="67"/>
      <c r="NVD124" s="67"/>
      <c r="NVE124" s="67"/>
      <c r="NVF124" s="67"/>
      <c r="NVG124" s="67"/>
      <c r="NVH124" s="67"/>
      <c r="NVI124" s="67"/>
      <c r="NVJ124" s="67"/>
      <c r="NVK124" s="67"/>
      <c r="NVL124" s="67"/>
      <c r="NVM124" s="67"/>
      <c r="NVN124" s="67"/>
      <c r="NVO124" s="67"/>
      <c r="NVP124" s="67"/>
      <c r="NVQ124" s="67"/>
      <c r="NVR124" s="67"/>
      <c r="NVS124" s="67"/>
      <c r="NVT124" s="67"/>
      <c r="NVU124" s="67"/>
      <c r="NVV124" s="67"/>
      <c r="NVW124" s="67"/>
      <c r="NVX124" s="67"/>
      <c r="NVY124" s="67"/>
      <c r="NVZ124" s="67"/>
      <c r="NWA124" s="67"/>
      <c r="NWB124" s="67"/>
      <c r="NWC124" s="67"/>
      <c r="NWD124" s="67"/>
      <c r="NWE124" s="67"/>
      <c r="NWF124" s="67"/>
      <c r="NWG124" s="67"/>
      <c r="NWH124" s="67"/>
      <c r="NWI124" s="67"/>
      <c r="NWJ124" s="67"/>
      <c r="NWK124" s="67"/>
      <c r="NWL124" s="67"/>
      <c r="NWM124" s="67"/>
      <c r="NWN124" s="67"/>
      <c r="NWO124" s="67"/>
      <c r="NWP124" s="67"/>
      <c r="NWQ124" s="67"/>
      <c r="NWR124" s="67"/>
      <c r="NWS124" s="67"/>
      <c r="NWT124" s="67"/>
      <c r="NWU124" s="67"/>
      <c r="NWV124" s="67"/>
      <c r="NWW124" s="67"/>
      <c r="NWX124" s="67"/>
      <c r="NWY124" s="67"/>
      <c r="NWZ124" s="67"/>
      <c r="NXA124" s="67"/>
      <c r="NXB124" s="67"/>
      <c r="NXC124" s="67"/>
      <c r="NXD124" s="67"/>
      <c r="NXE124" s="67"/>
      <c r="NXF124" s="67"/>
      <c r="NXG124" s="67"/>
      <c r="NXH124" s="67"/>
      <c r="NXI124" s="67"/>
      <c r="NXJ124" s="67"/>
      <c r="NXK124" s="67"/>
      <c r="NXL124" s="67"/>
      <c r="NXM124" s="67"/>
      <c r="NXN124" s="67"/>
      <c r="NXO124" s="67"/>
      <c r="NXP124" s="67"/>
      <c r="NXQ124" s="67"/>
      <c r="NXR124" s="67"/>
      <c r="NXS124" s="67"/>
      <c r="NXT124" s="67"/>
      <c r="NXU124" s="67"/>
      <c r="NXV124" s="67"/>
      <c r="NXW124" s="67"/>
      <c r="NXX124" s="67"/>
      <c r="NXY124" s="67"/>
      <c r="NXZ124" s="67"/>
      <c r="NYA124" s="67"/>
      <c r="NYB124" s="67"/>
      <c r="NYC124" s="67"/>
      <c r="NYD124" s="67"/>
      <c r="NYE124" s="67"/>
      <c r="NYF124" s="67"/>
      <c r="NYG124" s="67"/>
      <c r="NYH124" s="67"/>
      <c r="NYI124" s="67"/>
      <c r="NYJ124" s="67"/>
      <c r="NYK124" s="67"/>
      <c r="NYL124" s="67"/>
      <c r="NYM124" s="67"/>
      <c r="NYN124" s="67"/>
      <c r="NYO124" s="67"/>
      <c r="NYP124" s="67"/>
      <c r="NYQ124" s="67"/>
      <c r="NYR124" s="67"/>
      <c r="NYS124" s="67"/>
      <c r="NYT124" s="67"/>
      <c r="NYU124" s="67"/>
      <c r="NYV124" s="67"/>
      <c r="NYW124" s="67"/>
      <c r="NYX124" s="67"/>
      <c r="NYY124" s="67"/>
      <c r="NYZ124" s="67"/>
      <c r="NZA124" s="67"/>
      <c r="NZB124" s="67"/>
      <c r="NZC124" s="67"/>
      <c r="NZD124" s="67"/>
      <c r="NZE124" s="67"/>
      <c r="NZF124" s="67"/>
      <c r="NZG124" s="67"/>
      <c r="NZH124" s="67"/>
      <c r="NZI124" s="67"/>
      <c r="NZJ124" s="67"/>
      <c r="NZK124" s="67"/>
      <c r="NZL124" s="67"/>
      <c r="NZM124" s="67"/>
      <c r="NZN124" s="67"/>
      <c r="NZO124" s="67"/>
      <c r="NZP124" s="67"/>
      <c r="NZQ124" s="67"/>
      <c r="NZR124" s="67"/>
      <c r="NZS124" s="67"/>
      <c r="NZT124" s="67"/>
      <c r="NZU124" s="67"/>
      <c r="NZV124" s="67"/>
      <c r="NZW124" s="67"/>
      <c r="NZX124" s="67"/>
      <c r="NZY124" s="67"/>
      <c r="NZZ124" s="67"/>
      <c r="OAA124" s="67"/>
      <c r="OAB124" s="67"/>
      <c r="OAC124" s="67"/>
      <c r="OAD124" s="67"/>
      <c r="OAE124" s="67"/>
      <c r="OAF124" s="67"/>
      <c r="OAG124" s="67"/>
      <c r="OAH124" s="67"/>
      <c r="OAI124" s="67"/>
      <c r="OAJ124" s="67"/>
      <c r="OAK124" s="67"/>
      <c r="OAL124" s="67"/>
      <c r="OAM124" s="67"/>
      <c r="OAN124" s="67"/>
      <c r="OAO124" s="67"/>
      <c r="OAP124" s="67"/>
      <c r="OAQ124" s="67"/>
      <c r="OAR124" s="67"/>
      <c r="OAS124" s="67"/>
      <c r="OAT124" s="67"/>
      <c r="OAU124" s="67"/>
      <c r="OAV124" s="67"/>
      <c r="OAW124" s="67"/>
      <c r="OAX124" s="67"/>
      <c r="OAY124" s="67"/>
      <c r="OAZ124" s="67"/>
      <c r="OBA124" s="67"/>
      <c r="OBB124" s="67"/>
      <c r="OBC124" s="67"/>
      <c r="OBD124" s="67"/>
      <c r="OBE124" s="67"/>
      <c r="OBF124" s="67"/>
      <c r="OBG124" s="67"/>
      <c r="OBH124" s="67"/>
      <c r="OBI124" s="67"/>
      <c r="OBJ124" s="67"/>
      <c r="OBK124" s="67"/>
      <c r="OBL124" s="67"/>
      <c r="OBM124" s="67"/>
      <c r="OBN124" s="67"/>
      <c r="OBO124" s="67"/>
      <c r="OBP124" s="67"/>
      <c r="OBQ124" s="67"/>
      <c r="OBR124" s="67"/>
      <c r="OBS124" s="67"/>
      <c r="OBT124" s="67"/>
      <c r="OBU124" s="67"/>
      <c r="OBV124" s="67"/>
      <c r="OBW124" s="67"/>
      <c r="OBX124" s="67"/>
      <c r="OBY124" s="67"/>
      <c r="OBZ124" s="67"/>
      <c r="OCA124" s="67"/>
      <c r="OCB124" s="67"/>
      <c r="OCC124" s="67"/>
      <c r="OCD124" s="67"/>
      <c r="OCE124" s="67"/>
      <c r="OCF124" s="67"/>
      <c r="OCG124" s="67"/>
      <c r="OCH124" s="67"/>
      <c r="OCI124" s="67"/>
      <c r="OCJ124" s="67"/>
      <c r="OCK124" s="67"/>
      <c r="OCL124" s="67"/>
      <c r="OCM124" s="67"/>
      <c r="OCN124" s="67"/>
      <c r="OCO124" s="67"/>
      <c r="OCP124" s="67"/>
      <c r="OCQ124" s="67"/>
      <c r="OCR124" s="67"/>
      <c r="OCS124" s="67"/>
      <c r="OCT124" s="67"/>
      <c r="OCU124" s="67"/>
      <c r="OCV124" s="67"/>
      <c r="OCW124" s="67"/>
      <c r="OCX124" s="67"/>
      <c r="OCY124" s="67"/>
      <c r="OCZ124" s="67"/>
      <c r="ODA124" s="67"/>
      <c r="ODB124" s="67"/>
      <c r="ODC124" s="67"/>
      <c r="ODD124" s="67"/>
      <c r="ODE124" s="67"/>
      <c r="ODF124" s="67"/>
      <c r="ODG124" s="67"/>
      <c r="ODH124" s="67"/>
      <c r="ODI124" s="67"/>
      <c r="ODJ124" s="67"/>
      <c r="ODK124" s="67"/>
      <c r="ODL124" s="67"/>
      <c r="ODM124" s="67"/>
      <c r="ODN124" s="67"/>
      <c r="ODO124" s="67"/>
      <c r="ODP124" s="67"/>
      <c r="ODQ124" s="67"/>
      <c r="ODR124" s="67"/>
      <c r="ODS124" s="67"/>
      <c r="ODT124" s="67"/>
      <c r="ODU124" s="67"/>
      <c r="ODV124" s="67"/>
      <c r="ODW124" s="67"/>
      <c r="ODX124" s="67"/>
      <c r="ODY124" s="67"/>
      <c r="ODZ124" s="67"/>
      <c r="OEA124" s="67"/>
      <c r="OEB124" s="67"/>
      <c r="OEC124" s="67"/>
      <c r="OED124" s="67"/>
      <c r="OEE124" s="67"/>
      <c r="OEF124" s="67"/>
      <c r="OEG124" s="67"/>
      <c r="OEH124" s="67"/>
      <c r="OEI124" s="67"/>
      <c r="OEJ124" s="67"/>
      <c r="OEK124" s="67"/>
      <c r="OEL124" s="67"/>
      <c r="OEM124" s="67"/>
      <c r="OEN124" s="67"/>
      <c r="OEO124" s="67"/>
      <c r="OEP124" s="67"/>
      <c r="OEQ124" s="67"/>
      <c r="OER124" s="67"/>
      <c r="OES124" s="67"/>
      <c r="OET124" s="67"/>
      <c r="OEU124" s="67"/>
      <c r="OEV124" s="67"/>
      <c r="OEW124" s="67"/>
      <c r="OEX124" s="67"/>
      <c r="OEY124" s="67"/>
      <c r="OEZ124" s="67"/>
      <c r="OFA124" s="67"/>
      <c r="OFB124" s="67"/>
      <c r="OFC124" s="67"/>
      <c r="OFD124" s="67"/>
      <c r="OFE124" s="67"/>
      <c r="OFF124" s="67"/>
      <c r="OFG124" s="67"/>
      <c r="OFH124" s="67"/>
      <c r="OFI124" s="67"/>
      <c r="OFJ124" s="67"/>
      <c r="OFK124" s="67"/>
      <c r="OFL124" s="67"/>
      <c r="OFM124" s="67"/>
      <c r="OFN124" s="67"/>
      <c r="OFO124" s="67"/>
      <c r="OFP124" s="67"/>
      <c r="OFQ124" s="67"/>
      <c r="OFR124" s="67"/>
      <c r="OFS124" s="67"/>
      <c r="OFT124" s="67"/>
      <c r="OFU124" s="67"/>
      <c r="OFV124" s="67"/>
      <c r="OFW124" s="67"/>
      <c r="OFX124" s="67"/>
      <c r="OFY124" s="67"/>
      <c r="OFZ124" s="67"/>
      <c r="OGA124" s="67"/>
      <c r="OGB124" s="67"/>
      <c r="OGC124" s="67"/>
      <c r="OGD124" s="67"/>
      <c r="OGE124" s="67"/>
      <c r="OGF124" s="67"/>
      <c r="OGG124" s="67"/>
      <c r="OGH124" s="67"/>
      <c r="OGI124" s="67"/>
      <c r="OGJ124" s="67"/>
      <c r="OGK124" s="67"/>
      <c r="OGL124" s="67"/>
      <c r="OGM124" s="67"/>
      <c r="OGN124" s="67"/>
      <c r="OGO124" s="67"/>
      <c r="OGP124" s="67"/>
      <c r="OGQ124" s="67"/>
      <c r="OGR124" s="67"/>
      <c r="OGS124" s="67"/>
      <c r="OGT124" s="67"/>
      <c r="OGU124" s="67"/>
      <c r="OGV124" s="67"/>
      <c r="OGW124" s="67"/>
      <c r="OGX124" s="67"/>
      <c r="OGY124" s="67"/>
      <c r="OGZ124" s="67"/>
      <c r="OHA124" s="67"/>
      <c r="OHB124" s="67"/>
      <c r="OHC124" s="67"/>
      <c r="OHD124" s="67"/>
      <c r="OHE124" s="67"/>
      <c r="OHF124" s="67"/>
      <c r="OHG124" s="67"/>
      <c r="OHH124" s="67"/>
      <c r="OHI124" s="67"/>
      <c r="OHJ124" s="67"/>
      <c r="OHK124" s="67"/>
      <c r="OHL124" s="67"/>
      <c r="OHM124" s="67"/>
      <c r="OHN124" s="67"/>
      <c r="OHO124" s="67"/>
      <c r="OHP124" s="67"/>
      <c r="OHQ124" s="67"/>
      <c r="OHR124" s="67"/>
      <c r="OHS124" s="67"/>
      <c r="OHT124" s="67"/>
      <c r="OHU124" s="67"/>
      <c r="OHV124" s="67"/>
      <c r="OHW124" s="67"/>
      <c r="OHX124" s="67"/>
      <c r="OHY124" s="67"/>
      <c r="OHZ124" s="67"/>
      <c r="OIA124" s="67"/>
      <c r="OIB124" s="67"/>
      <c r="OIC124" s="67"/>
      <c r="OID124" s="67"/>
      <c r="OIE124" s="67"/>
      <c r="OIF124" s="67"/>
      <c r="OIG124" s="67"/>
      <c r="OIH124" s="67"/>
      <c r="OII124" s="67"/>
      <c r="OIJ124" s="67"/>
      <c r="OIK124" s="67"/>
      <c r="OIL124" s="67"/>
      <c r="OIM124" s="67"/>
      <c r="OIN124" s="67"/>
      <c r="OIO124" s="67"/>
      <c r="OIP124" s="67"/>
      <c r="OIQ124" s="67"/>
      <c r="OIR124" s="67"/>
      <c r="OIS124" s="67"/>
      <c r="OIT124" s="67"/>
      <c r="OIU124" s="67"/>
      <c r="OIV124" s="67"/>
      <c r="OIW124" s="67"/>
      <c r="OIX124" s="67"/>
      <c r="OIY124" s="67"/>
      <c r="OIZ124" s="67"/>
      <c r="OJA124" s="67"/>
      <c r="OJB124" s="67"/>
      <c r="OJC124" s="67"/>
      <c r="OJD124" s="67"/>
      <c r="OJE124" s="67"/>
      <c r="OJF124" s="67"/>
      <c r="OJG124" s="67"/>
      <c r="OJH124" s="67"/>
      <c r="OJI124" s="67"/>
      <c r="OJJ124" s="67"/>
      <c r="OJK124" s="67"/>
      <c r="OJL124" s="67"/>
      <c r="OJM124" s="67"/>
      <c r="OJN124" s="67"/>
      <c r="OJO124" s="67"/>
      <c r="OJP124" s="67"/>
      <c r="OJQ124" s="67"/>
      <c r="OJR124" s="67"/>
      <c r="OJS124" s="67"/>
      <c r="OJT124" s="67"/>
      <c r="OJU124" s="67"/>
      <c r="OJV124" s="67"/>
      <c r="OJW124" s="67"/>
      <c r="OJX124" s="67"/>
      <c r="OJY124" s="67"/>
      <c r="OJZ124" s="67"/>
      <c r="OKA124" s="67"/>
      <c r="OKB124" s="67"/>
      <c r="OKC124" s="67"/>
      <c r="OKD124" s="67"/>
      <c r="OKE124" s="67"/>
      <c r="OKF124" s="67"/>
      <c r="OKG124" s="67"/>
      <c r="OKH124" s="67"/>
      <c r="OKI124" s="67"/>
      <c r="OKJ124" s="67"/>
      <c r="OKK124" s="67"/>
      <c r="OKL124" s="67"/>
      <c r="OKM124" s="67"/>
      <c r="OKN124" s="67"/>
      <c r="OKO124" s="67"/>
      <c r="OKP124" s="67"/>
      <c r="OKQ124" s="67"/>
      <c r="OKR124" s="67"/>
      <c r="OKS124" s="67"/>
      <c r="OKT124" s="67"/>
      <c r="OKU124" s="67"/>
      <c r="OKV124" s="67"/>
      <c r="OKW124" s="67"/>
      <c r="OKX124" s="67"/>
      <c r="OKY124" s="67"/>
      <c r="OKZ124" s="67"/>
      <c r="OLA124" s="67"/>
      <c r="OLB124" s="67"/>
      <c r="OLC124" s="67"/>
      <c r="OLD124" s="67"/>
      <c r="OLE124" s="67"/>
      <c r="OLF124" s="67"/>
      <c r="OLG124" s="67"/>
      <c r="OLH124" s="67"/>
      <c r="OLI124" s="67"/>
      <c r="OLJ124" s="67"/>
      <c r="OLK124" s="67"/>
      <c r="OLL124" s="67"/>
      <c r="OLM124" s="67"/>
      <c r="OLN124" s="67"/>
      <c r="OLO124" s="67"/>
      <c r="OLP124" s="67"/>
      <c r="OLQ124" s="67"/>
      <c r="OLR124" s="67"/>
      <c r="OLS124" s="67"/>
      <c r="OLT124" s="67"/>
      <c r="OLU124" s="67"/>
      <c r="OLV124" s="67"/>
      <c r="OLW124" s="67"/>
      <c r="OLX124" s="67"/>
      <c r="OLY124" s="67"/>
      <c r="OLZ124" s="67"/>
      <c r="OMA124" s="67"/>
      <c r="OMB124" s="67"/>
      <c r="OMC124" s="67"/>
      <c r="OMD124" s="67"/>
      <c r="OME124" s="67"/>
      <c r="OMF124" s="67"/>
      <c r="OMG124" s="67"/>
      <c r="OMH124" s="67"/>
      <c r="OMI124" s="67"/>
      <c r="OMJ124" s="67"/>
      <c r="OMK124" s="67"/>
      <c r="OML124" s="67"/>
      <c r="OMM124" s="67"/>
      <c r="OMN124" s="67"/>
      <c r="OMO124" s="67"/>
      <c r="OMP124" s="67"/>
      <c r="OMQ124" s="67"/>
      <c r="OMR124" s="67"/>
      <c r="OMS124" s="67"/>
      <c r="OMT124" s="67"/>
      <c r="OMU124" s="67"/>
      <c r="OMV124" s="67"/>
      <c r="OMW124" s="67"/>
      <c r="OMX124" s="67"/>
      <c r="OMY124" s="67"/>
      <c r="OMZ124" s="67"/>
      <c r="ONA124" s="67"/>
      <c r="ONB124" s="67"/>
      <c r="ONC124" s="67"/>
      <c r="OND124" s="67"/>
      <c r="ONE124" s="67"/>
      <c r="ONF124" s="67"/>
      <c r="ONG124" s="67"/>
      <c r="ONH124" s="67"/>
      <c r="ONI124" s="67"/>
      <c r="ONJ124" s="67"/>
      <c r="ONK124" s="67"/>
      <c r="ONL124" s="67"/>
      <c r="ONM124" s="67"/>
      <c r="ONN124" s="67"/>
      <c r="ONO124" s="67"/>
      <c r="ONP124" s="67"/>
      <c r="ONQ124" s="67"/>
      <c r="ONR124" s="67"/>
      <c r="ONS124" s="67"/>
      <c r="ONT124" s="67"/>
      <c r="ONU124" s="67"/>
      <c r="ONV124" s="67"/>
      <c r="ONW124" s="67"/>
      <c r="ONX124" s="67"/>
      <c r="ONY124" s="67"/>
      <c r="ONZ124" s="67"/>
      <c r="OOA124" s="67"/>
      <c r="OOB124" s="67"/>
      <c r="OOC124" s="67"/>
      <c r="OOD124" s="67"/>
      <c r="OOE124" s="67"/>
      <c r="OOF124" s="67"/>
      <c r="OOG124" s="67"/>
      <c r="OOH124" s="67"/>
      <c r="OOI124" s="67"/>
      <c r="OOJ124" s="67"/>
      <c r="OOK124" s="67"/>
      <c r="OOL124" s="67"/>
      <c r="OOM124" s="67"/>
      <c r="OON124" s="67"/>
      <c r="OOO124" s="67"/>
      <c r="OOP124" s="67"/>
      <c r="OOQ124" s="67"/>
      <c r="OOR124" s="67"/>
      <c r="OOS124" s="67"/>
      <c r="OOT124" s="67"/>
      <c r="OOU124" s="67"/>
      <c r="OOV124" s="67"/>
      <c r="OOW124" s="67"/>
      <c r="OOX124" s="67"/>
      <c r="OOY124" s="67"/>
      <c r="OOZ124" s="67"/>
      <c r="OPA124" s="67"/>
      <c r="OPB124" s="67"/>
      <c r="OPC124" s="67"/>
      <c r="OPD124" s="67"/>
      <c r="OPE124" s="67"/>
      <c r="OPF124" s="67"/>
      <c r="OPG124" s="67"/>
      <c r="OPH124" s="67"/>
      <c r="OPI124" s="67"/>
      <c r="OPJ124" s="67"/>
      <c r="OPK124" s="67"/>
      <c r="OPL124" s="67"/>
      <c r="OPM124" s="67"/>
      <c r="OPN124" s="67"/>
      <c r="OPO124" s="67"/>
      <c r="OPP124" s="67"/>
      <c r="OPQ124" s="67"/>
      <c r="OPR124" s="67"/>
      <c r="OPS124" s="67"/>
      <c r="OPT124" s="67"/>
      <c r="OPU124" s="67"/>
      <c r="OPV124" s="67"/>
      <c r="OPW124" s="67"/>
      <c r="OPX124" s="67"/>
      <c r="OPY124" s="67"/>
      <c r="OPZ124" s="67"/>
      <c r="OQA124" s="67"/>
      <c r="OQB124" s="67"/>
      <c r="OQC124" s="67"/>
      <c r="OQD124" s="67"/>
      <c r="OQE124" s="67"/>
      <c r="OQF124" s="67"/>
      <c r="OQG124" s="67"/>
      <c r="OQH124" s="67"/>
      <c r="OQI124" s="67"/>
      <c r="OQJ124" s="67"/>
      <c r="OQK124" s="67"/>
      <c r="OQL124" s="67"/>
      <c r="OQM124" s="67"/>
      <c r="OQN124" s="67"/>
      <c r="OQO124" s="67"/>
      <c r="OQP124" s="67"/>
      <c r="OQQ124" s="67"/>
      <c r="OQR124" s="67"/>
      <c r="OQS124" s="67"/>
      <c r="OQT124" s="67"/>
      <c r="OQU124" s="67"/>
      <c r="OQV124" s="67"/>
      <c r="OQW124" s="67"/>
      <c r="OQX124" s="67"/>
      <c r="OQY124" s="67"/>
      <c r="OQZ124" s="67"/>
      <c r="ORA124" s="67"/>
      <c r="ORB124" s="67"/>
      <c r="ORC124" s="67"/>
      <c r="ORD124" s="67"/>
      <c r="ORE124" s="67"/>
      <c r="ORF124" s="67"/>
      <c r="ORG124" s="67"/>
      <c r="ORH124" s="67"/>
      <c r="ORI124" s="67"/>
      <c r="ORJ124" s="67"/>
      <c r="ORK124" s="67"/>
      <c r="ORL124" s="67"/>
      <c r="ORM124" s="67"/>
      <c r="ORN124" s="67"/>
      <c r="ORO124" s="67"/>
      <c r="ORP124" s="67"/>
      <c r="ORQ124" s="67"/>
      <c r="ORR124" s="67"/>
      <c r="ORS124" s="67"/>
      <c r="ORT124" s="67"/>
      <c r="ORU124" s="67"/>
      <c r="ORV124" s="67"/>
      <c r="ORW124" s="67"/>
      <c r="ORX124" s="67"/>
      <c r="ORY124" s="67"/>
      <c r="ORZ124" s="67"/>
      <c r="OSA124" s="67"/>
      <c r="OSB124" s="67"/>
      <c r="OSC124" s="67"/>
      <c r="OSD124" s="67"/>
      <c r="OSE124" s="67"/>
      <c r="OSF124" s="67"/>
      <c r="OSG124" s="67"/>
      <c r="OSH124" s="67"/>
      <c r="OSI124" s="67"/>
      <c r="OSJ124" s="67"/>
      <c r="OSK124" s="67"/>
      <c r="OSL124" s="67"/>
      <c r="OSM124" s="67"/>
      <c r="OSN124" s="67"/>
      <c r="OSO124" s="67"/>
      <c r="OSP124" s="67"/>
      <c r="OSQ124" s="67"/>
      <c r="OSR124" s="67"/>
      <c r="OSS124" s="67"/>
      <c r="OST124" s="67"/>
      <c r="OSU124" s="67"/>
      <c r="OSV124" s="67"/>
      <c r="OSW124" s="67"/>
      <c r="OSX124" s="67"/>
      <c r="OSY124" s="67"/>
      <c r="OSZ124" s="67"/>
      <c r="OTA124" s="67"/>
      <c r="OTB124" s="67"/>
      <c r="OTC124" s="67"/>
      <c r="OTD124" s="67"/>
      <c r="OTE124" s="67"/>
      <c r="OTF124" s="67"/>
      <c r="OTG124" s="67"/>
      <c r="OTH124" s="67"/>
      <c r="OTI124" s="67"/>
      <c r="OTJ124" s="67"/>
      <c r="OTK124" s="67"/>
      <c r="OTL124" s="67"/>
      <c r="OTM124" s="67"/>
      <c r="OTN124" s="67"/>
      <c r="OTO124" s="67"/>
      <c r="OTP124" s="67"/>
      <c r="OTQ124" s="67"/>
      <c r="OTR124" s="67"/>
      <c r="OTS124" s="67"/>
      <c r="OTT124" s="67"/>
      <c r="OTU124" s="67"/>
      <c r="OTV124" s="67"/>
      <c r="OTW124" s="67"/>
      <c r="OTX124" s="67"/>
      <c r="OTY124" s="67"/>
      <c r="OTZ124" s="67"/>
      <c r="OUA124" s="67"/>
      <c r="OUB124" s="67"/>
      <c r="OUC124" s="67"/>
      <c r="OUD124" s="67"/>
      <c r="OUE124" s="67"/>
      <c r="OUF124" s="67"/>
      <c r="OUG124" s="67"/>
      <c r="OUH124" s="67"/>
      <c r="OUI124" s="67"/>
      <c r="OUJ124" s="67"/>
      <c r="OUK124" s="67"/>
      <c r="OUL124" s="67"/>
      <c r="OUM124" s="67"/>
      <c r="OUN124" s="67"/>
      <c r="OUO124" s="67"/>
      <c r="OUP124" s="67"/>
      <c r="OUQ124" s="67"/>
      <c r="OUR124" s="67"/>
      <c r="OUS124" s="67"/>
      <c r="OUT124" s="67"/>
      <c r="OUU124" s="67"/>
      <c r="OUV124" s="67"/>
      <c r="OUW124" s="67"/>
      <c r="OUX124" s="67"/>
      <c r="OUY124" s="67"/>
      <c r="OUZ124" s="67"/>
      <c r="OVA124" s="67"/>
      <c r="OVB124" s="67"/>
      <c r="OVC124" s="67"/>
      <c r="OVD124" s="67"/>
      <c r="OVE124" s="67"/>
      <c r="OVF124" s="67"/>
      <c r="OVG124" s="67"/>
      <c r="OVH124" s="67"/>
      <c r="OVI124" s="67"/>
      <c r="OVJ124" s="67"/>
      <c r="OVK124" s="67"/>
      <c r="OVL124" s="67"/>
      <c r="OVM124" s="67"/>
      <c r="OVN124" s="67"/>
      <c r="OVO124" s="67"/>
      <c r="OVP124" s="67"/>
      <c r="OVQ124" s="67"/>
      <c r="OVR124" s="67"/>
      <c r="OVS124" s="67"/>
      <c r="OVT124" s="67"/>
      <c r="OVU124" s="67"/>
      <c r="OVV124" s="67"/>
      <c r="OVW124" s="67"/>
      <c r="OVX124" s="67"/>
      <c r="OVY124" s="67"/>
      <c r="OVZ124" s="67"/>
      <c r="OWA124" s="67"/>
      <c r="OWB124" s="67"/>
      <c r="OWC124" s="67"/>
      <c r="OWD124" s="67"/>
      <c r="OWE124" s="67"/>
      <c r="OWF124" s="67"/>
      <c r="OWG124" s="67"/>
      <c r="OWH124" s="67"/>
      <c r="OWI124" s="67"/>
      <c r="OWJ124" s="67"/>
      <c r="OWK124" s="67"/>
      <c r="OWL124" s="67"/>
      <c r="OWM124" s="67"/>
      <c r="OWN124" s="67"/>
      <c r="OWO124" s="67"/>
      <c r="OWP124" s="67"/>
      <c r="OWQ124" s="67"/>
      <c r="OWR124" s="67"/>
      <c r="OWS124" s="67"/>
      <c r="OWT124" s="67"/>
      <c r="OWU124" s="67"/>
      <c r="OWV124" s="67"/>
      <c r="OWW124" s="67"/>
      <c r="OWX124" s="67"/>
      <c r="OWY124" s="67"/>
      <c r="OWZ124" s="67"/>
      <c r="OXA124" s="67"/>
      <c r="OXB124" s="67"/>
      <c r="OXC124" s="67"/>
      <c r="OXD124" s="67"/>
      <c r="OXE124" s="67"/>
      <c r="OXF124" s="67"/>
      <c r="OXG124" s="67"/>
      <c r="OXH124" s="67"/>
      <c r="OXI124" s="67"/>
      <c r="OXJ124" s="67"/>
      <c r="OXK124" s="67"/>
      <c r="OXL124" s="67"/>
      <c r="OXM124" s="67"/>
      <c r="OXN124" s="67"/>
      <c r="OXO124" s="67"/>
      <c r="OXP124" s="67"/>
      <c r="OXQ124" s="67"/>
      <c r="OXR124" s="67"/>
      <c r="OXS124" s="67"/>
      <c r="OXT124" s="67"/>
      <c r="OXU124" s="67"/>
      <c r="OXV124" s="67"/>
      <c r="OXW124" s="67"/>
      <c r="OXX124" s="67"/>
      <c r="OXY124" s="67"/>
      <c r="OXZ124" s="67"/>
      <c r="OYA124" s="67"/>
      <c r="OYB124" s="67"/>
      <c r="OYC124" s="67"/>
      <c r="OYD124" s="67"/>
      <c r="OYE124" s="67"/>
      <c r="OYF124" s="67"/>
      <c r="OYG124" s="67"/>
      <c r="OYH124" s="67"/>
      <c r="OYI124" s="67"/>
      <c r="OYJ124" s="67"/>
      <c r="OYK124" s="67"/>
      <c r="OYL124" s="67"/>
      <c r="OYM124" s="67"/>
      <c r="OYN124" s="67"/>
      <c r="OYO124" s="67"/>
      <c r="OYP124" s="67"/>
      <c r="OYQ124" s="67"/>
      <c r="OYR124" s="67"/>
      <c r="OYS124" s="67"/>
      <c r="OYT124" s="67"/>
      <c r="OYU124" s="67"/>
      <c r="OYV124" s="67"/>
      <c r="OYW124" s="67"/>
      <c r="OYX124" s="67"/>
      <c r="OYY124" s="67"/>
      <c r="OYZ124" s="67"/>
      <c r="OZA124" s="67"/>
      <c r="OZB124" s="67"/>
      <c r="OZC124" s="67"/>
      <c r="OZD124" s="67"/>
      <c r="OZE124" s="67"/>
      <c r="OZF124" s="67"/>
      <c r="OZG124" s="67"/>
      <c r="OZH124" s="67"/>
      <c r="OZI124" s="67"/>
      <c r="OZJ124" s="67"/>
      <c r="OZK124" s="67"/>
      <c r="OZL124" s="67"/>
      <c r="OZM124" s="67"/>
      <c r="OZN124" s="67"/>
      <c r="OZO124" s="67"/>
      <c r="OZP124" s="67"/>
      <c r="OZQ124" s="67"/>
      <c r="OZR124" s="67"/>
      <c r="OZS124" s="67"/>
      <c r="OZT124" s="67"/>
      <c r="OZU124" s="67"/>
      <c r="OZV124" s="67"/>
      <c r="OZW124" s="67"/>
      <c r="OZX124" s="67"/>
      <c r="OZY124" s="67"/>
      <c r="OZZ124" s="67"/>
      <c r="PAA124" s="67"/>
      <c r="PAB124" s="67"/>
      <c r="PAC124" s="67"/>
      <c r="PAD124" s="67"/>
      <c r="PAE124" s="67"/>
      <c r="PAF124" s="67"/>
      <c r="PAG124" s="67"/>
      <c r="PAH124" s="67"/>
      <c r="PAI124" s="67"/>
      <c r="PAJ124" s="67"/>
      <c r="PAK124" s="67"/>
      <c r="PAL124" s="67"/>
      <c r="PAM124" s="67"/>
      <c r="PAN124" s="67"/>
      <c r="PAO124" s="67"/>
      <c r="PAP124" s="67"/>
      <c r="PAQ124" s="67"/>
      <c r="PAR124" s="67"/>
      <c r="PAS124" s="67"/>
      <c r="PAT124" s="67"/>
      <c r="PAU124" s="67"/>
      <c r="PAV124" s="67"/>
      <c r="PAW124" s="67"/>
      <c r="PAX124" s="67"/>
      <c r="PAY124" s="67"/>
      <c r="PAZ124" s="67"/>
      <c r="PBA124" s="67"/>
      <c r="PBB124" s="67"/>
      <c r="PBC124" s="67"/>
      <c r="PBD124" s="67"/>
      <c r="PBE124" s="67"/>
      <c r="PBF124" s="67"/>
      <c r="PBG124" s="67"/>
      <c r="PBH124" s="67"/>
      <c r="PBI124" s="67"/>
      <c r="PBJ124" s="67"/>
      <c r="PBK124" s="67"/>
      <c r="PBL124" s="67"/>
      <c r="PBM124" s="67"/>
      <c r="PBN124" s="67"/>
      <c r="PBO124" s="67"/>
      <c r="PBP124" s="67"/>
      <c r="PBQ124" s="67"/>
      <c r="PBR124" s="67"/>
      <c r="PBS124" s="67"/>
      <c r="PBT124" s="67"/>
      <c r="PBU124" s="67"/>
      <c r="PBV124" s="67"/>
      <c r="PBW124" s="67"/>
      <c r="PBX124" s="67"/>
      <c r="PBY124" s="67"/>
      <c r="PBZ124" s="67"/>
      <c r="PCA124" s="67"/>
      <c r="PCB124" s="67"/>
      <c r="PCC124" s="67"/>
      <c r="PCD124" s="67"/>
      <c r="PCE124" s="67"/>
      <c r="PCF124" s="67"/>
      <c r="PCG124" s="67"/>
      <c r="PCH124" s="67"/>
      <c r="PCI124" s="67"/>
      <c r="PCJ124" s="67"/>
      <c r="PCK124" s="67"/>
      <c r="PCL124" s="67"/>
      <c r="PCM124" s="67"/>
      <c r="PCN124" s="67"/>
      <c r="PCO124" s="67"/>
      <c r="PCP124" s="67"/>
      <c r="PCQ124" s="67"/>
      <c r="PCR124" s="67"/>
      <c r="PCS124" s="67"/>
      <c r="PCT124" s="67"/>
      <c r="PCU124" s="67"/>
      <c r="PCV124" s="67"/>
      <c r="PCW124" s="67"/>
      <c r="PCX124" s="67"/>
      <c r="PCY124" s="67"/>
      <c r="PCZ124" s="67"/>
      <c r="PDA124" s="67"/>
      <c r="PDB124" s="67"/>
      <c r="PDC124" s="67"/>
      <c r="PDD124" s="67"/>
      <c r="PDE124" s="67"/>
      <c r="PDF124" s="67"/>
      <c r="PDG124" s="67"/>
      <c r="PDH124" s="67"/>
      <c r="PDI124" s="67"/>
      <c r="PDJ124" s="67"/>
      <c r="PDK124" s="67"/>
      <c r="PDL124" s="67"/>
      <c r="PDM124" s="67"/>
      <c r="PDN124" s="67"/>
      <c r="PDO124" s="67"/>
      <c r="PDP124" s="67"/>
      <c r="PDQ124" s="67"/>
      <c r="PDR124" s="67"/>
      <c r="PDS124" s="67"/>
      <c r="PDT124" s="67"/>
      <c r="PDU124" s="67"/>
      <c r="PDV124" s="67"/>
      <c r="PDW124" s="67"/>
      <c r="PDX124" s="67"/>
      <c r="PDY124" s="67"/>
      <c r="PDZ124" s="67"/>
      <c r="PEA124" s="67"/>
      <c r="PEB124" s="67"/>
      <c r="PEC124" s="67"/>
      <c r="PED124" s="67"/>
      <c r="PEE124" s="67"/>
      <c r="PEF124" s="67"/>
      <c r="PEG124" s="67"/>
      <c r="PEH124" s="67"/>
      <c r="PEI124" s="67"/>
      <c r="PEJ124" s="67"/>
      <c r="PEK124" s="67"/>
      <c r="PEL124" s="67"/>
      <c r="PEM124" s="67"/>
      <c r="PEN124" s="67"/>
      <c r="PEO124" s="67"/>
      <c r="PEP124" s="67"/>
      <c r="PEQ124" s="67"/>
      <c r="PER124" s="67"/>
      <c r="PES124" s="67"/>
      <c r="PET124" s="67"/>
      <c r="PEU124" s="67"/>
      <c r="PEV124" s="67"/>
      <c r="PEW124" s="67"/>
      <c r="PEX124" s="67"/>
      <c r="PEY124" s="67"/>
      <c r="PEZ124" s="67"/>
      <c r="PFA124" s="67"/>
      <c r="PFB124" s="67"/>
      <c r="PFC124" s="67"/>
      <c r="PFD124" s="67"/>
      <c r="PFE124" s="67"/>
      <c r="PFF124" s="67"/>
      <c r="PFG124" s="67"/>
      <c r="PFH124" s="67"/>
      <c r="PFI124" s="67"/>
      <c r="PFJ124" s="67"/>
      <c r="PFK124" s="67"/>
      <c r="PFL124" s="67"/>
      <c r="PFM124" s="67"/>
      <c r="PFN124" s="67"/>
      <c r="PFO124" s="67"/>
      <c r="PFP124" s="67"/>
      <c r="PFQ124" s="67"/>
      <c r="PFR124" s="67"/>
      <c r="PFS124" s="67"/>
      <c r="PFT124" s="67"/>
      <c r="PFU124" s="67"/>
      <c r="PFV124" s="67"/>
      <c r="PFW124" s="67"/>
      <c r="PFX124" s="67"/>
      <c r="PFY124" s="67"/>
      <c r="PFZ124" s="67"/>
      <c r="PGA124" s="67"/>
      <c r="PGB124" s="67"/>
      <c r="PGC124" s="67"/>
      <c r="PGD124" s="67"/>
      <c r="PGE124" s="67"/>
      <c r="PGF124" s="67"/>
      <c r="PGG124" s="67"/>
      <c r="PGH124" s="67"/>
      <c r="PGI124" s="67"/>
      <c r="PGJ124" s="67"/>
      <c r="PGK124" s="67"/>
      <c r="PGL124" s="67"/>
      <c r="PGM124" s="67"/>
      <c r="PGN124" s="67"/>
      <c r="PGO124" s="67"/>
      <c r="PGP124" s="67"/>
      <c r="PGQ124" s="67"/>
      <c r="PGR124" s="67"/>
      <c r="PGS124" s="67"/>
      <c r="PGT124" s="67"/>
      <c r="PGU124" s="67"/>
      <c r="PGV124" s="67"/>
      <c r="PGW124" s="67"/>
      <c r="PGX124" s="67"/>
      <c r="PGY124" s="67"/>
      <c r="PGZ124" s="67"/>
      <c r="PHA124" s="67"/>
      <c r="PHB124" s="67"/>
      <c r="PHC124" s="67"/>
      <c r="PHD124" s="67"/>
      <c r="PHE124" s="67"/>
      <c r="PHF124" s="67"/>
      <c r="PHG124" s="67"/>
      <c r="PHH124" s="67"/>
      <c r="PHI124" s="67"/>
      <c r="PHJ124" s="67"/>
      <c r="PHK124" s="67"/>
      <c r="PHL124" s="67"/>
      <c r="PHM124" s="67"/>
      <c r="PHN124" s="67"/>
      <c r="PHO124" s="67"/>
      <c r="PHP124" s="67"/>
      <c r="PHQ124" s="67"/>
      <c r="PHR124" s="67"/>
      <c r="PHS124" s="67"/>
      <c r="PHT124" s="67"/>
      <c r="PHU124" s="67"/>
      <c r="PHV124" s="67"/>
      <c r="PHW124" s="67"/>
      <c r="PHX124" s="67"/>
      <c r="PHY124" s="67"/>
      <c r="PHZ124" s="67"/>
      <c r="PIA124" s="67"/>
      <c r="PIB124" s="67"/>
      <c r="PIC124" s="67"/>
      <c r="PID124" s="67"/>
      <c r="PIE124" s="67"/>
      <c r="PIF124" s="67"/>
      <c r="PIG124" s="67"/>
      <c r="PIH124" s="67"/>
      <c r="PII124" s="67"/>
      <c r="PIJ124" s="67"/>
      <c r="PIK124" s="67"/>
      <c r="PIL124" s="67"/>
      <c r="PIM124" s="67"/>
      <c r="PIN124" s="67"/>
      <c r="PIO124" s="67"/>
      <c r="PIP124" s="67"/>
      <c r="PIQ124" s="67"/>
      <c r="PIR124" s="67"/>
      <c r="PIS124" s="67"/>
      <c r="PIT124" s="67"/>
      <c r="PIU124" s="67"/>
      <c r="PIV124" s="67"/>
      <c r="PIW124" s="67"/>
      <c r="PIX124" s="67"/>
      <c r="PIY124" s="67"/>
      <c r="PIZ124" s="67"/>
      <c r="PJA124" s="67"/>
      <c r="PJB124" s="67"/>
      <c r="PJC124" s="67"/>
      <c r="PJD124" s="67"/>
      <c r="PJE124" s="67"/>
      <c r="PJF124" s="67"/>
      <c r="PJG124" s="67"/>
      <c r="PJH124" s="67"/>
      <c r="PJI124" s="67"/>
      <c r="PJJ124" s="67"/>
      <c r="PJK124" s="67"/>
      <c r="PJL124" s="67"/>
      <c r="PJM124" s="67"/>
      <c r="PJN124" s="67"/>
      <c r="PJO124" s="67"/>
      <c r="PJP124" s="67"/>
      <c r="PJQ124" s="67"/>
      <c r="PJR124" s="67"/>
      <c r="PJS124" s="67"/>
      <c r="PJT124" s="67"/>
      <c r="PJU124" s="67"/>
      <c r="PJV124" s="67"/>
      <c r="PJW124" s="67"/>
      <c r="PJX124" s="67"/>
      <c r="PJY124" s="67"/>
      <c r="PJZ124" s="67"/>
      <c r="PKA124" s="67"/>
      <c r="PKB124" s="67"/>
      <c r="PKC124" s="67"/>
      <c r="PKD124" s="67"/>
      <c r="PKE124" s="67"/>
      <c r="PKF124" s="67"/>
      <c r="PKG124" s="67"/>
      <c r="PKH124" s="67"/>
      <c r="PKI124" s="67"/>
      <c r="PKJ124" s="67"/>
      <c r="PKK124" s="67"/>
      <c r="PKL124" s="67"/>
      <c r="PKM124" s="67"/>
      <c r="PKN124" s="67"/>
      <c r="PKO124" s="67"/>
      <c r="PKP124" s="67"/>
      <c r="PKQ124" s="67"/>
      <c r="PKR124" s="67"/>
      <c r="PKS124" s="67"/>
      <c r="PKT124" s="67"/>
      <c r="PKU124" s="67"/>
      <c r="PKV124" s="67"/>
      <c r="PKW124" s="67"/>
      <c r="PKX124" s="67"/>
      <c r="PKY124" s="67"/>
      <c r="PKZ124" s="67"/>
      <c r="PLA124" s="67"/>
      <c r="PLB124" s="67"/>
      <c r="PLC124" s="67"/>
      <c r="PLD124" s="67"/>
      <c r="PLE124" s="67"/>
      <c r="PLF124" s="67"/>
      <c r="PLG124" s="67"/>
      <c r="PLH124" s="67"/>
      <c r="PLI124" s="67"/>
      <c r="PLJ124" s="67"/>
      <c r="PLK124" s="67"/>
      <c r="PLL124" s="67"/>
      <c r="PLM124" s="67"/>
      <c r="PLN124" s="67"/>
      <c r="PLO124" s="67"/>
      <c r="PLP124" s="67"/>
      <c r="PLQ124" s="67"/>
      <c r="PLR124" s="67"/>
      <c r="PLS124" s="67"/>
      <c r="PLT124" s="67"/>
      <c r="PLU124" s="67"/>
      <c r="PLV124" s="67"/>
      <c r="PLW124" s="67"/>
      <c r="PLX124" s="67"/>
      <c r="PLY124" s="67"/>
      <c r="PLZ124" s="67"/>
      <c r="PMA124" s="67"/>
      <c r="PMB124" s="67"/>
      <c r="PMC124" s="67"/>
      <c r="PMD124" s="67"/>
      <c r="PME124" s="67"/>
      <c r="PMF124" s="67"/>
      <c r="PMG124" s="67"/>
      <c r="PMH124" s="67"/>
      <c r="PMI124" s="67"/>
      <c r="PMJ124" s="67"/>
      <c r="PMK124" s="67"/>
      <c r="PML124" s="67"/>
      <c r="PMM124" s="67"/>
      <c r="PMN124" s="67"/>
      <c r="PMO124" s="67"/>
      <c r="PMP124" s="67"/>
      <c r="PMQ124" s="67"/>
      <c r="PMR124" s="67"/>
      <c r="PMS124" s="67"/>
      <c r="PMT124" s="67"/>
      <c r="PMU124" s="67"/>
      <c r="PMV124" s="67"/>
      <c r="PMW124" s="67"/>
      <c r="PMX124" s="67"/>
      <c r="PMY124" s="67"/>
      <c r="PMZ124" s="67"/>
      <c r="PNA124" s="67"/>
      <c r="PNB124" s="67"/>
      <c r="PNC124" s="67"/>
      <c r="PND124" s="67"/>
      <c r="PNE124" s="67"/>
      <c r="PNF124" s="67"/>
      <c r="PNG124" s="67"/>
      <c r="PNH124" s="67"/>
      <c r="PNI124" s="67"/>
      <c r="PNJ124" s="67"/>
      <c r="PNK124" s="67"/>
      <c r="PNL124" s="67"/>
      <c r="PNM124" s="67"/>
      <c r="PNN124" s="67"/>
      <c r="PNO124" s="67"/>
      <c r="PNP124" s="67"/>
      <c r="PNQ124" s="67"/>
      <c r="PNR124" s="67"/>
      <c r="PNS124" s="67"/>
      <c r="PNT124" s="67"/>
      <c r="PNU124" s="67"/>
      <c r="PNV124" s="67"/>
      <c r="PNW124" s="67"/>
      <c r="PNX124" s="67"/>
      <c r="PNY124" s="67"/>
      <c r="PNZ124" s="67"/>
      <c r="POA124" s="67"/>
      <c r="POB124" s="67"/>
      <c r="POC124" s="67"/>
      <c r="POD124" s="67"/>
      <c r="POE124" s="67"/>
      <c r="POF124" s="67"/>
      <c r="POG124" s="67"/>
      <c r="POH124" s="67"/>
      <c r="POI124" s="67"/>
      <c r="POJ124" s="67"/>
      <c r="POK124" s="67"/>
      <c r="POL124" s="67"/>
      <c r="POM124" s="67"/>
      <c r="PON124" s="67"/>
      <c r="POO124" s="67"/>
      <c r="POP124" s="67"/>
      <c r="POQ124" s="67"/>
      <c r="POR124" s="67"/>
      <c r="POS124" s="67"/>
      <c r="POT124" s="67"/>
      <c r="POU124" s="67"/>
      <c r="POV124" s="67"/>
      <c r="POW124" s="67"/>
      <c r="POX124" s="67"/>
      <c r="POY124" s="67"/>
      <c r="POZ124" s="67"/>
      <c r="PPA124" s="67"/>
      <c r="PPB124" s="67"/>
      <c r="PPC124" s="67"/>
      <c r="PPD124" s="67"/>
      <c r="PPE124" s="67"/>
      <c r="PPF124" s="67"/>
      <c r="PPG124" s="67"/>
      <c r="PPH124" s="67"/>
      <c r="PPI124" s="67"/>
      <c r="PPJ124" s="67"/>
      <c r="PPK124" s="67"/>
      <c r="PPL124" s="67"/>
      <c r="PPM124" s="67"/>
      <c r="PPN124" s="67"/>
      <c r="PPO124" s="67"/>
      <c r="PPP124" s="67"/>
      <c r="PPQ124" s="67"/>
      <c r="PPR124" s="67"/>
      <c r="PPS124" s="67"/>
      <c r="PPT124" s="67"/>
      <c r="PPU124" s="67"/>
      <c r="PPV124" s="67"/>
      <c r="PPW124" s="67"/>
      <c r="PPX124" s="67"/>
      <c r="PPY124" s="67"/>
      <c r="PPZ124" s="67"/>
      <c r="PQA124" s="67"/>
      <c r="PQB124" s="67"/>
      <c r="PQC124" s="67"/>
      <c r="PQD124" s="67"/>
      <c r="PQE124" s="67"/>
      <c r="PQF124" s="67"/>
      <c r="PQG124" s="67"/>
      <c r="PQH124" s="67"/>
      <c r="PQI124" s="67"/>
      <c r="PQJ124" s="67"/>
      <c r="PQK124" s="67"/>
      <c r="PQL124" s="67"/>
      <c r="PQM124" s="67"/>
      <c r="PQN124" s="67"/>
      <c r="PQO124" s="67"/>
      <c r="PQP124" s="67"/>
      <c r="PQQ124" s="67"/>
      <c r="PQR124" s="67"/>
      <c r="PQS124" s="67"/>
      <c r="PQT124" s="67"/>
      <c r="PQU124" s="67"/>
      <c r="PQV124" s="67"/>
      <c r="PQW124" s="67"/>
      <c r="PQX124" s="67"/>
      <c r="PQY124" s="67"/>
      <c r="PQZ124" s="67"/>
      <c r="PRA124" s="67"/>
      <c r="PRB124" s="67"/>
      <c r="PRC124" s="67"/>
      <c r="PRD124" s="67"/>
      <c r="PRE124" s="67"/>
      <c r="PRF124" s="67"/>
      <c r="PRG124" s="67"/>
      <c r="PRH124" s="67"/>
      <c r="PRI124" s="67"/>
      <c r="PRJ124" s="67"/>
      <c r="PRK124" s="67"/>
      <c r="PRL124" s="67"/>
      <c r="PRM124" s="67"/>
      <c r="PRN124" s="67"/>
      <c r="PRO124" s="67"/>
      <c r="PRP124" s="67"/>
      <c r="PRQ124" s="67"/>
      <c r="PRR124" s="67"/>
      <c r="PRS124" s="67"/>
      <c r="PRT124" s="67"/>
      <c r="PRU124" s="67"/>
      <c r="PRV124" s="67"/>
      <c r="PRW124" s="67"/>
      <c r="PRX124" s="67"/>
      <c r="PRY124" s="67"/>
      <c r="PRZ124" s="67"/>
      <c r="PSA124" s="67"/>
      <c r="PSB124" s="67"/>
      <c r="PSC124" s="67"/>
      <c r="PSD124" s="67"/>
      <c r="PSE124" s="67"/>
      <c r="PSF124" s="67"/>
      <c r="PSG124" s="67"/>
      <c r="PSH124" s="67"/>
      <c r="PSI124" s="67"/>
      <c r="PSJ124" s="67"/>
      <c r="PSK124" s="67"/>
      <c r="PSL124" s="67"/>
      <c r="PSM124" s="67"/>
      <c r="PSN124" s="67"/>
      <c r="PSO124" s="67"/>
      <c r="PSP124" s="67"/>
      <c r="PSQ124" s="67"/>
      <c r="PSR124" s="67"/>
      <c r="PSS124" s="67"/>
      <c r="PST124" s="67"/>
      <c r="PSU124" s="67"/>
      <c r="PSV124" s="67"/>
      <c r="PSW124" s="67"/>
      <c r="PSX124" s="67"/>
      <c r="PSY124" s="67"/>
      <c r="PSZ124" s="67"/>
      <c r="PTA124" s="67"/>
      <c r="PTB124" s="67"/>
      <c r="PTC124" s="67"/>
      <c r="PTD124" s="67"/>
      <c r="PTE124" s="67"/>
      <c r="PTF124" s="67"/>
      <c r="PTG124" s="67"/>
      <c r="PTH124" s="67"/>
      <c r="PTI124" s="67"/>
      <c r="PTJ124" s="67"/>
      <c r="PTK124" s="67"/>
      <c r="PTL124" s="67"/>
      <c r="PTM124" s="67"/>
      <c r="PTN124" s="67"/>
      <c r="PTO124" s="67"/>
      <c r="PTP124" s="67"/>
      <c r="PTQ124" s="67"/>
      <c r="PTR124" s="67"/>
      <c r="PTS124" s="67"/>
      <c r="PTT124" s="67"/>
      <c r="PTU124" s="67"/>
      <c r="PTV124" s="67"/>
      <c r="PTW124" s="67"/>
      <c r="PTX124" s="67"/>
      <c r="PTY124" s="67"/>
      <c r="PTZ124" s="67"/>
      <c r="PUA124" s="67"/>
      <c r="PUB124" s="67"/>
      <c r="PUC124" s="67"/>
      <c r="PUD124" s="67"/>
      <c r="PUE124" s="67"/>
      <c r="PUF124" s="67"/>
      <c r="PUG124" s="67"/>
      <c r="PUH124" s="67"/>
      <c r="PUI124" s="67"/>
      <c r="PUJ124" s="67"/>
      <c r="PUK124" s="67"/>
      <c r="PUL124" s="67"/>
      <c r="PUM124" s="67"/>
      <c r="PUN124" s="67"/>
      <c r="PUO124" s="67"/>
      <c r="PUP124" s="67"/>
      <c r="PUQ124" s="67"/>
      <c r="PUR124" s="67"/>
      <c r="PUS124" s="67"/>
      <c r="PUT124" s="67"/>
      <c r="PUU124" s="67"/>
      <c r="PUV124" s="67"/>
      <c r="PUW124" s="67"/>
      <c r="PUX124" s="67"/>
      <c r="PUY124" s="67"/>
      <c r="PUZ124" s="67"/>
      <c r="PVA124" s="67"/>
      <c r="PVB124" s="67"/>
      <c r="PVC124" s="67"/>
      <c r="PVD124" s="67"/>
      <c r="PVE124" s="67"/>
      <c r="PVF124" s="67"/>
      <c r="PVG124" s="67"/>
      <c r="PVH124" s="67"/>
      <c r="PVI124" s="67"/>
      <c r="PVJ124" s="67"/>
      <c r="PVK124" s="67"/>
      <c r="PVL124" s="67"/>
      <c r="PVM124" s="67"/>
      <c r="PVN124" s="67"/>
      <c r="PVO124" s="67"/>
      <c r="PVP124" s="67"/>
      <c r="PVQ124" s="67"/>
      <c r="PVR124" s="67"/>
      <c r="PVS124" s="67"/>
      <c r="PVT124" s="67"/>
      <c r="PVU124" s="67"/>
      <c r="PVV124" s="67"/>
      <c r="PVW124" s="67"/>
      <c r="PVX124" s="67"/>
      <c r="PVY124" s="67"/>
      <c r="PVZ124" s="67"/>
      <c r="PWA124" s="67"/>
      <c r="PWB124" s="67"/>
      <c r="PWC124" s="67"/>
      <c r="PWD124" s="67"/>
      <c r="PWE124" s="67"/>
      <c r="PWF124" s="67"/>
      <c r="PWG124" s="67"/>
      <c r="PWH124" s="67"/>
      <c r="PWI124" s="67"/>
      <c r="PWJ124" s="67"/>
      <c r="PWK124" s="67"/>
      <c r="PWL124" s="67"/>
      <c r="PWM124" s="67"/>
      <c r="PWN124" s="67"/>
      <c r="PWO124" s="67"/>
      <c r="PWP124" s="67"/>
      <c r="PWQ124" s="67"/>
      <c r="PWR124" s="67"/>
      <c r="PWS124" s="67"/>
      <c r="PWT124" s="67"/>
      <c r="PWU124" s="67"/>
      <c r="PWV124" s="67"/>
      <c r="PWW124" s="67"/>
      <c r="PWX124" s="67"/>
      <c r="PWY124" s="67"/>
      <c r="PWZ124" s="67"/>
      <c r="PXA124" s="67"/>
      <c r="PXB124" s="67"/>
      <c r="PXC124" s="67"/>
      <c r="PXD124" s="67"/>
      <c r="PXE124" s="67"/>
      <c r="PXF124" s="67"/>
      <c r="PXG124" s="67"/>
      <c r="PXH124" s="67"/>
      <c r="PXI124" s="67"/>
      <c r="PXJ124" s="67"/>
      <c r="PXK124" s="67"/>
      <c r="PXL124" s="67"/>
      <c r="PXM124" s="67"/>
      <c r="PXN124" s="67"/>
      <c r="PXO124" s="67"/>
      <c r="PXP124" s="67"/>
      <c r="PXQ124" s="67"/>
      <c r="PXR124" s="67"/>
      <c r="PXS124" s="67"/>
      <c r="PXT124" s="67"/>
      <c r="PXU124" s="67"/>
      <c r="PXV124" s="67"/>
      <c r="PXW124" s="67"/>
      <c r="PXX124" s="67"/>
      <c r="PXY124" s="67"/>
      <c r="PXZ124" s="67"/>
      <c r="PYA124" s="67"/>
      <c r="PYB124" s="67"/>
      <c r="PYC124" s="67"/>
      <c r="PYD124" s="67"/>
      <c r="PYE124" s="67"/>
      <c r="PYF124" s="67"/>
      <c r="PYG124" s="67"/>
      <c r="PYH124" s="67"/>
      <c r="PYI124" s="67"/>
      <c r="PYJ124" s="67"/>
      <c r="PYK124" s="67"/>
      <c r="PYL124" s="67"/>
      <c r="PYM124" s="67"/>
      <c r="PYN124" s="67"/>
      <c r="PYO124" s="67"/>
      <c r="PYP124" s="67"/>
      <c r="PYQ124" s="67"/>
      <c r="PYR124" s="67"/>
      <c r="PYS124" s="67"/>
      <c r="PYT124" s="67"/>
      <c r="PYU124" s="67"/>
      <c r="PYV124" s="67"/>
      <c r="PYW124" s="67"/>
      <c r="PYX124" s="67"/>
      <c r="PYY124" s="67"/>
      <c r="PYZ124" s="67"/>
      <c r="PZA124" s="67"/>
      <c r="PZB124" s="67"/>
      <c r="PZC124" s="67"/>
      <c r="PZD124" s="67"/>
      <c r="PZE124" s="67"/>
      <c r="PZF124" s="67"/>
      <c r="PZG124" s="67"/>
      <c r="PZH124" s="67"/>
      <c r="PZI124" s="67"/>
      <c r="PZJ124" s="67"/>
      <c r="PZK124" s="67"/>
      <c r="PZL124" s="67"/>
      <c r="PZM124" s="67"/>
      <c r="PZN124" s="67"/>
      <c r="PZO124" s="67"/>
      <c r="PZP124" s="67"/>
      <c r="PZQ124" s="67"/>
      <c r="PZR124" s="67"/>
      <c r="PZS124" s="67"/>
      <c r="PZT124" s="67"/>
      <c r="PZU124" s="67"/>
      <c r="PZV124" s="67"/>
      <c r="PZW124" s="67"/>
      <c r="PZX124" s="67"/>
      <c r="PZY124" s="67"/>
      <c r="PZZ124" s="67"/>
      <c r="QAA124" s="67"/>
      <c r="QAB124" s="67"/>
      <c r="QAC124" s="67"/>
      <c r="QAD124" s="67"/>
      <c r="QAE124" s="67"/>
      <c r="QAF124" s="67"/>
      <c r="QAG124" s="67"/>
      <c r="QAH124" s="67"/>
      <c r="QAI124" s="67"/>
      <c r="QAJ124" s="67"/>
      <c r="QAK124" s="67"/>
      <c r="QAL124" s="67"/>
      <c r="QAM124" s="67"/>
      <c r="QAN124" s="67"/>
      <c r="QAO124" s="67"/>
      <c r="QAP124" s="67"/>
      <c r="QAQ124" s="67"/>
      <c r="QAR124" s="67"/>
      <c r="QAS124" s="67"/>
      <c r="QAT124" s="67"/>
      <c r="QAU124" s="67"/>
      <c r="QAV124" s="67"/>
      <c r="QAW124" s="67"/>
      <c r="QAX124" s="67"/>
      <c r="QAY124" s="67"/>
      <c r="QAZ124" s="67"/>
      <c r="QBA124" s="67"/>
      <c r="QBB124" s="67"/>
      <c r="QBC124" s="67"/>
      <c r="QBD124" s="67"/>
      <c r="QBE124" s="67"/>
      <c r="QBF124" s="67"/>
      <c r="QBG124" s="67"/>
      <c r="QBH124" s="67"/>
      <c r="QBI124" s="67"/>
      <c r="QBJ124" s="67"/>
      <c r="QBK124" s="67"/>
      <c r="QBL124" s="67"/>
      <c r="QBM124" s="67"/>
      <c r="QBN124" s="67"/>
      <c r="QBO124" s="67"/>
      <c r="QBP124" s="67"/>
      <c r="QBQ124" s="67"/>
      <c r="QBR124" s="67"/>
      <c r="QBS124" s="67"/>
      <c r="QBT124" s="67"/>
      <c r="QBU124" s="67"/>
      <c r="QBV124" s="67"/>
      <c r="QBW124" s="67"/>
      <c r="QBX124" s="67"/>
      <c r="QBY124" s="67"/>
      <c r="QBZ124" s="67"/>
      <c r="QCA124" s="67"/>
      <c r="QCB124" s="67"/>
      <c r="QCC124" s="67"/>
      <c r="QCD124" s="67"/>
      <c r="QCE124" s="67"/>
      <c r="QCF124" s="67"/>
      <c r="QCG124" s="67"/>
      <c r="QCH124" s="67"/>
      <c r="QCI124" s="67"/>
      <c r="QCJ124" s="67"/>
      <c r="QCK124" s="67"/>
      <c r="QCL124" s="67"/>
      <c r="QCM124" s="67"/>
      <c r="QCN124" s="67"/>
      <c r="QCO124" s="67"/>
      <c r="QCP124" s="67"/>
      <c r="QCQ124" s="67"/>
      <c r="QCR124" s="67"/>
      <c r="QCS124" s="67"/>
      <c r="QCT124" s="67"/>
      <c r="QCU124" s="67"/>
      <c r="QCV124" s="67"/>
      <c r="QCW124" s="67"/>
      <c r="QCX124" s="67"/>
      <c r="QCY124" s="67"/>
      <c r="QCZ124" s="67"/>
      <c r="QDA124" s="67"/>
      <c r="QDB124" s="67"/>
      <c r="QDC124" s="67"/>
      <c r="QDD124" s="67"/>
      <c r="QDE124" s="67"/>
      <c r="QDF124" s="67"/>
      <c r="QDG124" s="67"/>
      <c r="QDH124" s="67"/>
      <c r="QDI124" s="67"/>
      <c r="QDJ124" s="67"/>
      <c r="QDK124" s="67"/>
      <c r="QDL124" s="67"/>
      <c r="QDM124" s="67"/>
      <c r="QDN124" s="67"/>
      <c r="QDO124" s="67"/>
      <c r="QDP124" s="67"/>
      <c r="QDQ124" s="67"/>
      <c r="QDR124" s="67"/>
      <c r="QDS124" s="67"/>
      <c r="QDT124" s="67"/>
      <c r="QDU124" s="67"/>
      <c r="QDV124" s="67"/>
      <c r="QDW124" s="67"/>
      <c r="QDX124" s="67"/>
      <c r="QDY124" s="67"/>
      <c r="QDZ124" s="67"/>
      <c r="QEA124" s="67"/>
      <c r="QEB124" s="67"/>
      <c r="QEC124" s="67"/>
      <c r="QED124" s="67"/>
      <c r="QEE124" s="67"/>
      <c r="QEF124" s="67"/>
      <c r="QEG124" s="67"/>
      <c r="QEH124" s="67"/>
      <c r="QEI124" s="67"/>
      <c r="QEJ124" s="67"/>
      <c r="QEK124" s="67"/>
      <c r="QEL124" s="67"/>
      <c r="QEM124" s="67"/>
      <c r="QEN124" s="67"/>
      <c r="QEO124" s="67"/>
      <c r="QEP124" s="67"/>
      <c r="QEQ124" s="67"/>
      <c r="QER124" s="67"/>
      <c r="QES124" s="67"/>
      <c r="QET124" s="67"/>
      <c r="QEU124" s="67"/>
      <c r="QEV124" s="67"/>
      <c r="QEW124" s="67"/>
      <c r="QEX124" s="67"/>
      <c r="QEY124" s="67"/>
      <c r="QEZ124" s="67"/>
      <c r="QFA124" s="67"/>
      <c r="QFB124" s="67"/>
      <c r="QFC124" s="67"/>
      <c r="QFD124" s="67"/>
      <c r="QFE124" s="67"/>
      <c r="QFF124" s="67"/>
      <c r="QFG124" s="67"/>
      <c r="QFH124" s="67"/>
      <c r="QFI124" s="67"/>
      <c r="QFJ124" s="67"/>
      <c r="QFK124" s="67"/>
      <c r="QFL124" s="67"/>
      <c r="QFM124" s="67"/>
      <c r="QFN124" s="67"/>
      <c r="QFO124" s="67"/>
      <c r="QFP124" s="67"/>
      <c r="QFQ124" s="67"/>
      <c r="QFR124" s="67"/>
      <c r="QFS124" s="67"/>
      <c r="QFT124" s="67"/>
      <c r="QFU124" s="67"/>
      <c r="QFV124" s="67"/>
      <c r="QFW124" s="67"/>
      <c r="QFX124" s="67"/>
      <c r="QFY124" s="67"/>
      <c r="QFZ124" s="67"/>
      <c r="QGA124" s="67"/>
      <c r="QGB124" s="67"/>
      <c r="QGC124" s="67"/>
      <c r="QGD124" s="67"/>
      <c r="QGE124" s="67"/>
      <c r="QGF124" s="67"/>
      <c r="QGG124" s="67"/>
      <c r="QGH124" s="67"/>
      <c r="QGI124" s="67"/>
      <c r="QGJ124" s="67"/>
      <c r="QGK124" s="67"/>
      <c r="QGL124" s="67"/>
      <c r="QGM124" s="67"/>
      <c r="QGN124" s="67"/>
      <c r="QGO124" s="67"/>
      <c r="QGP124" s="67"/>
      <c r="QGQ124" s="67"/>
      <c r="QGR124" s="67"/>
      <c r="QGS124" s="67"/>
      <c r="QGT124" s="67"/>
      <c r="QGU124" s="67"/>
      <c r="QGV124" s="67"/>
      <c r="QGW124" s="67"/>
      <c r="QGX124" s="67"/>
      <c r="QGY124" s="67"/>
      <c r="QGZ124" s="67"/>
      <c r="QHA124" s="67"/>
      <c r="QHB124" s="67"/>
      <c r="QHC124" s="67"/>
      <c r="QHD124" s="67"/>
      <c r="QHE124" s="67"/>
      <c r="QHF124" s="67"/>
      <c r="QHG124" s="67"/>
      <c r="QHH124" s="67"/>
      <c r="QHI124" s="67"/>
      <c r="QHJ124" s="67"/>
      <c r="QHK124" s="67"/>
      <c r="QHL124" s="67"/>
      <c r="QHM124" s="67"/>
      <c r="QHN124" s="67"/>
      <c r="QHO124" s="67"/>
      <c r="QHP124" s="67"/>
      <c r="QHQ124" s="67"/>
      <c r="QHR124" s="67"/>
      <c r="QHS124" s="67"/>
      <c r="QHT124" s="67"/>
      <c r="QHU124" s="67"/>
      <c r="QHV124" s="67"/>
      <c r="QHW124" s="67"/>
      <c r="QHX124" s="67"/>
      <c r="QHY124" s="67"/>
      <c r="QHZ124" s="67"/>
      <c r="QIA124" s="67"/>
      <c r="QIB124" s="67"/>
      <c r="QIC124" s="67"/>
      <c r="QID124" s="67"/>
      <c r="QIE124" s="67"/>
      <c r="QIF124" s="67"/>
      <c r="QIG124" s="67"/>
      <c r="QIH124" s="67"/>
      <c r="QII124" s="67"/>
      <c r="QIJ124" s="67"/>
      <c r="QIK124" s="67"/>
      <c r="QIL124" s="67"/>
      <c r="QIM124" s="67"/>
      <c r="QIN124" s="67"/>
      <c r="QIO124" s="67"/>
      <c r="QIP124" s="67"/>
      <c r="QIQ124" s="67"/>
      <c r="QIR124" s="67"/>
      <c r="QIS124" s="67"/>
      <c r="QIT124" s="67"/>
      <c r="QIU124" s="67"/>
      <c r="QIV124" s="67"/>
      <c r="QIW124" s="67"/>
      <c r="QIX124" s="67"/>
      <c r="QIY124" s="67"/>
      <c r="QIZ124" s="67"/>
      <c r="QJA124" s="67"/>
      <c r="QJB124" s="67"/>
      <c r="QJC124" s="67"/>
      <c r="QJD124" s="67"/>
      <c r="QJE124" s="67"/>
      <c r="QJF124" s="67"/>
      <c r="QJG124" s="67"/>
      <c r="QJH124" s="67"/>
      <c r="QJI124" s="67"/>
      <c r="QJJ124" s="67"/>
      <c r="QJK124" s="67"/>
      <c r="QJL124" s="67"/>
      <c r="QJM124" s="67"/>
      <c r="QJN124" s="67"/>
      <c r="QJO124" s="67"/>
      <c r="QJP124" s="67"/>
      <c r="QJQ124" s="67"/>
      <c r="QJR124" s="67"/>
      <c r="QJS124" s="67"/>
      <c r="QJT124" s="67"/>
      <c r="QJU124" s="67"/>
      <c r="QJV124" s="67"/>
      <c r="QJW124" s="67"/>
      <c r="QJX124" s="67"/>
      <c r="QJY124" s="67"/>
      <c r="QJZ124" s="67"/>
      <c r="QKA124" s="67"/>
      <c r="QKB124" s="67"/>
      <c r="QKC124" s="67"/>
      <c r="QKD124" s="67"/>
      <c r="QKE124" s="67"/>
      <c r="QKF124" s="67"/>
      <c r="QKG124" s="67"/>
      <c r="QKH124" s="67"/>
      <c r="QKI124" s="67"/>
      <c r="QKJ124" s="67"/>
      <c r="QKK124" s="67"/>
      <c r="QKL124" s="67"/>
      <c r="QKM124" s="67"/>
      <c r="QKN124" s="67"/>
      <c r="QKO124" s="67"/>
      <c r="QKP124" s="67"/>
      <c r="QKQ124" s="67"/>
      <c r="QKR124" s="67"/>
      <c r="QKS124" s="67"/>
      <c r="QKT124" s="67"/>
      <c r="QKU124" s="67"/>
      <c r="QKV124" s="67"/>
      <c r="QKW124" s="67"/>
      <c r="QKX124" s="67"/>
      <c r="QKY124" s="67"/>
      <c r="QKZ124" s="67"/>
      <c r="QLA124" s="67"/>
      <c r="QLB124" s="67"/>
      <c r="QLC124" s="67"/>
      <c r="QLD124" s="67"/>
      <c r="QLE124" s="67"/>
      <c r="QLF124" s="67"/>
      <c r="QLG124" s="67"/>
      <c r="QLH124" s="67"/>
      <c r="QLI124" s="67"/>
      <c r="QLJ124" s="67"/>
      <c r="QLK124" s="67"/>
      <c r="QLL124" s="67"/>
      <c r="QLM124" s="67"/>
      <c r="QLN124" s="67"/>
      <c r="QLO124" s="67"/>
      <c r="QLP124" s="67"/>
      <c r="QLQ124" s="67"/>
      <c r="QLR124" s="67"/>
      <c r="QLS124" s="67"/>
      <c r="QLT124" s="67"/>
      <c r="QLU124" s="67"/>
      <c r="QLV124" s="67"/>
      <c r="QLW124" s="67"/>
      <c r="QLX124" s="67"/>
      <c r="QLY124" s="67"/>
      <c r="QLZ124" s="67"/>
      <c r="QMA124" s="67"/>
      <c r="QMB124" s="67"/>
      <c r="QMC124" s="67"/>
      <c r="QMD124" s="67"/>
      <c r="QME124" s="67"/>
      <c r="QMF124" s="67"/>
      <c r="QMG124" s="67"/>
      <c r="QMH124" s="67"/>
      <c r="QMI124" s="67"/>
      <c r="QMJ124" s="67"/>
      <c r="QMK124" s="67"/>
      <c r="QML124" s="67"/>
      <c r="QMM124" s="67"/>
      <c r="QMN124" s="67"/>
      <c r="QMO124" s="67"/>
      <c r="QMP124" s="67"/>
      <c r="QMQ124" s="67"/>
      <c r="QMR124" s="67"/>
      <c r="QMS124" s="67"/>
      <c r="QMT124" s="67"/>
      <c r="QMU124" s="67"/>
      <c r="QMV124" s="67"/>
      <c r="QMW124" s="67"/>
      <c r="QMX124" s="67"/>
      <c r="QMY124" s="67"/>
      <c r="QMZ124" s="67"/>
      <c r="QNA124" s="67"/>
      <c r="QNB124" s="67"/>
      <c r="QNC124" s="67"/>
      <c r="QND124" s="67"/>
      <c r="QNE124" s="67"/>
      <c r="QNF124" s="67"/>
      <c r="QNG124" s="67"/>
      <c r="QNH124" s="67"/>
      <c r="QNI124" s="67"/>
      <c r="QNJ124" s="67"/>
      <c r="QNK124" s="67"/>
      <c r="QNL124" s="67"/>
      <c r="QNM124" s="67"/>
      <c r="QNN124" s="67"/>
      <c r="QNO124" s="67"/>
      <c r="QNP124" s="67"/>
      <c r="QNQ124" s="67"/>
      <c r="QNR124" s="67"/>
      <c r="QNS124" s="67"/>
      <c r="QNT124" s="67"/>
      <c r="QNU124" s="67"/>
      <c r="QNV124" s="67"/>
      <c r="QNW124" s="67"/>
      <c r="QNX124" s="67"/>
      <c r="QNY124" s="67"/>
      <c r="QNZ124" s="67"/>
      <c r="QOA124" s="67"/>
      <c r="QOB124" s="67"/>
      <c r="QOC124" s="67"/>
      <c r="QOD124" s="67"/>
      <c r="QOE124" s="67"/>
      <c r="QOF124" s="67"/>
      <c r="QOG124" s="67"/>
      <c r="QOH124" s="67"/>
      <c r="QOI124" s="67"/>
      <c r="QOJ124" s="67"/>
      <c r="QOK124" s="67"/>
      <c r="QOL124" s="67"/>
      <c r="QOM124" s="67"/>
      <c r="QON124" s="67"/>
      <c r="QOO124" s="67"/>
      <c r="QOP124" s="67"/>
      <c r="QOQ124" s="67"/>
      <c r="QOR124" s="67"/>
      <c r="QOS124" s="67"/>
      <c r="QOT124" s="67"/>
      <c r="QOU124" s="67"/>
      <c r="QOV124" s="67"/>
      <c r="QOW124" s="67"/>
      <c r="QOX124" s="67"/>
      <c r="QOY124" s="67"/>
      <c r="QOZ124" s="67"/>
      <c r="QPA124" s="67"/>
      <c r="QPB124" s="67"/>
      <c r="QPC124" s="67"/>
      <c r="QPD124" s="67"/>
      <c r="QPE124" s="67"/>
      <c r="QPF124" s="67"/>
      <c r="QPG124" s="67"/>
      <c r="QPH124" s="67"/>
      <c r="QPI124" s="67"/>
      <c r="QPJ124" s="67"/>
      <c r="QPK124" s="67"/>
      <c r="QPL124" s="67"/>
      <c r="QPM124" s="67"/>
      <c r="QPN124" s="67"/>
      <c r="QPO124" s="67"/>
      <c r="QPP124" s="67"/>
      <c r="QPQ124" s="67"/>
      <c r="QPR124" s="67"/>
      <c r="QPS124" s="67"/>
      <c r="QPT124" s="67"/>
      <c r="QPU124" s="67"/>
      <c r="QPV124" s="67"/>
      <c r="QPW124" s="67"/>
      <c r="QPX124" s="67"/>
      <c r="QPY124" s="67"/>
      <c r="QPZ124" s="67"/>
      <c r="QQA124" s="67"/>
      <c r="QQB124" s="67"/>
      <c r="QQC124" s="67"/>
      <c r="QQD124" s="67"/>
      <c r="QQE124" s="67"/>
      <c r="QQF124" s="67"/>
      <c r="QQG124" s="67"/>
      <c r="QQH124" s="67"/>
      <c r="QQI124" s="67"/>
      <c r="QQJ124" s="67"/>
      <c r="QQK124" s="67"/>
      <c r="QQL124" s="67"/>
      <c r="QQM124" s="67"/>
      <c r="QQN124" s="67"/>
      <c r="QQO124" s="67"/>
      <c r="QQP124" s="67"/>
      <c r="QQQ124" s="67"/>
      <c r="QQR124" s="67"/>
      <c r="QQS124" s="67"/>
      <c r="QQT124" s="67"/>
      <c r="QQU124" s="67"/>
      <c r="QQV124" s="67"/>
      <c r="QQW124" s="67"/>
      <c r="QQX124" s="67"/>
      <c r="QQY124" s="67"/>
      <c r="QQZ124" s="67"/>
      <c r="QRA124" s="67"/>
      <c r="QRB124" s="67"/>
      <c r="QRC124" s="67"/>
      <c r="QRD124" s="67"/>
      <c r="QRE124" s="67"/>
      <c r="QRF124" s="67"/>
      <c r="QRG124" s="67"/>
      <c r="QRH124" s="67"/>
      <c r="QRI124" s="67"/>
      <c r="QRJ124" s="67"/>
      <c r="QRK124" s="67"/>
      <c r="QRL124" s="67"/>
      <c r="QRM124" s="67"/>
      <c r="QRN124" s="67"/>
      <c r="QRO124" s="67"/>
      <c r="QRP124" s="67"/>
      <c r="QRQ124" s="67"/>
      <c r="QRR124" s="67"/>
      <c r="QRS124" s="67"/>
      <c r="QRT124" s="67"/>
      <c r="QRU124" s="67"/>
      <c r="QRV124" s="67"/>
      <c r="QRW124" s="67"/>
      <c r="QRX124" s="67"/>
      <c r="QRY124" s="67"/>
      <c r="QRZ124" s="67"/>
      <c r="QSA124" s="67"/>
      <c r="QSB124" s="67"/>
      <c r="QSC124" s="67"/>
      <c r="QSD124" s="67"/>
      <c r="QSE124" s="67"/>
      <c r="QSF124" s="67"/>
      <c r="QSG124" s="67"/>
      <c r="QSH124" s="67"/>
      <c r="QSI124" s="67"/>
      <c r="QSJ124" s="67"/>
      <c r="QSK124" s="67"/>
      <c r="QSL124" s="67"/>
      <c r="QSM124" s="67"/>
      <c r="QSN124" s="67"/>
      <c r="QSO124" s="67"/>
      <c r="QSP124" s="67"/>
      <c r="QSQ124" s="67"/>
      <c r="QSR124" s="67"/>
      <c r="QSS124" s="67"/>
      <c r="QST124" s="67"/>
      <c r="QSU124" s="67"/>
      <c r="QSV124" s="67"/>
      <c r="QSW124" s="67"/>
      <c r="QSX124" s="67"/>
      <c r="QSY124" s="67"/>
      <c r="QSZ124" s="67"/>
      <c r="QTA124" s="67"/>
      <c r="QTB124" s="67"/>
      <c r="QTC124" s="67"/>
      <c r="QTD124" s="67"/>
      <c r="QTE124" s="67"/>
      <c r="QTF124" s="67"/>
      <c r="QTG124" s="67"/>
      <c r="QTH124" s="67"/>
      <c r="QTI124" s="67"/>
      <c r="QTJ124" s="67"/>
      <c r="QTK124" s="67"/>
      <c r="QTL124" s="67"/>
      <c r="QTM124" s="67"/>
      <c r="QTN124" s="67"/>
      <c r="QTO124" s="67"/>
      <c r="QTP124" s="67"/>
      <c r="QTQ124" s="67"/>
      <c r="QTR124" s="67"/>
      <c r="QTS124" s="67"/>
      <c r="QTT124" s="67"/>
      <c r="QTU124" s="67"/>
      <c r="QTV124" s="67"/>
      <c r="QTW124" s="67"/>
      <c r="QTX124" s="67"/>
      <c r="QTY124" s="67"/>
      <c r="QTZ124" s="67"/>
      <c r="QUA124" s="67"/>
      <c r="QUB124" s="67"/>
      <c r="QUC124" s="67"/>
      <c r="QUD124" s="67"/>
      <c r="QUE124" s="67"/>
      <c r="QUF124" s="67"/>
      <c r="QUG124" s="67"/>
      <c r="QUH124" s="67"/>
      <c r="QUI124" s="67"/>
      <c r="QUJ124" s="67"/>
      <c r="QUK124" s="67"/>
      <c r="QUL124" s="67"/>
      <c r="QUM124" s="67"/>
      <c r="QUN124" s="67"/>
      <c r="QUO124" s="67"/>
      <c r="QUP124" s="67"/>
      <c r="QUQ124" s="67"/>
      <c r="QUR124" s="67"/>
      <c r="QUS124" s="67"/>
      <c r="QUT124" s="67"/>
      <c r="QUU124" s="67"/>
      <c r="QUV124" s="67"/>
      <c r="QUW124" s="67"/>
      <c r="QUX124" s="67"/>
      <c r="QUY124" s="67"/>
      <c r="QUZ124" s="67"/>
      <c r="QVA124" s="67"/>
      <c r="QVB124" s="67"/>
      <c r="QVC124" s="67"/>
      <c r="QVD124" s="67"/>
      <c r="QVE124" s="67"/>
      <c r="QVF124" s="67"/>
      <c r="QVG124" s="67"/>
      <c r="QVH124" s="67"/>
      <c r="QVI124" s="67"/>
      <c r="QVJ124" s="67"/>
      <c r="QVK124" s="67"/>
      <c r="QVL124" s="67"/>
      <c r="QVM124" s="67"/>
      <c r="QVN124" s="67"/>
      <c r="QVO124" s="67"/>
      <c r="QVP124" s="67"/>
      <c r="QVQ124" s="67"/>
      <c r="QVR124" s="67"/>
      <c r="QVS124" s="67"/>
      <c r="QVT124" s="67"/>
      <c r="QVU124" s="67"/>
      <c r="QVV124" s="67"/>
      <c r="QVW124" s="67"/>
      <c r="QVX124" s="67"/>
      <c r="QVY124" s="67"/>
      <c r="QVZ124" s="67"/>
      <c r="QWA124" s="67"/>
      <c r="QWB124" s="67"/>
      <c r="QWC124" s="67"/>
      <c r="QWD124" s="67"/>
      <c r="QWE124" s="67"/>
      <c r="QWF124" s="67"/>
      <c r="QWG124" s="67"/>
      <c r="QWH124" s="67"/>
      <c r="QWI124" s="67"/>
      <c r="QWJ124" s="67"/>
      <c r="QWK124" s="67"/>
      <c r="QWL124" s="67"/>
      <c r="QWM124" s="67"/>
      <c r="QWN124" s="67"/>
      <c r="QWO124" s="67"/>
      <c r="QWP124" s="67"/>
      <c r="QWQ124" s="67"/>
      <c r="QWR124" s="67"/>
      <c r="QWS124" s="67"/>
      <c r="QWT124" s="67"/>
      <c r="QWU124" s="67"/>
      <c r="QWV124" s="67"/>
      <c r="QWW124" s="67"/>
      <c r="QWX124" s="67"/>
      <c r="QWY124" s="67"/>
      <c r="QWZ124" s="67"/>
      <c r="QXA124" s="67"/>
      <c r="QXB124" s="67"/>
      <c r="QXC124" s="67"/>
      <c r="QXD124" s="67"/>
      <c r="QXE124" s="67"/>
      <c r="QXF124" s="67"/>
      <c r="QXG124" s="67"/>
      <c r="QXH124" s="67"/>
      <c r="QXI124" s="67"/>
      <c r="QXJ124" s="67"/>
      <c r="QXK124" s="67"/>
      <c r="QXL124" s="67"/>
      <c r="QXM124" s="67"/>
      <c r="QXN124" s="67"/>
      <c r="QXO124" s="67"/>
      <c r="QXP124" s="67"/>
      <c r="QXQ124" s="67"/>
      <c r="QXR124" s="67"/>
      <c r="QXS124" s="67"/>
      <c r="QXT124" s="67"/>
      <c r="QXU124" s="67"/>
      <c r="QXV124" s="67"/>
      <c r="QXW124" s="67"/>
      <c r="QXX124" s="67"/>
      <c r="QXY124" s="67"/>
      <c r="QXZ124" s="67"/>
      <c r="QYA124" s="67"/>
      <c r="QYB124" s="67"/>
      <c r="QYC124" s="67"/>
      <c r="QYD124" s="67"/>
      <c r="QYE124" s="67"/>
      <c r="QYF124" s="67"/>
      <c r="QYG124" s="67"/>
      <c r="QYH124" s="67"/>
      <c r="QYI124" s="67"/>
      <c r="QYJ124" s="67"/>
      <c r="QYK124" s="67"/>
      <c r="QYL124" s="67"/>
      <c r="QYM124" s="67"/>
      <c r="QYN124" s="67"/>
      <c r="QYO124" s="67"/>
      <c r="QYP124" s="67"/>
      <c r="QYQ124" s="67"/>
      <c r="QYR124" s="67"/>
      <c r="QYS124" s="67"/>
      <c r="QYT124" s="67"/>
      <c r="QYU124" s="67"/>
      <c r="QYV124" s="67"/>
      <c r="QYW124" s="67"/>
      <c r="QYX124" s="67"/>
      <c r="QYY124" s="67"/>
      <c r="QYZ124" s="67"/>
      <c r="QZA124" s="67"/>
      <c r="QZB124" s="67"/>
      <c r="QZC124" s="67"/>
      <c r="QZD124" s="67"/>
      <c r="QZE124" s="67"/>
      <c r="QZF124" s="67"/>
      <c r="QZG124" s="67"/>
      <c r="QZH124" s="67"/>
      <c r="QZI124" s="67"/>
      <c r="QZJ124" s="67"/>
      <c r="QZK124" s="67"/>
      <c r="QZL124" s="67"/>
      <c r="QZM124" s="67"/>
      <c r="QZN124" s="67"/>
      <c r="QZO124" s="67"/>
      <c r="QZP124" s="67"/>
      <c r="QZQ124" s="67"/>
      <c r="QZR124" s="67"/>
      <c r="QZS124" s="67"/>
      <c r="QZT124" s="67"/>
      <c r="QZU124" s="67"/>
      <c r="QZV124" s="67"/>
      <c r="QZW124" s="67"/>
      <c r="QZX124" s="67"/>
      <c r="QZY124" s="67"/>
      <c r="QZZ124" s="67"/>
      <c r="RAA124" s="67"/>
      <c r="RAB124" s="67"/>
      <c r="RAC124" s="67"/>
      <c r="RAD124" s="67"/>
      <c r="RAE124" s="67"/>
      <c r="RAF124" s="67"/>
      <c r="RAG124" s="67"/>
      <c r="RAH124" s="67"/>
      <c r="RAI124" s="67"/>
      <c r="RAJ124" s="67"/>
      <c r="RAK124" s="67"/>
      <c r="RAL124" s="67"/>
      <c r="RAM124" s="67"/>
      <c r="RAN124" s="67"/>
      <c r="RAO124" s="67"/>
      <c r="RAP124" s="67"/>
      <c r="RAQ124" s="67"/>
      <c r="RAR124" s="67"/>
      <c r="RAS124" s="67"/>
      <c r="RAT124" s="67"/>
      <c r="RAU124" s="67"/>
      <c r="RAV124" s="67"/>
      <c r="RAW124" s="67"/>
      <c r="RAX124" s="67"/>
      <c r="RAY124" s="67"/>
      <c r="RAZ124" s="67"/>
      <c r="RBA124" s="67"/>
      <c r="RBB124" s="67"/>
      <c r="RBC124" s="67"/>
      <c r="RBD124" s="67"/>
      <c r="RBE124" s="67"/>
      <c r="RBF124" s="67"/>
      <c r="RBG124" s="67"/>
      <c r="RBH124" s="67"/>
      <c r="RBI124" s="67"/>
      <c r="RBJ124" s="67"/>
      <c r="RBK124" s="67"/>
      <c r="RBL124" s="67"/>
      <c r="RBM124" s="67"/>
      <c r="RBN124" s="67"/>
      <c r="RBO124" s="67"/>
      <c r="RBP124" s="67"/>
      <c r="RBQ124" s="67"/>
      <c r="RBR124" s="67"/>
      <c r="RBS124" s="67"/>
      <c r="RBT124" s="67"/>
      <c r="RBU124" s="67"/>
      <c r="RBV124" s="67"/>
      <c r="RBW124" s="67"/>
      <c r="RBX124" s="67"/>
      <c r="RBY124" s="67"/>
      <c r="RBZ124" s="67"/>
      <c r="RCA124" s="67"/>
      <c r="RCB124" s="67"/>
      <c r="RCC124" s="67"/>
      <c r="RCD124" s="67"/>
      <c r="RCE124" s="67"/>
      <c r="RCF124" s="67"/>
      <c r="RCG124" s="67"/>
      <c r="RCH124" s="67"/>
      <c r="RCI124" s="67"/>
      <c r="RCJ124" s="67"/>
      <c r="RCK124" s="67"/>
      <c r="RCL124" s="67"/>
      <c r="RCM124" s="67"/>
      <c r="RCN124" s="67"/>
      <c r="RCO124" s="67"/>
      <c r="RCP124" s="67"/>
      <c r="RCQ124" s="67"/>
      <c r="RCR124" s="67"/>
      <c r="RCS124" s="67"/>
      <c r="RCT124" s="67"/>
      <c r="RCU124" s="67"/>
      <c r="RCV124" s="67"/>
      <c r="RCW124" s="67"/>
      <c r="RCX124" s="67"/>
      <c r="RCY124" s="67"/>
      <c r="RCZ124" s="67"/>
      <c r="RDA124" s="67"/>
      <c r="RDB124" s="67"/>
      <c r="RDC124" s="67"/>
      <c r="RDD124" s="67"/>
      <c r="RDE124" s="67"/>
      <c r="RDF124" s="67"/>
      <c r="RDG124" s="67"/>
      <c r="RDH124" s="67"/>
      <c r="RDI124" s="67"/>
      <c r="RDJ124" s="67"/>
      <c r="RDK124" s="67"/>
      <c r="RDL124" s="67"/>
      <c r="RDM124" s="67"/>
      <c r="RDN124" s="67"/>
      <c r="RDO124" s="67"/>
      <c r="RDP124" s="67"/>
      <c r="RDQ124" s="67"/>
      <c r="RDR124" s="67"/>
      <c r="RDS124" s="67"/>
      <c r="RDT124" s="67"/>
      <c r="RDU124" s="67"/>
      <c r="RDV124" s="67"/>
      <c r="RDW124" s="67"/>
      <c r="RDX124" s="67"/>
      <c r="RDY124" s="67"/>
      <c r="RDZ124" s="67"/>
      <c r="REA124" s="67"/>
      <c r="REB124" s="67"/>
      <c r="REC124" s="67"/>
      <c r="RED124" s="67"/>
      <c r="REE124" s="67"/>
      <c r="REF124" s="67"/>
      <c r="REG124" s="67"/>
      <c r="REH124" s="67"/>
      <c r="REI124" s="67"/>
      <c r="REJ124" s="67"/>
      <c r="REK124" s="67"/>
      <c r="REL124" s="67"/>
      <c r="REM124" s="67"/>
      <c r="REN124" s="67"/>
      <c r="REO124" s="67"/>
      <c r="REP124" s="67"/>
      <c r="REQ124" s="67"/>
      <c r="RER124" s="67"/>
      <c r="RES124" s="67"/>
      <c r="RET124" s="67"/>
      <c r="REU124" s="67"/>
      <c r="REV124" s="67"/>
      <c r="REW124" s="67"/>
      <c r="REX124" s="67"/>
      <c r="REY124" s="67"/>
      <c r="REZ124" s="67"/>
      <c r="RFA124" s="67"/>
      <c r="RFB124" s="67"/>
      <c r="RFC124" s="67"/>
      <c r="RFD124" s="67"/>
      <c r="RFE124" s="67"/>
      <c r="RFF124" s="67"/>
      <c r="RFG124" s="67"/>
      <c r="RFH124" s="67"/>
      <c r="RFI124" s="67"/>
      <c r="RFJ124" s="67"/>
      <c r="RFK124" s="67"/>
      <c r="RFL124" s="67"/>
      <c r="RFM124" s="67"/>
      <c r="RFN124" s="67"/>
      <c r="RFO124" s="67"/>
      <c r="RFP124" s="67"/>
      <c r="RFQ124" s="67"/>
      <c r="RFR124" s="67"/>
      <c r="RFS124" s="67"/>
      <c r="RFT124" s="67"/>
      <c r="RFU124" s="67"/>
      <c r="RFV124" s="67"/>
      <c r="RFW124" s="67"/>
      <c r="RFX124" s="67"/>
      <c r="RFY124" s="67"/>
      <c r="RFZ124" s="67"/>
      <c r="RGA124" s="67"/>
      <c r="RGB124" s="67"/>
      <c r="RGC124" s="67"/>
      <c r="RGD124" s="67"/>
      <c r="RGE124" s="67"/>
      <c r="RGF124" s="67"/>
      <c r="RGG124" s="67"/>
      <c r="RGH124" s="67"/>
      <c r="RGI124" s="67"/>
      <c r="RGJ124" s="67"/>
      <c r="RGK124" s="67"/>
      <c r="RGL124" s="67"/>
      <c r="RGM124" s="67"/>
      <c r="RGN124" s="67"/>
      <c r="RGO124" s="67"/>
      <c r="RGP124" s="67"/>
      <c r="RGQ124" s="67"/>
      <c r="RGR124" s="67"/>
      <c r="RGS124" s="67"/>
      <c r="RGT124" s="67"/>
      <c r="RGU124" s="67"/>
      <c r="RGV124" s="67"/>
      <c r="RGW124" s="67"/>
      <c r="RGX124" s="67"/>
      <c r="RGY124" s="67"/>
      <c r="RGZ124" s="67"/>
      <c r="RHA124" s="67"/>
      <c r="RHB124" s="67"/>
      <c r="RHC124" s="67"/>
      <c r="RHD124" s="67"/>
      <c r="RHE124" s="67"/>
      <c r="RHF124" s="67"/>
      <c r="RHG124" s="67"/>
      <c r="RHH124" s="67"/>
      <c r="RHI124" s="67"/>
      <c r="RHJ124" s="67"/>
      <c r="RHK124" s="67"/>
      <c r="RHL124" s="67"/>
      <c r="RHM124" s="67"/>
      <c r="RHN124" s="67"/>
      <c r="RHO124" s="67"/>
      <c r="RHP124" s="67"/>
      <c r="RHQ124" s="67"/>
      <c r="RHR124" s="67"/>
      <c r="RHS124" s="67"/>
      <c r="RHT124" s="67"/>
      <c r="RHU124" s="67"/>
      <c r="RHV124" s="67"/>
      <c r="RHW124" s="67"/>
      <c r="RHX124" s="67"/>
      <c r="RHY124" s="67"/>
      <c r="RHZ124" s="67"/>
      <c r="RIA124" s="67"/>
      <c r="RIB124" s="67"/>
      <c r="RIC124" s="67"/>
      <c r="RID124" s="67"/>
      <c r="RIE124" s="67"/>
      <c r="RIF124" s="67"/>
      <c r="RIG124" s="67"/>
      <c r="RIH124" s="67"/>
      <c r="RII124" s="67"/>
      <c r="RIJ124" s="67"/>
      <c r="RIK124" s="67"/>
      <c r="RIL124" s="67"/>
      <c r="RIM124" s="67"/>
      <c r="RIN124" s="67"/>
      <c r="RIO124" s="67"/>
      <c r="RIP124" s="67"/>
      <c r="RIQ124" s="67"/>
      <c r="RIR124" s="67"/>
      <c r="RIS124" s="67"/>
      <c r="RIT124" s="67"/>
      <c r="RIU124" s="67"/>
      <c r="RIV124" s="67"/>
      <c r="RIW124" s="67"/>
      <c r="RIX124" s="67"/>
      <c r="RIY124" s="67"/>
      <c r="RIZ124" s="67"/>
      <c r="RJA124" s="67"/>
      <c r="RJB124" s="67"/>
      <c r="RJC124" s="67"/>
      <c r="RJD124" s="67"/>
      <c r="RJE124" s="67"/>
      <c r="RJF124" s="67"/>
      <c r="RJG124" s="67"/>
      <c r="RJH124" s="67"/>
      <c r="RJI124" s="67"/>
      <c r="RJJ124" s="67"/>
      <c r="RJK124" s="67"/>
      <c r="RJL124" s="67"/>
      <c r="RJM124" s="67"/>
      <c r="RJN124" s="67"/>
      <c r="RJO124" s="67"/>
      <c r="RJP124" s="67"/>
      <c r="RJQ124" s="67"/>
      <c r="RJR124" s="67"/>
      <c r="RJS124" s="67"/>
      <c r="RJT124" s="67"/>
      <c r="RJU124" s="67"/>
      <c r="RJV124" s="67"/>
      <c r="RJW124" s="67"/>
      <c r="RJX124" s="67"/>
      <c r="RJY124" s="67"/>
      <c r="RJZ124" s="67"/>
      <c r="RKA124" s="67"/>
      <c r="RKB124" s="67"/>
      <c r="RKC124" s="67"/>
      <c r="RKD124" s="67"/>
      <c r="RKE124" s="67"/>
      <c r="RKF124" s="67"/>
      <c r="RKG124" s="67"/>
      <c r="RKH124" s="67"/>
      <c r="RKI124" s="67"/>
      <c r="RKJ124" s="67"/>
      <c r="RKK124" s="67"/>
      <c r="RKL124" s="67"/>
      <c r="RKM124" s="67"/>
      <c r="RKN124" s="67"/>
      <c r="RKO124" s="67"/>
      <c r="RKP124" s="67"/>
      <c r="RKQ124" s="67"/>
      <c r="RKR124" s="67"/>
      <c r="RKS124" s="67"/>
      <c r="RKT124" s="67"/>
      <c r="RKU124" s="67"/>
      <c r="RKV124" s="67"/>
      <c r="RKW124" s="67"/>
      <c r="RKX124" s="67"/>
      <c r="RKY124" s="67"/>
      <c r="RKZ124" s="67"/>
      <c r="RLA124" s="67"/>
      <c r="RLB124" s="67"/>
      <c r="RLC124" s="67"/>
      <c r="RLD124" s="67"/>
      <c r="RLE124" s="67"/>
      <c r="RLF124" s="67"/>
      <c r="RLG124" s="67"/>
      <c r="RLH124" s="67"/>
      <c r="RLI124" s="67"/>
      <c r="RLJ124" s="67"/>
      <c r="RLK124" s="67"/>
      <c r="RLL124" s="67"/>
      <c r="RLM124" s="67"/>
      <c r="RLN124" s="67"/>
      <c r="RLO124" s="67"/>
      <c r="RLP124" s="67"/>
      <c r="RLQ124" s="67"/>
      <c r="RLR124" s="67"/>
      <c r="RLS124" s="67"/>
      <c r="RLT124" s="67"/>
      <c r="RLU124" s="67"/>
      <c r="RLV124" s="67"/>
      <c r="RLW124" s="67"/>
      <c r="RLX124" s="67"/>
      <c r="RLY124" s="67"/>
      <c r="RLZ124" s="67"/>
      <c r="RMA124" s="67"/>
      <c r="RMB124" s="67"/>
      <c r="RMC124" s="67"/>
      <c r="RMD124" s="67"/>
      <c r="RME124" s="67"/>
      <c r="RMF124" s="67"/>
      <c r="RMG124" s="67"/>
      <c r="RMH124" s="67"/>
      <c r="RMI124" s="67"/>
      <c r="RMJ124" s="67"/>
      <c r="RMK124" s="67"/>
      <c r="RML124" s="67"/>
      <c r="RMM124" s="67"/>
      <c r="RMN124" s="67"/>
      <c r="RMO124" s="67"/>
      <c r="RMP124" s="67"/>
      <c r="RMQ124" s="67"/>
      <c r="RMR124" s="67"/>
      <c r="RMS124" s="67"/>
      <c r="RMT124" s="67"/>
      <c r="RMU124" s="67"/>
      <c r="RMV124" s="67"/>
      <c r="RMW124" s="67"/>
      <c r="RMX124" s="67"/>
      <c r="RMY124" s="67"/>
      <c r="RMZ124" s="67"/>
      <c r="RNA124" s="67"/>
      <c r="RNB124" s="67"/>
      <c r="RNC124" s="67"/>
      <c r="RND124" s="67"/>
      <c r="RNE124" s="67"/>
      <c r="RNF124" s="67"/>
      <c r="RNG124" s="67"/>
      <c r="RNH124" s="67"/>
      <c r="RNI124" s="67"/>
      <c r="RNJ124" s="67"/>
      <c r="RNK124" s="67"/>
      <c r="RNL124" s="67"/>
      <c r="RNM124" s="67"/>
      <c r="RNN124" s="67"/>
      <c r="RNO124" s="67"/>
      <c r="RNP124" s="67"/>
      <c r="RNQ124" s="67"/>
      <c r="RNR124" s="67"/>
      <c r="RNS124" s="67"/>
      <c r="RNT124" s="67"/>
      <c r="RNU124" s="67"/>
      <c r="RNV124" s="67"/>
      <c r="RNW124" s="67"/>
      <c r="RNX124" s="67"/>
      <c r="RNY124" s="67"/>
      <c r="RNZ124" s="67"/>
      <c r="ROA124" s="67"/>
      <c r="ROB124" s="67"/>
      <c r="ROC124" s="67"/>
      <c r="ROD124" s="67"/>
      <c r="ROE124" s="67"/>
      <c r="ROF124" s="67"/>
      <c r="ROG124" s="67"/>
      <c r="ROH124" s="67"/>
      <c r="ROI124" s="67"/>
      <c r="ROJ124" s="67"/>
      <c r="ROK124" s="67"/>
      <c r="ROL124" s="67"/>
      <c r="ROM124" s="67"/>
      <c r="RON124" s="67"/>
      <c r="ROO124" s="67"/>
      <c r="ROP124" s="67"/>
      <c r="ROQ124" s="67"/>
      <c r="ROR124" s="67"/>
      <c r="ROS124" s="67"/>
      <c r="ROT124" s="67"/>
      <c r="ROU124" s="67"/>
      <c r="ROV124" s="67"/>
      <c r="ROW124" s="67"/>
      <c r="ROX124" s="67"/>
      <c r="ROY124" s="67"/>
      <c r="ROZ124" s="67"/>
      <c r="RPA124" s="67"/>
      <c r="RPB124" s="67"/>
      <c r="RPC124" s="67"/>
      <c r="RPD124" s="67"/>
      <c r="RPE124" s="67"/>
      <c r="RPF124" s="67"/>
      <c r="RPG124" s="67"/>
      <c r="RPH124" s="67"/>
      <c r="RPI124" s="67"/>
      <c r="RPJ124" s="67"/>
      <c r="RPK124" s="67"/>
      <c r="RPL124" s="67"/>
      <c r="RPM124" s="67"/>
      <c r="RPN124" s="67"/>
      <c r="RPO124" s="67"/>
      <c r="RPP124" s="67"/>
      <c r="RPQ124" s="67"/>
      <c r="RPR124" s="67"/>
      <c r="RPS124" s="67"/>
      <c r="RPT124" s="67"/>
      <c r="RPU124" s="67"/>
      <c r="RPV124" s="67"/>
      <c r="RPW124" s="67"/>
      <c r="RPX124" s="67"/>
      <c r="RPY124" s="67"/>
      <c r="RPZ124" s="67"/>
      <c r="RQA124" s="67"/>
      <c r="RQB124" s="67"/>
      <c r="RQC124" s="67"/>
      <c r="RQD124" s="67"/>
      <c r="RQE124" s="67"/>
      <c r="RQF124" s="67"/>
      <c r="RQG124" s="67"/>
      <c r="RQH124" s="67"/>
      <c r="RQI124" s="67"/>
      <c r="RQJ124" s="67"/>
      <c r="RQK124" s="67"/>
      <c r="RQL124" s="67"/>
      <c r="RQM124" s="67"/>
      <c r="RQN124" s="67"/>
      <c r="RQO124" s="67"/>
      <c r="RQP124" s="67"/>
      <c r="RQQ124" s="67"/>
      <c r="RQR124" s="67"/>
      <c r="RQS124" s="67"/>
      <c r="RQT124" s="67"/>
      <c r="RQU124" s="67"/>
      <c r="RQV124" s="67"/>
      <c r="RQW124" s="67"/>
      <c r="RQX124" s="67"/>
      <c r="RQY124" s="67"/>
      <c r="RQZ124" s="67"/>
      <c r="RRA124" s="67"/>
      <c r="RRB124" s="67"/>
      <c r="RRC124" s="67"/>
      <c r="RRD124" s="67"/>
      <c r="RRE124" s="67"/>
      <c r="RRF124" s="67"/>
      <c r="RRG124" s="67"/>
      <c r="RRH124" s="67"/>
      <c r="RRI124" s="67"/>
      <c r="RRJ124" s="67"/>
      <c r="RRK124" s="67"/>
      <c r="RRL124" s="67"/>
      <c r="RRM124" s="67"/>
      <c r="RRN124" s="67"/>
      <c r="RRO124" s="67"/>
      <c r="RRP124" s="67"/>
      <c r="RRQ124" s="67"/>
      <c r="RRR124" s="67"/>
      <c r="RRS124" s="67"/>
      <c r="RRT124" s="67"/>
      <c r="RRU124" s="67"/>
      <c r="RRV124" s="67"/>
      <c r="RRW124" s="67"/>
      <c r="RRX124" s="67"/>
      <c r="RRY124" s="67"/>
      <c r="RRZ124" s="67"/>
      <c r="RSA124" s="67"/>
      <c r="RSB124" s="67"/>
      <c r="RSC124" s="67"/>
      <c r="RSD124" s="67"/>
      <c r="RSE124" s="67"/>
      <c r="RSF124" s="67"/>
      <c r="RSG124" s="67"/>
      <c r="RSH124" s="67"/>
      <c r="RSI124" s="67"/>
      <c r="RSJ124" s="67"/>
      <c r="RSK124" s="67"/>
      <c r="RSL124" s="67"/>
      <c r="RSM124" s="67"/>
      <c r="RSN124" s="67"/>
      <c r="RSO124" s="67"/>
      <c r="RSP124" s="67"/>
      <c r="RSQ124" s="67"/>
      <c r="RSR124" s="67"/>
      <c r="RSS124" s="67"/>
      <c r="RST124" s="67"/>
      <c r="RSU124" s="67"/>
      <c r="RSV124" s="67"/>
      <c r="RSW124" s="67"/>
      <c r="RSX124" s="67"/>
      <c r="RSY124" s="67"/>
      <c r="RSZ124" s="67"/>
      <c r="RTA124" s="67"/>
      <c r="RTB124" s="67"/>
      <c r="RTC124" s="67"/>
      <c r="RTD124" s="67"/>
      <c r="RTE124" s="67"/>
      <c r="RTF124" s="67"/>
      <c r="RTG124" s="67"/>
      <c r="RTH124" s="67"/>
      <c r="RTI124" s="67"/>
      <c r="RTJ124" s="67"/>
      <c r="RTK124" s="67"/>
      <c r="RTL124" s="67"/>
      <c r="RTM124" s="67"/>
      <c r="RTN124" s="67"/>
      <c r="RTO124" s="67"/>
      <c r="RTP124" s="67"/>
      <c r="RTQ124" s="67"/>
      <c r="RTR124" s="67"/>
      <c r="RTS124" s="67"/>
      <c r="RTT124" s="67"/>
      <c r="RTU124" s="67"/>
      <c r="RTV124" s="67"/>
      <c r="RTW124" s="67"/>
      <c r="RTX124" s="67"/>
      <c r="RTY124" s="67"/>
      <c r="RTZ124" s="67"/>
      <c r="RUA124" s="67"/>
      <c r="RUB124" s="67"/>
      <c r="RUC124" s="67"/>
      <c r="RUD124" s="67"/>
      <c r="RUE124" s="67"/>
      <c r="RUF124" s="67"/>
      <c r="RUG124" s="67"/>
      <c r="RUH124" s="67"/>
      <c r="RUI124" s="67"/>
      <c r="RUJ124" s="67"/>
      <c r="RUK124" s="67"/>
      <c r="RUL124" s="67"/>
      <c r="RUM124" s="67"/>
      <c r="RUN124" s="67"/>
      <c r="RUO124" s="67"/>
      <c r="RUP124" s="67"/>
      <c r="RUQ124" s="67"/>
      <c r="RUR124" s="67"/>
      <c r="RUS124" s="67"/>
      <c r="RUT124" s="67"/>
      <c r="RUU124" s="67"/>
      <c r="RUV124" s="67"/>
      <c r="RUW124" s="67"/>
      <c r="RUX124" s="67"/>
      <c r="RUY124" s="67"/>
      <c r="RUZ124" s="67"/>
      <c r="RVA124" s="67"/>
      <c r="RVB124" s="67"/>
      <c r="RVC124" s="67"/>
      <c r="RVD124" s="67"/>
      <c r="RVE124" s="67"/>
      <c r="RVF124" s="67"/>
      <c r="RVG124" s="67"/>
      <c r="RVH124" s="67"/>
      <c r="RVI124" s="67"/>
      <c r="RVJ124" s="67"/>
      <c r="RVK124" s="67"/>
      <c r="RVL124" s="67"/>
      <c r="RVM124" s="67"/>
      <c r="RVN124" s="67"/>
      <c r="RVO124" s="67"/>
      <c r="RVP124" s="67"/>
      <c r="RVQ124" s="67"/>
      <c r="RVR124" s="67"/>
      <c r="RVS124" s="67"/>
      <c r="RVT124" s="67"/>
      <c r="RVU124" s="67"/>
      <c r="RVV124" s="67"/>
      <c r="RVW124" s="67"/>
      <c r="RVX124" s="67"/>
      <c r="RVY124" s="67"/>
      <c r="RVZ124" s="67"/>
      <c r="RWA124" s="67"/>
      <c r="RWB124" s="67"/>
      <c r="RWC124" s="67"/>
      <c r="RWD124" s="67"/>
      <c r="RWE124" s="67"/>
      <c r="RWF124" s="67"/>
      <c r="RWG124" s="67"/>
      <c r="RWH124" s="67"/>
      <c r="RWI124" s="67"/>
      <c r="RWJ124" s="67"/>
      <c r="RWK124" s="67"/>
      <c r="RWL124" s="67"/>
      <c r="RWM124" s="67"/>
      <c r="RWN124" s="67"/>
      <c r="RWO124" s="67"/>
      <c r="RWP124" s="67"/>
      <c r="RWQ124" s="67"/>
      <c r="RWR124" s="67"/>
      <c r="RWS124" s="67"/>
      <c r="RWT124" s="67"/>
      <c r="RWU124" s="67"/>
      <c r="RWV124" s="67"/>
      <c r="RWW124" s="67"/>
      <c r="RWX124" s="67"/>
      <c r="RWY124" s="67"/>
      <c r="RWZ124" s="67"/>
      <c r="RXA124" s="67"/>
      <c r="RXB124" s="67"/>
      <c r="RXC124" s="67"/>
      <c r="RXD124" s="67"/>
      <c r="RXE124" s="67"/>
      <c r="RXF124" s="67"/>
      <c r="RXG124" s="67"/>
      <c r="RXH124" s="67"/>
      <c r="RXI124" s="67"/>
      <c r="RXJ124" s="67"/>
      <c r="RXK124" s="67"/>
      <c r="RXL124" s="67"/>
      <c r="RXM124" s="67"/>
      <c r="RXN124" s="67"/>
      <c r="RXO124" s="67"/>
      <c r="RXP124" s="67"/>
      <c r="RXQ124" s="67"/>
      <c r="RXR124" s="67"/>
      <c r="RXS124" s="67"/>
      <c r="RXT124" s="67"/>
      <c r="RXU124" s="67"/>
      <c r="RXV124" s="67"/>
      <c r="RXW124" s="67"/>
      <c r="RXX124" s="67"/>
      <c r="RXY124" s="67"/>
      <c r="RXZ124" s="67"/>
      <c r="RYA124" s="67"/>
      <c r="RYB124" s="67"/>
      <c r="RYC124" s="67"/>
      <c r="RYD124" s="67"/>
      <c r="RYE124" s="67"/>
      <c r="RYF124" s="67"/>
      <c r="RYG124" s="67"/>
      <c r="RYH124" s="67"/>
      <c r="RYI124" s="67"/>
      <c r="RYJ124" s="67"/>
      <c r="RYK124" s="67"/>
      <c r="RYL124" s="67"/>
      <c r="RYM124" s="67"/>
      <c r="RYN124" s="67"/>
      <c r="RYO124" s="67"/>
      <c r="RYP124" s="67"/>
      <c r="RYQ124" s="67"/>
      <c r="RYR124" s="67"/>
      <c r="RYS124" s="67"/>
      <c r="RYT124" s="67"/>
      <c r="RYU124" s="67"/>
      <c r="RYV124" s="67"/>
      <c r="RYW124" s="67"/>
      <c r="RYX124" s="67"/>
      <c r="RYY124" s="67"/>
      <c r="RYZ124" s="67"/>
      <c r="RZA124" s="67"/>
      <c r="RZB124" s="67"/>
      <c r="RZC124" s="67"/>
      <c r="RZD124" s="67"/>
      <c r="RZE124" s="67"/>
      <c r="RZF124" s="67"/>
      <c r="RZG124" s="67"/>
      <c r="RZH124" s="67"/>
      <c r="RZI124" s="67"/>
      <c r="RZJ124" s="67"/>
      <c r="RZK124" s="67"/>
      <c r="RZL124" s="67"/>
      <c r="RZM124" s="67"/>
      <c r="RZN124" s="67"/>
      <c r="RZO124" s="67"/>
      <c r="RZP124" s="67"/>
      <c r="RZQ124" s="67"/>
      <c r="RZR124" s="67"/>
      <c r="RZS124" s="67"/>
      <c r="RZT124" s="67"/>
      <c r="RZU124" s="67"/>
      <c r="RZV124" s="67"/>
      <c r="RZW124" s="67"/>
      <c r="RZX124" s="67"/>
      <c r="RZY124" s="67"/>
      <c r="RZZ124" s="67"/>
      <c r="SAA124" s="67"/>
      <c r="SAB124" s="67"/>
      <c r="SAC124" s="67"/>
      <c r="SAD124" s="67"/>
      <c r="SAE124" s="67"/>
      <c r="SAF124" s="67"/>
      <c r="SAG124" s="67"/>
      <c r="SAH124" s="67"/>
      <c r="SAI124" s="67"/>
      <c r="SAJ124" s="67"/>
      <c r="SAK124" s="67"/>
      <c r="SAL124" s="67"/>
      <c r="SAM124" s="67"/>
      <c r="SAN124" s="67"/>
      <c r="SAO124" s="67"/>
      <c r="SAP124" s="67"/>
      <c r="SAQ124" s="67"/>
      <c r="SAR124" s="67"/>
      <c r="SAS124" s="67"/>
      <c r="SAT124" s="67"/>
      <c r="SAU124" s="67"/>
      <c r="SAV124" s="67"/>
      <c r="SAW124" s="67"/>
      <c r="SAX124" s="67"/>
      <c r="SAY124" s="67"/>
      <c r="SAZ124" s="67"/>
      <c r="SBA124" s="67"/>
      <c r="SBB124" s="67"/>
      <c r="SBC124" s="67"/>
      <c r="SBD124" s="67"/>
      <c r="SBE124" s="67"/>
      <c r="SBF124" s="67"/>
      <c r="SBG124" s="67"/>
      <c r="SBH124" s="67"/>
      <c r="SBI124" s="67"/>
      <c r="SBJ124" s="67"/>
      <c r="SBK124" s="67"/>
      <c r="SBL124" s="67"/>
      <c r="SBM124" s="67"/>
      <c r="SBN124" s="67"/>
      <c r="SBO124" s="67"/>
      <c r="SBP124" s="67"/>
      <c r="SBQ124" s="67"/>
      <c r="SBR124" s="67"/>
      <c r="SBS124" s="67"/>
      <c r="SBT124" s="67"/>
      <c r="SBU124" s="67"/>
      <c r="SBV124" s="67"/>
      <c r="SBW124" s="67"/>
      <c r="SBX124" s="67"/>
      <c r="SBY124" s="67"/>
      <c r="SBZ124" s="67"/>
      <c r="SCA124" s="67"/>
      <c r="SCB124" s="67"/>
      <c r="SCC124" s="67"/>
      <c r="SCD124" s="67"/>
      <c r="SCE124" s="67"/>
      <c r="SCF124" s="67"/>
      <c r="SCG124" s="67"/>
      <c r="SCH124" s="67"/>
      <c r="SCI124" s="67"/>
      <c r="SCJ124" s="67"/>
      <c r="SCK124" s="67"/>
      <c r="SCL124" s="67"/>
      <c r="SCM124" s="67"/>
      <c r="SCN124" s="67"/>
      <c r="SCO124" s="67"/>
      <c r="SCP124" s="67"/>
      <c r="SCQ124" s="67"/>
      <c r="SCR124" s="67"/>
      <c r="SCS124" s="67"/>
      <c r="SCT124" s="67"/>
      <c r="SCU124" s="67"/>
      <c r="SCV124" s="67"/>
      <c r="SCW124" s="67"/>
      <c r="SCX124" s="67"/>
      <c r="SCY124" s="67"/>
      <c r="SCZ124" s="67"/>
      <c r="SDA124" s="67"/>
      <c r="SDB124" s="67"/>
      <c r="SDC124" s="67"/>
      <c r="SDD124" s="67"/>
      <c r="SDE124" s="67"/>
      <c r="SDF124" s="67"/>
      <c r="SDG124" s="67"/>
      <c r="SDH124" s="67"/>
      <c r="SDI124" s="67"/>
      <c r="SDJ124" s="67"/>
      <c r="SDK124" s="67"/>
      <c r="SDL124" s="67"/>
      <c r="SDM124" s="67"/>
      <c r="SDN124" s="67"/>
      <c r="SDO124" s="67"/>
      <c r="SDP124" s="67"/>
      <c r="SDQ124" s="67"/>
      <c r="SDR124" s="67"/>
      <c r="SDS124" s="67"/>
      <c r="SDT124" s="67"/>
      <c r="SDU124" s="67"/>
      <c r="SDV124" s="67"/>
      <c r="SDW124" s="67"/>
      <c r="SDX124" s="67"/>
      <c r="SDY124" s="67"/>
      <c r="SDZ124" s="67"/>
      <c r="SEA124" s="67"/>
      <c r="SEB124" s="67"/>
      <c r="SEC124" s="67"/>
      <c r="SED124" s="67"/>
      <c r="SEE124" s="67"/>
      <c r="SEF124" s="67"/>
      <c r="SEG124" s="67"/>
      <c r="SEH124" s="67"/>
      <c r="SEI124" s="67"/>
      <c r="SEJ124" s="67"/>
      <c r="SEK124" s="67"/>
      <c r="SEL124" s="67"/>
      <c r="SEM124" s="67"/>
      <c r="SEN124" s="67"/>
      <c r="SEO124" s="67"/>
      <c r="SEP124" s="67"/>
      <c r="SEQ124" s="67"/>
      <c r="SER124" s="67"/>
      <c r="SES124" s="67"/>
      <c r="SET124" s="67"/>
      <c r="SEU124" s="67"/>
      <c r="SEV124" s="67"/>
      <c r="SEW124" s="67"/>
      <c r="SEX124" s="67"/>
      <c r="SEY124" s="67"/>
      <c r="SEZ124" s="67"/>
      <c r="SFA124" s="67"/>
      <c r="SFB124" s="67"/>
      <c r="SFC124" s="67"/>
      <c r="SFD124" s="67"/>
      <c r="SFE124" s="67"/>
      <c r="SFF124" s="67"/>
      <c r="SFG124" s="67"/>
      <c r="SFH124" s="67"/>
      <c r="SFI124" s="67"/>
      <c r="SFJ124" s="67"/>
      <c r="SFK124" s="67"/>
      <c r="SFL124" s="67"/>
      <c r="SFM124" s="67"/>
      <c r="SFN124" s="67"/>
      <c r="SFO124" s="67"/>
      <c r="SFP124" s="67"/>
      <c r="SFQ124" s="67"/>
      <c r="SFR124" s="67"/>
      <c r="SFS124" s="67"/>
      <c r="SFT124" s="67"/>
      <c r="SFU124" s="67"/>
      <c r="SFV124" s="67"/>
      <c r="SFW124" s="67"/>
      <c r="SFX124" s="67"/>
      <c r="SFY124" s="67"/>
      <c r="SFZ124" s="67"/>
      <c r="SGA124" s="67"/>
      <c r="SGB124" s="67"/>
      <c r="SGC124" s="67"/>
      <c r="SGD124" s="67"/>
      <c r="SGE124" s="67"/>
      <c r="SGF124" s="67"/>
      <c r="SGG124" s="67"/>
      <c r="SGH124" s="67"/>
      <c r="SGI124" s="67"/>
      <c r="SGJ124" s="67"/>
      <c r="SGK124" s="67"/>
      <c r="SGL124" s="67"/>
      <c r="SGM124" s="67"/>
      <c r="SGN124" s="67"/>
      <c r="SGO124" s="67"/>
      <c r="SGP124" s="67"/>
      <c r="SGQ124" s="67"/>
      <c r="SGR124" s="67"/>
      <c r="SGS124" s="67"/>
      <c r="SGT124" s="67"/>
      <c r="SGU124" s="67"/>
      <c r="SGV124" s="67"/>
      <c r="SGW124" s="67"/>
      <c r="SGX124" s="67"/>
      <c r="SGY124" s="67"/>
      <c r="SGZ124" s="67"/>
      <c r="SHA124" s="67"/>
      <c r="SHB124" s="67"/>
      <c r="SHC124" s="67"/>
      <c r="SHD124" s="67"/>
      <c r="SHE124" s="67"/>
      <c r="SHF124" s="67"/>
      <c r="SHG124" s="67"/>
      <c r="SHH124" s="67"/>
      <c r="SHI124" s="67"/>
      <c r="SHJ124" s="67"/>
      <c r="SHK124" s="67"/>
      <c r="SHL124" s="67"/>
      <c r="SHM124" s="67"/>
      <c r="SHN124" s="67"/>
      <c r="SHO124" s="67"/>
      <c r="SHP124" s="67"/>
      <c r="SHQ124" s="67"/>
      <c r="SHR124" s="67"/>
      <c r="SHS124" s="67"/>
      <c r="SHT124" s="67"/>
      <c r="SHU124" s="67"/>
      <c r="SHV124" s="67"/>
      <c r="SHW124" s="67"/>
      <c r="SHX124" s="67"/>
      <c r="SHY124" s="67"/>
      <c r="SHZ124" s="67"/>
      <c r="SIA124" s="67"/>
      <c r="SIB124" s="67"/>
      <c r="SIC124" s="67"/>
      <c r="SID124" s="67"/>
      <c r="SIE124" s="67"/>
      <c r="SIF124" s="67"/>
      <c r="SIG124" s="67"/>
      <c r="SIH124" s="67"/>
      <c r="SII124" s="67"/>
      <c r="SIJ124" s="67"/>
      <c r="SIK124" s="67"/>
      <c r="SIL124" s="67"/>
      <c r="SIM124" s="67"/>
      <c r="SIN124" s="67"/>
      <c r="SIO124" s="67"/>
      <c r="SIP124" s="67"/>
      <c r="SIQ124" s="67"/>
      <c r="SIR124" s="67"/>
      <c r="SIS124" s="67"/>
      <c r="SIT124" s="67"/>
      <c r="SIU124" s="67"/>
      <c r="SIV124" s="67"/>
      <c r="SIW124" s="67"/>
      <c r="SIX124" s="67"/>
      <c r="SIY124" s="67"/>
      <c r="SIZ124" s="67"/>
      <c r="SJA124" s="67"/>
      <c r="SJB124" s="67"/>
      <c r="SJC124" s="67"/>
      <c r="SJD124" s="67"/>
      <c r="SJE124" s="67"/>
      <c r="SJF124" s="67"/>
      <c r="SJG124" s="67"/>
      <c r="SJH124" s="67"/>
      <c r="SJI124" s="67"/>
      <c r="SJJ124" s="67"/>
      <c r="SJK124" s="67"/>
      <c r="SJL124" s="67"/>
      <c r="SJM124" s="67"/>
      <c r="SJN124" s="67"/>
      <c r="SJO124" s="67"/>
      <c r="SJP124" s="67"/>
      <c r="SJQ124" s="67"/>
      <c r="SJR124" s="67"/>
      <c r="SJS124" s="67"/>
      <c r="SJT124" s="67"/>
      <c r="SJU124" s="67"/>
      <c r="SJV124" s="67"/>
      <c r="SJW124" s="67"/>
      <c r="SJX124" s="67"/>
      <c r="SJY124" s="67"/>
      <c r="SJZ124" s="67"/>
      <c r="SKA124" s="67"/>
      <c r="SKB124" s="67"/>
      <c r="SKC124" s="67"/>
      <c r="SKD124" s="67"/>
      <c r="SKE124" s="67"/>
      <c r="SKF124" s="67"/>
      <c r="SKG124" s="67"/>
      <c r="SKH124" s="67"/>
      <c r="SKI124" s="67"/>
      <c r="SKJ124" s="67"/>
      <c r="SKK124" s="67"/>
      <c r="SKL124" s="67"/>
      <c r="SKM124" s="67"/>
      <c r="SKN124" s="67"/>
      <c r="SKO124" s="67"/>
      <c r="SKP124" s="67"/>
      <c r="SKQ124" s="67"/>
      <c r="SKR124" s="67"/>
      <c r="SKS124" s="67"/>
      <c r="SKT124" s="67"/>
      <c r="SKU124" s="67"/>
      <c r="SKV124" s="67"/>
      <c r="SKW124" s="67"/>
      <c r="SKX124" s="67"/>
      <c r="SKY124" s="67"/>
      <c r="SKZ124" s="67"/>
      <c r="SLA124" s="67"/>
      <c r="SLB124" s="67"/>
      <c r="SLC124" s="67"/>
      <c r="SLD124" s="67"/>
      <c r="SLE124" s="67"/>
      <c r="SLF124" s="67"/>
      <c r="SLG124" s="67"/>
      <c r="SLH124" s="67"/>
      <c r="SLI124" s="67"/>
      <c r="SLJ124" s="67"/>
      <c r="SLK124" s="67"/>
      <c r="SLL124" s="67"/>
      <c r="SLM124" s="67"/>
      <c r="SLN124" s="67"/>
      <c r="SLO124" s="67"/>
      <c r="SLP124" s="67"/>
      <c r="SLQ124" s="67"/>
      <c r="SLR124" s="67"/>
      <c r="SLS124" s="67"/>
      <c r="SLT124" s="67"/>
      <c r="SLU124" s="67"/>
      <c r="SLV124" s="67"/>
      <c r="SLW124" s="67"/>
      <c r="SLX124" s="67"/>
      <c r="SLY124" s="67"/>
      <c r="SLZ124" s="67"/>
      <c r="SMA124" s="67"/>
      <c r="SMB124" s="67"/>
      <c r="SMC124" s="67"/>
      <c r="SMD124" s="67"/>
      <c r="SME124" s="67"/>
      <c r="SMF124" s="67"/>
      <c r="SMG124" s="67"/>
      <c r="SMH124" s="67"/>
      <c r="SMI124" s="67"/>
      <c r="SMJ124" s="67"/>
      <c r="SMK124" s="67"/>
      <c r="SML124" s="67"/>
      <c r="SMM124" s="67"/>
      <c r="SMN124" s="67"/>
      <c r="SMO124" s="67"/>
      <c r="SMP124" s="67"/>
      <c r="SMQ124" s="67"/>
      <c r="SMR124" s="67"/>
      <c r="SMS124" s="67"/>
      <c r="SMT124" s="67"/>
      <c r="SMU124" s="67"/>
      <c r="SMV124" s="67"/>
      <c r="SMW124" s="67"/>
      <c r="SMX124" s="67"/>
      <c r="SMY124" s="67"/>
      <c r="SMZ124" s="67"/>
      <c r="SNA124" s="67"/>
      <c r="SNB124" s="67"/>
      <c r="SNC124" s="67"/>
      <c r="SND124" s="67"/>
      <c r="SNE124" s="67"/>
      <c r="SNF124" s="67"/>
      <c r="SNG124" s="67"/>
      <c r="SNH124" s="67"/>
      <c r="SNI124" s="67"/>
      <c r="SNJ124" s="67"/>
      <c r="SNK124" s="67"/>
      <c r="SNL124" s="67"/>
      <c r="SNM124" s="67"/>
      <c r="SNN124" s="67"/>
      <c r="SNO124" s="67"/>
      <c r="SNP124" s="67"/>
      <c r="SNQ124" s="67"/>
      <c r="SNR124" s="67"/>
      <c r="SNS124" s="67"/>
      <c r="SNT124" s="67"/>
      <c r="SNU124" s="67"/>
      <c r="SNV124" s="67"/>
      <c r="SNW124" s="67"/>
      <c r="SNX124" s="67"/>
      <c r="SNY124" s="67"/>
      <c r="SNZ124" s="67"/>
      <c r="SOA124" s="67"/>
      <c r="SOB124" s="67"/>
      <c r="SOC124" s="67"/>
      <c r="SOD124" s="67"/>
      <c r="SOE124" s="67"/>
      <c r="SOF124" s="67"/>
      <c r="SOG124" s="67"/>
      <c r="SOH124" s="67"/>
      <c r="SOI124" s="67"/>
      <c r="SOJ124" s="67"/>
      <c r="SOK124" s="67"/>
      <c r="SOL124" s="67"/>
      <c r="SOM124" s="67"/>
      <c r="SON124" s="67"/>
      <c r="SOO124" s="67"/>
      <c r="SOP124" s="67"/>
      <c r="SOQ124" s="67"/>
      <c r="SOR124" s="67"/>
      <c r="SOS124" s="67"/>
      <c r="SOT124" s="67"/>
      <c r="SOU124" s="67"/>
      <c r="SOV124" s="67"/>
      <c r="SOW124" s="67"/>
      <c r="SOX124" s="67"/>
      <c r="SOY124" s="67"/>
      <c r="SOZ124" s="67"/>
      <c r="SPA124" s="67"/>
      <c r="SPB124" s="67"/>
      <c r="SPC124" s="67"/>
      <c r="SPD124" s="67"/>
      <c r="SPE124" s="67"/>
      <c r="SPF124" s="67"/>
      <c r="SPG124" s="67"/>
      <c r="SPH124" s="67"/>
      <c r="SPI124" s="67"/>
      <c r="SPJ124" s="67"/>
      <c r="SPK124" s="67"/>
      <c r="SPL124" s="67"/>
      <c r="SPM124" s="67"/>
      <c r="SPN124" s="67"/>
      <c r="SPO124" s="67"/>
      <c r="SPP124" s="67"/>
      <c r="SPQ124" s="67"/>
      <c r="SPR124" s="67"/>
      <c r="SPS124" s="67"/>
      <c r="SPT124" s="67"/>
      <c r="SPU124" s="67"/>
      <c r="SPV124" s="67"/>
      <c r="SPW124" s="67"/>
      <c r="SPX124" s="67"/>
      <c r="SPY124" s="67"/>
      <c r="SPZ124" s="67"/>
      <c r="SQA124" s="67"/>
      <c r="SQB124" s="67"/>
      <c r="SQC124" s="67"/>
      <c r="SQD124" s="67"/>
      <c r="SQE124" s="67"/>
      <c r="SQF124" s="67"/>
      <c r="SQG124" s="67"/>
      <c r="SQH124" s="67"/>
      <c r="SQI124" s="67"/>
      <c r="SQJ124" s="67"/>
      <c r="SQK124" s="67"/>
      <c r="SQL124" s="67"/>
      <c r="SQM124" s="67"/>
      <c r="SQN124" s="67"/>
      <c r="SQO124" s="67"/>
      <c r="SQP124" s="67"/>
      <c r="SQQ124" s="67"/>
      <c r="SQR124" s="67"/>
      <c r="SQS124" s="67"/>
      <c r="SQT124" s="67"/>
      <c r="SQU124" s="67"/>
      <c r="SQV124" s="67"/>
      <c r="SQW124" s="67"/>
      <c r="SQX124" s="67"/>
      <c r="SQY124" s="67"/>
      <c r="SQZ124" s="67"/>
      <c r="SRA124" s="67"/>
      <c r="SRB124" s="67"/>
      <c r="SRC124" s="67"/>
      <c r="SRD124" s="67"/>
      <c r="SRE124" s="67"/>
      <c r="SRF124" s="67"/>
      <c r="SRG124" s="67"/>
      <c r="SRH124" s="67"/>
      <c r="SRI124" s="67"/>
      <c r="SRJ124" s="67"/>
      <c r="SRK124" s="67"/>
      <c r="SRL124" s="67"/>
      <c r="SRM124" s="67"/>
      <c r="SRN124" s="67"/>
      <c r="SRO124" s="67"/>
      <c r="SRP124" s="67"/>
      <c r="SRQ124" s="67"/>
      <c r="SRR124" s="67"/>
      <c r="SRS124" s="67"/>
      <c r="SRT124" s="67"/>
      <c r="SRU124" s="67"/>
      <c r="SRV124" s="67"/>
      <c r="SRW124" s="67"/>
      <c r="SRX124" s="67"/>
      <c r="SRY124" s="67"/>
      <c r="SRZ124" s="67"/>
      <c r="SSA124" s="67"/>
      <c r="SSB124" s="67"/>
      <c r="SSC124" s="67"/>
      <c r="SSD124" s="67"/>
      <c r="SSE124" s="67"/>
      <c r="SSF124" s="67"/>
      <c r="SSG124" s="67"/>
      <c r="SSH124" s="67"/>
      <c r="SSI124" s="67"/>
      <c r="SSJ124" s="67"/>
      <c r="SSK124" s="67"/>
      <c r="SSL124" s="67"/>
      <c r="SSM124" s="67"/>
      <c r="SSN124" s="67"/>
      <c r="SSO124" s="67"/>
      <c r="SSP124" s="67"/>
      <c r="SSQ124" s="67"/>
      <c r="SSR124" s="67"/>
      <c r="SSS124" s="67"/>
      <c r="SST124" s="67"/>
      <c r="SSU124" s="67"/>
      <c r="SSV124" s="67"/>
      <c r="SSW124" s="67"/>
      <c r="SSX124" s="67"/>
      <c r="SSY124" s="67"/>
      <c r="SSZ124" s="67"/>
      <c r="STA124" s="67"/>
      <c r="STB124" s="67"/>
      <c r="STC124" s="67"/>
      <c r="STD124" s="67"/>
      <c r="STE124" s="67"/>
      <c r="STF124" s="67"/>
      <c r="STG124" s="67"/>
      <c r="STH124" s="67"/>
      <c r="STI124" s="67"/>
      <c r="STJ124" s="67"/>
      <c r="STK124" s="67"/>
      <c r="STL124" s="67"/>
      <c r="STM124" s="67"/>
      <c r="STN124" s="67"/>
      <c r="STO124" s="67"/>
      <c r="STP124" s="67"/>
      <c r="STQ124" s="67"/>
      <c r="STR124" s="67"/>
      <c r="STS124" s="67"/>
      <c r="STT124" s="67"/>
      <c r="STU124" s="67"/>
      <c r="STV124" s="67"/>
      <c r="STW124" s="67"/>
      <c r="STX124" s="67"/>
      <c r="STY124" s="67"/>
      <c r="STZ124" s="67"/>
      <c r="SUA124" s="67"/>
      <c r="SUB124" s="67"/>
      <c r="SUC124" s="67"/>
      <c r="SUD124" s="67"/>
      <c r="SUE124" s="67"/>
      <c r="SUF124" s="67"/>
      <c r="SUG124" s="67"/>
      <c r="SUH124" s="67"/>
      <c r="SUI124" s="67"/>
      <c r="SUJ124" s="67"/>
      <c r="SUK124" s="67"/>
      <c r="SUL124" s="67"/>
      <c r="SUM124" s="67"/>
      <c r="SUN124" s="67"/>
      <c r="SUO124" s="67"/>
      <c r="SUP124" s="67"/>
      <c r="SUQ124" s="67"/>
      <c r="SUR124" s="67"/>
      <c r="SUS124" s="67"/>
      <c r="SUT124" s="67"/>
      <c r="SUU124" s="67"/>
      <c r="SUV124" s="67"/>
      <c r="SUW124" s="67"/>
      <c r="SUX124" s="67"/>
      <c r="SUY124" s="67"/>
      <c r="SUZ124" s="67"/>
      <c r="SVA124" s="67"/>
      <c r="SVB124" s="67"/>
      <c r="SVC124" s="67"/>
      <c r="SVD124" s="67"/>
      <c r="SVE124" s="67"/>
      <c r="SVF124" s="67"/>
      <c r="SVG124" s="67"/>
      <c r="SVH124" s="67"/>
      <c r="SVI124" s="67"/>
      <c r="SVJ124" s="67"/>
      <c r="SVK124" s="67"/>
      <c r="SVL124" s="67"/>
      <c r="SVM124" s="67"/>
      <c r="SVN124" s="67"/>
      <c r="SVO124" s="67"/>
      <c r="SVP124" s="67"/>
      <c r="SVQ124" s="67"/>
      <c r="SVR124" s="67"/>
      <c r="SVS124" s="67"/>
      <c r="SVT124" s="67"/>
      <c r="SVU124" s="67"/>
      <c r="SVV124" s="67"/>
      <c r="SVW124" s="67"/>
      <c r="SVX124" s="67"/>
      <c r="SVY124" s="67"/>
      <c r="SVZ124" s="67"/>
      <c r="SWA124" s="67"/>
      <c r="SWB124" s="67"/>
      <c r="SWC124" s="67"/>
      <c r="SWD124" s="67"/>
      <c r="SWE124" s="67"/>
      <c r="SWF124" s="67"/>
      <c r="SWG124" s="67"/>
      <c r="SWH124" s="67"/>
      <c r="SWI124" s="67"/>
      <c r="SWJ124" s="67"/>
      <c r="SWK124" s="67"/>
      <c r="SWL124" s="67"/>
      <c r="SWM124" s="67"/>
      <c r="SWN124" s="67"/>
      <c r="SWO124" s="67"/>
      <c r="SWP124" s="67"/>
      <c r="SWQ124" s="67"/>
      <c r="SWR124" s="67"/>
      <c r="SWS124" s="67"/>
      <c r="SWT124" s="67"/>
      <c r="SWU124" s="67"/>
      <c r="SWV124" s="67"/>
      <c r="SWW124" s="67"/>
      <c r="SWX124" s="67"/>
      <c r="SWY124" s="67"/>
      <c r="SWZ124" s="67"/>
      <c r="SXA124" s="67"/>
      <c r="SXB124" s="67"/>
      <c r="SXC124" s="67"/>
      <c r="SXD124" s="67"/>
      <c r="SXE124" s="67"/>
      <c r="SXF124" s="67"/>
      <c r="SXG124" s="67"/>
      <c r="SXH124" s="67"/>
      <c r="SXI124" s="67"/>
      <c r="SXJ124" s="67"/>
      <c r="SXK124" s="67"/>
      <c r="SXL124" s="67"/>
      <c r="SXM124" s="67"/>
      <c r="SXN124" s="67"/>
      <c r="SXO124" s="67"/>
      <c r="SXP124" s="67"/>
      <c r="SXQ124" s="67"/>
      <c r="SXR124" s="67"/>
      <c r="SXS124" s="67"/>
      <c r="SXT124" s="67"/>
      <c r="SXU124" s="67"/>
      <c r="SXV124" s="67"/>
      <c r="SXW124" s="67"/>
      <c r="SXX124" s="67"/>
      <c r="SXY124" s="67"/>
      <c r="SXZ124" s="67"/>
      <c r="SYA124" s="67"/>
      <c r="SYB124" s="67"/>
      <c r="SYC124" s="67"/>
      <c r="SYD124" s="67"/>
      <c r="SYE124" s="67"/>
      <c r="SYF124" s="67"/>
      <c r="SYG124" s="67"/>
      <c r="SYH124" s="67"/>
      <c r="SYI124" s="67"/>
      <c r="SYJ124" s="67"/>
      <c r="SYK124" s="67"/>
      <c r="SYL124" s="67"/>
      <c r="SYM124" s="67"/>
      <c r="SYN124" s="67"/>
      <c r="SYO124" s="67"/>
      <c r="SYP124" s="67"/>
      <c r="SYQ124" s="67"/>
      <c r="SYR124" s="67"/>
      <c r="SYS124" s="67"/>
      <c r="SYT124" s="67"/>
      <c r="SYU124" s="67"/>
      <c r="SYV124" s="67"/>
      <c r="SYW124" s="67"/>
      <c r="SYX124" s="67"/>
      <c r="SYY124" s="67"/>
      <c r="SYZ124" s="67"/>
      <c r="SZA124" s="67"/>
      <c r="SZB124" s="67"/>
      <c r="SZC124" s="67"/>
      <c r="SZD124" s="67"/>
      <c r="SZE124" s="67"/>
      <c r="SZF124" s="67"/>
      <c r="SZG124" s="67"/>
      <c r="SZH124" s="67"/>
      <c r="SZI124" s="67"/>
      <c r="SZJ124" s="67"/>
      <c r="SZK124" s="67"/>
      <c r="SZL124" s="67"/>
      <c r="SZM124" s="67"/>
      <c r="SZN124" s="67"/>
      <c r="SZO124" s="67"/>
      <c r="SZP124" s="67"/>
      <c r="SZQ124" s="67"/>
      <c r="SZR124" s="67"/>
      <c r="SZS124" s="67"/>
      <c r="SZT124" s="67"/>
      <c r="SZU124" s="67"/>
      <c r="SZV124" s="67"/>
      <c r="SZW124" s="67"/>
      <c r="SZX124" s="67"/>
      <c r="SZY124" s="67"/>
      <c r="SZZ124" s="67"/>
      <c r="TAA124" s="67"/>
      <c r="TAB124" s="67"/>
      <c r="TAC124" s="67"/>
      <c r="TAD124" s="67"/>
      <c r="TAE124" s="67"/>
      <c r="TAF124" s="67"/>
      <c r="TAG124" s="67"/>
      <c r="TAH124" s="67"/>
      <c r="TAI124" s="67"/>
      <c r="TAJ124" s="67"/>
      <c r="TAK124" s="67"/>
      <c r="TAL124" s="67"/>
      <c r="TAM124" s="67"/>
      <c r="TAN124" s="67"/>
      <c r="TAO124" s="67"/>
      <c r="TAP124" s="67"/>
      <c r="TAQ124" s="67"/>
      <c r="TAR124" s="67"/>
      <c r="TAS124" s="67"/>
      <c r="TAT124" s="67"/>
      <c r="TAU124" s="67"/>
      <c r="TAV124" s="67"/>
      <c r="TAW124" s="67"/>
      <c r="TAX124" s="67"/>
      <c r="TAY124" s="67"/>
      <c r="TAZ124" s="67"/>
      <c r="TBA124" s="67"/>
      <c r="TBB124" s="67"/>
      <c r="TBC124" s="67"/>
      <c r="TBD124" s="67"/>
      <c r="TBE124" s="67"/>
      <c r="TBF124" s="67"/>
      <c r="TBG124" s="67"/>
      <c r="TBH124" s="67"/>
      <c r="TBI124" s="67"/>
      <c r="TBJ124" s="67"/>
      <c r="TBK124" s="67"/>
      <c r="TBL124" s="67"/>
      <c r="TBM124" s="67"/>
      <c r="TBN124" s="67"/>
      <c r="TBO124" s="67"/>
      <c r="TBP124" s="67"/>
      <c r="TBQ124" s="67"/>
      <c r="TBR124" s="67"/>
      <c r="TBS124" s="67"/>
      <c r="TBT124" s="67"/>
      <c r="TBU124" s="67"/>
      <c r="TBV124" s="67"/>
      <c r="TBW124" s="67"/>
      <c r="TBX124" s="67"/>
      <c r="TBY124" s="67"/>
      <c r="TBZ124" s="67"/>
      <c r="TCA124" s="67"/>
      <c r="TCB124" s="67"/>
      <c r="TCC124" s="67"/>
      <c r="TCD124" s="67"/>
      <c r="TCE124" s="67"/>
      <c r="TCF124" s="67"/>
      <c r="TCG124" s="67"/>
      <c r="TCH124" s="67"/>
      <c r="TCI124" s="67"/>
      <c r="TCJ124" s="67"/>
      <c r="TCK124" s="67"/>
      <c r="TCL124" s="67"/>
      <c r="TCM124" s="67"/>
      <c r="TCN124" s="67"/>
      <c r="TCO124" s="67"/>
      <c r="TCP124" s="67"/>
      <c r="TCQ124" s="67"/>
      <c r="TCR124" s="67"/>
      <c r="TCS124" s="67"/>
      <c r="TCT124" s="67"/>
      <c r="TCU124" s="67"/>
      <c r="TCV124" s="67"/>
      <c r="TCW124" s="67"/>
      <c r="TCX124" s="67"/>
      <c r="TCY124" s="67"/>
      <c r="TCZ124" s="67"/>
      <c r="TDA124" s="67"/>
      <c r="TDB124" s="67"/>
      <c r="TDC124" s="67"/>
      <c r="TDD124" s="67"/>
      <c r="TDE124" s="67"/>
      <c r="TDF124" s="67"/>
      <c r="TDG124" s="67"/>
      <c r="TDH124" s="67"/>
      <c r="TDI124" s="67"/>
      <c r="TDJ124" s="67"/>
      <c r="TDK124" s="67"/>
      <c r="TDL124" s="67"/>
      <c r="TDM124" s="67"/>
      <c r="TDN124" s="67"/>
      <c r="TDO124" s="67"/>
      <c r="TDP124" s="67"/>
      <c r="TDQ124" s="67"/>
      <c r="TDR124" s="67"/>
      <c r="TDS124" s="67"/>
      <c r="TDT124" s="67"/>
      <c r="TDU124" s="67"/>
      <c r="TDV124" s="67"/>
      <c r="TDW124" s="67"/>
      <c r="TDX124" s="67"/>
      <c r="TDY124" s="67"/>
      <c r="TDZ124" s="67"/>
      <c r="TEA124" s="67"/>
      <c r="TEB124" s="67"/>
      <c r="TEC124" s="67"/>
      <c r="TED124" s="67"/>
      <c r="TEE124" s="67"/>
      <c r="TEF124" s="67"/>
      <c r="TEG124" s="67"/>
      <c r="TEH124" s="67"/>
      <c r="TEI124" s="67"/>
      <c r="TEJ124" s="67"/>
      <c r="TEK124" s="67"/>
      <c r="TEL124" s="67"/>
      <c r="TEM124" s="67"/>
      <c r="TEN124" s="67"/>
      <c r="TEO124" s="67"/>
      <c r="TEP124" s="67"/>
      <c r="TEQ124" s="67"/>
      <c r="TER124" s="67"/>
      <c r="TES124" s="67"/>
      <c r="TET124" s="67"/>
      <c r="TEU124" s="67"/>
      <c r="TEV124" s="67"/>
      <c r="TEW124" s="67"/>
      <c r="TEX124" s="67"/>
      <c r="TEY124" s="67"/>
      <c r="TEZ124" s="67"/>
      <c r="TFA124" s="67"/>
      <c r="TFB124" s="67"/>
      <c r="TFC124" s="67"/>
      <c r="TFD124" s="67"/>
      <c r="TFE124" s="67"/>
      <c r="TFF124" s="67"/>
      <c r="TFG124" s="67"/>
      <c r="TFH124" s="67"/>
      <c r="TFI124" s="67"/>
      <c r="TFJ124" s="67"/>
      <c r="TFK124" s="67"/>
      <c r="TFL124" s="67"/>
      <c r="TFM124" s="67"/>
      <c r="TFN124" s="67"/>
      <c r="TFO124" s="67"/>
      <c r="TFP124" s="67"/>
      <c r="TFQ124" s="67"/>
      <c r="TFR124" s="67"/>
      <c r="TFS124" s="67"/>
      <c r="TFT124" s="67"/>
      <c r="TFU124" s="67"/>
      <c r="TFV124" s="67"/>
      <c r="TFW124" s="67"/>
      <c r="TFX124" s="67"/>
      <c r="TFY124" s="67"/>
      <c r="TFZ124" s="67"/>
      <c r="TGA124" s="67"/>
      <c r="TGB124" s="67"/>
      <c r="TGC124" s="67"/>
      <c r="TGD124" s="67"/>
      <c r="TGE124" s="67"/>
      <c r="TGF124" s="67"/>
      <c r="TGG124" s="67"/>
      <c r="TGH124" s="67"/>
      <c r="TGI124" s="67"/>
      <c r="TGJ124" s="67"/>
      <c r="TGK124" s="67"/>
      <c r="TGL124" s="67"/>
      <c r="TGM124" s="67"/>
      <c r="TGN124" s="67"/>
      <c r="TGO124" s="67"/>
      <c r="TGP124" s="67"/>
      <c r="TGQ124" s="67"/>
      <c r="TGR124" s="67"/>
      <c r="TGS124" s="67"/>
      <c r="TGT124" s="67"/>
      <c r="TGU124" s="67"/>
      <c r="TGV124" s="67"/>
      <c r="TGW124" s="67"/>
      <c r="TGX124" s="67"/>
      <c r="TGY124" s="67"/>
      <c r="TGZ124" s="67"/>
      <c r="THA124" s="67"/>
      <c r="THB124" s="67"/>
      <c r="THC124" s="67"/>
      <c r="THD124" s="67"/>
      <c r="THE124" s="67"/>
      <c r="THF124" s="67"/>
      <c r="THG124" s="67"/>
      <c r="THH124" s="67"/>
      <c r="THI124" s="67"/>
      <c r="THJ124" s="67"/>
      <c r="THK124" s="67"/>
      <c r="THL124" s="67"/>
      <c r="THM124" s="67"/>
      <c r="THN124" s="67"/>
      <c r="THO124" s="67"/>
      <c r="THP124" s="67"/>
      <c r="THQ124" s="67"/>
      <c r="THR124" s="67"/>
      <c r="THS124" s="67"/>
      <c r="THT124" s="67"/>
      <c r="THU124" s="67"/>
      <c r="THV124" s="67"/>
      <c r="THW124" s="67"/>
      <c r="THX124" s="67"/>
      <c r="THY124" s="67"/>
      <c r="THZ124" s="67"/>
      <c r="TIA124" s="67"/>
      <c r="TIB124" s="67"/>
      <c r="TIC124" s="67"/>
      <c r="TID124" s="67"/>
      <c r="TIE124" s="67"/>
      <c r="TIF124" s="67"/>
      <c r="TIG124" s="67"/>
      <c r="TIH124" s="67"/>
      <c r="TII124" s="67"/>
      <c r="TIJ124" s="67"/>
      <c r="TIK124" s="67"/>
      <c r="TIL124" s="67"/>
      <c r="TIM124" s="67"/>
      <c r="TIN124" s="67"/>
      <c r="TIO124" s="67"/>
      <c r="TIP124" s="67"/>
      <c r="TIQ124" s="67"/>
      <c r="TIR124" s="67"/>
      <c r="TIS124" s="67"/>
      <c r="TIT124" s="67"/>
      <c r="TIU124" s="67"/>
      <c r="TIV124" s="67"/>
      <c r="TIW124" s="67"/>
      <c r="TIX124" s="67"/>
      <c r="TIY124" s="67"/>
      <c r="TIZ124" s="67"/>
      <c r="TJA124" s="67"/>
      <c r="TJB124" s="67"/>
      <c r="TJC124" s="67"/>
      <c r="TJD124" s="67"/>
      <c r="TJE124" s="67"/>
      <c r="TJF124" s="67"/>
      <c r="TJG124" s="67"/>
      <c r="TJH124" s="67"/>
      <c r="TJI124" s="67"/>
      <c r="TJJ124" s="67"/>
      <c r="TJK124" s="67"/>
      <c r="TJL124" s="67"/>
      <c r="TJM124" s="67"/>
      <c r="TJN124" s="67"/>
      <c r="TJO124" s="67"/>
      <c r="TJP124" s="67"/>
      <c r="TJQ124" s="67"/>
      <c r="TJR124" s="67"/>
      <c r="TJS124" s="67"/>
      <c r="TJT124" s="67"/>
      <c r="TJU124" s="67"/>
      <c r="TJV124" s="67"/>
      <c r="TJW124" s="67"/>
      <c r="TJX124" s="67"/>
      <c r="TJY124" s="67"/>
      <c r="TJZ124" s="67"/>
      <c r="TKA124" s="67"/>
      <c r="TKB124" s="67"/>
      <c r="TKC124" s="67"/>
      <c r="TKD124" s="67"/>
      <c r="TKE124" s="67"/>
      <c r="TKF124" s="67"/>
      <c r="TKG124" s="67"/>
      <c r="TKH124" s="67"/>
      <c r="TKI124" s="67"/>
      <c r="TKJ124" s="67"/>
      <c r="TKK124" s="67"/>
      <c r="TKL124" s="67"/>
      <c r="TKM124" s="67"/>
      <c r="TKN124" s="67"/>
      <c r="TKO124" s="67"/>
      <c r="TKP124" s="67"/>
      <c r="TKQ124" s="67"/>
      <c r="TKR124" s="67"/>
      <c r="TKS124" s="67"/>
      <c r="TKT124" s="67"/>
      <c r="TKU124" s="67"/>
      <c r="TKV124" s="67"/>
      <c r="TKW124" s="67"/>
      <c r="TKX124" s="67"/>
      <c r="TKY124" s="67"/>
      <c r="TKZ124" s="67"/>
      <c r="TLA124" s="67"/>
      <c r="TLB124" s="67"/>
      <c r="TLC124" s="67"/>
      <c r="TLD124" s="67"/>
      <c r="TLE124" s="67"/>
      <c r="TLF124" s="67"/>
      <c r="TLG124" s="67"/>
      <c r="TLH124" s="67"/>
      <c r="TLI124" s="67"/>
      <c r="TLJ124" s="67"/>
      <c r="TLK124" s="67"/>
      <c r="TLL124" s="67"/>
      <c r="TLM124" s="67"/>
      <c r="TLN124" s="67"/>
      <c r="TLO124" s="67"/>
      <c r="TLP124" s="67"/>
      <c r="TLQ124" s="67"/>
      <c r="TLR124" s="67"/>
      <c r="TLS124" s="67"/>
      <c r="TLT124" s="67"/>
      <c r="TLU124" s="67"/>
      <c r="TLV124" s="67"/>
      <c r="TLW124" s="67"/>
      <c r="TLX124" s="67"/>
      <c r="TLY124" s="67"/>
      <c r="TLZ124" s="67"/>
      <c r="TMA124" s="67"/>
      <c r="TMB124" s="67"/>
      <c r="TMC124" s="67"/>
      <c r="TMD124" s="67"/>
      <c r="TME124" s="67"/>
      <c r="TMF124" s="67"/>
      <c r="TMG124" s="67"/>
      <c r="TMH124" s="67"/>
      <c r="TMI124" s="67"/>
      <c r="TMJ124" s="67"/>
      <c r="TMK124" s="67"/>
      <c r="TML124" s="67"/>
      <c r="TMM124" s="67"/>
      <c r="TMN124" s="67"/>
      <c r="TMO124" s="67"/>
      <c r="TMP124" s="67"/>
      <c r="TMQ124" s="67"/>
      <c r="TMR124" s="67"/>
      <c r="TMS124" s="67"/>
      <c r="TMT124" s="67"/>
      <c r="TMU124" s="67"/>
      <c r="TMV124" s="67"/>
      <c r="TMW124" s="67"/>
      <c r="TMX124" s="67"/>
      <c r="TMY124" s="67"/>
      <c r="TMZ124" s="67"/>
      <c r="TNA124" s="67"/>
      <c r="TNB124" s="67"/>
      <c r="TNC124" s="67"/>
      <c r="TND124" s="67"/>
      <c r="TNE124" s="67"/>
      <c r="TNF124" s="67"/>
      <c r="TNG124" s="67"/>
      <c r="TNH124" s="67"/>
      <c r="TNI124" s="67"/>
      <c r="TNJ124" s="67"/>
      <c r="TNK124" s="67"/>
      <c r="TNL124" s="67"/>
      <c r="TNM124" s="67"/>
      <c r="TNN124" s="67"/>
      <c r="TNO124" s="67"/>
      <c r="TNP124" s="67"/>
      <c r="TNQ124" s="67"/>
      <c r="TNR124" s="67"/>
      <c r="TNS124" s="67"/>
      <c r="TNT124" s="67"/>
      <c r="TNU124" s="67"/>
      <c r="TNV124" s="67"/>
      <c r="TNW124" s="67"/>
      <c r="TNX124" s="67"/>
      <c r="TNY124" s="67"/>
      <c r="TNZ124" s="67"/>
      <c r="TOA124" s="67"/>
      <c r="TOB124" s="67"/>
      <c r="TOC124" s="67"/>
      <c r="TOD124" s="67"/>
      <c r="TOE124" s="67"/>
      <c r="TOF124" s="67"/>
      <c r="TOG124" s="67"/>
      <c r="TOH124" s="67"/>
      <c r="TOI124" s="67"/>
      <c r="TOJ124" s="67"/>
      <c r="TOK124" s="67"/>
      <c r="TOL124" s="67"/>
      <c r="TOM124" s="67"/>
      <c r="TON124" s="67"/>
      <c r="TOO124" s="67"/>
      <c r="TOP124" s="67"/>
      <c r="TOQ124" s="67"/>
      <c r="TOR124" s="67"/>
      <c r="TOS124" s="67"/>
      <c r="TOT124" s="67"/>
      <c r="TOU124" s="67"/>
      <c r="TOV124" s="67"/>
      <c r="TOW124" s="67"/>
      <c r="TOX124" s="67"/>
      <c r="TOY124" s="67"/>
      <c r="TOZ124" s="67"/>
      <c r="TPA124" s="67"/>
      <c r="TPB124" s="67"/>
      <c r="TPC124" s="67"/>
      <c r="TPD124" s="67"/>
      <c r="TPE124" s="67"/>
      <c r="TPF124" s="67"/>
      <c r="TPG124" s="67"/>
      <c r="TPH124" s="67"/>
      <c r="TPI124" s="67"/>
      <c r="TPJ124" s="67"/>
      <c r="TPK124" s="67"/>
      <c r="TPL124" s="67"/>
      <c r="TPM124" s="67"/>
      <c r="TPN124" s="67"/>
      <c r="TPO124" s="67"/>
      <c r="TPP124" s="67"/>
      <c r="TPQ124" s="67"/>
      <c r="TPR124" s="67"/>
      <c r="TPS124" s="67"/>
      <c r="TPT124" s="67"/>
      <c r="TPU124" s="67"/>
      <c r="TPV124" s="67"/>
      <c r="TPW124" s="67"/>
      <c r="TPX124" s="67"/>
      <c r="TPY124" s="67"/>
      <c r="TPZ124" s="67"/>
      <c r="TQA124" s="67"/>
      <c r="TQB124" s="67"/>
      <c r="TQC124" s="67"/>
      <c r="TQD124" s="67"/>
      <c r="TQE124" s="67"/>
      <c r="TQF124" s="67"/>
      <c r="TQG124" s="67"/>
      <c r="TQH124" s="67"/>
      <c r="TQI124" s="67"/>
      <c r="TQJ124" s="67"/>
      <c r="TQK124" s="67"/>
      <c r="TQL124" s="67"/>
      <c r="TQM124" s="67"/>
      <c r="TQN124" s="67"/>
      <c r="TQO124" s="67"/>
      <c r="TQP124" s="67"/>
      <c r="TQQ124" s="67"/>
      <c r="TQR124" s="67"/>
      <c r="TQS124" s="67"/>
      <c r="TQT124" s="67"/>
      <c r="TQU124" s="67"/>
      <c r="TQV124" s="67"/>
      <c r="TQW124" s="67"/>
      <c r="TQX124" s="67"/>
      <c r="TQY124" s="67"/>
      <c r="TQZ124" s="67"/>
      <c r="TRA124" s="67"/>
      <c r="TRB124" s="67"/>
      <c r="TRC124" s="67"/>
      <c r="TRD124" s="67"/>
      <c r="TRE124" s="67"/>
      <c r="TRF124" s="67"/>
      <c r="TRG124" s="67"/>
      <c r="TRH124" s="67"/>
      <c r="TRI124" s="67"/>
      <c r="TRJ124" s="67"/>
      <c r="TRK124" s="67"/>
      <c r="TRL124" s="67"/>
      <c r="TRM124" s="67"/>
      <c r="TRN124" s="67"/>
      <c r="TRO124" s="67"/>
      <c r="TRP124" s="67"/>
      <c r="TRQ124" s="67"/>
      <c r="TRR124" s="67"/>
      <c r="TRS124" s="67"/>
      <c r="TRT124" s="67"/>
      <c r="TRU124" s="67"/>
      <c r="TRV124" s="67"/>
      <c r="TRW124" s="67"/>
      <c r="TRX124" s="67"/>
      <c r="TRY124" s="67"/>
      <c r="TRZ124" s="67"/>
      <c r="TSA124" s="67"/>
      <c r="TSB124" s="67"/>
      <c r="TSC124" s="67"/>
      <c r="TSD124" s="67"/>
      <c r="TSE124" s="67"/>
      <c r="TSF124" s="67"/>
      <c r="TSG124" s="67"/>
      <c r="TSH124" s="67"/>
      <c r="TSI124" s="67"/>
      <c r="TSJ124" s="67"/>
      <c r="TSK124" s="67"/>
      <c r="TSL124" s="67"/>
      <c r="TSM124" s="67"/>
      <c r="TSN124" s="67"/>
      <c r="TSO124" s="67"/>
      <c r="TSP124" s="67"/>
      <c r="TSQ124" s="67"/>
      <c r="TSR124" s="67"/>
      <c r="TSS124" s="67"/>
      <c r="TST124" s="67"/>
      <c r="TSU124" s="67"/>
      <c r="TSV124" s="67"/>
      <c r="TSW124" s="67"/>
      <c r="TSX124" s="67"/>
      <c r="TSY124" s="67"/>
      <c r="TSZ124" s="67"/>
      <c r="TTA124" s="67"/>
      <c r="TTB124" s="67"/>
      <c r="TTC124" s="67"/>
      <c r="TTD124" s="67"/>
      <c r="TTE124" s="67"/>
      <c r="TTF124" s="67"/>
      <c r="TTG124" s="67"/>
      <c r="TTH124" s="67"/>
      <c r="TTI124" s="67"/>
      <c r="TTJ124" s="67"/>
      <c r="TTK124" s="67"/>
      <c r="TTL124" s="67"/>
      <c r="TTM124" s="67"/>
      <c r="TTN124" s="67"/>
      <c r="TTO124" s="67"/>
      <c r="TTP124" s="67"/>
      <c r="TTQ124" s="67"/>
      <c r="TTR124" s="67"/>
      <c r="TTS124" s="67"/>
      <c r="TTT124" s="67"/>
      <c r="TTU124" s="67"/>
      <c r="TTV124" s="67"/>
      <c r="TTW124" s="67"/>
      <c r="TTX124" s="67"/>
      <c r="TTY124" s="67"/>
      <c r="TTZ124" s="67"/>
      <c r="TUA124" s="67"/>
      <c r="TUB124" s="67"/>
      <c r="TUC124" s="67"/>
      <c r="TUD124" s="67"/>
      <c r="TUE124" s="67"/>
      <c r="TUF124" s="67"/>
      <c r="TUG124" s="67"/>
      <c r="TUH124" s="67"/>
      <c r="TUI124" s="67"/>
      <c r="TUJ124" s="67"/>
      <c r="TUK124" s="67"/>
      <c r="TUL124" s="67"/>
      <c r="TUM124" s="67"/>
      <c r="TUN124" s="67"/>
      <c r="TUO124" s="67"/>
      <c r="TUP124" s="67"/>
      <c r="TUQ124" s="67"/>
      <c r="TUR124" s="67"/>
      <c r="TUS124" s="67"/>
      <c r="TUT124" s="67"/>
      <c r="TUU124" s="67"/>
      <c r="TUV124" s="67"/>
      <c r="TUW124" s="67"/>
      <c r="TUX124" s="67"/>
      <c r="TUY124" s="67"/>
      <c r="TUZ124" s="67"/>
      <c r="TVA124" s="67"/>
      <c r="TVB124" s="67"/>
      <c r="TVC124" s="67"/>
      <c r="TVD124" s="67"/>
      <c r="TVE124" s="67"/>
      <c r="TVF124" s="67"/>
      <c r="TVG124" s="67"/>
      <c r="TVH124" s="67"/>
      <c r="TVI124" s="67"/>
      <c r="TVJ124" s="67"/>
      <c r="TVK124" s="67"/>
      <c r="TVL124" s="67"/>
      <c r="TVM124" s="67"/>
      <c r="TVN124" s="67"/>
      <c r="TVO124" s="67"/>
      <c r="TVP124" s="67"/>
      <c r="TVQ124" s="67"/>
      <c r="TVR124" s="67"/>
      <c r="TVS124" s="67"/>
      <c r="TVT124" s="67"/>
      <c r="TVU124" s="67"/>
      <c r="TVV124" s="67"/>
      <c r="TVW124" s="67"/>
      <c r="TVX124" s="67"/>
      <c r="TVY124" s="67"/>
      <c r="TVZ124" s="67"/>
      <c r="TWA124" s="67"/>
      <c r="TWB124" s="67"/>
      <c r="TWC124" s="67"/>
      <c r="TWD124" s="67"/>
      <c r="TWE124" s="67"/>
      <c r="TWF124" s="67"/>
      <c r="TWG124" s="67"/>
      <c r="TWH124" s="67"/>
      <c r="TWI124" s="67"/>
      <c r="TWJ124" s="67"/>
      <c r="TWK124" s="67"/>
      <c r="TWL124" s="67"/>
      <c r="TWM124" s="67"/>
      <c r="TWN124" s="67"/>
      <c r="TWO124" s="67"/>
      <c r="TWP124" s="67"/>
      <c r="TWQ124" s="67"/>
      <c r="TWR124" s="67"/>
      <c r="TWS124" s="67"/>
      <c r="TWT124" s="67"/>
      <c r="TWU124" s="67"/>
      <c r="TWV124" s="67"/>
      <c r="TWW124" s="67"/>
      <c r="TWX124" s="67"/>
      <c r="TWY124" s="67"/>
      <c r="TWZ124" s="67"/>
      <c r="TXA124" s="67"/>
      <c r="TXB124" s="67"/>
      <c r="TXC124" s="67"/>
      <c r="TXD124" s="67"/>
      <c r="TXE124" s="67"/>
      <c r="TXF124" s="67"/>
      <c r="TXG124" s="67"/>
      <c r="TXH124" s="67"/>
      <c r="TXI124" s="67"/>
      <c r="TXJ124" s="67"/>
      <c r="TXK124" s="67"/>
      <c r="TXL124" s="67"/>
      <c r="TXM124" s="67"/>
      <c r="TXN124" s="67"/>
      <c r="TXO124" s="67"/>
      <c r="TXP124" s="67"/>
      <c r="TXQ124" s="67"/>
      <c r="TXR124" s="67"/>
      <c r="TXS124" s="67"/>
      <c r="TXT124" s="67"/>
      <c r="TXU124" s="67"/>
      <c r="TXV124" s="67"/>
      <c r="TXW124" s="67"/>
      <c r="TXX124" s="67"/>
      <c r="TXY124" s="67"/>
      <c r="TXZ124" s="67"/>
      <c r="TYA124" s="67"/>
      <c r="TYB124" s="67"/>
      <c r="TYC124" s="67"/>
      <c r="TYD124" s="67"/>
      <c r="TYE124" s="67"/>
      <c r="TYF124" s="67"/>
      <c r="TYG124" s="67"/>
      <c r="TYH124" s="67"/>
      <c r="TYI124" s="67"/>
      <c r="TYJ124" s="67"/>
      <c r="TYK124" s="67"/>
      <c r="TYL124" s="67"/>
      <c r="TYM124" s="67"/>
      <c r="TYN124" s="67"/>
      <c r="TYO124" s="67"/>
      <c r="TYP124" s="67"/>
      <c r="TYQ124" s="67"/>
      <c r="TYR124" s="67"/>
      <c r="TYS124" s="67"/>
      <c r="TYT124" s="67"/>
      <c r="TYU124" s="67"/>
      <c r="TYV124" s="67"/>
      <c r="TYW124" s="67"/>
      <c r="TYX124" s="67"/>
      <c r="TYY124" s="67"/>
      <c r="TYZ124" s="67"/>
      <c r="TZA124" s="67"/>
      <c r="TZB124" s="67"/>
      <c r="TZC124" s="67"/>
      <c r="TZD124" s="67"/>
      <c r="TZE124" s="67"/>
      <c r="TZF124" s="67"/>
      <c r="TZG124" s="67"/>
      <c r="TZH124" s="67"/>
      <c r="TZI124" s="67"/>
      <c r="TZJ124" s="67"/>
      <c r="TZK124" s="67"/>
      <c r="TZL124" s="67"/>
      <c r="TZM124" s="67"/>
      <c r="TZN124" s="67"/>
      <c r="TZO124" s="67"/>
      <c r="TZP124" s="67"/>
      <c r="TZQ124" s="67"/>
      <c r="TZR124" s="67"/>
      <c r="TZS124" s="67"/>
      <c r="TZT124" s="67"/>
      <c r="TZU124" s="67"/>
      <c r="TZV124" s="67"/>
      <c r="TZW124" s="67"/>
      <c r="TZX124" s="67"/>
      <c r="TZY124" s="67"/>
      <c r="TZZ124" s="67"/>
      <c r="UAA124" s="67"/>
      <c r="UAB124" s="67"/>
      <c r="UAC124" s="67"/>
      <c r="UAD124" s="67"/>
      <c r="UAE124" s="67"/>
      <c r="UAF124" s="67"/>
      <c r="UAG124" s="67"/>
      <c r="UAH124" s="67"/>
      <c r="UAI124" s="67"/>
      <c r="UAJ124" s="67"/>
      <c r="UAK124" s="67"/>
      <c r="UAL124" s="67"/>
      <c r="UAM124" s="67"/>
      <c r="UAN124" s="67"/>
      <c r="UAO124" s="67"/>
      <c r="UAP124" s="67"/>
      <c r="UAQ124" s="67"/>
      <c r="UAR124" s="67"/>
      <c r="UAS124" s="67"/>
      <c r="UAT124" s="67"/>
      <c r="UAU124" s="67"/>
      <c r="UAV124" s="67"/>
      <c r="UAW124" s="67"/>
      <c r="UAX124" s="67"/>
      <c r="UAY124" s="67"/>
      <c r="UAZ124" s="67"/>
      <c r="UBA124" s="67"/>
      <c r="UBB124" s="67"/>
      <c r="UBC124" s="67"/>
      <c r="UBD124" s="67"/>
      <c r="UBE124" s="67"/>
      <c r="UBF124" s="67"/>
      <c r="UBG124" s="67"/>
      <c r="UBH124" s="67"/>
      <c r="UBI124" s="67"/>
      <c r="UBJ124" s="67"/>
      <c r="UBK124" s="67"/>
      <c r="UBL124" s="67"/>
      <c r="UBM124" s="67"/>
      <c r="UBN124" s="67"/>
      <c r="UBO124" s="67"/>
      <c r="UBP124" s="67"/>
      <c r="UBQ124" s="67"/>
      <c r="UBR124" s="67"/>
      <c r="UBS124" s="67"/>
      <c r="UBT124" s="67"/>
      <c r="UBU124" s="67"/>
      <c r="UBV124" s="67"/>
      <c r="UBW124" s="67"/>
      <c r="UBX124" s="67"/>
      <c r="UBY124" s="67"/>
      <c r="UBZ124" s="67"/>
      <c r="UCA124" s="67"/>
      <c r="UCB124" s="67"/>
      <c r="UCC124" s="67"/>
      <c r="UCD124" s="67"/>
      <c r="UCE124" s="67"/>
      <c r="UCF124" s="67"/>
      <c r="UCG124" s="67"/>
      <c r="UCH124" s="67"/>
      <c r="UCI124" s="67"/>
      <c r="UCJ124" s="67"/>
      <c r="UCK124" s="67"/>
      <c r="UCL124" s="67"/>
      <c r="UCM124" s="67"/>
      <c r="UCN124" s="67"/>
      <c r="UCO124" s="67"/>
      <c r="UCP124" s="67"/>
      <c r="UCQ124" s="67"/>
      <c r="UCR124" s="67"/>
      <c r="UCS124" s="67"/>
      <c r="UCT124" s="67"/>
      <c r="UCU124" s="67"/>
      <c r="UCV124" s="67"/>
      <c r="UCW124" s="67"/>
      <c r="UCX124" s="67"/>
      <c r="UCY124" s="67"/>
      <c r="UCZ124" s="67"/>
      <c r="UDA124" s="67"/>
      <c r="UDB124" s="67"/>
      <c r="UDC124" s="67"/>
      <c r="UDD124" s="67"/>
      <c r="UDE124" s="67"/>
      <c r="UDF124" s="67"/>
      <c r="UDG124" s="67"/>
      <c r="UDH124" s="67"/>
      <c r="UDI124" s="67"/>
      <c r="UDJ124" s="67"/>
      <c r="UDK124" s="67"/>
      <c r="UDL124" s="67"/>
      <c r="UDM124" s="67"/>
      <c r="UDN124" s="67"/>
      <c r="UDO124" s="67"/>
      <c r="UDP124" s="67"/>
      <c r="UDQ124" s="67"/>
      <c r="UDR124" s="67"/>
      <c r="UDS124" s="67"/>
      <c r="UDT124" s="67"/>
      <c r="UDU124" s="67"/>
      <c r="UDV124" s="67"/>
      <c r="UDW124" s="67"/>
      <c r="UDX124" s="67"/>
      <c r="UDY124" s="67"/>
      <c r="UDZ124" s="67"/>
      <c r="UEA124" s="67"/>
      <c r="UEB124" s="67"/>
      <c r="UEC124" s="67"/>
      <c r="UED124" s="67"/>
      <c r="UEE124" s="67"/>
      <c r="UEF124" s="67"/>
      <c r="UEG124" s="67"/>
      <c r="UEH124" s="67"/>
      <c r="UEI124" s="67"/>
      <c r="UEJ124" s="67"/>
      <c r="UEK124" s="67"/>
      <c r="UEL124" s="67"/>
      <c r="UEM124" s="67"/>
      <c r="UEN124" s="67"/>
      <c r="UEO124" s="67"/>
      <c r="UEP124" s="67"/>
      <c r="UEQ124" s="67"/>
      <c r="UER124" s="67"/>
      <c r="UES124" s="67"/>
      <c r="UET124" s="67"/>
      <c r="UEU124" s="67"/>
      <c r="UEV124" s="67"/>
      <c r="UEW124" s="67"/>
      <c r="UEX124" s="67"/>
      <c r="UEY124" s="67"/>
      <c r="UEZ124" s="67"/>
      <c r="UFA124" s="67"/>
      <c r="UFB124" s="67"/>
      <c r="UFC124" s="67"/>
      <c r="UFD124" s="67"/>
      <c r="UFE124" s="67"/>
      <c r="UFF124" s="67"/>
      <c r="UFG124" s="67"/>
      <c r="UFH124" s="67"/>
      <c r="UFI124" s="67"/>
      <c r="UFJ124" s="67"/>
      <c r="UFK124" s="67"/>
      <c r="UFL124" s="67"/>
      <c r="UFM124" s="67"/>
      <c r="UFN124" s="67"/>
      <c r="UFO124" s="67"/>
      <c r="UFP124" s="67"/>
      <c r="UFQ124" s="67"/>
      <c r="UFR124" s="67"/>
      <c r="UFS124" s="67"/>
      <c r="UFT124" s="67"/>
      <c r="UFU124" s="67"/>
      <c r="UFV124" s="67"/>
      <c r="UFW124" s="67"/>
      <c r="UFX124" s="67"/>
      <c r="UFY124" s="67"/>
      <c r="UFZ124" s="67"/>
      <c r="UGA124" s="67"/>
      <c r="UGB124" s="67"/>
      <c r="UGC124" s="67"/>
      <c r="UGD124" s="67"/>
      <c r="UGE124" s="67"/>
      <c r="UGF124" s="67"/>
      <c r="UGG124" s="67"/>
      <c r="UGH124" s="67"/>
      <c r="UGI124" s="67"/>
      <c r="UGJ124" s="67"/>
      <c r="UGK124" s="67"/>
      <c r="UGL124" s="67"/>
      <c r="UGM124" s="67"/>
      <c r="UGN124" s="67"/>
      <c r="UGO124" s="67"/>
      <c r="UGP124" s="67"/>
      <c r="UGQ124" s="67"/>
      <c r="UGR124" s="67"/>
      <c r="UGS124" s="67"/>
      <c r="UGT124" s="67"/>
      <c r="UGU124" s="67"/>
      <c r="UGV124" s="67"/>
      <c r="UGW124" s="67"/>
      <c r="UGX124" s="67"/>
      <c r="UGY124" s="67"/>
      <c r="UGZ124" s="67"/>
      <c r="UHA124" s="67"/>
      <c r="UHB124" s="67"/>
      <c r="UHC124" s="67"/>
      <c r="UHD124" s="67"/>
      <c r="UHE124" s="67"/>
      <c r="UHF124" s="67"/>
      <c r="UHG124" s="67"/>
      <c r="UHH124" s="67"/>
      <c r="UHI124" s="67"/>
      <c r="UHJ124" s="67"/>
      <c r="UHK124" s="67"/>
      <c r="UHL124" s="67"/>
      <c r="UHM124" s="67"/>
      <c r="UHN124" s="67"/>
      <c r="UHO124" s="67"/>
      <c r="UHP124" s="67"/>
      <c r="UHQ124" s="67"/>
      <c r="UHR124" s="67"/>
      <c r="UHS124" s="67"/>
      <c r="UHT124" s="67"/>
      <c r="UHU124" s="67"/>
      <c r="UHV124" s="67"/>
      <c r="UHW124" s="67"/>
      <c r="UHX124" s="67"/>
      <c r="UHY124" s="67"/>
      <c r="UHZ124" s="67"/>
      <c r="UIA124" s="67"/>
      <c r="UIB124" s="67"/>
      <c r="UIC124" s="67"/>
      <c r="UID124" s="67"/>
      <c r="UIE124" s="67"/>
      <c r="UIF124" s="67"/>
      <c r="UIG124" s="67"/>
      <c r="UIH124" s="67"/>
      <c r="UII124" s="67"/>
      <c r="UIJ124" s="67"/>
      <c r="UIK124" s="67"/>
      <c r="UIL124" s="67"/>
      <c r="UIM124" s="67"/>
      <c r="UIN124" s="67"/>
      <c r="UIO124" s="67"/>
      <c r="UIP124" s="67"/>
      <c r="UIQ124" s="67"/>
      <c r="UIR124" s="67"/>
      <c r="UIS124" s="67"/>
      <c r="UIT124" s="67"/>
      <c r="UIU124" s="67"/>
      <c r="UIV124" s="67"/>
      <c r="UIW124" s="67"/>
      <c r="UIX124" s="67"/>
      <c r="UIY124" s="67"/>
      <c r="UIZ124" s="67"/>
      <c r="UJA124" s="67"/>
      <c r="UJB124" s="67"/>
      <c r="UJC124" s="67"/>
      <c r="UJD124" s="67"/>
      <c r="UJE124" s="67"/>
      <c r="UJF124" s="67"/>
      <c r="UJG124" s="67"/>
      <c r="UJH124" s="67"/>
      <c r="UJI124" s="67"/>
      <c r="UJJ124" s="67"/>
      <c r="UJK124" s="67"/>
      <c r="UJL124" s="67"/>
      <c r="UJM124" s="67"/>
      <c r="UJN124" s="67"/>
      <c r="UJO124" s="67"/>
      <c r="UJP124" s="67"/>
      <c r="UJQ124" s="67"/>
      <c r="UJR124" s="67"/>
      <c r="UJS124" s="67"/>
      <c r="UJT124" s="67"/>
      <c r="UJU124" s="67"/>
      <c r="UJV124" s="67"/>
      <c r="UJW124" s="67"/>
      <c r="UJX124" s="67"/>
      <c r="UJY124" s="67"/>
      <c r="UJZ124" s="67"/>
      <c r="UKA124" s="67"/>
      <c r="UKB124" s="67"/>
      <c r="UKC124" s="67"/>
      <c r="UKD124" s="67"/>
      <c r="UKE124" s="67"/>
      <c r="UKF124" s="67"/>
      <c r="UKG124" s="67"/>
      <c r="UKH124" s="67"/>
      <c r="UKI124" s="67"/>
      <c r="UKJ124" s="67"/>
      <c r="UKK124" s="67"/>
      <c r="UKL124" s="67"/>
      <c r="UKM124" s="67"/>
      <c r="UKN124" s="67"/>
      <c r="UKO124" s="67"/>
      <c r="UKP124" s="67"/>
      <c r="UKQ124" s="67"/>
      <c r="UKR124" s="67"/>
      <c r="UKS124" s="67"/>
      <c r="UKT124" s="67"/>
      <c r="UKU124" s="67"/>
      <c r="UKV124" s="67"/>
      <c r="UKW124" s="67"/>
      <c r="UKX124" s="67"/>
      <c r="UKY124" s="67"/>
      <c r="UKZ124" s="67"/>
      <c r="ULA124" s="67"/>
      <c r="ULB124" s="67"/>
      <c r="ULC124" s="67"/>
      <c r="ULD124" s="67"/>
      <c r="ULE124" s="67"/>
      <c r="ULF124" s="67"/>
      <c r="ULG124" s="67"/>
      <c r="ULH124" s="67"/>
      <c r="ULI124" s="67"/>
      <c r="ULJ124" s="67"/>
      <c r="ULK124" s="67"/>
      <c r="ULL124" s="67"/>
      <c r="ULM124" s="67"/>
      <c r="ULN124" s="67"/>
      <c r="ULO124" s="67"/>
      <c r="ULP124" s="67"/>
      <c r="ULQ124" s="67"/>
      <c r="ULR124" s="67"/>
      <c r="ULS124" s="67"/>
      <c r="ULT124" s="67"/>
      <c r="ULU124" s="67"/>
      <c r="ULV124" s="67"/>
      <c r="ULW124" s="67"/>
      <c r="ULX124" s="67"/>
      <c r="ULY124" s="67"/>
      <c r="ULZ124" s="67"/>
      <c r="UMA124" s="67"/>
      <c r="UMB124" s="67"/>
      <c r="UMC124" s="67"/>
      <c r="UMD124" s="67"/>
      <c r="UME124" s="67"/>
      <c r="UMF124" s="67"/>
      <c r="UMG124" s="67"/>
      <c r="UMH124" s="67"/>
      <c r="UMI124" s="67"/>
      <c r="UMJ124" s="67"/>
      <c r="UMK124" s="67"/>
      <c r="UML124" s="67"/>
      <c r="UMM124" s="67"/>
      <c r="UMN124" s="67"/>
      <c r="UMO124" s="67"/>
      <c r="UMP124" s="67"/>
      <c r="UMQ124" s="67"/>
      <c r="UMR124" s="67"/>
      <c r="UMS124" s="67"/>
      <c r="UMT124" s="67"/>
      <c r="UMU124" s="67"/>
      <c r="UMV124" s="67"/>
      <c r="UMW124" s="67"/>
      <c r="UMX124" s="67"/>
      <c r="UMY124" s="67"/>
      <c r="UMZ124" s="67"/>
      <c r="UNA124" s="67"/>
      <c r="UNB124" s="67"/>
      <c r="UNC124" s="67"/>
      <c r="UND124" s="67"/>
      <c r="UNE124" s="67"/>
      <c r="UNF124" s="67"/>
      <c r="UNG124" s="67"/>
      <c r="UNH124" s="67"/>
      <c r="UNI124" s="67"/>
      <c r="UNJ124" s="67"/>
      <c r="UNK124" s="67"/>
      <c r="UNL124" s="67"/>
      <c r="UNM124" s="67"/>
      <c r="UNN124" s="67"/>
      <c r="UNO124" s="67"/>
      <c r="UNP124" s="67"/>
      <c r="UNQ124" s="67"/>
      <c r="UNR124" s="67"/>
      <c r="UNS124" s="67"/>
      <c r="UNT124" s="67"/>
      <c r="UNU124" s="67"/>
      <c r="UNV124" s="67"/>
      <c r="UNW124" s="67"/>
      <c r="UNX124" s="67"/>
      <c r="UNY124" s="67"/>
      <c r="UNZ124" s="67"/>
      <c r="UOA124" s="67"/>
      <c r="UOB124" s="67"/>
      <c r="UOC124" s="67"/>
      <c r="UOD124" s="67"/>
      <c r="UOE124" s="67"/>
      <c r="UOF124" s="67"/>
      <c r="UOG124" s="67"/>
      <c r="UOH124" s="67"/>
      <c r="UOI124" s="67"/>
      <c r="UOJ124" s="67"/>
      <c r="UOK124" s="67"/>
      <c r="UOL124" s="67"/>
      <c r="UOM124" s="67"/>
      <c r="UON124" s="67"/>
      <c r="UOO124" s="67"/>
      <c r="UOP124" s="67"/>
      <c r="UOQ124" s="67"/>
      <c r="UOR124" s="67"/>
      <c r="UOS124" s="67"/>
      <c r="UOT124" s="67"/>
      <c r="UOU124" s="67"/>
      <c r="UOV124" s="67"/>
      <c r="UOW124" s="67"/>
      <c r="UOX124" s="67"/>
      <c r="UOY124" s="67"/>
      <c r="UOZ124" s="67"/>
      <c r="UPA124" s="67"/>
      <c r="UPB124" s="67"/>
      <c r="UPC124" s="67"/>
      <c r="UPD124" s="67"/>
      <c r="UPE124" s="67"/>
      <c r="UPF124" s="67"/>
      <c r="UPG124" s="67"/>
      <c r="UPH124" s="67"/>
      <c r="UPI124" s="67"/>
      <c r="UPJ124" s="67"/>
      <c r="UPK124" s="67"/>
      <c r="UPL124" s="67"/>
      <c r="UPM124" s="67"/>
      <c r="UPN124" s="67"/>
      <c r="UPO124" s="67"/>
      <c r="UPP124" s="67"/>
      <c r="UPQ124" s="67"/>
      <c r="UPR124" s="67"/>
      <c r="UPS124" s="67"/>
      <c r="UPT124" s="67"/>
      <c r="UPU124" s="67"/>
      <c r="UPV124" s="67"/>
      <c r="UPW124" s="67"/>
      <c r="UPX124" s="67"/>
      <c r="UPY124" s="67"/>
      <c r="UPZ124" s="67"/>
      <c r="UQA124" s="67"/>
      <c r="UQB124" s="67"/>
      <c r="UQC124" s="67"/>
      <c r="UQD124" s="67"/>
      <c r="UQE124" s="67"/>
      <c r="UQF124" s="67"/>
      <c r="UQG124" s="67"/>
      <c r="UQH124" s="67"/>
      <c r="UQI124" s="67"/>
      <c r="UQJ124" s="67"/>
      <c r="UQK124" s="67"/>
      <c r="UQL124" s="67"/>
      <c r="UQM124" s="67"/>
      <c r="UQN124" s="67"/>
      <c r="UQO124" s="67"/>
      <c r="UQP124" s="67"/>
      <c r="UQQ124" s="67"/>
      <c r="UQR124" s="67"/>
      <c r="UQS124" s="67"/>
      <c r="UQT124" s="67"/>
      <c r="UQU124" s="67"/>
      <c r="UQV124" s="67"/>
      <c r="UQW124" s="67"/>
      <c r="UQX124" s="67"/>
      <c r="UQY124" s="67"/>
      <c r="UQZ124" s="67"/>
      <c r="URA124" s="67"/>
      <c r="URB124" s="67"/>
      <c r="URC124" s="67"/>
      <c r="URD124" s="67"/>
      <c r="URE124" s="67"/>
      <c r="URF124" s="67"/>
      <c r="URG124" s="67"/>
      <c r="URH124" s="67"/>
      <c r="URI124" s="67"/>
      <c r="URJ124" s="67"/>
      <c r="URK124" s="67"/>
      <c r="URL124" s="67"/>
      <c r="URM124" s="67"/>
      <c r="URN124" s="67"/>
      <c r="URO124" s="67"/>
      <c r="URP124" s="67"/>
      <c r="URQ124" s="67"/>
      <c r="URR124" s="67"/>
      <c r="URS124" s="67"/>
      <c r="URT124" s="67"/>
      <c r="URU124" s="67"/>
      <c r="URV124" s="67"/>
      <c r="URW124" s="67"/>
      <c r="URX124" s="67"/>
      <c r="URY124" s="67"/>
      <c r="URZ124" s="67"/>
      <c r="USA124" s="67"/>
      <c r="USB124" s="67"/>
      <c r="USC124" s="67"/>
      <c r="USD124" s="67"/>
      <c r="USE124" s="67"/>
      <c r="USF124" s="67"/>
      <c r="USG124" s="67"/>
      <c r="USH124" s="67"/>
      <c r="USI124" s="67"/>
      <c r="USJ124" s="67"/>
      <c r="USK124" s="67"/>
      <c r="USL124" s="67"/>
      <c r="USM124" s="67"/>
      <c r="USN124" s="67"/>
      <c r="USO124" s="67"/>
      <c r="USP124" s="67"/>
      <c r="USQ124" s="67"/>
      <c r="USR124" s="67"/>
      <c r="USS124" s="67"/>
      <c r="UST124" s="67"/>
      <c r="USU124" s="67"/>
      <c r="USV124" s="67"/>
      <c r="USW124" s="67"/>
      <c r="USX124" s="67"/>
      <c r="USY124" s="67"/>
      <c r="USZ124" s="67"/>
      <c r="UTA124" s="67"/>
      <c r="UTB124" s="67"/>
      <c r="UTC124" s="67"/>
      <c r="UTD124" s="67"/>
      <c r="UTE124" s="67"/>
      <c r="UTF124" s="67"/>
      <c r="UTG124" s="67"/>
      <c r="UTH124" s="67"/>
      <c r="UTI124" s="67"/>
      <c r="UTJ124" s="67"/>
      <c r="UTK124" s="67"/>
      <c r="UTL124" s="67"/>
      <c r="UTM124" s="67"/>
      <c r="UTN124" s="67"/>
      <c r="UTO124" s="67"/>
      <c r="UTP124" s="67"/>
      <c r="UTQ124" s="67"/>
      <c r="UTR124" s="67"/>
      <c r="UTS124" s="67"/>
      <c r="UTT124" s="67"/>
      <c r="UTU124" s="67"/>
      <c r="UTV124" s="67"/>
      <c r="UTW124" s="67"/>
      <c r="UTX124" s="67"/>
      <c r="UTY124" s="67"/>
      <c r="UTZ124" s="67"/>
      <c r="UUA124" s="67"/>
      <c r="UUB124" s="67"/>
      <c r="UUC124" s="67"/>
      <c r="UUD124" s="67"/>
      <c r="UUE124" s="67"/>
      <c r="UUF124" s="67"/>
      <c r="UUG124" s="67"/>
      <c r="UUH124" s="67"/>
      <c r="UUI124" s="67"/>
      <c r="UUJ124" s="67"/>
      <c r="UUK124" s="67"/>
      <c r="UUL124" s="67"/>
      <c r="UUM124" s="67"/>
      <c r="UUN124" s="67"/>
      <c r="UUO124" s="67"/>
      <c r="UUP124" s="67"/>
      <c r="UUQ124" s="67"/>
      <c r="UUR124" s="67"/>
      <c r="UUS124" s="67"/>
      <c r="UUT124" s="67"/>
      <c r="UUU124" s="67"/>
      <c r="UUV124" s="67"/>
      <c r="UUW124" s="67"/>
      <c r="UUX124" s="67"/>
      <c r="UUY124" s="67"/>
      <c r="UUZ124" s="67"/>
      <c r="UVA124" s="67"/>
      <c r="UVB124" s="67"/>
      <c r="UVC124" s="67"/>
      <c r="UVD124" s="67"/>
      <c r="UVE124" s="67"/>
      <c r="UVF124" s="67"/>
      <c r="UVG124" s="67"/>
      <c r="UVH124" s="67"/>
      <c r="UVI124" s="67"/>
      <c r="UVJ124" s="67"/>
      <c r="UVK124" s="67"/>
      <c r="UVL124" s="67"/>
      <c r="UVM124" s="67"/>
      <c r="UVN124" s="67"/>
      <c r="UVO124" s="67"/>
      <c r="UVP124" s="67"/>
      <c r="UVQ124" s="67"/>
      <c r="UVR124" s="67"/>
      <c r="UVS124" s="67"/>
      <c r="UVT124" s="67"/>
      <c r="UVU124" s="67"/>
      <c r="UVV124" s="67"/>
      <c r="UVW124" s="67"/>
      <c r="UVX124" s="67"/>
      <c r="UVY124" s="67"/>
      <c r="UVZ124" s="67"/>
      <c r="UWA124" s="67"/>
      <c r="UWB124" s="67"/>
      <c r="UWC124" s="67"/>
      <c r="UWD124" s="67"/>
      <c r="UWE124" s="67"/>
      <c r="UWF124" s="67"/>
      <c r="UWG124" s="67"/>
      <c r="UWH124" s="67"/>
      <c r="UWI124" s="67"/>
      <c r="UWJ124" s="67"/>
      <c r="UWK124" s="67"/>
      <c r="UWL124" s="67"/>
      <c r="UWM124" s="67"/>
      <c r="UWN124" s="67"/>
      <c r="UWO124" s="67"/>
      <c r="UWP124" s="67"/>
      <c r="UWQ124" s="67"/>
      <c r="UWR124" s="67"/>
      <c r="UWS124" s="67"/>
      <c r="UWT124" s="67"/>
      <c r="UWU124" s="67"/>
      <c r="UWV124" s="67"/>
      <c r="UWW124" s="67"/>
      <c r="UWX124" s="67"/>
      <c r="UWY124" s="67"/>
      <c r="UWZ124" s="67"/>
      <c r="UXA124" s="67"/>
      <c r="UXB124" s="67"/>
      <c r="UXC124" s="67"/>
      <c r="UXD124" s="67"/>
      <c r="UXE124" s="67"/>
      <c r="UXF124" s="67"/>
      <c r="UXG124" s="67"/>
      <c r="UXH124" s="67"/>
      <c r="UXI124" s="67"/>
      <c r="UXJ124" s="67"/>
      <c r="UXK124" s="67"/>
      <c r="UXL124" s="67"/>
      <c r="UXM124" s="67"/>
      <c r="UXN124" s="67"/>
      <c r="UXO124" s="67"/>
      <c r="UXP124" s="67"/>
      <c r="UXQ124" s="67"/>
      <c r="UXR124" s="67"/>
      <c r="UXS124" s="67"/>
      <c r="UXT124" s="67"/>
      <c r="UXU124" s="67"/>
      <c r="UXV124" s="67"/>
      <c r="UXW124" s="67"/>
      <c r="UXX124" s="67"/>
      <c r="UXY124" s="67"/>
      <c r="UXZ124" s="67"/>
      <c r="UYA124" s="67"/>
      <c r="UYB124" s="67"/>
      <c r="UYC124" s="67"/>
      <c r="UYD124" s="67"/>
      <c r="UYE124" s="67"/>
      <c r="UYF124" s="67"/>
      <c r="UYG124" s="67"/>
      <c r="UYH124" s="67"/>
      <c r="UYI124" s="67"/>
      <c r="UYJ124" s="67"/>
      <c r="UYK124" s="67"/>
      <c r="UYL124" s="67"/>
      <c r="UYM124" s="67"/>
      <c r="UYN124" s="67"/>
      <c r="UYO124" s="67"/>
      <c r="UYP124" s="67"/>
      <c r="UYQ124" s="67"/>
      <c r="UYR124" s="67"/>
      <c r="UYS124" s="67"/>
      <c r="UYT124" s="67"/>
      <c r="UYU124" s="67"/>
      <c r="UYV124" s="67"/>
      <c r="UYW124" s="67"/>
      <c r="UYX124" s="67"/>
      <c r="UYY124" s="67"/>
      <c r="UYZ124" s="67"/>
      <c r="UZA124" s="67"/>
      <c r="UZB124" s="67"/>
      <c r="UZC124" s="67"/>
      <c r="UZD124" s="67"/>
      <c r="UZE124" s="67"/>
      <c r="UZF124" s="67"/>
      <c r="UZG124" s="67"/>
      <c r="UZH124" s="67"/>
      <c r="UZI124" s="67"/>
      <c r="UZJ124" s="67"/>
      <c r="UZK124" s="67"/>
      <c r="UZL124" s="67"/>
      <c r="UZM124" s="67"/>
      <c r="UZN124" s="67"/>
      <c r="UZO124" s="67"/>
      <c r="UZP124" s="67"/>
      <c r="UZQ124" s="67"/>
      <c r="UZR124" s="67"/>
      <c r="UZS124" s="67"/>
      <c r="UZT124" s="67"/>
      <c r="UZU124" s="67"/>
      <c r="UZV124" s="67"/>
      <c r="UZW124" s="67"/>
      <c r="UZX124" s="67"/>
      <c r="UZY124" s="67"/>
      <c r="UZZ124" s="67"/>
      <c r="VAA124" s="67"/>
      <c r="VAB124" s="67"/>
      <c r="VAC124" s="67"/>
      <c r="VAD124" s="67"/>
      <c r="VAE124" s="67"/>
      <c r="VAF124" s="67"/>
      <c r="VAG124" s="67"/>
      <c r="VAH124" s="67"/>
      <c r="VAI124" s="67"/>
      <c r="VAJ124" s="67"/>
      <c r="VAK124" s="67"/>
      <c r="VAL124" s="67"/>
      <c r="VAM124" s="67"/>
      <c r="VAN124" s="67"/>
      <c r="VAO124" s="67"/>
      <c r="VAP124" s="67"/>
      <c r="VAQ124" s="67"/>
      <c r="VAR124" s="67"/>
      <c r="VAS124" s="67"/>
      <c r="VAT124" s="67"/>
      <c r="VAU124" s="67"/>
      <c r="VAV124" s="67"/>
      <c r="VAW124" s="67"/>
      <c r="VAX124" s="67"/>
      <c r="VAY124" s="67"/>
      <c r="VAZ124" s="67"/>
      <c r="VBA124" s="67"/>
      <c r="VBB124" s="67"/>
      <c r="VBC124" s="67"/>
      <c r="VBD124" s="67"/>
      <c r="VBE124" s="67"/>
      <c r="VBF124" s="67"/>
      <c r="VBG124" s="67"/>
      <c r="VBH124" s="67"/>
      <c r="VBI124" s="67"/>
      <c r="VBJ124" s="67"/>
      <c r="VBK124" s="67"/>
      <c r="VBL124" s="67"/>
      <c r="VBM124" s="67"/>
      <c r="VBN124" s="67"/>
      <c r="VBO124" s="67"/>
      <c r="VBP124" s="67"/>
      <c r="VBQ124" s="67"/>
      <c r="VBR124" s="67"/>
      <c r="VBS124" s="67"/>
      <c r="VBT124" s="67"/>
      <c r="VBU124" s="67"/>
      <c r="VBV124" s="67"/>
      <c r="VBW124" s="67"/>
      <c r="VBX124" s="67"/>
      <c r="VBY124" s="67"/>
      <c r="VBZ124" s="67"/>
      <c r="VCA124" s="67"/>
      <c r="VCB124" s="67"/>
      <c r="VCC124" s="67"/>
      <c r="VCD124" s="67"/>
      <c r="VCE124" s="67"/>
      <c r="VCF124" s="67"/>
      <c r="VCG124" s="67"/>
      <c r="VCH124" s="67"/>
      <c r="VCI124" s="67"/>
      <c r="VCJ124" s="67"/>
      <c r="VCK124" s="67"/>
      <c r="VCL124" s="67"/>
      <c r="VCM124" s="67"/>
      <c r="VCN124" s="67"/>
      <c r="VCO124" s="67"/>
      <c r="VCP124" s="67"/>
      <c r="VCQ124" s="67"/>
      <c r="VCR124" s="67"/>
      <c r="VCS124" s="67"/>
      <c r="VCT124" s="67"/>
      <c r="VCU124" s="67"/>
      <c r="VCV124" s="67"/>
      <c r="VCW124" s="67"/>
      <c r="VCX124" s="67"/>
      <c r="VCY124" s="67"/>
      <c r="VCZ124" s="67"/>
      <c r="VDA124" s="67"/>
      <c r="VDB124" s="67"/>
      <c r="VDC124" s="67"/>
      <c r="VDD124" s="67"/>
      <c r="VDE124" s="67"/>
      <c r="VDF124" s="67"/>
      <c r="VDG124" s="67"/>
      <c r="VDH124" s="67"/>
      <c r="VDI124" s="67"/>
      <c r="VDJ124" s="67"/>
      <c r="VDK124" s="67"/>
      <c r="VDL124" s="67"/>
      <c r="VDM124" s="67"/>
      <c r="VDN124" s="67"/>
      <c r="VDO124" s="67"/>
      <c r="VDP124" s="67"/>
      <c r="VDQ124" s="67"/>
      <c r="VDR124" s="67"/>
      <c r="VDS124" s="67"/>
      <c r="VDT124" s="67"/>
      <c r="VDU124" s="67"/>
      <c r="VDV124" s="67"/>
      <c r="VDW124" s="67"/>
      <c r="VDX124" s="67"/>
      <c r="VDY124" s="67"/>
      <c r="VDZ124" s="67"/>
      <c r="VEA124" s="67"/>
      <c r="VEB124" s="67"/>
      <c r="VEC124" s="67"/>
      <c r="VED124" s="67"/>
      <c r="VEE124" s="67"/>
      <c r="VEF124" s="67"/>
      <c r="VEG124" s="67"/>
      <c r="VEH124" s="67"/>
      <c r="VEI124" s="67"/>
      <c r="VEJ124" s="67"/>
      <c r="VEK124" s="67"/>
      <c r="VEL124" s="67"/>
      <c r="VEM124" s="67"/>
      <c r="VEN124" s="67"/>
      <c r="VEO124" s="67"/>
      <c r="VEP124" s="67"/>
      <c r="VEQ124" s="67"/>
      <c r="VER124" s="67"/>
      <c r="VES124" s="67"/>
      <c r="VET124" s="67"/>
      <c r="VEU124" s="67"/>
      <c r="VEV124" s="67"/>
      <c r="VEW124" s="67"/>
      <c r="VEX124" s="67"/>
      <c r="VEY124" s="67"/>
      <c r="VEZ124" s="67"/>
      <c r="VFA124" s="67"/>
      <c r="VFB124" s="67"/>
      <c r="VFC124" s="67"/>
      <c r="VFD124" s="67"/>
      <c r="VFE124" s="67"/>
      <c r="VFF124" s="67"/>
      <c r="VFG124" s="67"/>
      <c r="VFH124" s="67"/>
      <c r="VFI124" s="67"/>
      <c r="VFJ124" s="67"/>
      <c r="VFK124" s="67"/>
      <c r="VFL124" s="67"/>
      <c r="VFM124" s="67"/>
      <c r="VFN124" s="67"/>
      <c r="VFO124" s="67"/>
      <c r="VFP124" s="67"/>
      <c r="VFQ124" s="67"/>
      <c r="VFR124" s="67"/>
      <c r="VFS124" s="67"/>
      <c r="VFT124" s="67"/>
      <c r="VFU124" s="67"/>
      <c r="VFV124" s="67"/>
      <c r="VFW124" s="67"/>
      <c r="VFX124" s="67"/>
      <c r="VFY124" s="67"/>
      <c r="VFZ124" s="67"/>
      <c r="VGA124" s="67"/>
      <c r="VGB124" s="67"/>
      <c r="VGC124" s="67"/>
      <c r="VGD124" s="67"/>
      <c r="VGE124" s="67"/>
      <c r="VGF124" s="67"/>
      <c r="VGG124" s="67"/>
      <c r="VGH124" s="67"/>
      <c r="VGI124" s="67"/>
      <c r="VGJ124" s="67"/>
      <c r="VGK124" s="67"/>
      <c r="VGL124" s="67"/>
      <c r="VGM124" s="67"/>
      <c r="VGN124" s="67"/>
      <c r="VGO124" s="67"/>
      <c r="VGP124" s="67"/>
      <c r="VGQ124" s="67"/>
      <c r="VGR124" s="67"/>
      <c r="VGS124" s="67"/>
      <c r="VGT124" s="67"/>
      <c r="VGU124" s="67"/>
      <c r="VGV124" s="67"/>
      <c r="VGW124" s="67"/>
      <c r="VGX124" s="67"/>
      <c r="VGY124" s="67"/>
      <c r="VGZ124" s="67"/>
      <c r="VHA124" s="67"/>
      <c r="VHB124" s="67"/>
      <c r="VHC124" s="67"/>
      <c r="VHD124" s="67"/>
      <c r="VHE124" s="67"/>
      <c r="VHF124" s="67"/>
      <c r="VHG124" s="67"/>
      <c r="VHH124" s="67"/>
      <c r="VHI124" s="67"/>
      <c r="VHJ124" s="67"/>
      <c r="VHK124" s="67"/>
      <c r="VHL124" s="67"/>
      <c r="VHM124" s="67"/>
      <c r="VHN124" s="67"/>
      <c r="VHO124" s="67"/>
      <c r="VHP124" s="67"/>
      <c r="VHQ124" s="67"/>
      <c r="VHR124" s="67"/>
      <c r="VHS124" s="67"/>
      <c r="VHT124" s="67"/>
      <c r="VHU124" s="67"/>
      <c r="VHV124" s="67"/>
      <c r="VHW124" s="67"/>
      <c r="VHX124" s="67"/>
      <c r="VHY124" s="67"/>
      <c r="VHZ124" s="67"/>
      <c r="VIA124" s="67"/>
      <c r="VIB124" s="67"/>
      <c r="VIC124" s="67"/>
      <c r="VID124" s="67"/>
      <c r="VIE124" s="67"/>
      <c r="VIF124" s="67"/>
      <c r="VIG124" s="67"/>
      <c r="VIH124" s="67"/>
      <c r="VII124" s="67"/>
      <c r="VIJ124" s="67"/>
      <c r="VIK124" s="67"/>
      <c r="VIL124" s="67"/>
      <c r="VIM124" s="67"/>
      <c r="VIN124" s="67"/>
      <c r="VIO124" s="67"/>
      <c r="VIP124" s="67"/>
      <c r="VIQ124" s="67"/>
      <c r="VIR124" s="67"/>
      <c r="VIS124" s="67"/>
      <c r="VIT124" s="67"/>
      <c r="VIU124" s="67"/>
      <c r="VIV124" s="67"/>
      <c r="VIW124" s="67"/>
      <c r="VIX124" s="67"/>
      <c r="VIY124" s="67"/>
      <c r="VIZ124" s="67"/>
      <c r="VJA124" s="67"/>
      <c r="VJB124" s="67"/>
      <c r="VJC124" s="67"/>
      <c r="VJD124" s="67"/>
      <c r="VJE124" s="67"/>
      <c r="VJF124" s="67"/>
      <c r="VJG124" s="67"/>
      <c r="VJH124" s="67"/>
      <c r="VJI124" s="67"/>
      <c r="VJJ124" s="67"/>
      <c r="VJK124" s="67"/>
      <c r="VJL124" s="67"/>
      <c r="VJM124" s="67"/>
      <c r="VJN124" s="67"/>
      <c r="VJO124" s="67"/>
      <c r="VJP124" s="67"/>
      <c r="VJQ124" s="67"/>
      <c r="VJR124" s="67"/>
      <c r="VJS124" s="67"/>
      <c r="VJT124" s="67"/>
      <c r="VJU124" s="67"/>
      <c r="VJV124" s="67"/>
      <c r="VJW124" s="67"/>
      <c r="VJX124" s="67"/>
      <c r="VJY124" s="67"/>
      <c r="VJZ124" s="67"/>
      <c r="VKA124" s="67"/>
      <c r="VKB124" s="67"/>
      <c r="VKC124" s="67"/>
      <c r="VKD124" s="67"/>
      <c r="VKE124" s="67"/>
      <c r="VKF124" s="67"/>
      <c r="VKG124" s="67"/>
      <c r="VKH124" s="67"/>
      <c r="VKI124" s="67"/>
      <c r="VKJ124" s="67"/>
      <c r="VKK124" s="67"/>
      <c r="VKL124" s="67"/>
      <c r="VKM124" s="67"/>
      <c r="VKN124" s="67"/>
      <c r="VKO124" s="67"/>
      <c r="VKP124" s="67"/>
      <c r="VKQ124" s="67"/>
      <c r="VKR124" s="67"/>
      <c r="VKS124" s="67"/>
      <c r="VKT124" s="67"/>
      <c r="VKU124" s="67"/>
      <c r="VKV124" s="67"/>
      <c r="VKW124" s="67"/>
      <c r="VKX124" s="67"/>
      <c r="VKY124" s="67"/>
      <c r="VKZ124" s="67"/>
      <c r="VLA124" s="67"/>
      <c r="VLB124" s="67"/>
      <c r="VLC124" s="67"/>
      <c r="VLD124" s="67"/>
      <c r="VLE124" s="67"/>
      <c r="VLF124" s="67"/>
      <c r="VLG124" s="67"/>
      <c r="VLH124" s="67"/>
      <c r="VLI124" s="67"/>
      <c r="VLJ124" s="67"/>
      <c r="VLK124" s="67"/>
      <c r="VLL124" s="67"/>
      <c r="VLM124" s="67"/>
      <c r="VLN124" s="67"/>
      <c r="VLO124" s="67"/>
      <c r="VLP124" s="67"/>
      <c r="VLQ124" s="67"/>
      <c r="VLR124" s="67"/>
      <c r="VLS124" s="67"/>
      <c r="VLT124" s="67"/>
      <c r="VLU124" s="67"/>
      <c r="VLV124" s="67"/>
      <c r="VLW124" s="67"/>
      <c r="VLX124" s="67"/>
      <c r="VLY124" s="67"/>
      <c r="VLZ124" s="67"/>
      <c r="VMA124" s="67"/>
      <c r="VMB124" s="67"/>
      <c r="VMC124" s="67"/>
      <c r="VMD124" s="67"/>
      <c r="VME124" s="67"/>
      <c r="VMF124" s="67"/>
      <c r="VMG124" s="67"/>
      <c r="VMH124" s="67"/>
      <c r="VMI124" s="67"/>
      <c r="VMJ124" s="67"/>
      <c r="VMK124" s="67"/>
      <c r="VML124" s="67"/>
      <c r="VMM124" s="67"/>
      <c r="VMN124" s="67"/>
      <c r="VMO124" s="67"/>
      <c r="VMP124" s="67"/>
      <c r="VMQ124" s="67"/>
      <c r="VMR124" s="67"/>
      <c r="VMS124" s="67"/>
      <c r="VMT124" s="67"/>
      <c r="VMU124" s="67"/>
      <c r="VMV124" s="67"/>
      <c r="VMW124" s="67"/>
      <c r="VMX124" s="67"/>
      <c r="VMY124" s="67"/>
      <c r="VMZ124" s="67"/>
      <c r="VNA124" s="67"/>
      <c r="VNB124" s="67"/>
      <c r="VNC124" s="67"/>
      <c r="VND124" s="67"/>
      <c r="VNE124" s="67"/>
      <c r="VNF124" s="67"/>
      <c r="VNG124" s="67"/>
      <c r="VNH124" s="67"/>
      <c r="VNI124" s="67"/>
      <c r="VNJ124" s="67"/>
      <c r="VNK124" s="67"/>
      <c r="VNL124" s="67"/>
      <c r="VNM124" s="67"/>
      <c r="VNN124" s="67"/>
      <c r="VNO124" s="67"/>
      <c r="VNP124" s="67"/>
      <c r="VNQ124" s="67"/>
      <c r="VNR124" s="67"/>
      <c r="VNS124" s="67"/>
      <c r="VNT124" s="67"/>
      <c r="VNU124" s="67"/>
      <c r="VNV124" s="67"/>
      <c r="VNW124" s="67"/>
      <c r="VNX124" s="67"/>
      <c r="VNY124" s="67"/>
      <c r="VNZ124" s="67"/>
      <c r="VOA124" s="67"/>
      <c r="VOB124" s="67"/>
      <c r="VOC124" s="67"/>
      <c r="VOD124" s="67"/>
      <c r="VOE124" s="67"/>
      <c r="VOF124" s="67"/>
      <c r="VOG124" s="67"/>
      <c r="VOH124" s="67"/>
      <c r="VOI124" s="67"/>
      <c r="VOJ124" s="67"/>
      <c r="VOK124" s="67"/>
      <c r="VOL124" s="67"/>
      <c r="VOM124" s="67"/>
      <c r="VON124" s="67"/>
      <c r="VOO124" s="67"/>
      <c r="VOP124" s="67"/>
      <c r="VOQ124" s="67"/>
      <c r="VOR124" s="67"/>
      <c r="VOS124" s="67"/>
      <c r="VOT124" s="67"/>
      <c r="VOU124" s="67"/>
      <c r="VOV124" s="67"/>
      <c r="VOW124" s="67"/>
      <c r="VOX124" s="67"/>
      <c r="VOY124" s="67"/>
      <c r="VOZ124" s="67"/>
      <c r="VPA124" s="67"/>
      <c r="VPB124" s="67"/>
      <c r="VPC124" s="67"/>
      <c r="VPD124" s="67"/>
      <c r="VPE124" s="67"/>
      <c r="VPF124" s="67"/>
      <c r="VPG124" s="67"/>
      <c r="VPH124" s="67"/>
      <c r="VPI124" s="67"/>
      <c r="VPJ124" s="67"/>
      <c r="VPK124" s="67"/>
      <c r="VPL124" s="67"/>
      <c r="VPM124" s="67"/>
      <c r="VPN124" s="67"/>
      <c r="VPO124" s="67"/>
      <c r="VPP124" s="67"/>
      <c r="VPQ124" s="67"/>
      <c r="VPR124" s="67"/>
      <c r="VPS124" s="67"/>
      <c r="VPT124" s="67"/>
      <c r="VPU124" s="67"/>
      <c r="VPV124" s="67"/>
      <c r="VPW124" s="67"/>
      <c r="VPX124" s="67"/>
      <c r="VPY124" s="67"/>
      <c r="VPZ124" s="67"/>
      <c r="VQA124" s="67"/>
      <c r="VQB124" s="67"/>
      <c r="VQC124" s="67"/>
      <c r="VQD124" s="67"/>
      <c r="VQE124" s="67"/>
      <c r="VQF124" s="67"/>
      <c r="VQG124" s="67"/>
      <c r="VQH124" s="67"/>
      <c r="VQI124" s="67"/>
      <c r="VQJ124" s="67"/>
      <c r="VQK124" s="67"/>
      <c r="VQL124" s="67"/>
      <c r="VQM124" s="67"/>
      <c r="VQN124" s="67"/>
      <c r="VQO124" s="67"/>
      <c r="VQP124" s="67"/>
      <c r="VQQ124" s="67"/>
      <c r="VQR124" s="67"/>
      <c r="VQS124" s="67"/>
      <c r="VQT124" s="67"/>
      <c r="VQU124" s="67"/>
      <c r="VQV124" s="67"/>
      <c r="VQW124" s="67"/>
      <c r="VQX124" s="67"/>
      <c r="VQY124" s="67"/>
      <c r="VQZ124" s="67"/>
      <c r="VRA124" s="67"/>
      <c r="VRB124" s="67"/>
      <c r="VRC124" s="67"/>
      <c r="VRD124" s="67"/>
      <c r="VRE124" s="67"/>
      <c r="VRF124" s="67"/>
      <c r="VRG124" s="67"/>
      <c r="VRH124" s="67"/>
      <c r="VRI124" s="67"/>
      <c r="VRJ124" s="67"/>
      <c r="VRK124" s="67"/>
      <c r="VRL124" s="67"/>
      <c r="VRM124" s="67"/>
      <c r="VRN124" s="67"/>
      <c r="VRO124" s="67"/>
      <c r="VRP124" s="67"/>
      <c r="VRQ124" s="67"/>
      <c r="VRR124" s="67"/>
      <c r="VRS124" s="67"/>
      <c r="VRT124" s="67"/>
      <c r="VRU124" s="67"/>
      <c r="VRV124" s="67"/>
      <c r="VRW124" s="67"/>
      <c r="VRX124" s="67"/>
      <c r="VRY124" s="67"/>
      <c r="VRZ124" s="67"/>
      <c r="VSA124" s="67"/>
      <c r="VSB124" s="67"/>
      <c r="VSC124" s="67"/>
      <c r="VSD124" s="67"/>
      <c r="VSE124" s="67"/>
      <c r="VSF124" s="67"/>
      <c r="VSG124" s="67"/>
      <c r="VSH124" s="67"/>
      <c r="VSI124" s="67"/>
      <c r="VSJ124" s="67"/>
      <c r="VSK124" s="67"/>
      <c r="VSL124" s="67"/>
      <c r="VSM124" s="67"/>
      <c r="VSN124" s="67"/>
      <c r="VSO124" s="67"/>
      <c r="VSP124" s="67"/>
      <c r="VSQ124" s="67"/>
      <c r="VSR124" s="67"/>
      <c r="VSS124" s="67"/>
      <c r="VST124" s="67"/>
      <c r="VSU124" s="67"/>
      <c r="VSV124" s="67"/>
      <c r="VSW124" s="67"/>
      <c r="VSX124" s="67"/>
      <c r="VSY124" s="67"/>
      <c r="VSZ124" s="67"/>
      <c r="VTA124" s="67"/>
      <c r="VTB124" s="67"/>
      <c r="VTC124" s="67"/>
      <c r="VTD124" s="67"/>
      <c r="VTE124" s="67"/>
      <c r="VTF124" s="67"/>
      <c r="VTG124" s="67"/>
      <c r="VTH124" s="67"/>
      <c r="VTI124" s="67"/>
      <c r="VTJ124" s="67"/>
      <c r="VTK124" s="67"/>
      <c r="VTL124" s="67"/>
      <c r="VTM124" s="67"/>
      <c r="VTN124" s="67"/>
      <c r="VTO124" s="67"/>
      <c r="VTP124" s="67"/>
      <c r="VTQ124" s="67"/>
      <c r="VTR124" s="67"/>
      <c r="VTS124" s="67"/>
      <c r="VTT124" s="67"/>
      <c r="VTU124" s="67"/>
      <c r="VTV124" s="67"/>
      <c r="VTW124" s="67"/>
      <c r="VTX124" s="67"/>
      <c r="VTY124" s="67"/>
      <c r="VTZ124" s="67"/>
      <c r="VUA124" s="67"/>
      <c r="VUB124" s="67"/>
      <c r="VUC124" s="67"/>
      <c r="VUD124" s="67"/>
      <c r="VUE124" s="67"/>
      <c r="VUF124" s="67"/>
      <c r="VUG124" s="67"/>
      <c r="VUH124" s="67"/>
      <c r="VUI124" s="67"/>
      <c r="VUJ124" s="67"/>
      <c r="VUK124" s="67"/>
      <c r="VUL124" s="67"/>
      <c r="VUM124" s="67"/>
      <c r="VUN124" s="67"/>
      <c r="VUO124" s="67"/>
      <c r="VUP124" s="67"/>
      <c r="VUQ124" s="67"/>
      <c r="VUR124" s="67"/>
      <c r="VUS124" s="67"/>
      <c r="VUT124" s="67"/>
      <c r="VUU124" s="67"/>
      <c r="VUV124" s="67"/>
      <c r="VUW124" s="67"/>
      <c r="VUX124" s="67"/>
      <c r="VUY124" s="67"/>
      <c r="VUZ124" s="67"/>
      <c r="VVA124" s="67"/>
      <c r="VVB124" s="67"/>
      <c r="VVC124" s="67"/>
      <c r="VVD124" s="67"/>
      <c r="VVE124" s="67"/>
      <c r="VVF124" s="67"/>
      <c r="VVG124" s="67"/>
      <c r="VVH124" s="67"/>
      <c r="VVI124" s="67"/>
      <c r="VVJ124" s="67"/>
      <c r="VVK124" s="67"/>
      <c r="VVL124" s="67"/>
      <c r="VVM124" s="67"/>
      <c r="VVN124" s="67"/>
      <c r="VVO124" s="67"/>
      <c r="VVP124" s="67"/>
      <c r="VVQ124" s="67"/>
      <c r="VVR124" s="67"/>
      <c r="VVS124" s="67"/>
      <c r="VVT124" s="67"/>
      <c r="VVU124" s="67"/>
      <c r="VVV124" s="67"/>
      <c r="VVW124" s="67"/>
      <c r="VVX124" s="67"/>
      <c r="VVY124" s="67"/>
      <c r="VVZ124" s="67"/>
      <c r="VWA124" s="67"/>
      <c r="VWB124" s="67"/>
      <c r="VWC124" s="67"/>
      <c r="VWD124" s="67"/>
      <c r="VWE124" s="67"/>
      <c r="VWF124" s="67"/>
      <c r="VWG124" s="67"/>
      <c r="VWH124" s="67"/>
      <c r="VWI124" s="67"/>
      <c r="VWJ124" s="67"/>
      <c r="VWK124" s="67"/>
      <c r="VWL124" s="67"/>
      <c r="VWM124" s="67"/>
      <c r="VWN124" s="67"/>
      <c r="VWO124" s="67"/>
      <c r="VWP124" s="67"/>
      <c r="VWQ124" s="67"/>
      <c r="VWR124" s="67"/>
      <c r="VWS124" s="67"/>
      <c r="VWT124" s="67"/>
      <c r="VWU124" s="67"/>
      <c r="VWV124" s="67"/>
      <c r="VWW124" s="67"/>
      <c r="VWX124" s="67"/>
      <c r="VWY124" s="67"/>
      <c r="VWZ124" s="67"/>
      <c r="VXA124" s="67"/>
      <c r="VXB124" s="67"/>
      <c r="VXC124" s="67"/>
      <c r="VXD124" s="67"/>
      <c r="VXE124" s="67"/>
      <c r="VXF124" s="67"/>
      <c r="VXG124" s="67"/>
      <c r="VXH124" s="67"/>
      <c r="VXI124" s="67"/>
      <c r="VXJ124" s="67"/>
      <c r="VXK124" s="67"/>
      <c r="VXL124" s="67"/>
      <c r="VXM124" s="67"/>
      <c r="VXN124" s="67"/>
      <c r="VXO124" s="67"/>
      <c r="VXP124" s="67"/>
      <c r="VXQ124" s="67"/>
      <c r="VXR124" s="67"/>
      <c r="VXS124" s="67"/>
      <c r="VXT124" s="67"/>
      <c r="VXU124" s="67"/>
      <c r="VXV124" s="67"/>
      <c r="VXW124" s="67"/>
      <c r="VXX124" s="67"/>
      <c r="VXY124" s="67"/>
      <c r="VXZ124" s="67"/>
      <c r="VYA124" s="67"/>
      <c r="VYB124" s="67"/>
      <c r="VYC124" s="67"/>
      <c r="VYD124" s="67"/>
      <c r="VYE124" s="67"/>
      <c r="VYF124" s="67"/>
      <c r="VYG124" s="67"/>
      <c r="VYH124" s="67"/>
      <c r="VYI124" s="67"/>
      <c r="VYJ124" s="67"/>
      <c r="VYK124" s="67"/>
      <c r="VYL124" s="67"/>
      <c r="VYM124" s="67"/>
      <c r="VYN124" s="67"/>
      <c r="VYO124" s="67"/>
      <c r="VYP124" s="67"/>
      <c r="VYQ124" s="67"/>
      <c r="VYR124" s="67"/>
      <c r="VYS124" s="67"/>
      <c r="VYT124" s="67"/>
      <c r="VYU124" s="67"/>
      <c r="VYV124" s="67"/>
      <c r="VYW124" s="67"/>
      <c r="VYX124" s="67"/>
      <c r="VYY124" s="67"/>
      <c r="VYZ124" s="67"/>
      <c r="VZA124" s="67"/>
      <c r="VZB124" s="67"/>
      <c r="VZC124" s="67"/>
      <c r="VZD124" s="67"/>
      <c r="VZE124" s="67"/>
      <c r="VZF124" s="67"/>
      <c r="VZG124" s="67"/>
      <c r="VZH124" s="67"/>
      <c r="VZI124" s="67"/>
      <c r="VZJ124" s="67"/>
      <c r="VZK124" s="67"/>
      <c r="VZL124" s="67"/>
      <c r="VZM124" s="67"/>
      <c r="VZN124" s="67"/>
      <c r="VZO124" s="67"/>
      <c r="VZP124" s="67"/>
      <c r="VZQ124" s="67"/>
      <c r="VZR124" s="67"/>
      <c r="VZS124" s="67"/>
      <c r="VZT124" s="67"/>
      <c r="VZU124" s="67"/>
      <c r="VZV124" s="67"/>
      <c r="VZW124" s="67"/>
      <c r="VZX124" s="67"/>
      <c r="VZY124" s="67"/>
      <c r="VZZ124" s="67"/>
      <c r="WAA124" s="67"/>
      <c r="WAB124" s="67"/>
      <c r="WAC124" s="67"/>
      <c r="WAD124" s="67"/>
      <c r="WAE124" s="67"/>
      <c r="WAF124" s="67"/>
      <c r="WAG124" s="67"/>
      <c r="WAH124" s="67"/>
      <c r="WAI124" s="67"/>
      <c r="WAJ124" s="67"/>
      <c r="WAK124" s="67"/>
      <c r="WAL124" s="67"/>
      <c r="WAM124" s="67"/>
      <c r="WAN124" s="67"/>
      <c r="WAO124" s="67"/>
      <c r="WAP124" s="67"/>
      <c r="WAQ124" s="67"/>
      <c r="WAR124" s="67"/>
      <c r="WAS124" s="67"/>
      <c r="WAT124" s="67"/>
      <c r="WAU124" s="67"/>
      <c r="WAV124" s="67"/>
      <c r="WAW124" s="67"/>
      <c r="WAX124" s="67"/>
      <c r="WAY124" s="67"/>
      <c r="WAZ124" s="67"/>
      <c r="WBA124" s="67"/>
      <c r="WBB124" s="67"/>
      <c r="WBC124" s="67"/>
      <c r="WBD124" s="67"/>
      <c r="WBE124" s="67"/>
      <c r="WBF124" s="67"/>
      <c r="WBG124" s="67"/>
      <c r="WBH124" s="67"/>
      <c r="WBI124" s="67"/>
      <c r="WBJ124" s="67"/>
      <c r="WBK124" s="67"/>
      <c r="WBL124" s="67"/>
      <c r="WBM124" s="67"/>
      <c r="WBN124" s="67"/>
      <c r="WBO124" s="67"/>
      <c r="WBP124" s="67"/>
      <c r="WBQ124" s="67"/>
      <c r="WBR124" s="67"/>
      <c r="WBS124" s="67"/>
      <c r="WBT124" s="67"/>
      <c r="WBU124" s="67"/>
      <c r="WBV124" s="67"/>
      <c r="WBW124" s="67"/>
      <c r="WBX124" s="67"/>
      <c r="WBY124" s="67"/>
      <c r="WBZ124" s="67"/>
      <c r="WCA124" s="67"/>
      <c r="WCB124" s="67"/>
      <c r="WCC124" s="67"/>
      <c r="WCD124" s="67"/>
      <c r="WCE124" s="67"/>
      <c r="WCF124" s="67"/>
      <c r="WCG124" s="67"/>
      <c r="WCH124" s="67"/>
      <c r="WCI124" s="67"/>
      <c r="WCJ124" s="67"/>
      <c r="WCK124" s="67"/>
      <c r="WCL124" s="67"/>
      <c r="WCM124" s="67"/>
      <c r="WCN124" s="67"/>
      <c r="WCO124" s="67"/>
      <c r="WCP124" s="67"/>
      <c r="WCQ124" s="67"/>
      <c r="WCR124" s="67"/>
      <c r="WCS124" s="67"/>
      <c r="WCT124" s="67"/>
      <c r="WCU124" s="67"/>
      <c r="WCV124" s="67"/>
      <c r="WCW124" s="67"/>
      <c r="WCX124" s="67"/>
      <c r="WCY124" s="67"/>
      <c r="WCZ124" s="67"/>
      <c r="WDA124" s="67"/>
      <c r="WDB124" s="67"/>
      <c r="WDC124" s="67"/>
      <c r="WDD124" s="67"/>
      <c r="WDE124" s="67"/>
      <c r="WDF124" s="67"/>
      <c r="WDG124" s="67"/>
      <c r="WDH124" s="67"/>
      <c r="WDI124" s="67"/>
      <c r="WDJ124" s="67"/>
      <c r="WDK124" s="67"/>
      <c r="WDL124" s="67"/>
      <c r="WDM124" s="67"/>
      <c r="WDN124" s="67"/>
      <c r="WDO124" s="67"/>
      <c r="WDP124" s="67"/>
      <c r="WDQ124" s="67"/>
      <c r="WDR124" s="67"/>
      <c r="WDS124" s="67"/>
      <c r="WDT124" s="67"/>
      <c r="WDU124" s="67"/>
      <c r="WDV124" s="67"/>
      <c r="WDW124" s="67"/>
      <c r="WDX124" s="67"/>
      <c r="WDY124" s="67"/>
      <c r="WDZ124" s="67"/>
      <c r="WEA124" s="67"/>
      <c r="WEB124" s="67"/>
      <c r="WEC124" s="67"/>
      <c r="WED124" s="67"/>
      <c r="WEE124" s="67"/>
      <c r="WEF124" s="67"/>
      <c r="WEG124" s="67"/>
      <c r="WEH124" s="67"/>
      <c r="WEI124" s="67"/>
      <c r="WEJ124" s="67"/>
      <c r="WEK124" s="67"/>
      <c r="WEL124" s="67"/>
      <c r="WEM124" s="67"/>
      <c r="WEN124" s="67"/>
      <c r="WEO124" s="67"/>
      <c r="WEP124" s="67"/>
      <c r="WEQ124" s="67"/>
      <c r="WER124" s="67"/>
      <c r="WES124" s="67"/>
      <c r="WET124" s="67"/>
      <c r="WEU124" s="67"/>
      <c r="WEV124" s="67"/>
      <c r="WEW124" s="67"/>
      <c r="WEX124" s="67"/>
      <c r="WEY124" s="67"/>
      <c r="WEZ124" s="67"/>
      <c r="WFA124" s="67"/>
      <c r="WFB124" s="67"/>
      <c r="WFC124" s="67"/>
      <c r="WFD124" s="67"/>
      <c r="WFE124" s="67"/>
      <c r="WFF124" s="67"/>
      <c r="WFG124" s="67"/>
      <c r="WFH124" s="67"/>
      <c r="WFI124" s="67"/>
      <c r="WFJ124" s="67"/>
      <c r="WFK124" s="67"/>
      <c r="WFL124" s="67"/>
      <c r="WFM124" s="67"/>
      <c r="WFN124" s="67"/>
      <c r="WFO124" s="67"/>
      <c r="WFP124" s="67"/>
      <c r="WFQ124" s="67"/>
      <c r="WFR124" s="67"/>
      <c r="WFS124" s="67"/>
      <c r="WFT124" s="67"/>
      <c r="WFU124" s="67"/>
      <c r="WFV124" s="67"/>
      <c r="WFW124" s="67"/>
      <c r="WFX124" s="67"/>
      <c r="WFY124" s="67"/>
      <c r="WFZ124" s="67"/>
      <c r="WGA124" s="67"/>
      <c r="WGB124" s="67"/>
      <c r="WGC124" s="67"/>
      <c r="WGD124" s="67"/>
      <c r="WGE124" s="67"/>
      <c r="WGF124" s="67"/>
      <c r="WGG124" s="67"/>
      <c r="WGH124" s="67"/>
      <c r="WGI124" s="67"/>
      <c r="WGJ124" s="67"/>
      <c r="WGK124" s="67"/>
      <c r="WGL124" s="67"/>
      <c r="WGM124" s="67"/>
      <c r="WGN124" s="67"/>
      <c r="WGO124" s="67"/>
      <c r="WGP124" s="67"/>
      <c r="WGQ124" s="67"/>
      <c r="WGR124" s="67"/>
      <c r="WGS124" s="67"/>
      <c r="WGT124" s="67"/>
      <c r="WGU124" s="67"/>
      <c r="WGV124" s="67"/>
      <c r="WGW124" s="67"/>
      <c r="WGX124" s="67"/>
      <c r="WGY124" s="67"/>
      <c r="WGZ124" s="67"/>
      <c r="WHA124" s="67"/>
      <c r="WHB124" s="67"/>
      <c r="WHC124" s="67"/>
      <c r="WHD124" s="67"/>
      <c r="WHE124" s="67"/>
      <c r="WHF124" s="67"/>
      <c r="WHG124" s="67"/>
      <c r="WHH124" s="67"/>
      <c r="WHI124" s="67"/>
      <c r="WHJ124" s="67"/>
      <c r="WHK124" s="67"/>
      <c r="WHL124" s="67"/>
      <c r="WHM124" s="67"/>
      <c r="WHN124" s="67"/>
      <c r="WHO124" s="67"/>
      <c r="WHP124" s="67"/>
      <c r="WHQ124" s="67"/>
      <c r="WHR124" s="67"/>
      <c r="WHS124" s="67"/>
      <c r="WHT124" s="67"/>
      <c r="WHU124" s="67"/>
      <c r="WHV124" s="67"/>
      <c r="WHW124" s="67"/>
      <c r="WHX124" s="67"/>
      <c r="WHY124" s="67"/>
      <c r="WHZ124" s="67"/>
      <c r="WIA124" s="67"/>
      <c r="WIB124" s="67"/>
      <c r="WIC124" s="67"/>
      <c r="WID124" s="67"/>
      <c r="WIE124" s="67"/>
      <c r="WIF124" s="67"/>
      <c r="WIG124" s="67"/>
      <c r="WIH124" s="67"/>
      <c r="WII124" s="67"/>
      <c r="WIJ124" s="67"/>
      <c r="WIK124" s="67"/>
      <c r="WIL124" s="67"/>
      <c r="WIM124" s="67"/>
      <c r="WIN124" s="67"/>
      <c r="WIO124" s="67"/>
      <c r="WIP124" s="67"/>
      <c r="WIQ124" s="67"/>
      <c r="WIR124" s="67"/>
      <c r="WIS124" s="67"/>
      <c r="WIT124" s="67"/>
      <c r="WIU124" s="67"/>
      <c r="WIV124" s="67"/>
      <c r="WIW124" s="67"/>
      <c r="WIX124" s="67"/>
      <c r="WIY124" s="67"/>
      <c r="WIZ124" s="67"/>
      <c r="WJA124" s="67"/>
      <c r="WJB124" s="67"/>
      <c r="WJC124" s="67"/>
      <c r="WJD124" s="67"/>
      <c r="WJE124" s="67"/>
      <c r="WJF124" s="67"/>
      <c r="WJG124" s="67"/>
      <c r="WJH124" s="67"/>
      <c r="WJI124" s="67"/>
      <c r="WJJ124" s="67"/>
      <c r="WJK124" s="67"/>
      <c r="WJL124" s="67"/>
      <c r="WJM124" s="67"/>
      <c r="WJN124" s="67"/>
      <c r="WJO124" s="67"/>
      <c r="WJP124" s="67"/>
      <c r="WJQ124" s="67"/>
      <c r="WJR124" s="67"/>
      <c r="WJS124" s="67"/>
      <c r="WJT124" s="67"/>
      <c r="WJU124" s="67"/>
      <c r="WJV124" s="67"/>
      <c r="WJW124" s="67"/>
      <c r="WJX124" s="67"/>
      <c r="WJY124" s="67"/>
      <c r="WJZ124" s="67"/>
      <c r="WKA124" s="67"/>
      <c r="WKB124" s="67"/>
      <c r="WKC124" s="67"/>
      <c r="WKD124" s="67"/>
      <c r="WKE124" s="67"/>
      <c r="WKF124" s="67"/>
      <c r="WKG124" s="67"/>
      <c r="WKH124" s="67"/>
      <c r="WKI124" s="67"/>
      <c r="WKJ124" s="67"/>
      <c r="WKK124" s="67"/>
      <c r="WKL124" s="67"/>
      <c r="WKM124" s="67"/>
      <c r="WKN124" s="67"/>
      <c r="WKO124" s="67"/>
      <c r="WKP124" s="67"/>
      <c r="WKQ124" s="67"/>
      <c r="WKR124" s="67"/>
      <c r="WKS124" s="67"/>
      <c r="WKT124" s="67"/>
      <c r="WKU124" s="67"/>
      <c r="WKV124" s="67"/>
      <c r="WKW124" s="67"/>
      <c r="WKX124" s="67"/>
      <c r="WKY124" s="67"/>
      <c r="WKZ124" s="67"/>
      <c r="WLA124" s="67"/>
      <c r="WLB124" s="67"/>
      <c r="WLC124" s="67"/>
      <c r="WLD124" s="67"/>
      <c r="WLE124" s="67"/>
      <c r="WLF124" s="67"/>
      <c r="WLG124" s="67"/>
      <c r="WLH124" s="67"/>
      <c r="WLI124" s="67"/>
      <c r="WLJ124" s="67"/>
      <c r="WLK124" s="67"/>
      <c r="WLL124" s="67"/>
      <c r="WLM124" s="67"/>
      <c r="WLN124" s="67"/>
      <c r="WLO124" s="67"/>
      <c r="WLP124" s="67"/>
      <c r="WLQ124" s="67"/>
      <c r="WLR124" s="67"/>
      <c r="WLS124" s="67"/>
      <c r="WLT124" s="67"/>
      <c r="WLU124" s="67"/>
      <c r="WLV124" s="67"/>
      <c r="WLW124" s="67"/>
      <c r="WLX124" s="67"/>
      <c r="WLY124" s="67"/>
      <c r="WLZ124" s="67"/>
      <c r="WMA124" s="67"/>
      <c r="WMB124" s="67"/>
      <c r="WMC124" s="67"/>
      <c r="WMD124" s="67"/>
      <c r="WME124" s="67"/>
      <c r="WMF124" s="67"/>
      <c r="WMG124" s="67"/>
      <c r="WMH124" s="67"/>
      <c r="WMI124" s="67"/>
      <c r="WMJ124" s="67"/>
      <c r="WMK124" s="67"/>
      <c r="WML124" s="67"/>
      <c r="WMM124" s="67"/>
      <c r="WMN124" s="67"/>
      <c r="WMO124" s="67"/>
      <c r="WMP124" s="67"/>
      <c r="WMQ124" s="67"/>
      <c r="WMR124" s="67"/>
      <c r="WMS124" s="67"/>
      <c r="WMT124" s="67"/>
      <c r="WMU124" s="67"/>
      <c r="WMV124" s="67"/>
      <c r="WMW124" s="67"/>
      <c r="WMX124" s="67"/>
      <c r="WMY124" s="67"/>
      <c r="WMZ124" s="67"/>
      <c r="WNA124" s="67"/>
      <c r="WNB124" s="67"/>
      <c r="WNC124" s="67"/>
      <c r="WND124" s="67"/>
      <c r="WNE124" s="67"/>
      <c r="WNF124" s="67"/>
      <c r="WNG124" s="67"/>
      <c r="WNH124" s="67"/>
      <c r="WNI124" s="67"/>
      <c r="WNJ124" s="67"/>
      <c r="WNK124" s="67"/>
      <c r="WNL124" s="67"/>
      <c r="WNM124" s="67"/>
      <c r="WNN124" s="67"/>
      <c r="WNO124" s="67"/>
      <c r="WNP124" s="67"/>
      <c r="WNQ124" s="67"/>
      <c r="WNR124" s="67"/>
      <c r="WNS124" s="67"/>
      <c r="WNT124" s="67"/>
      <c r="WNU124" s="67"/>
      <c r="WNV124" s="67"/>
      <c r="WNW124" s="67"/>
      <c r="WNX124" s="67"/>
      <c r="WNY124" s="67"/>
      <c r="WNZ124" s="67"/>
      <c r="WOA124" s="67"/>
      <c r="WOB124" s="67"/>
      <c r="WOC124" s="67"/>
      <c r="WOD124" s="67"/>
      <c r="WOE124" s="67"/>
      <c r="WOF124" s="67"/>
      <c r="WOG124" s="67"/>
      <c r="WOH124" s="67"/>
      <c r="WOI124" s="67"/>
      <c r="WOJ124" s="67"/>
      <c r="WOK124" s="67"/>
      <c r="WOL124" s="67"/>
      <c r="WOM124" s="67"/>
      <c r="WON124" s="67"/>
      <c r="WOO124" s="67"/>
      <c r="WOP124" s="67"/>
      <c r="WOQ124" s="67"/>
      <c r="WOR124" s="67"/>
      <c r="WOS124" s="67"/>
      <c r="WOT124" s="67"/>
      <c r="WOU124" s="67"/>
      <c r="WOV124" s="67"/>
      <c r="WOW124" s="67"/>
      <c r="WOX124" s="67"/>
      <c r="WOY124" s="67"/>
      <c r="WOZ124" s="67"/>
      <c r="WPA124" s="67"/>
      <c r="WPB124" s="67"/>
      <c r="WPC124" s="67"/>
      <c r="WPD124" s="67"/>
      <c r="WPE124" s="67"/>
      <c r="WPF124" s="67"/>
      <c r="WPG124" s="67"/>
      <c r="WPH124" s="67"/>
      <c r="WPI124" s="67"/>
      <c r="WPJ124" s="67"/>
      <c r="WPK124" s="67"/>
      <c r="WPL124" s="67"/>
      <c r="WPM124" s="67"/>
      <c r="WPN124" s="67"/>
      <c r="WPO124" s="67"/>
      <c r="WPP124" s="67"/>
      <c r="WPQ124" s="67"/>
      <c r="WPR124" s="67"/>
      <c r="WPS124" s="67"/>
      <c r="WPT124" s="67"/>
      <c r="WPU124" s="67"/>
      <c r="WPV124" s="67"/>
      <c r="WPW124" s="67"/>
      <c r="WPX124" s="67"/>
      <c r="WPY124" s="67"/>
      <c r="WPZ124" s="67"/>
      <c r="WQA124" s="67"/>
      <c r="WQB124" s="67"/>
      <c r="WQC124" s="67"/>
      <c r="WQD124" s="67"/>
      <c r="WQE124" s="67"/>
      <c r="WQF124" s="67"/>
      <c r="WQG124" s="67"/>
      <c r="WQH124" s="67"/>
      <c r="WQI124" s="67"/>
      <c r="WQJ124" s="67"/>
      <c r="WQK124" s="67"/>
      <c r="WQL124" s="67"/>
      <c r="WQM124" s="67"/>
      <c r="WQN124" s="67"/>
      <c r="WQO124" s="67"/>
      <c r="WQP124" s="67"/>
      <c r="WQQ124" s="67"/>
      <c r="WQR124" s="67"/>
      <c r="WQS124" s="67"/>
      <c r="WQT124" s="67"/>
      <c r="WQU124" s="67"/>
      <c r="WQV124" s="67"/>
      <c r="WQW124" s="67"/>
      <c r="WQX124" s="67"/>
      <c r="WQY124" s="67"/>
      <c r="WQZ124" s="67"/>
      <c r="WRA124" s="67"/>
      <c r="WRB124" s="67"/>
      <c r="WRC124" s="67"/>
      <c r="WRD124" s="67"/>
      <c r="WRE124" s="67"/>
      <c r="WRF124" s="67"/>
      <c r="WRG124" s="67"/>
      <c r="WRH124" s="67"/>
      <c r="WRI124" s="67"/>
      <c r="WRJ124" s="67"/>
      <c r="WRK124" s="67"/>
      <c r="WRL124" s="67"/>
      <c r="WRM124" s="67"/>
      <c r="WRN124" s="67"/>
      <c r="WRO124" s="67"/>
      <c r="WRP124" s="67"/>
      <c r="WRQ124" s="67"/>
      <c r="WRR124" s="67"/>
      <c r="WRS124" s="67"/>
      <c r="WRT124" s="67"/>
      <c r="WRU124" s="67"/>
      <c r="WRV124" s="67"/>
      <c r="WRW124" s="67"/>
      <c r="WRX124" s="67"/>
      <c r="WRY124" s="67"/>
      <c r="WRZ124" s="67"/>
      <c r="WSA124" s="67"/>
      <c r="WSB124" s="67"/>
      <c r="WSC124" s="67"/>
      <c r="WSD124" s="67"/>
      <c r="WSE124" s="67"/>
      <c r="WSF124" s="67"/>
      <c r="WSG124" s="67"/>
      <c r="WSH124" s="67"/>
      <c r="WSI124" s="67"/>
      <c r="WSJ124" s="67"/>
      <c r="WSK124" s="67"/>
      <c r="WSL124" s="67"/>
      <c r="WSM124" s="67"/>
      <c r="WSN124" s="67"/>
      <c r="WSO124" s="67"/>
      <c r="WSP124" s="67"/>
      <c r="WSQ124" s="67"/>
      <c r="WSR124" s="67"/>
      <c r="WSS124" s="67"/>
      <c r="WST124" s="67"/>
      <c r="WSU124" s="67"/>
      <c r="WSV124" s="67"/>
      <c r="WSW124" s="67"/>
      <c r="WSX124" s="67"/>
      <c r="WSY124" s="67"/>
      <c r="WSZ124" s="67"/>
      <c r="WTA124" s="67"/>
      <c r="WTB124" s="67"/>
      <c r="WTC124" s="67"/>
      <c r="WTD124" s="67"/>
      <c r="WTE124" s="67"/>
      <c r="WTF124" s="67"/>
      <c r="WTG124" s="67"/>
      <c r="WTH124" s="67"/>
      <c r="WTI124" s="67"/>
      <c r="WTJ124" s="67"/>
      <c r="WTK124" s="67"/>
      <c r="WTL124" s="67"/>
      <c r="WTM124" s="67"/>
      <c r="WTN124" s="67"/>
      <c r="WTO124" s="67"/>
      <c r="WTP124" s="67"/>
      <c r="WTQ124" s="67"/>
      <c r="WTR124" s="67"/>
      <c r="WTS124" s="67"/>
      <c r="WTT124" s="67"/>
      <c r="WTU124" s="67"/>
      <c r="WTV124" s="67"/>
      <c r="WTW124" s="67"/>
      <c r="WTX124" s="67"/>
      <c r="WTY124" s="67"/>
      <c r="WTZ124" s="67"/>
      <c r="WUA124" s="67"/>
      <c r="WUB124" s="67"/>
      <c r="WUC124" s="67"/>
      <c r="WUD124" s="67"/>
      <c r="WUE124" s="67"/>
      <c r="WUF124" s="67"/>
      <c r="WUG124" s="67"/>
      <c r="WUH124" s="67"/>
      <c r="WUI124" s="67"/>
      <c r="WUJ124" s="67"/>
      <c r="WUK124" s="67"/>
      <c r="WUL124" s="67"/>
      <c r="WUM124" s="67"/>
      <c r="WUN124" s="67"/>
      <c r="WUO124" s="67"/>
      <c r="WUP124" s="67"/>
      <c r="WUQ124" s="67"/>
      <c r="WUR124" s="67"/>
      <c r="WUS124" s="67"/>
      <c r="WUT124" s="67"/>
      <c r="WUU124" s="67"/>
      <c r="WUV124" s="67"/>
      <c r="WUW124" s="67"/>
      <c r="WUX124" s="67"/>
      <c r="WUY124" s="67"/>
      <c r="WUZ124" s="67"/>
      <c r="WVA124" s="67"/>
      <c r="WVB124" s="67"/>
      <c r="WVC124" s="67"/>
      <c r="WVD124" s="67"/>
      <c r="WVE124" s="67"/>
      <c r="WVF124" s="67"/>
      <c r="WVG124" s="67"/>
      <c r="WVH124" s="67"/>
      <c r="WVI124" s="67"/>
      <c r="WVJ124" s="67"/>
      <c r="WVK124" s="67"/>
      <c r="WVL124" s="67"/>
      <c r="WVM124" s="67"/>
      <c r="WVN124" s="67"/>
      <c r="WVO124" s="67"/>
      <c r="WVP124" s="67"/>
      <c r="WVQ124" s="67"/>
      <c r="WVR124" s="67"/>
      <c r="WVS124" s="67"/>
      <c r="WVT124" s="67"/>
      <c r="WVU124" s="67"/>
      <c r="WVV124" s="67"/>
      <c r="WVW124" s="67"/>
      <c r="WVX124" s="67"/>
      <c r="WVY124" s="67"/>
      <c r="WVZ124" s="67"/>
      <c r="WWA124" s="67"/>
      <c r="WWB124" s="67"/>
      <c r="WWC124" s="67"/>
      <c r="WWD124" s="67"/>
      <c r="WWE124" s="67"/>
      <c r="WWF124" s="67"/>
      <c r="WWG124" s="67"/>
      <c r="WWH124" s="67"/>
      <c r="WWI124" s="67"/>
      <c r="WWJ124" s="67"/>
      <c r="WWK124" s="67"/>
      <c r="WWL124" s="67"/>
      <c r="WWM124" s="67"/>
      <c r="WWN124" s="67"/>
      <c r="WWO124" s="67"/>
      <c r="WWP124" s="67"/>
      <c r="WWQ124" s="67"/>
      <c r="WWR124" s="67"/>
      <c r="WWS124" s="67"/>
      <c r="WWT124" s="67"/>
      <c r="WWU124" s="67"/>
      <c r="WWV124" s="67"/>
      <c r="WWW124" s="67"/>
      <c r="WWX124" s="67"/>
      <c r="WWY124" s="67"/>
      <c r="WWZ124" s="67"/>
      <c r="WXA124" s="67"/>
      <c r="WXB124" s="67"/>
      <c r="WXC124" s="67"/>
      <c r="WXD124" s="67"/>
      <c r="WXE124" s="67"/>
      <c r="WXF124" s="67"/>
      <c r="WXG124" s="67"/>
      <c r="WXH124" s="67"/>
      <c r="WXI124" s="67"/>
      <c r="WXJ124" s="67"/>
      <c r="WXK124" s="67"/>
      <c r="WXL124" s="67"/>
      <c r="WXM124" s="67"/>
      <c r="WXN124" s="67"/>
      <c r="WXO124" s="67"/>
      <c r="WXP124" s="67"/>
      <c r="WXQ124" s="67"/>
      <c r="WXR124" s="67"/>
      <c r="WXS124" s="67"/>
      <c r="WXT124" s="67"/>
      <c r="WXU124" s="67"/>
      <c r="WXV124" s="67"/>
      <c r="WXW124" s="67"/>
      <c r="WXX124" s="67"/>
      <c r="WXY124" s="67"/>
      <c r="WXZ124" s="67"/>
      <c r="WYA124" s="67"/>
      <c r="WYB124" s="67"/>
      <c r="WYC124" s="67"/>
      <c r="WYD124" s="67"/>
      <c r="WYE124" s="67"/>
      <c r="WYF124" s="67"/>
      <c r="WYG124" s="67"/>
      <c r="WYH124" s="67"/>
      <c r="WYI124" s="67"/>
      <c r="WYJ124" s="67"/>
      <c r="WYK124" s="67"/>
      <c r="WYL124" s="67"/>
      <c r="WYM124" s="67"/>
      <c r="WYN124" s="67"/>
      <c r="WYO124" s="67"/>
      <c r="WYP124" s="67"/>
      <c r="WYQ124" s="67"/>
      <c r="WYR124" s="67"/>
      <c r="WYS124" s="67"/>
      <c r="WYT124" s="67"/>
      <c r="WYU124" s="67"/>
      <c r="WYV124" s="67"/>
      <c r="WYW124" s="67"/>
      <c r="WYX124" s="67"/>
      <c r="WYY124" s="67"/>
      <c r="WYZ124" s="67"/>
      <c r="WZA124" s="67"/>
      <c r="WZB124" s="67"/>
      <c r="WZC124" s="67"/>
      <c r="WZD124" s="67"/>
      <c r="WZE124" s="67"/>
      <c r="WZF124" s="67"/>
      <c r="WZG124" s="67"/>
      <c r="WZH124" s="67"/>
      <c r="WZI124" s="67"/>
      <c r="WZJ124" s="67"/>
      <c r="WZK124" s="67"/>
      <c r="WZL124" s="67"/>
      <c r="WZM124" s="67"/>
      <c r="WZN124" s="67"/>
      <c r="WZO124" s="67"/>
      <c r="WZP124" s="67"/>
      <c r="WZQ124" s="67"/>
      <c r="WZR124" s="67"/>
      <c r="WZS124" s="67"/>
      <c r="WZT124" s="67"/>
      <c r="WZU124" s="67"/>
      <c r="WZV124" s="67"/>
      <c r="WZW124" s="67"/>
      <c r="WZX124" s="67"/>
      <c r="WZY124" s="67"/>
      <c r="WZZ124" s="67"/>
      <c r="XAA124" s="67"/>
      <c r="XAB124" s="67"/>
      <c r="XAC124" s="67"/>
      <c r="XAD124" s="67"/>
      <c r="XAE124" s="67"/>
      <c r="XAF124" s="67"/>
      <c r="XAG124" s="67"/>
      <c r="XAH124" s="67"/>
      <c r="XAI124" s="67"/>
      <c r="XAJ124" s="67"/>
      <c r="XAK124" s="67"/>
      <c r="XAL124" s="67"/>
      <c r="XAM124" s="67"/>
      <c r="XAN124" s="67"/>
      <c r="XAO124" s="67"/>
      <c r="XAP124" s="67"/>
      <c r="XAQ124" s="67"/>
      <c r="XAR124" s="67"/>
      <c r="XAS124" s="67"/>
      <c r="XAT124" s="67"/>
      <c r="XAU124" s="67"/>
      <c r="XAV124" s="67"/>
      <c r="XAW124" s="67"/>
      <c r="XAX124" s="67"/>
      <c r="XAY124" s="67"/>
      <c r="XAZ124" s="67"/>
      <c r="XBA124" s="67"/>
      <c r="XBB124" s="67"/>
      <c r="XBC124" s="67"/>
      <c r="XBD124" s="67"/>
      <c r="XBE124" s="67"/>
      <c r="XBF124" s="67"/>
      <c r="XBG124" s="67"/>
      <c r="XBH124" s="67"/>
      <c r="XBI124" s="67"/>
      <c r="XBJ124" s="67"/>
      <c r="XBK124" s="67"/>
      <c r="XBL124" s="67"/>
      <c r="XBM124" s="67"/>
      <c r="XBN124" s="67"/>
      <c r="XBO124" s="67"/>
      <c r="XBP124" s="67"/>
      <c r="XBQ124" s="67"/>
      <c r="XBR124" s="67"/>
      <c r="XBS124" s="67"/>
      <c r="XBT124" s="67"/>
      <c r="XBU124" s="67"/>
      <c r="XBV124" s="67"/>
      <c r="XBW124" s="67"/>
      <c r="XBX124" s="67"/>
      <c r="XBY124" s="67"/>
      <c r="XBZ124" s="67"/>
      <c r="XCA124" s="67"/>
      <c r="XCB124" s="67"/>
      <c r="XCC124" s="67"/>
      <c r="XCD124" s="67"/>
      <c r="XCE124" s="67"/>
      <c r="XCF124" s="67"/>
      <c r="XCG124" s="67"/>
      <c r="XCH124" s="67"/>
      <c r="XCI124" s="67"/>
      <c r="XCJ124" s="67"/>
      <c r="XCK124" s="67"/>
      <c r="XCL124" s="67"/>
      <c r="XCM124" s="67"/>
      <c r="XCN124" s="67"/>
      <c r="XCO124" s="67"/>
      <c r="XCP124" s="67"/>
      <c r="XCQ124" s="67"/>
      <c r="XCR124" s="67"/>
      <c r="XCS124" s="67"/>
      <c r="XCT124" s="67"/>
      <c r="XCU124" s="67"/>
      <c r="XCV124" s="67"/>
      <c r="XCW124" s="67"/>
      <c r="XCX124" s="67"/>
      <c r="XCY124" s="67"/>
      <c r="XCZ124" s="67"/>
      <c r="XDA124" s="67"/>
      <c r="XDB124" s="67"/>
      <c r="XDC124" s="67"/>
      <c r="XDD124" s="67"/>
      <c r="XDE124" s="67"/>
      <c r="XDF124" s="67"/>
      <c r="XDG124" s="67"/>
      <c r="XDH124" s="67"/>
      <c r="XDI124" s="67"/>
      <c r="XDJ124" s="67"/>
      <c r="XDK124" s="67"/>
      <c r="XDL124" s="67"/>
      <c r="XDM124" s="67"/>
      <c r="XDN124" s="67"/>
      <c r="XDO124" s="67"/>
      <c r="XDP124" s="67"/>
      <c r="XDQ124" s="67"/>
      <c r="XDR124" s="67"/>
      <c r="XDS124" s="67"/>
      <c r="XDT124" s="67"/>
      <c r="XDU124" s="67"/>
      <c r="XDV124" s="67"/>
      <c r="XDW124" s="67"/>
      <c r="XDX124" s="67"/>
      <c r="XDY124" s="67"/>
      <c r="XDZ124" s="67"/>
      <c r="XEA124" s="67"/>
      <c r="XEB124" s="67"/>
      <c r="XEC124" s="67"/>
      <c r="XED124" s="67"/>
      <c r="XEE124" s="67"/>
      <c r="XEF124" s="67"/>
      <c r="XEG124" s="67"/>
      <c r="XEH124" s="67"/>
      <c r="XEI124" s="67"/>
      <c r="XEJ124" s="67"/>
      <c r="XEK124" s="67"/>
      <c r="XEL124" s="67"/>
      <c r="XEM124" s="67"/>
      <c r="XEN124" s="67"/>
      <c r="XEO124" s="67"/>
      <c r="XEP124" s="67"/>
      <c r="XEQ124" s="67"/>
      <c r="XER124" s="67"/>
      <c r="XES124" s="67"/>
      <c r="XET124" s="67"/>
      <c r="XEU124" s="67"/>
      <c r="XEV124" s="67"/>
      <c r="XEW124" s="67"/>
      <c r="XEX124" s="67"/>
      <c r="XEY124" s="67"/>
      <c r="XEZ124" s="67"/>
      <c r="XFA124" s="67"/>
      <c r="XFB124" s="67"/>
      <c r="XFC124" s="67"/>
      <c r="XFD124" s="67"/>
    </row>
    <row r="125" spans="1:16384" s="35" customFormat="1" ht="11.25" customHeight="1">
      <c r="A125" s="67" t="s">
        <v>28</v>
      </c>
      <c r="B125" s="54">
        <f t="shared" ref="B125:U125" si="61">B20/B9</f>
        <v>0.20842313218390804</v>
      </c>
      <c r="C125" s="76">
        <f t="shared" si="61"/>
        <v>0.23224637681159421</v>
      </c>
      <c r="D125" s="76">
        <f t="shared" si="61"/>
        <v>0.28093158660844253</v>
      </c>
      <c r="E125" s="76">
        <f t="shared" si="61"/>
        <v>0.27619387027797576</v>
      </c>
      <c r="F125" s="76">
        <f t="shared" si="61"/>
        <v>0.16734542761940022</v>
      </c>
      <c r="G125" s="54">
        <f t="shared" si="61"/>
        <v>0.23967317294598275</v>
      </c>
      <c r="H125" s="76">
        <f t="shared" si="61"/>
        <v>0.28627731995700467</v>
      </c>
      <c r="I125" s="76">
        <f t="shared" si="61"/>
        <v>0.28481894150417825</v>
      </c>
      <c r="J125" s="76">
        <f t="shared" si="61"/>
        <v>0.29924760601915185</v>
      </c>
      <c r="K125" s="76">
        <f t="shared" si="61"/>
        <v>0.16371077762619374</v>
      </c>
      <c r="L125" s="54">
        <f t="shared" si="61"/>
        <v>0.25800850768295858</v>
      </c>
      <c r="M125" s="76">
        <f t="shared" si="61"/>
        <v>0.29982847341337909</v>
      </c>
      <c r="N125" s="76">
        <f t="shared" si="61"/>
        <v>0.33210332103321033</v>
      </c>
      <c r="O125" s="76">
        <f t="shared" si="61"/>
        <v>0.32278272337619518</v>
      </c>
      <c r="P125" s="76">
        <f t="shared" si="61"/>
        <v>0.2946370176586004</v>
      </c>
      <c r="Q125" s="54">
        <f t="shared" si="61"/>
        <v>0.31233836656377745</v>
      </c>
      <c r="R125" s="76">
        <f t="shared" si="61"/>
        <v>0.22828698935805011</v>
      </c>
      <c r="S125" s="76">
        <f t="shared" si="61"/>
        <v>0.32319391634980987</v>
      </c>
      <c r="T125" s="76">
        <f t="shared" si="61"/>
        <v>0.32362015769626329</v>
      </c>
      <c r="U125" s="76">
        <f t="shared" si="61"/>
        <v>0.26830188679245282</v>
      </c>
      <c r="V125" s="54">
        <v>0.28620416776576102</v>
      </c>
      <c r="W125" s="76">
        <v>0.31021897810218979</v>
      </c>
      <c r="X125" s="76">
        <v>0.28747591522157995</v>
      </c>
      <c r="Y125" s="76">
        <v>0.26744186046511625</v>
      </c>
      <c r="Z125" s="76">
        <v>0.3176806859942834</v>
      </c>
      <c r="AA125" s="54">
        <v>0.29587468379062076</v>
      </c>
      <c r="AB125" s="76">
        <v>0.31642411642411644</v>
      </c>
      <c r="AC125" s="76">
        <v>0.31646108039132287</v>
      </c>
      <c r="AD125" s="76">
        <v>0.30066722268557133</v>
      </c>
      <c r="AE125" s="76">
        <v>0.24616023246160232</v>
      </c>
      <c r="AF125" s="54">
        <v>0.29478197218446095</v>
      </c>
      <c r="AG125" s="76">
        <v>0.29770662051060148</v>
      </c>
      <c r="AH125" s="76">
        <v>0.5484444444444444</v>
      </c>
      <c r="AI125" s="76">
        <v>0.30062724014336917</v>
      </c>
      <c r="AJ125" s="76">
        <v>0.27984084880636606</v>
      </c>
      <c r="AK125" s="54">
        <v>0.35626725565985645</v>
      </c>
      <c r="AL125" s="76">
        <v>0.29254829806807725</v>
      </c>
      <c r="AM125" s="76">
        <v>0.30503265462927392</v>
      </c>
      <c r="AN125" s="76">
        <v>0.25057647963105306</v>
      </c>
      <c r="AO125" s="76">
        <v>0.18726016884113583</v>
      </c>
      <c r="AP125" s="54">
        <v>0.257386079118678</v>
      </c>
      <c r="AQ125" s="76">
        <v>0.22430636967565457</v>
      </c>
      <c r="AR125" s="76">
        <v>0.24532058940661092</v>
      </c>
      <c r="AS125" s="76">
        <v>0.23864541832669323</v>
      </c>
      <c r="AT125" s="76">
        <v>0.21246006389776359</v>
      </c>
      <c r="AU125" s="54">
        <v>0.23016660055533519</v>
      </c>
      <c r="AV125" s="76">
        <v>0.23073787199347737</v>
      </c>
      <c r="AW125" s="76">
        <v>0.23264311814859928</v>
      </c>
      <c r="AX125" s="76">
        <v>0.22525879917184266</v>
      </c>
      <c r="AY125" s="76">
        <v>0.17371847030105778</v>
      </c>
      <c r="AZ125" s="54">
        <v>0.21554806415364183</v>
      </c>
      <c r="BA125" s="76">
        <v>0.19567979669631513</v>
      </c>
      <c r="BB125" s="76">
        <v>0.15902271753107586</v>
      </c>
      <c r="BC125" s="76">
        <v>0.1864406779661017</v>
      </c>
      <c r="BD125" s="76">
        <v>-0.77815993121238181</v>
      </c>
      <c r="BE125" s="54">
        <v>-5.879197510996674E-2</v>
      </c>
      <c r="BF125" s="76">
        <v>0.22650709219858156</v>
      </c>
      <c r="BG125" s="76">
        <v>-4.2266187050359713E-2</v>
      </c>
      <c r="BH125" s="76">
        <v>0.20427236315086783</v>
      </c>
    </row>
    <row r="126" spans="1:16384" s="35" customFormat="1" ht="11.25" customHeight="1">
      <c r="A126" s="67" t="s">
        <v>36</v>
      </c>
      <c r="B126" s="54">
        <f t="shared" ref="B126:U126" si="62">B32/B9</f>
        <v>0.11943247126436782</v>
      </c>
      <c r="C126" s="76">
        <f t="shared" si="62"/>
        <v>0.14891304347826087</v>
      </c>
      <c r="D126" s="76">
        <f t="shared" si="62"/>
        <v>0.16593886462882096</v>
      </c>
      <c r="E126" s="76">
        <f t="shared" si="62"/>
        <v>0.1646471846044191</v>
      </c>
      <c r="F126" s="76">
        <f t="shared" si="62"/>
        <v>0.11032950758978156</v>
      </c>
      <c r="G126" s="54">
        <f t="shared" si="62"/>
        <v>0.14770767135724014</v>
      </c>
      <c r="H126" s="76">
        <f t="shared" si="62"/>
        <v>0.21784306700107489</v>
      </c>
      <c r="I126" s="76">
        <f t="shared" si="62"/>
        <v>0.18837047353760444</v>
      </c>
      <c r="J126" s="76">
        <f t="shared" si="62"/>
        <v>0.71409028727770174</v>
      </c>
      <c r="K126" s="76">
        <f t="shared" si="62"/>
        <v>0.12482946793997271</v>
      </c>
      <c r="L126" s="54">
        <f t="shared" si="62"/>
        <v>0.31278756836530947</v>
      </c>
      <c r="M126" s="76">
        <f t="shared" si="62"/>
        <v>0.22024013722126928</v>
      </c>
      <c r="N126" s="76">
        <f t="shared" si="62"/>
        <v>0.2140221402214022</v>
      </c>
      <c r="O126" s="76">
        <f t="shared" si="62"/>
        <v>0.19386745796241345</v>
      </c>
      <c r="P126" s="76">
        <f t="shared" si="62"/>
        <v>0.1880313930673643</v>
      </c>
      <c r="Q126" s="54">
        <f t="shared" si="62"/>
        <v>0.20380412113122551</v>
      </c>
      <c r="R126" s="76">
        <f t="shared" si="62"/>
        <v>0.13971850326124272</v>
      </c>
      <c r="S126" s="76">
        <f t="shared" si="62"/>
        <v>0.20221223643276875</v>
      </c>
      <c r="T126" s="76">
        <f t="shared" si="62"/>
        <v>0.18854988001371273</v>
      </c>
      <c r="U126" s="76">
        <f t="shared" si="62"/>
        <v>0.20075471698113206</v>
      </c>
      <c r="V126" s="54">
        <v>0.18236173393124067</v>
      </c>
      <c r="W126" s="76">
        <v>0.2124087591240876</v>
      </c>
      <c r="X126" s="76">
        <v>0.15992292870905589</v>
      </c>
      <c r="Y126" s="76">
        <v>0.13712910986367283</v>
      </c>
      <c r="Z126" s="76">
        <v>0.21314822376480197</v>
      </c>
      <c r="AA126" s="54">
        <v>0.1810663553220471</v>
      </c>
      <c r="AB126" s="76">
        <v>0.20665280665280666</v>
      </c>
      <c r="AC126" s="76">
        <v>0.20119098256061252</v>
      </c>
      <c r="AD126" s="76">
        <v>0.18723936613844872</v>
      </c>
      <c r="AE126" s="76">
        <v>0.14611872146118721</v>
      </c>
      <c r="AF126" s="54">
        <v>0.18519293108857054</v>
      </c>
      <c r="AG126" s="76">
        <v>0.1977498918217222</v>
      </c>
      <c r="AH126" s="76">
        <v>0.36</v>
      </c>
      <c r="AI126" s="76">
        <v>0.1917562724014337</v>
      </c>
      <c r="AJ126" s="76">
        <v>0.18390804597701149</v>
      </c>
      <c r="AK126" s="54">
        <v>0.2331308669243512</v>
      </c>
      <c r="AL126" s="76">
        <v>0.21297148114075437</v>
      </c>
      <c r="AM126" s="76">
        <v>0.18517095658855168</v>
      </c>
      <c r="AN126" s="76">
        <v>0.15641813989239048</v>
      </c>
      <c r="AO126" s="76">
        <v>0.14159631619339985</v>
      </c>
      <c r="AP126" s="54">
        <v>0.17235853780671007</v>
      </c>
      <c r="AQ126" s="76">
        <v>0.11254396248534584</v>
      </c>
      <c r="AR126" s="76">
        <v>0.15013938669852647</v>
      </c>
      <c r="AS126" s="76">
        <v>0.15697211155378485</v>
      </c>
      <c r="AT126" s="76">
        <v>7.3881789137380194E-2</v>
      </c>
      <c r="AU126" s="54">
        <v>0.12336374454581515</v>
      </c>
      <c r="AV126" s="76">
        <v>0.14268242967794537</v>
      </c>
      <c r="AW126" s="76">
        <v>0.14535119772634997</v>
      </c>
      <c r="AX126" s="76">
        <v>0.13333333333333333</v>
      </c>
      <c r="AY126" s="76">
        <v>8.3401139137510169E-2</v>
      </c>
      <c r="AZ126" s="54">
        <v>0.12616201859229748</v>
      </c>
      <c r="BA126" s="76">
        <v>0.11012282930961458</v>
      </c>
      <c r="BB126" s="76">
        <v>8.3583369052721818E-2</v>
      </c>
      <c r="BC126" s="76">
        <v>0.10169491525423729</v>
      </c>
      <c r="BD126" s="76">
        <v>-0.75451418744625964</v>
      </c>
      <c r="BE126" s="54">
        <v>-0.11436541143654114</v>
      </c>
      <c r="BF126" s="76">
        <v>0.13297872340425532</v>
      </c>
      <c r="BG126" s="76">
        <v>-0.70728417266187049</v>
      </c>
      <c r="BH126" s="76">
        <v>8.5002225189141078E-2</v>
      </c>
    </row>
    <row r="127" spans="1:16384" s="35" customFormat="1" ht="11.25" customHeight="1">
      <c r="A127" s="67" t="s">
        <v>10</v>
      </c>
      <c r="B127" s="54">
        <f t="shared" ref="B127:U127" si="63">B36/B9</f>
        <v>0.34392959770114945</v>
      </c>
      <c r="C127" s="76">
        <f t="shared" si="63"/>
        <v>0.36557971014492752</v>
      </c>
      <c r="D127" s="76">
        <f t="shared" si="63"/>
        <v>0.41229985443959244</v>
      </c>
      <c r="E127" s="76">
        <f t="shared" si="63"/>
        <v>0.40627227369921598</v>
      </c>
      <c r="F127" s="76">
        <f t="shared" si="63"/>
        <v>0.30211032950758976</v>
      </c>
      <c r="G127" s="54">
        <f t="shared" si="63"/>
        <v>0.37203812982296869</v>
      </c>
      <c r="H127" s="76">
        <f t="shared" si="63"/>
        <v>0.41920458616983158</v>
      </c>
      <c r="I127" s="76">
        <f t="shared" si="63"/>
        <v>0.41608635097493035</v>
      </c>
      <c r="J127" s="76">
        <f t="shared" si="63"/>
        <v>0.42270861833105333</v>
      </c>
      <c r="K127" s="76">
        <f t="shared" si="63"/>
        <v>0.29195088676671216</v>
      </c>
      <c r="L127" s="54">
        <f t="shared" si="63"/>
        <v>0.38692594843302369</v>
      </c>
      <c r="M127" s="76">
        <f t="shared" si="63"/>
        <v>0.41749571183533446</v>
      </c>
      <c r="N127" s="76">
        <f t="shared" si="63"/>
        <v>0.44884267024488428</v>
      </c>
      <c r="O127" s="76">
        <f t="shared" si="63"/>
        <v>0.43818001978239368</v>
      </c>
      <c r="P127" s="76">
        <f t="shared" si="63"/>
        <v>0.41497710922171355</v>
      </c>
      <c r="Q127" s="54">
        <f t="shared" si="63"/>
        <v>0.4298823725702845</v>
      </c>
      <c r="R127" s="76">
        <f t="shared" si="63"/>
        <v>0.34328870580157911</v>
      </c>
      <c r="S127" s="76">
        <f t="shared" si="63"/>
        <v>0.44348427238161081</v>
      </c>
      <c r="T127" s="76">
        <f t="shared" si="63"/>
        <v>0.44600617072334592</v>
      </c>
      <c r="U127" s="76">
        <f t="shared" si="63"/>
        <v>0.40226415094339624</v>
      </c>
      <c r="V127" s="54">
        <v>0.40886309680823002</v>
      </c>
      <c r="W127" s="76">
        <v>0.44087591240875912</v>
      </c>
      <c r="X127" s="76">
        <v>0.4254335260115607</v>
      </c>
      <c r="Y127" s="76">
        <v>0.41138732959101842</v>
      </c>
      <c r="Z127" s="76">
        <v>0.46508779093507552</v>
      </c>
      <c r="AA127" s="54">
        <v>0.43559058182525784</v>
      </c>
      <c r="AB127" s="76">
        <v>0.45280665280665283</v>
      </c>
      <c r="AC127" s="76">
        <v>0.4551254785197788</v>
      </c>
      <c r="AD127" s="76">
        <v>0.4378648874061718</v>
      </c>
      <c r="AE127" s="76">
        <v>0.38231631382316311</v>
      </c>
      <c r="AF127" s="54">
        <v>0.43187284325002612</v>
      </c>
      <c r="AG127" s="76">
        <v>0.43357853742968411</v>
      </c>
      <c r="AH127" s="76">
        <v>0.69022222222222218</v>
      </c>
      <c r="AI127" s="76">
        <v>0.44713261648745517</v>
      </c>
      <c r="AJ127" s="76">
        <v>0.4217506631299735</v>
      </c>
      <c r="AK127" s="54">
        <v>0.49773605742683602</v>
      </c>
      <c r="AL127" s="76">
        <v>0.43836246550137997</v>
      </c>
      <c r="AM127" s="76">
        <v>0.47829427583557432</v>
      </c>
      <c r="AN127" s="76">
        <v>0.42621060722521137</v>
      </c>
      <c r="AO127" s="76">
        <v>0.36339217191097467</v>
      </c>
      <c r="AP127" s="54">
        <v>0.42603905858788182</v>
      </c>
      <c r="AQ127" s="76">
        <v>0.39976553341148885</v>
      </c>
      <c r="AR127" s="76">
        <v>0.42054958183990443</v>
      </c>
      <c r="AS127" s="76">
        <v>0.41474103585657368</v>
      </c>
      <c r="AT127" s="76">
        <v>0.37539936102236421</v>
      </c>
      <c r="AU127" s="54">
        <v>0.40261800872669573</v>
      </c>
      <c r="AV127" s="76">
        <v>0.40521810028536487</v>
      </c>
      <c r="AW127" s="76">
        <v>0.4047909053999188</v>
      </c>
      <c r="AX127" s="76">
        <v>0.40579710144927539</v>
      </c>
      <c r="AY127" s="76">
        <v>0.34743694060211555</v>
      </c>
      <c r="AZ127" s="54">
        <v>0.39074471345387679</v>
      </c>
      <c r="BA127" s="76">
        <v>0.41804320203303685</v>
      </c>
      <c r="BB127" s="76">
        <v>0.3891984569224175</v>
      </c>
      <c r="BC127" s="76">
        <v>0.42416340721425466</v>
      </c>
      <c r="BD127" s="76">
        <v>-0.52880481513327604</v>
      </c>
      <c r="BE127" s="54">
        <v>0.17605407145156099</v>
      </c>
      <c r="BF127" s="76">
        <v>0.43306737588652483</v>
      </c>
      <c r="BG127" s="76">
        <v>0.17266187050359713</v>
      </c>
      <c r="BH127" s="76">
        <v>0.41833555852247439</v>
      </c>
    </row>
    <row r="128" spans="1:16384" ht="11.7" customHeight="1">
      <c r="A128" s="67" t="s">
        <v>18</v>
      </c>
      <c r="B128" s="54">
        <f t="shared" ref="B128:U128" si="64">B91/B9</f>
        <v>8.9031070402298851E-2</v>
      </c>
      <c r="C128" s="76">
        <f t="shared" si="64"/>
        <v>0.10384057971014493</v>
      </c>
      <c r="D128" s="76">
        <f t="shared" si="64"/>
        <v>0.12607205240174674</v>
      </c>
      <c r="E128" s="76">
        <f t="shared" si="64"/>
        <v>0.19214183891660727</v>
      </c>
      <c r="F128" s="76">
        <f t="shared" si="64"/>
        <v>0.13301110699740837</v>
      </c>
      <c r="G128" s="54">
        <f t="shared" si="64"/>
        <v>0.1390339536995007</v>
      </c>
      <c r="H128" s="76">
        <f t="shared" si="64"/>
        <v>0.14674453600859907</v>
      </c>
      <c r="I128" s="76">
        <f t="shared" si="64"/>
        <v>0.13269080779944289</v>
      </c>
      <c r="J128" s="76">
        <f t="shared" si="64"/>
        <v>0.13132694938440492</v>
      </c>
      <c r="K128" s="76">
        <f t="shared" si="64"/>
        <v>0.12290177353342428</v>
      </c>
      <c r="L128" s="54">
        <f t="shared" si="64"/>
        <v>0.13325809532077437</v>
      </c>
      <c r="M128" s="76">
        <f t="shared" si="64"/>
        <v>0.12658662092624356</v>
      </c>
      <c r="N128" s="76">
        <f t="shared" si="64"/>
        <v>0.13284132841328414</v>
      </c>
      <c r="O128" s="76">
        <f t="shared" si="64"/>
        <v>0.12396966699637323</v>
      </c>
      <c r="P128" s="76">
        <f t="shared" si="64"/>
        <v>0.15729234793982996</v>
      </c>
      <c r="Q128" s="54">
        <f t="shared" si="64"/>
        <v>0.13531325602736297</v>
      </c>
      <c r="R128" s="76">
        <f t="shared" si="64"/>
        <v>0.17164435290078955</v>
      </c>
      <c r="S128" s="76">
        <f t="shared" si="64"/>
        <v>0.15727618389215348</v>
      </c>
      <c r="T128" s="76">
        <f t="shared" si="64"/>
        <v>0.16420980459376072</v>
      </c>
      <c r="U128" s="76">
        <f t="shared" si="64"/>
        <v>0.1769811320754717</v>
      </c>
      <c r="V128" s="54">
        <v>0.16732612327442187</v>
      </c>
      <c r="W128" s="76">
        <v>0.16788321167883211</v>
      </c>
      <c r="X128" s="76">
        <v>0.14720616570327552</v>
      </c>
      <c r="Y128" s="76">
        <v>0.14715316760224539</v>
      </c>
      <c r="Z128" s="76">
        <v>0.1351572070232748</v>
      </c>
      <c r="AA128" s="54">
        <v>0.14983459817085035</v>
      </c>
      <c r="AB128" s="76">
        <v>0.12016632016632017</v>
      </c>
      <c r="AC128" s="76">
        <v>0.12803062526584433</v>
      </c>
      <c r="AD128" s="76">
        <v>0.13344453711426188</v>
      </c>
      <c r="AE128" s="76">
        <v>0.13200498132004981</v>
      </c>
      <c r="AF128" s="54">
        <v>0.1284115863222838</v>
      </c>
      <c r="AG128" s="76">
        <v>0.13630463003028992</v>
      </c>
      <c r="AH128" s="76">
        <v>0.14355555555555555</v>
      </c>
      <c r="AI128" s="76">
        <v>0.1442652329749104</v>
      </c>
      <c r="AJ128" s="76">
        <v>0.13925729442970822</v>
      </c>
      <c r="AK128" s="54">
        <v>0.14080618442849255</v>
      </c>
      <c r="AL128" s="76">
        <v>0.16927322907083717</v>
      </c>
      <c r="AM128" s="76">
        <v>0.19631194775259317</v>
      </c>
      <c r="AN128" s="76">
        <v>0.16410453497309763</v>
      </c>
      <c r="AO128" s="76">
        <v>0.12624712202609362</v>
      </c>
      <c r="AP128" s="54">
        <v>0.16374561842764146</v>
      </c>
      <c r="AQ128" s="76">
        <v>0.13481828839390386</v>
      </c>
      <c r="AR128" s="76">
        <v>0.15412186379928317</v>
      </c>
      <c r="AS128" s="76">
        <v>0.13904382470119522</v>
      </c>
      <c r="AT128" s="76">
        <v>0.13378594249201278</v>
      </c>
      <c r="AU128" s="54">
        <v>0.14042046806822689</v>
      </c>
      <c r="AV128" s="76">
        <v>0.15491235222176927</v>
      </c>
      <c r="AW128" s="76">
        <v>0.16483962647178238</v>
      </c>
      <c r="AX128" s="76">
        <v>0.14616977225672878</v>
      </c>
      <c r="AY128" s="76">
        <v>0.15907241659886087</v>
      </c>
      <c r="AZ128" s="54">
        <v>0.15629788538155073</v>
      </c>
      <c r="BA128" s="76">
        <v>0.15586615840745446</v>
      </c>
      <c r="BB128" s="76">
        <v>0.22760394342048865</v>
      </c>
      <c r="BC128" s="76">
        <v>0.17905258583224684</v>
      </c>
      <c r="BD128" s="76">
        <v>0.17884780739466896</v>
      </c>
      <c r="BE128" s="54">
        <v>0.18528054929728571</v>
      </c>
      <c r="BF128" s="76">
        <v>0.16533687943262412</v>
      </c>
      <c r="BG128" s="76">
        <v>0.23606115107913669</v>
      </c>
      <c r="BH128" s="76">
        <v>0.14641744548286603</v>
      </c>
    </row>
    <row r="129" spans="1:60" ht="3" customHeight="1">
      <c r="A129" s="43"/>
      <c r="B129" s="43"/>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row>
    <row r="130" spans="1:60" ht="3" customHeight="1">
      <c r="A130" s="43"/>
      <c r="B130" s="43"/>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row>
    <row r="131" spans="1:60" ht="3" customHeight="1">
      <c r="A131" s="43"/>
      <c r="B131" s="43"/>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row>
    <row r="132" spans="1:60" ht="18" customHeight="1">
      <c r="A132" s="34" t="s">
        <v>93</v>
      </c>
      <c r="B132" s="34"/>
      <c r="C132" s="26"/>
      <c r="D132" s="26"/>
      <c r="E132" s="26"/>
      <c r="F132" s="26"/>
      <c r="G132" s="26"/>
      <c r="H132" s="26"/>
      <c r="I132" s="26"/>
      <c r="J132" s="26"/>
      <c r="K132" s="26"/>
      <c r="L132" s="26"/>
      <c r="M132" s="26"/>
      <c r="N132" s="26"/>
      <c r="O132" s="26"/>
      <c r="P132" s="26"/>
      <c r="Q132" s="26"/>
      <c r="R132" s="26"/>
      <c r="S132" s="26"/>
      <c r="T132" s="26"/>
      <c r="U132" s="20"/>
      <c r="V132" s="20"/>
      <c r="W132" s="26"/>
      <c r="X132" s="26"/>
      <c r="Y132" s="26"/>
      <c r="Z132" s="20"/>
      <c r="AA132" s="20"/>
      <c r="AB132" s="20"/>
      <c r="AC132" s="26"/>
      <c r="AD132" s="26"/>
      <c r="AE132" s="20"/>
      <c r="AF132" s="20"/>
      <c r="AG132" s="20"/>
      <c r="AH132" s="26"/>
      <c r="AI132" s="26"/>
      <c r="AJ132" s="20"/>
      <c r="AK132" s="20"/>
      <c r="AL132" s="20"/>
      <c r="AM132" s="26"/>
      <c r="AN132" s="26"/>
      <c r="AO132" s="20"/>
      <c r="AP132" s="20"/>
      <c r="AQ132" s="20"/>
      <c r="AR132" s="26"/>
      <c r="AS132" s="26"/>
      <c r="AT132" s="20"/>
      <c r="AU132" s="20"/>
      <c r="AV132" s="20"/>
      <c r="AW132" s="20"/>
      <c r="AX132" s="20"/>
      <c r="AY132" s="20"/>
      <c r="AZ132" s="20"/>
      <c r="BA132" s="20"/>
      <c r="BB132" s="20"/>
      <c r="BC132" s="20"/>
      <c r="BD132" s="20"/>
      <c r="BE132" s="20"/>
      <c r="BF132" s="20"/>
      <c r="BG132" s="20"/>
      <c r="BH132" s="20"/>
    </row>
    <row r="133" spans="1:60" ht="3.6" customHeight="1">
      <c r="A133" s="59"/>
      <c r="B133" s="59"/>
      <c r="C133" s="60"/>
      <c r="D133" s="60"/>
      <c r="E133" s="60"/>
      <c r="F133" s="60"/>
      <c r="G133" s="60"/>
      <c r="H133" s="60"/>
      <c r="I133" s="60"/>
      <c r="J133" s="60"/>
      <c r="K133" s="60"/>
      <c r="L133" s="60"/>
      <c r="M133" s="60"/>
      <c r="N133" s="60"/>
      <c r="O133" s="60"/>
      <c r="P133" s="60"/>
      <c r="Q133" s="60"/>
      <c r="R133" s="60"/>
      <c r="S133" s="60"/>
      <c r="T133" s="60"/>
      <c r="U133" s="59"/>
      <c r="V133" s="59"/>
      <c r="W133" s="60"/>
      <c r="X133" s="60"/>
      <c r="Y133" s="60"/>
      <c r="Z133" s="59"/>
      <c r="AA133" s="59"/>
      <c r="AB133" s="59"/>
      <c r="AC133" s="60"/>
      <c r="AD133" s="60"/>
      <c r="AE133" s="59"/>
      <c r="AF133" s="59"/>
      <c r="AG133" s="59"/>
      <c r="AH133" s="60"/>
      <c r="AI133" s="60"/>
      <c r="AJ133" s="59"/>
      <c r="AK133" s="59"/>
      <c r="AL133" s="59"/>
      <c r="AM133" s="60"/>
      <c r="AN133" s="60"/>
      <c r="AO133" s="59"/>
      <c r="AP133" s="59"/>
      <c r="AQ133" s="59"/>
      <c r="AR133" s="60"/>
      <c r="AS133" s="60"/>
      <c r="AT133" s="59"/>
      <c r="AU133" s="59"/>
      <c r="AV133" s="59"/>
      <c r="AW133" s="59"/>
      <c r="AX133" s="59"/>
      <c r="AY133" s="59"/>
      <c r="AZ133" s="59"/>
      <c r="BA133" s="59"/>
      <c r="BB133" s="59"/>
      <c r="BC133" s="59"/>
      <c r="BD133" s="59"/>
      <c r="BE133" s="59"/>
      <c r="BF133" s="59"/>
      <c r="BG133" s="59"/>
      <c r="BH133" s="59"/>
    </row>
    <row r="134" spans="1:60" ht="15" customHeight="1">
      <c r="A134" s="39" t="s">
        <v>236</v>
      </c>
      <c r="B134" s="40"/>
      <c r="C134" s="48"/>
      <c r="D134" s="48"/>
      <c r="E134" s="48"/>
      <c r="F134" s="48"/>
      <c r="G134" s="40"/>
      <c r="H134" s="48"/>
      <c r="I134" s="48"/>
      <c r="J134" s="48"/>
      <c r="K134" s="48"/>
      <c r="L134" s="40"/>
      <c r="M134" s="48"/>
      <c r="N134" s="48"/>
      <c r="O134" s="48"/>
      <c r="P134" s="48"/>
      <c r="Q134" s="40"/>
      <c r="R134" s="48"/>
      <c r="S134" s="48"/>
      <c r="T134" s="48"/>
      <c r="U134" s="48"/>
      <c r="V134" s="40"/>
      <c r="W134" s="48"/>
      <c r="X134" s="48"/>
      <c r="Y134" s="48"/>
      <c r="Z134" s="48"/>
      <c r="AA134" s="40"/>
      <c r="AB134" s="48"/>
      <c r="AC134" s="48"/>
      <c r="AD134" s="48"/>
      <c r="AE134" s="48"/>
      <c r="AF134" s="40"/>
      <c r="AG134" s="48"/>
      <c r="AH134" s="48"/>
      <c r="AI134" s="48"/>
      <c r="AJ134" s="48"/>
      <c r="AK134" s="40"/>
      <c r="AL134" s="48"/>
      <c r="AM134" s="48"/>
      <c r="AN134" s="48"/>
      <c r="AO134" s="48"/>
      <c r="AP134" s="40"/>
      <c r="AQ134" s="48"/>
      <c r="AR134" s="48"/>
      <c r="AS134" s="48"/>
      <c r="AT134" s="48"/>
      <c r="AU134" s="40"/>
      <c r="AV134" s="48"/>
      <c r="AW134" s="48"/>
      <c r="AX134" s="48"/>
      <c r="AY134" s="48"/>
      <c r="AZ134" s="40"/>
      <c r="BA134" s="48"/>
      <c r="BB134" s="48"/>
      <c r="BC134" s="48"/>
      <c r="BD134" s="48"/>
      <c r="BE134" s="40"/>
      <c r="BF134" s="48"/>
      <c r="BG134" s="48"/>
      <c r="BH134" s="48"/>
    </row>
    <row r="135" spans="1:60" ht="15" customHeight="1">
      <c r="A135" s="67" t="s">
        <v>207</v>
      </c>
      <c r="B135" s="119" t="s">
        <v>41</v>
      </c>
      <c r="C135" s="78" t="s">
        <v>49</v>
      </c>
      <c r="D135" s="78" t="s">
        <v>49</v>
      </c>
      <c r="E135" s="78" t="s">
        <v>49</v>
      </c>
      <c r="F135" s="78" t="s">
        <v>49</v>
      </c>
      <c r="G135" s="119" t="s">
        <v>41</v>
      </c>
      <c r="H135" s="78" t="s">
        <v>49</v>
      </c>
      <c r="I135" s="78" t="s">
        <v>49</v>
      </c>
      <c r="J135" s="78" t="s">
        <v>49</v>
      </c>
      <c r="K135" s="78" t="s">
        <v>49</v>
      </c>
      <c r="L135" s="119" t="s">
        <v>41</v>
      </c>
      <c r="M135" s="78" t="s">
        <v>49</v>
      </c>
      <c r="N135" s="78" t="s">
        <v>49</v>
      </c>
      <c r="O135" s="78" t="s">
        <v>49</v>
      </c>
      <c r="P135" s="78" t="s">
        <v>49</v>
      </c>
      <c r="Q135" s="119" t="s">
        <v>41</v>
      </c>
      <c r="R135" s="78" t="s">
        <v>49</v>
      </c>
      <c r="S135" s="78" t="s">
        <v>49</v>
      </c>
      <c r="T135" s="78" t="s">
        <v>49</v>
      </c>
      <c r="U135" s="78" t="s">
        <v>49</v>
      </c>
      <c r="V135" s="119" t="s">
        <v>41</v>
      </c>
      <c r="W135" s="78" t="s">
        <v>49</v>
      </c>
      <c r="X135" s="78" t="s">
        <v>49</v>
      </c>
      <c r="Y135" s="78" t="s">
        <v>49</v>
      </c>
      <c r="Z135" s="78" t="s">
        <v>49</v>
      </c>
      <c r="AA135" s="119" t="s">
        <v>41</v>
      </c>
      <c r="AB135" s="78" t="s">
        <v>49</v>
      </c>
      <c r="AC135" s="78" t="s">
        <v>49</v>
      </c>
      <c r="AD135" s="78" t="s">
        <v>49</v>
      </c>
      <c r="AE135" s="78" t="s">
        <v>49</v>
      </c>
      <c r="AF135" s="119" t="s">
        <v>41</v>
      </c>
      <c r="AG135" s="78" t="s">
        <v>49</v>
      </c>
      <c r="AH135" s="78" t="s">
        <v>49</v>
      </c>
      <c r="AI135" s="78" t="s">
        <v>49</v>
      </c>
      <c r="AJ135" s="78" t="s">
        <v>49</v>
      </c>
      <c r="AK135" s="119" t="s">
        <v>41</v>
      </c>
      <c r="AL135" s="78" t="s">
        <v>49</v>
      </c>
      <c r="AM135" s="78" t="s">
        <v>49</v>
      </c>
      <c r="AN135" s="78" t="s">
        <v>49</v>
      </c>
      <c r="AO135" s="78" t="s">
        <v>49</v>
      </c>
      <c r="AP135" s="167">
        <v>555</v>
      </c>
      <c r="AQ135" s="148">
        <v>1221</v>
      </c>
      <c r="AR135" s="148">
        <v>1338</v>
      </c>
      <c r="AS135" s="148">
        <v>938</v>
      </c>
      <c r="AT135" s="148">
        <v>648</v>
      </c>
      <c r="AU135" s="167">
        <v>648</v>
      </c>
      <c r="AV135" s="148">
        <v>792</v>
      </c>
      <c r="AW135" s="148">
        <v>1854</v>
      </c>
      <c r="AX135" s="148">
        <v>2471</v>
      </c>
      <c r="AY135" s="148">
        <v>2181</v>
      </c>
      <c r="AZ135" s="167">
        <v>2181</v>
      </c>
      <c r="BA135" s="148">
        <v>1826</v>
      </c>
      <c r="BB135" s="148">
        <v>923</v>
      </c>
      <c r="BC135" s="148">
        <v>1408</v>
      </c>
      <c r="BD135" s="148">
        <v>890</v>
      </c>
      <c r="BE135" s="167">
        <v>890</v>
      </c>
      <c r="BF135" s="148">
        <v>1265</v>
      </c>
      <c r="BG135" s="148">
        <v>971</v>
      </c>
      <c r="BH135" s="148">
        <v>639</v>
      </c>
    </row>
    <row r="136" spans="1:60" ht="15" customHeight="1">
      <c r="A136" s="67" t="s">
        <v>208</v>
      </c>
      <c r="B136" s="119" t="s">
        <v>41</v>
      </c>
      <c r="C136" s="78" t="s">
        <v>49</v>
      </c>
      <c r="D136" s="78" t="s">
        <v>49</v>
      </c>
      <c r="E136" s="78" t="s">
        <v>49</v>
      </c>
      <c r="F136" s="78" t="s">
        <v>49</v>
      </c>
      <c r="G136" s="119" t="s">
        <v>41</v>
      </c>
      <c r="H136" s="78" t="s">
        <v>49</v>
      </c>
      <c r="I136" s="78" t="s">
        <v>49</v>
      </c>
      <c r="J136" s="78" t="s">
        <v>49</v>
      </c>
      <c r="K136" s="78" t="s">
        <v>49</v>
      </c>
      <c r="L136" s="119" t="s">
        <v>41</v>
      </c>
      <c r="M136" s="78" t="s">
        <v>49</v>
      </c>
      <c r="N136" s="78" t="s">
        <v>49</v>
      </c>
      <c r="O136" s="78" t="s">
        <v>49</v>
      </c>
      <c r="P136" s="78" t="s">
        <v>49</v>
      </c>
      <c r="Q136" s="119" t="s">
        <v>41</v>
      </c>
      <c r="R136" s="78" t="s">
        <v>49</v>
      </c>
      <c r="S136" s="78" t="s">
        <v>49</v>
      </c>
      <c r="T136" s="78" t="s">
        <v>49</v>
      </c>
      <c r="U136" s="78" t="s">
        <v>49</v>
      </c>
      <c r="V136" s="119" t="s">
        <v>41</v>
      </c>
      <c r="W136" s="78" t="s">
        <v>49</v>
      </c>
      <c r="X136" s="78" t="s">
        <v>49</v>
      </c>
      <c r="Y136" s="78" t="s">
        <v>49</v>
      </c>
      <c r="Z136" s="78" t="s">
        <v>49</v>
      </c>
      <c r="AA136" s="119" t="s">
        <v>41</v>
      </c>
      <c r="AB136" s="78" t="s">
        <v>49</v>
      </c>
      <c r="AC136" s="78" t="s">
        <v>49</v>
      </c>
      <c r="AD136" s="78" t="s">
        <v>49</v>
      </c>
      <c r="AE136" s="78" t="s">
        <v>49</v>
      </c>
      <c r="AF136" s="119" t="s">
        <v>41</v>
      </c>
      <c r="AG136" s="78" t="s">
        <v>49</v>
      </c>
      <c r="AH136" s="78" t="s">
        <v>49</v>
      </c>
      <c r="AI136" s="78" t="s">
        <v>49</v>
      </c>
      <c r="AJ136" s="78" t="s">
        <v>49</v>
      </c>
      <c r="AK136" s="119" t="s">
        <v>41</v>
      </c>
      <c r="AL136" s="78" t="s">
        <v>49</v>
      </c>
      <c r="AM136" s="78" t="s">
        <v>49</v>
      </c>
      <c r="AN136" s="78" t="s">
        <v>49</v>
      </c>
      <c r="AO136" s="78" t="s">
        <v>49</v>
      </c>
      <c r="AP136" s="167">
        <v>762</v>
      </c>
      <c r="AQ136" s="148">
        <v>556</v>
      </c>
      <c r="AR136" s="148">
        <v>912</v>
      </c>
      <c r="AS136" s="148">
        <v>908</v>
      </c>
      <c r="AT136" s="148">
        <v>586</v>
      </c>
      <c r="AU136" s="167">
        <v>586</v>
      </c>
      <c r="AV136" s="148">
        <v>578</v>
      </c>
      <c r="AW136" s="148">
        <v>19</v>
      </c>
      <c r="AX136" s="148">
        <v>94</v>
      </c>
      <c r="AY136" s="148">
        <v>289</v>
      </c>
      <c r="AZ136" s="167">
        <v>289</v>
      </c>
      <c r="BA136" s="148">
        <v>1390</v>
      </c>
      <c r="BB136" s="148">
        <v>1676</v>
      </c>
      <c r="BC136" s="148">
        <v>1517</v>
      </c>
      <c r="BD136" s="148">
        <v>1404</v>
      </c>
      <c r="BE136" s="167">
        <v>1404</v>
      </c>
      <c r="BF136" s="148">
        <v>1347</v>
      </c>
      <c r="BG136" s="148">
        <v>1944</v>
      </c>
      <c r="BH136" s="148">
        <v>1750</v>
      </c>
    </row>
    <row r="137" spans="1:60" ht="15" customHeight="1">
      <c r="A137" s="67" t="s">
        <v>209</v>
      </c>
      <c r="B137" s="119" t="s">
        <v>41</v>
      </c>
      <c r="C137" s="78" t="s">
        <v>49</v>
      </c>
      <c r="D137" s="78" t="s">
        <v>49</v>
      </c>
      <c r="E137" s="78" t="s">
        <v>49</v>
      </c>
      <c r="F137" s="78" t="s">
        <v>49</v>
      </c>
      <c r="G137" s="119" t="s">
        <v>41</v>
      </c>
      <c r="H137" s="78" t="s">
        <v>49</v>
      </c>
      <c r="I137" s="78" t="s">
        <v>49</v>
      </c>
      <c r="J137" s="78" t="s">
        <v>49</v>
      </c>
      <c r="K137" s="78" t="s">
        <v>49</v>
      </c>
      <c r="L137" s="119" t="s">
        <v>41</v>
      </c>
      <c r="M137" s="78" t="s">
        <v>49</v>
      </c>
      <c r="N137" s="78" t="s">
        <v>49</v>
      </c>
      <c r="O137" s="78" t="s">
        <v>49</v>
      </c>
      <c r="P137" s="78" t="s">
        <v>49</v>
      </c>
      <c r="Q137" s="119" t="s">
        <v>41</v>
      </c>
      <c r="R137" s="78" t="s">
        <v>49</v>
      </c>
      <c r="S137" s="78" t="s">
        <v>49</v>
      </c>
      <c r="T137" s="78" t="s">
        <v>49</v>
      </c>
      <c r="U137" s="78" t="s">
        <v>49</v>
      </c>
      <c r="V137" s="119" t="s">
        <v>41</v>
      </c>
      <c r="W137" s="78" t="s">
        <v>49</v>
      </c>
      <c r="X137" s="78" t="s">
        <v>49</v>
      </c>
      <c r="Y137" s="78" t="s">
        <v>49</v>
      </c>
      <c r="Z137" s="78" t="s">
        <v>49</v>
      </c>
      <c r="AA137" s="119" t="s">
        <v>41</v>
      </c>
      <c r="AB137" s="78" t="s">
        <v>49</v>
      </c>
      <c r="AC137" s="78" t="s">
        <v>49</v>
      </c>
      <c r="AD137" s="78" t="s">
        <v>49</v>
      </c>
      <c r="AE137" s="78" t="s">
        <v>49</v>
      </c>
      <c r="AF137" s="119" t="s">
        <v>41</v>
      </c>
      <c r="AG137" s="78" t="s">
        <v>49</v>
      </c>
      <c r="AH137" s="78" t="s">
        <v>49</v>
      </c>
      <c r="AI137" s="78" t="s">
        <v>49</v>
      </c>
      <c r="AJ137" s="78" t="s">
        <v>49</v>
      </c>
      <c r="AK137" s="119" t="s">
        <v>41</v>
      </c>
      <c r="AL137" s="78" t="s">
        <v>49</v>
      </c>
      <c r="AM137" s="78" t="s">
        <v>49</v>
      </c>
      <c r="AN137" s="78" t="s">
        <v>49</v>
      </c>
      <c r="AO137" s="78" t="s">
        <v>49</v>
      </c>
      <c r="AP137" s="167">
        <v>2058</v>
      </c>
      <c r="AQ137" s="148">
        <v>2042</v>
      </c>
      <c r="AR137" s="148">
        <v>2029</v>
      </c>
      <c r="AS137" s="148">
        <v>1998</v>
      </c>
      <c r="AT137" s="148">
        <v>2000</v>
      </c>
      <c r="AU137" s="167">
        <v>2000</v>
      </c>
      <c r="AV137" s="148">
        <v>1976</v>
      </c>
      <c r="AW137" s="148">
        <v>1991</v>
      </c>
      <c r="AX137" s="148">
        <v>1948</v>
      </c>
      <c r="AY137" s="148">
        <v>1915</v>
      </c>
      <c r="AZ137" s="167">
        <v>1915</v>
      </c>
      <c r="BA137" s="148">
        <v>1827</v>
      </c>
      <c r="BB137" s="148">
        <v>1822</v>
      </c>
      <c r="BC137" s="148">
        <v>1792</v>
      </c>
      <c r="BD137" s="148">
        <v>1773</v>
      </c>
      <c r="BE137" s="167">
        <v>1773</v>
      </c>
      <c r="BF137" s="148">
        <v>1760</v>
      </c>
      <c r="BG137" s="148">
        <v>1744</v>
      </c>
      <c r="BH137" s="148">
        <v>1746</v>
      </c>
    </row>
    <row r="138" spans="1:60" ht="15" customHeight="1">
      <c r="A138" s="67" t="s">
        <v>210</v>
      </c>
      <c r="B138" s="119" t="s">
        <v>41</v>
      </c>
      <c r="C138" s="78" t="s">
        <v>49</v>
      </c>
      <c r="D138" s="78" t="s">
        <v>49</v>
      </c>
      <c r="E138" s="78" t="s">
        <v>49</v>
      </c>
      <c r="F138" s="78" t="s">
        <v>49</v>
      </c>
      <c r="G138" s="119" t="s">
        <v>41</v>
      </c>
      <c r="H138" s="78" t="s">
        <v>49</v>
      </c>
      <c r="I138" s="78" t="s">
        <v>49</v>
      </c>
      <c r="J138" s="78" t="s">
        <v>49</v>
      </c>
      <c r="K138" s="78" t="s">
        <v>49</v>
      </c>
      <c r="L138" s="119" t="s">
        <v>41</v>
      </c>
      <c r="M138" s="78" t="s">
        <v>49</v>
      </c>
      <c r="N138" s="78" t="s">
        <v>49</v>
      </c>
      <c r="O138" s="78" t="s">
        <v>49</v>
      </c>
      <c r="P138" s="78" t="s">
        <v>49</v>
      </c>
      <c r="Q138" s="119" t="s">
        <v>41</v>
      </c>
      <c r="R138" s="78" t="s">
        <v>49</v>
      </c>
      <c r="S138" s="78" t="s">
        <v>49</v>
      </c>
      <c r="T138" s="78" t="s">
        <v>49</v>
      </c>
      <c r="U138" s="78" t="s">
        <v>49</v>
      </c>
      <c r="V138" s="119" t="s">
        <v>41</v>
      </c>
      <c r="W138" s="78" t="s">
        <v>49</v>
      </c>
      <c r="X138" s="78" t="s">
        <v>49</v>
      </c>
      <c r="Y138" s="78" t="s">
        <v>49</v>
      </c>
      <c r="Z138" s="78" t="s">
        <v>49</v>
      </c>
      <c r="AA138" s="119" t="s">
        <v>41</v>
      </c>
      <c r="AB138" s="78" t="s">
        <v>49</v>
      </c>
      <c r="AC138" s="78" t="s">
        <v>49</v>
      </c>
      <c r="AD138" s="78" t="s">
        <v>49</v>
      </c>
      <c r="AE138" s="78" t="s">
        <v>49</v>
      </c>
      <c r="AF138" s="119" t="s">
        <v>41</v>
      </c>
      <c r="AG138" s="78" t="s">
        <v>49</v>
      </c>
      <c r="AH138" s="78" t="s">
        <v>49</v>
      </c>
      <c r="AI138" s="78" t="s">
        <v>49</v>
      </c>
      <c r="AJ138" s="78" t="s">
        <v>49</v>
      </c>
      <c r="AK138" s="119" t="s">
        <v>41</v>
      </c>
      <c r="AL138" s="78" t="s">
        <v>49</v>
      </c>
      <c r="AM138" s="78" t="s">
        <v>49</v>
      </c>
      <c r="AN138" s="78" t="s">
        <v>49</v>
      </c>
      <c r="AO138" s="78" t="s">
        <v>49</v>
      </c>
      <c r="AP138" s="167">
        <v>269</v>
      </c>
      <c r="AQ138" s="148">
        <v>299</v>
      </c>
      <c r="AR138" s="148">
        <v>205</v>
      </c>
      <c r="AS138" s="148">
        <v>191</v>
      </c>
      <c r="AT138" s="148">
        <v>219</v>
      </c>
      <c r="AU138" s="167">
        <v>219</v>
      </c>
      <c r="AV138" s="148">
        <v>297</v>
      </c>
      <c r="AW138" s="148">
        <v>347</v>
      </c>
      <c r="AX138" s="148">
        <v>294</v>
      </c>
      <c r="AY138" s="148">
        <v>270</v>
      </c>
      <c r="AZ138" s="167">
        <v>270</v>
      </c>
      <c r="BA138" s="148">
        <v>306</v>
      </c>
      <c r="BB138" s="148">
        <v>288</v>
      </c>
      <c r="BC138" s="148">
        <v>292</v>
      </c>
      <c r="BD138" s="148">
        <v>267</v>
      </c>
      <c r="BE138" s="167">
        <v>267</v>
      </c>
      <c r="BF138" s="148">
        <v>279</v>
      </c>
      <c r="BG138" s="148">
        <v>288</v>
      </c>
      <c r="BH138" s="148">
        <v>317</v>
      </c>
    </row>
    <row r="139" spans="1:60" ht="15" customHeight="1">
      <c r="A139" s="67" t="s">
        <v>211</v>
      </c>
      <c r="B139" s="119" t="s">
        <v>41</v>
      </c>
      <c r="C139" s="78" t="s">
        <v>49</v>
      </c>
      <c r="D139" s="78" t="s">
        <v>49</v>
      </c>
      <c r="E139" s="78" t="s">
        <v>49</v>
      </c>
      <c r="F139" s="78" t="s">
        <v>49</v>
      </c>
      <c r="G139" s="119" t="s">
        <v>41</v>
      </c>
      <c r="H139" s="78" t="s">
        <v>49</v>
      </c>
      <c r="I139" s="78" t="s">
        <v>49</v>
      </c>
      <c r="J139" s="78" t="s">
        <v>49</v>
      </c>
      <c r="K139" s="78" t="s">
        <v>49</v>
      </c>
      <c r="L139" s="119" t="s">
        <v>41</v>
      </c>
      <c r="M139" s="78" t="s">
        <v>49</v>
      </c>
      <c r="N139" s="78" t="s">
        <v>49</v>
      </c>
      <c r="O139" s="78" t="s">
        <v>49</v>
      </c>
      <c r="P139" s="78" t="s">
        <v>49</v>
      </c>
      <c r="Q139" s="119" t="s">
        <v>41</v>
      </c>
      <c r="R139" s="78" t="s">
        <v>49</v>
      </c>
      <c r="S139" s="78" t="s">
        <v>49</v>
      </c>
      <c r="T139" s="78" t="s">
        <v>49</v>
      </c>
      <c r="U139" s="78" t="s">
        <v>49</v>
      </c>
      <c r="V139" s="119" t="s">
        <v>41</v>
      </c>
      <c r="W139" s="78" t="s">
        <v>49</v>
      </c>
      <c r="X139" s="78" t="s">
        <v>49</v>
      </c>
      <c r="Y139" s="78" t="s">
        <v>49</v>
      </c>
      <c r="Z139" s="78" t="s">
        <v>49</v>
      </c>
      <c r="AA139" s="119" t="s">
        <v>41</v>
      </c>
      <c r="AB139" s="78" t="s">
        <v>49</v>
      </c>
      <c r="AC139" s="78" t="s">
        <v>49</v>
      </c>
      <c r="AD139" s="78" t="s">
        <v>49</v>
      </c>
      <c r="AE139" s="78" t="s">
        <v>49</v>
      </c>
      <c r="AF139" s="119" t="s">
        <v>41</v>
      </c>
      <c r="AG139" s="78" t="s">
        <v>49</v>
      </c>
      <c r="AH139" s="78" t="s">
        <v>49</v>
      </c>
      <c r="AI139" s="78" t="s">
        <v>49</v>
      </c>
      <c r="AJ139" s="78" t="s">
        <v>49</v>
      </c>
      <c r="AK139" s="119" t="s">
        <v>41</v>
      </c>
      <c r="AL139" s="78" t="s">
        <v>49</v>
      </c>
      <c r="AM139" s="78" t="s">
        <v>49</v>
      </c>
      <c r="AN139" s="78" t="s">
        <v>49</v>
      </c>
      <c r="AO139" s="78" t="s">
        <v>49</v>
      </c>
      <c r="AP139" s="211" t="s">
        <v>141</v>
      </c>
      <c r="AQ139" s="147" t="s">
        <v>141</v>
      </c>
      <c r="AR139" s="148">
        <v>29</v>
      </c>
      <c r="AS139" s="148">
        <v>29</v>
      </c>
      <c r="AT139" s="147" t="s">
        <v>141</v>
      </c>
      <c r="AU139" s="211" t="s">
        <v>141</v>
      </c>
      <c r="AV139" s="147">
        <v>35</v>
      </c>
      <c r="AW139" s="148">
        <v>56</v>
      </c>
      <c r="AX139" s="148">
        <v>43</v>
      </c>
      <c r="AY139" s="148">
        <v>43</v>
      </c>
      <c r="AZ139" s="167">
        <v>43</v>
      </c>
      <c r="BA139" s="147">
        <v>25</v>
      </c>
      <c r="BB139" s="148">
        <v>25</v>
      </c>
      <c r="BC139" s="148">
        <v>20</v>
      </c>
      <c r="BD139" s="147" t="s">
        <v>141</v>
      </c>
      <c r="BE139" s="211" t="s">
        <v>141</v>
      </c>
      <c r="BF139" s="147" t="s">
        <v>141</v>
      </c>
      <c r="BG139" s="147" t="s">
        <v>141</v>
      </c>
      <c r="BH139" s="147" t="s">
        <v>141</v>
      </c>
    </row>
    <row r="140" spans="1:60" ht="15" customHeight="1">
      <c r="A140" s="67" t="s">
        <v>212</v>
      </c>
      <c r="B140" s="119" t="s">
        <v>41</v>
      </c>
      <c r="C140" s="78" t="s">
        <v>49</v>
      </c>
      <c r="D140" s="78" t="s">
        <v>49</v>
      </c>
      <c r="E140" s="78" t="s">
        <v>49</v>
      </c>
      <c r="F140" s="78" t="s">
        <v>49</v>
      </c>
      <c r="G140" s="119" t="s">
        <v>41</v>
      </c>
      <c r="H140" s="78" t="s">
        <v>49</v>
      </c>
      <c r="I140" s="78" t="s">
        <v>49</v>
      </c>
      <c r="J140" s="78" t="s">
        <v>49</v>
      </c>
      <c r="K140" s="78" t="s">
        <v>49</v>
      </c>
      <c r="L140" s="119" t="s">
        <v>41</v>
      </c>
      <c r="M140" s="78" t="s">
        <v>49</v>
      </c>
      <c r="N140" s="78" t="s">
        <v>49</v>
      </c>
      <c r="O140" s="78" t="s">
        <v>49</v>
      </c>
      <c r="P140" s="78" t="s">
        <v>49</v>
      </c>
      <c r="Q140" s="119" t="s">
        <v>41</v>
      </c>
      <c r="R140" s="78" t="s">
        <v>49</v>
      </c>
      <c r="S140" s="78" t="s">
        <v>49</v>
      </c>
      <c r="T140" s="78" t="s">
        <v>49</v>
      </c>
      <c r="U140" s="78" t="s">
        <v>49</v>
      </c>
      <c r="V140" s="119" t="s">
        <v>41</v>
      </c>
      <c r="W140" s="78" t="s">
        <v>49</v>
      </c>
      <c r="X140" s="78" t="s">
        <v>49</v>
      </c>
      <c r="Y140" s="78" t="s">
        <v>49</v>
      </c>
      <c r="Z140" s="78" t="s">
        <v>49</v>
      </c>
      <c r="AA140" s="119" t="s">
        <v>41</v>
      </c>
      <c r="AB140" s="78" t="s">
        <v>49</v>
      </c>
      <c r="AC140" s="78" t="s">
        <v>49</v>
      </c>
      <c r="AD140" s="78" t="s">
        <v>49</v>
      </c>
      <c r="AE140" s="78" t="s">
        <v>49</v>
      </c>
      <c r="AF140" s="119" t="s">
        <v>41</v>
      </c>
      <c r="AG140" s="78" t="s">
        <v>49</v>
      </c>
      <c r="AH140" s="78" t="s">
        <v>49</v>
      </c>
      <c r="AI140" s="78" t="s">
        <v>49</v>
      </c>
      <c r="AJ140" s="78" t="s">
        <v>49</v>
      </c>
      <c r="AK140" s="119" t="s">
        <v>41</v>
      </c>
      <c r="AL140" s="78" t="s">
        <v>49</v>
      </c>
      <c r="AM140" s="78" t="s">
        <v>49</v>
      </c>
      <c r="AN140" s="78" t="s">
        <v>49</v>
      </c>
      <c r="AO140" s="78" t="s">
        <v>49</v>
      </c>
      <c r="AP140" s="167">
        <v>115</v>
      </c>
      <c r="AQ140" s="148">
        <v>123</v>
      </c>
      <c r="AR140" s="148">
        <v>109</v>
      </c>
      <c r="AS140" s="148">
        <v>96</v>
      </c>
      <c r="AT140" s="148">
        <v>106</v>
      </c>
      <c r="AU140" s="167">
        <v>106</v>
      </c>
      <c r="AV140" s="148">
        <v>114</v>
      </c>
      <c r="AW140" s="148">
        <v>105</v>
      </c>
      <c r="AX140" s="148">
        <v>101</v>
      </c>
      <c r="AY140" s="148">
        <v>125</v>
      </c>
      <c r="AZ140" s="167">
        <v>125</v>
      </c>
      <c r="BA140" s="148">
        <v>130</v>
      </c>
      <c r="BB140" s="148">
        <v>96</v>
      </c>
      <c r="BC140" s="148">
        <v>86</v>
      </c>
      <c r="BD140" s="148">
        <v>97</v>
      </c>
      <c r="BE140" s="167">
        <v>97</v>
      </c>
      <c r="BF140" s="148">
        <v>102</v>
      </c>
      <c r="BG140" s="148">
        <v>100</v>
      </c>
      <c r="BH140" s="148">
        <v>94</v>
      </c>
    </row>
    <row r="141" spans="1:60" ht="15" customHeight="1">
      <c r="A141" s="39" t="s">
        <v>213</v>
      </c>
      <c r="B141" s="39"/>
      <c r="C141" s="210"/>
      <c r="D141" s="210"/>
      <c r="E141" s="210"/>
      <c r="F141" s="210"/>
      <c r="G141" s="39"/>
      <c r="H141" s="210"/>
      <c r="I141" s="210"/>
      <c r="J141" s="210"/>
      <c r="K141" s="210"/>
      <c r="L141" s="39"/>
      <c r="M141" s="210"/>
      <c r="N141" s="210"/>
      <c r="O141" s="210"/>
      <c r="P141" s="210"/>
      <c r="Q141" s="39"/>
      <c r="R141" s="210"/>
      <c r="S141" s="210"/>
      <c r="T141" s="210"/>
      <c r="U141" s="210"/>
      <c r="V141" s="39"/>
      <c r="W141" s="210"/>
      <c r="X141" s="210"/>
      <c r="Y141" s="210"/>
      <c r="Z141" s="210"/>
      <c r="AA141" s="39"/>
      <c r="AB141" s="210"/>
      <c r="AC141" s="210"/>
      <c r="AD141" s="210"/>
      <c r="AE141" s="210"/>
      <c r="AF141" s="39"/>
      <c r="AG141" s="210"/>
      <c r="AH141" s="210"/>
      <c r="AI141" s="210"/>
      <c r="AJ141" s="210"/>
      <c r="AK141" s="210"/>
      <c r="AL141" s="210"/>
      <c r="AM141" s="210"/>
      <c r="AN141" s="210"/>
      <c r="AO141" s="210"/>
      <c r="AP141" s="210">
        <v>3759</v>
      </c>
      <c r="AQ141" s="210">
        <v>4241</v>
      </c>
      <c r="AR141" s="210">
        <v>4622</v>
      </c>
      <c r="AS141" s="210">
        <v>4160</v>
      </c>
      <c r="AT141" s="210">
        <v>3559</v>
      </c>
      <c r="AU141" s="210">
        <v>3559</v>
      </c>
      <c r="AV141" s="210">
        <v>3792</v>
      </c>
      <c r="AW141" s="210">
        <v>4372</v>
      </c>
      <c r="AX141" s="210">
        <v>4951</v>
      </c>
      <c r="AY141" s="210">
        <v>4823</v>
      </c>
      <c r="AZ141" s="210">
        <v>4823</v>
      </c>
      <c r="BA141" s="210">
        <v>5504</v>
      </c>
      <c r="BB141" s="210">
        <v>4830</v>
      </c>
      <c r="BC141" s="210">
        <v>5115</v>
      </c>
      <c r="BD141" s="210">
        <v>4431</v>
      </c>
      <c r="BE141" s="210">
        <v>4431</v>
      </c>
      <c r="BF141" s="210">
        <v>4753</v>
      </c>
      <c r="BG141" s="210">
        <v>5047</v>
      </c>
      <c r="BH141" s="210">
        <v>4546</v>
      </c>
    </row>
    <row r="142" spans="1:60" ht="15" customHeight="1">
      <c r="A142" s="67" t="s">
        <v>214</v>
      </c>
      <c r="B142" s="119" t="s">
        <v>41</v>
      </c>
      <c r="C142" s="78" t="s">
        <v>49</v>
      </c>
      <c r="D142" s="78" t="s">
        <v>49</v>
      </c>
      <c r="E142" s="78" t="s">
        <v>49</v>
      </c>
      <c r="F142" s="78" t="s">
        <v>49</v>
      </c>
      <c r="G142" s="119" t="s">
        <v>41</v>
      </c>
      <c r="H142" s="78" t="s">
        <v>49</v>
      </c>
      <c r="I142" s="78" t="s">
        <v>49</v>
      </c>
      <c r="J142" s="78" t="s">
        <v>49</v>
      </c>
      <c r="K142" s="78" t="s">
        <v>49</v>
      </c>
      <c r="L142" s="119" t="s">
        <v>41</v>
      </c>
      <c r="M142" s="78" t="s">
        <v>49</v>
      </c>
      <c r="N142" s="78" t="s">
        <v>49</v>
      </c>
      <c r="O142" s="78" t="s">
        <v>49</v>
      </c>
      <c r="P142" s="78" t="s">
        <v>49</v>
      </c>
      <c r="Q142" s="119" t="s">
        <v>41</v>
      </c>
      <c r="R142" s="78" t="s">
        <v>49</v>
      </c>
      <c r="S142" s="78" t="s">
        <v>49</v>
      </c>
      <c r="T142" s="78" t="s">
        <v>49</v>
      </c>
      <c r="U142" s="78" t="s">
        <v>49</v>
      </c>
      <c r="V142" s="119" t="s">
        <v>41</v>
      </c>
      <c r="W142" s="78" t="s">
        <v>49</v>
      </c>
      <c r="X142" s="78" t="s">
        <v>49</v>
      </c>
      <c r="Y142" s="78" t="s">
        <v>49</v>
      </c>
      <c r="Z142" s="78" t="s">
        <v>49</v>
      </c>
      <c r="AA142" s="119" t="s">
        <v>41</v>
      </c>
      <c r="AB142" s="78" t="s">
        <v>49</v>
      </c>
      <c r="AC142" s="78" t="s">
        <v>49</v>
      </c>
      <c r="AD142" s="78" t="s">
        <v>49</v>
      </c>
      <c r="AE142" s="78" t="s">
        <v>49</v>
      </c>
      <c r="AF142" s="119" t="s">
        <v>41</v>
      </c>
      <c r="AG142" s="78" t="s">
        <v>49</v>
      </c>
      <c r="AH142" s="78" t="s">
        <v>49</v>
      </c>
      <c r="AI142" s="78" t="s">
        <v>49</v>
      </c>
      <c r="AJ142" s="78" t="s">
        <v>49</v>
      </c>
      <c r="AK142" s="119" t="s">
        <v>41</v>
      </c>
      <c r="AL142" s="78" t="s">
        <v>49</v>
      </c>
      <c r="AM142" s="78" t="s">
        <v>49</v>
      </c>
      <c r="AN142" s="78" t="s">
        <v>49</v>
      </c>
      <c r="AO142" s="78" t="s">
        <v>49</v>
      </c>
      <c r="AP142" s="167">
        <v>674</v>
      </c>
      <c r="AQ142" s="148">
        <v>662</v>
      </c>
      <c r="AR142" s="148">
        <v>647</v>
      </c>
      <c r="AS142" s="148">
        <v>641</v>
      </c>
      <c r="AT142" s="148">
        <v>644</v>
      </c>
      <c r="AU142" s="167">
        <v>644</v>
      </c>
      <c r="AV142" s="148">
        <v>595</v>
      </c>
      <c r="AW142" s="148">
        <v>507</v>
      </c>
      <c r="AX142" s="148">
        <v>520</v>
      </c>
      <c r="AY142" s="148">
        <v>493</v>
      </c>
      <c r="AZ142" s="167">
        <v>493</v>
      </c>
      <c r="BA142" s="148">
        <v>466</v>
      </c>
      <c r="BB142" s="148">
        <v>447</v>
      </c>
      <c r="BC142" s="148">
        <v>423</v>
      </c>
      <c r="BD142" s="148">
        <v>470</v>
      </c>
      <c r="BE142" s="167">
        <v>470</v>
      </c>
      <c r="BF142" s="148">
        <v>511</v>
      </c>
      <c r="BG142" s="148">
        <v>535</v>
      </c>
      <c r="BH142" s="148">
        <v>442</v>
      </c>
    </row>
    <row r="143" spans="1:60" ht="15" customHeight="1">
      <c r="A143" s="67" t="s">
        <v>215</v>
      </c>
      <c r="B143" s="119" t="s">
        <v>41</v>
      </c>
      <c r="C143" s="78" t="s">
        <v>49</v>
      </c>
      <c r="D143" s="78" t="s">
        <v>49</v>
      </c>
      <c r="E143" s="78" t="s">
        <v>49</v>
      </c>
      <c r="F143" s="78" t="s">
        <v>49</v>
      </c>
      <c r="G143" s="119" t="s">
        <v>41</v>
      </c>
      <c r="H143" s="78" t="s">
        <v>49</v>
      </c>
      <c r="I143" s="78" t="s">
        <v>49</v>
      </c>
      <c r="J143" s="78" t="s">
        <v>49</v>
      </c>
      <c r="K143" s="78" t="s">
        <v>49</v>
      </c>
      <c r="L143" s="119" t="s">
        <v>41</v>
      </c>
      <c r="M143" s="78" t="s">
        <v>49</v>
      </c>
      <c r="N143" s="78" t="s">
        <v>49</v>
      </c>
      <c r="O143" s="78" t="s">
        <v>49</v>
      </c>
      <c r="P143" s="78" t="s">
        <v>49</v>
      </c>
      <c r="Q143" s="119" t="s">
        <v>41</v>
      </c>
      <c r="R143" s="78" t="s">
        <v>49</v>
      </c>
      <c r="S143" s="78" t="s">
        <v>49</v>
      </c>
      <c r="T143" s="78" t="s">
        <v>49</v>
      </c>
      <c r="U143" s="78" t="s">
        <v>49</v>
      </c>
      <c r="V143" s="119" t="s">
        <v>41</v>
      </c>
      <c r="W143" s="78" t="s">
        <v>49</v>
      </c>
      <c r="X143" s="78" t="s">
        <v>49</v>
      </c>
      <c r="Y143" s="78" t="s">
        <v>49</v>
      </c>
      <c r="Z143" s="78" t="s">
        <v>49</v>
      </c>
      <c r="AA143" s="119" t="s">
        <v>41</v>
      </c>
      <c r="AB143" s="78" t="s">
        <v>49</v>
      </c>
      <c r="AC143" s="78" t="s">
        <v>49</v>
      </c>
      <c r="AD143" s="78" t="s">
        <v>49</v>
      </c>
      <c r="AE143" s="78" t="s">
        <v>49</v>
      </c>
      <c r="AF143" s="119" t="s">
        <v>41</v>
      </c>
      <c r="AG143" s="78" t="s">
        <v>49</v>
      </c>
      <c r="AH143" s="78" t="s">
        <v>49</v>
      </c>
      <c r="AI143" s="78" t="s">
        <v>49</v>
      </c>
      <c r="AJ143" s="78" t="s">
        <v>49</v>
      </c>
      <c r="AK143" s="119" t="s">
        <v>41</v>
      </c>
      <c r="AL143" s="78" t="s">
        <v>49</v>
      </c>
      <c r="AM143" s="78" t="s">
        <v>49</v>
      </c>
      <c r="AN143" s="78" t="s">
        <v>49</v>
      </c>
      <c r="AO143" s="78" t="s">
        <v>49</v>
      </c>
      <c r="AP143" s="167">
        <v>456</v>
      </c>
      <c r="AQ143" s="148">
        <v>456</v>
      </c>
      <c r="AR143" s="148">
        <v>455</v>
      </c>
      <c r="AS143" s="148">
        <v>450</v>
      </c>
      <c r="AT143" s="148">
        <v>432</v>
      </c>
      <c r="AU143" s="167">
        <v>432</v>
      </c>
      <c r="AV143" s="148">
        <v>438</v>
      </c>
      <c r="AW143" s="148">
        <v>456</v>
      </c>
      <c r="AX143" s="148">
        <v>457</v>
      </c>
      <c r="AY143" s="148">
        <v>454</v>
      </c>
      <c r="AZ143" s="167">
        <v>454</v>
      </c>
      <c r="BA143" s="148">
        <v>451</v>
      </c>
      <c r="BB143" s="148">
        <v>467</v>
      </c>
      <c r="BC143" s="148">
        <v>470</v>
      </c>
      <c r="BD143" s="148">
        <v>60</v>
      </c>
      <c r="BE143" s="167">
        <v>60</v>
      </c>
      <c r="BF143" s="148">
        <v>69</v>
      </c>
      <c r="BG143" s="148">
        <v>59</v>
      </c>
      <c r="BH143" s="148">
        <v>63</v>
      </c>
    </row>
    <row r="144" spans="1:60" ht="15" customHeight="1">
      <c r="A144" s="67" t="s">
        <v>249</v>
      </c>
      <c r="B144" s="119"/>
      <c r="C144" s="78"/>
      <c r="D144" s="78"/>
      <c r="E144" s="78"/>
      <c r="F144" s="78"/>
      <c r="G144" s="119"/>
      <c r="H144" s="78"/>
      <c r="I144" s="78"/>
      <c r="J144" s="78"/>
      <c r="K144" s="78"/>
      <c r="L144" s="119"/>
      <c r="M144" s="78"/>
      <c r="N144" s="78"/>
      <c r="O144" s="78"/>
      <c r="P144" s="78"/>
      <c r="Q144" s="119"/>
      <c r="R144" s="78"/>
      <c r="S144" s="78"/>
      <c r="T144" s="78"/>
      <c r="U144" s="78"/>
      <c r="V144" s="119"/>
      <c r="W144" s="78"/>
      <c r="X144" s="78"/>
      <c r="Y144" s="78"/>
      <c r="Z144" s="78"/>
      <c r="AA144" s="119"/>
      <c r="AB144" s="78"/>
      <c r="AC144" s="78"/>
      <c r="AD144" s="78"/>
      <c r="AE144" s="78"/>
      <c r="AF144" s="119"/>
      <c r="AG144" s="78"/>
      <c r="AH144" s="78"/>
      <c r="AI144" s="78"/>
      <c r="AJ144" s="78"/>
      <c r="AK144" s="119"/>
      <c r="AL144" s="78"/>
      <c r="AM144" s="78"/>
      <c r="AN144" s="78"/>
      <c r="AO144" s="78"/>
      <c r="AP144" s="167"/>
      <c r="AQ144" s="148"/>
      <c r="AR144" s="148"/>
      <c r="AS144" s="148"/>
      <c r="AT144" s="148"/>
      <c r="AU144" s="167"/>
      <c r="AV144" s="148"/>
      <c r="AW144" s="148"/>
      <c r="AX144" s="148"/>
      <c r="AY144" s="148"/>
      <c r="AZ144" s="167"/>
      <c r="BA144" s="148">
        <v>1417</v>
      </c>
      <c r="BB144" s="148">
        <v>1424</v>
      </c>
      <c r="BC144" s="148">
        <v>1434</v>
      </c>
      <c r="BD144" s="148">
        <v>1504</v>
      </c>
      <c r="BE144" s="167">
        <v>1504</v>
      </c>
      <c r="BF144" s="148">
        <v>1444</v>
      </c>
      <c r="BG144" s="148">
        <v>1394</v>
      </c>
      <c r="BH144" s="148">
        <v>1361</v>
      </c>
    </row>
    <row r="145" spans="1:60" ht="15" customHeight="1">
      <c r="A145" s="67" t="s">
        <v>216</v>
      </c>
      <c r="B145" s="119" t="s">
        <v>41</v>
      </c>
      <c r="C145" s="78" t="s">
        <v>49</v>
      </c>
      <c r="D145" s="78" t="s">
        <v>49</v>
      </c>
      <c r="E145" s="78" t="s">
        <v>49</v>
      </c>
      <c r="F145" s="78" t="s">
        <v>49</v>
      </c>
      <c r="G145" s="119" t="s">
        <v>41</v>
      </c>
      <c r="H145" s="78" t="s">
        <v>49</v>
      </c>
      <c r="I145" s="78" t="s">
        <v>49</v>
      </c>
      <c r="J145" s="78" t="s">
        <v>49</v>
      </c>
      <c r="K145" s="78" t="s">
        <v>49</v>
      </c>
      <c r="L145" s="119" t="s">
        <v>41</v>
      </c>
      <c r="M145" s="78" t="s">
        <v>49</v>
      </c>
      <c r="N145" s="78" t="s">
        <v>49</v>
      </c>
      <c r="O145" s="78" t="s">
        <v>49</v>
      </c>
      <c r="P145" s="78" t="s">
        <v>49</v>
      </c>
      <c r="Q145" s="119" t="s">
        <v>41</v>
      </c>
      <c r="R145" s="78" t="s">
        <v>49</v>
      </c>
      <c r="S145" s="78" t="s">
        <v>49</v>
      </c>
      <c r="T145" s="78" t="s">
        <v>49</v>
      </c>
      <c r="U145" s="78" t="s">
        <v>49</v>
      </c>
      <c r="V145" s="119" t="s">
        <v>41</v>
      </c>
      <c r="W145" s="78" t="s">
        <v>49</v>
      </c>
      <c r="X145" s="78" t="s">
        <v>49</v>
      </c>
      <c r="Y145" s="78" t="s">
        <v>49</v>
      </c>
      <c r="Z145" s="78" t="s">
        <v>49</v>
      </c>
      <c r="AA145" s="119" t="s">
        <v>41</v>
      </c>
      <c r="AB145" s="78" t="s">
        <v>49</v>
      </c>
      <c r="AC145" s="78" t="s">
        <v>49</v>
      </c>
      <c r="AD145" s="78" t="s">
        <v>49</v>
      </c>
      <c r="AE145" s="78" t="s">
        <v>49</v>
      </c>
      <c r="AF145" s="119" t="s">
        <v>41</v>
      </c>
      <c r="AG145" s="78" t="s">
        <v>49</v>
      </c>
      <c r="AH145" s="78" t="s">
        <v>49</v>
      </c>
      <c r="AI145" s="78" t="s">
        <v>49</v>
      </c>
      <c r="AJ145" s="78" t="s">
        <v>49</v>
      </c>
      <c r="AK145" s="119" t="s">
        <v>41</v>
      </c>
      <c r="AL145" s="78" t="s">
        <v>49</v>
      </c>
      <c r="AM145" s="78" t="s">
        <v>49</v>
      </c>
      <c r="AN145" s="78" t="s">
        <v>49</v>
      </c>
      <c r="AO145" s="78" t="s">
        <v>49</v>
      </c>
      <c r="AP145" s="167">
        <v>6894</v>
      </c>
      <c r="AQ145" s="148">
        <v>6902</v>
      </c>
      <c r="AR145" s="148">
        <v>6872</v>
      </c>
      <c r="AS145" s="148">
        <v>6840</v>
      </c>
      <c r="AT145" s="148">
        <v>6876</v>
      </c>
      <c r="AU145" s="167">
        <v>6876</v>
      </c>
      <c r="AV145" s="148">
        <v>6886</v>
      </c>
      <c r="AW145" s="148">
        <v>6868</v>
      </c>
      <c r="AX145" s="148">
        <v>6817</v>
      </c>
      <c r="AY145" s="148">
        <v>6798</v>
      </c>
      <c r="AZ145" s="167">
        <v>6798</v>
      </c>
      <c r="BA145" s="148">
        <v>6782</v>
      </c>
      <c r="BB145" s="148">
        <v>6811</v>
      </c>
      <c r="BC145" s="148">
        <v>6789</v>
      </c>
      <c r="BD145" s="148">
        <v>6214</v>
      </c>
      <c r="BE145" s="167">
        <v>6214</v>
      </c>
      <c r="BF145" s="148">
        <v>6215</v>
      </c>
      <c r="BG145" s="148">
        <v>6245</v>
      </c>
      <c r="BH145" s="148">
        <v>6217</v>
      </c>
    </row>
    <row r="146" spans="1:60" ht="15" customHeight="1">
      <c r="A146" s="67" t="s">
        <v>217</v>
      </c>
      <c r="B146" s="119" t="s">
        <v>41</v>
      </c>
      <c r="C146" s="78" t="s">
        <v>49</v>
      </c>
      <c r="D146" s="78" t="s">
        <v>49</v>
      </c>
      <c r="E146" s="78" t="s">
        <v>49</v>
      </c>
      <c r="F146" s="78" t="s">
        <v>49</v>
      </c>
      <c r="G146" s="119" t="s">
        <v>41</v>
      </c>
      <c r="H146" s="78" t="s">
        <v>49</v>
      </c>
      <c r="I146" s="78" t="s">
        <v>49</v>
      </c>
      <c r="J146" s="78" t="s">
        <v>49</v>
      </c>
      <c r="K146" s="78" t="s">
        <v>49</v>
      </c>
      <c r="L146" s="119" t="s">
        <v>41</v>
      </c>
      <c r="M146" s="78" t="s">
        <v>49</v>
      </c>
      <c r="N146" s="78" t="s">
        <v>49</v>
      </c>
      <c r="O146" s="78" t="s">
        <v>49</v>
      </c>
      <c r="P146" s="78" t="s">
        <v>49</v>
      </c>
      <c r="Q146" s="119" t="s">
        <v>41</v>
      </c>
      <c r="R146" s="78" t="s">
        <v>49</v>
      </c>
      <c r="S146" s="78" t="s">
        <v>49</v>
      </c>
      <c r="T146" s="78" t="s">
        <v>49</v>
      </c>
      <c r="U146" s="78" t="s">
        <v>49</v>
      </c>
      <c r="V146" s="119" t="s">
        <v>41</v>
      </c>
      <c r="W146" s="78" t="s">
        <v>49</v>
      </c>
      <c r="X146" s="78" t="s">
        <v>49</v>
      </c>
      <c r="Y146" s="78" t="s">
        <v>49</v>
      </c>
      <c r="Z146" s="78" t="s">
        <v>49</v>
      </c>
      <c r="AA146" s="119" t="s">
        <v>41</v>
      </c>
      <c r="AB146" s="78" t="s">
        <v>49</v>
      </c>
      <c r="AC146" s="78" t="s">
        <v>49</v>
      </c>
      <c r="AD146" s="78" t="s">
        <v>49</v>
      </c>
      <c r="AE146" s="78" t="s">
        <v>49</v>
      </c>
      <c r="AF146" s="119" t="s">
        <v>41</v>
      </c>
      <c r="AG146" s="78" t="s">
        <v>49</v>
      </c>
      <c r="AH146" s="78" t="s">
        <v>49</v>
      </c>
      <c r="AI146" s="78" t="s">
        <v>49</v>
      </c>
      <c r="AJ146" s="78" t="s">
        <v>49</v>
      </c>
      <c r="AK146" s="119" t="s">
        <v>41</v>
      </c>
      <c r="AL146" s="78" t="s">
        <v>49</v>
      </c>
      <c r="AM146" s="78" t="s">
        <v>49</v>
      </c>
      <c r="AN146" s="78" t="s">
        <v>49</v>
      </c>
      <c r="AO146" s="78" t="s">
        <v>49</v>
      </c>
      <c r="AP146" s="167">
        <v>3332</v>
      </c>
      <c r="AQ146" s="148">
        <v>3260</v>
      </c>
      <c r="AR146" s="148">
        <v>3195</v>
      </c>
      <c r="AS146" s="148">
        <v>3121</v>
      </c>
      <c r="AT146" s="148">
        <v>3047</v>
      </c>
      <c r="AU146" s="167">
        <v>3047</v>
      </c>
      <c r="AV146" s="148">
        <v>2986</v>
      </c>
      <c r="AW146" s="148">
        <v>2943</v>
      </c>
      <c r="AX146" s="148">
        <v>2894</v>
      </c>
      <c r="AY146" s="148">
        <v>2768</v>
      </c>
      <c r="AZ146" s="167">
        <v>2768</v>
      </c>
      <c r="BA146" s="148">
        <v>2728</v>
      </c>
      <c r="BB146" s="148">
        <v>2687</v>
      </c>
      <c r="BC146" s="148">
        <v>2627</v>
      </c>
      <c r="BD146" s="148">
        <v>1919</v>
      </c>
      <c r="BE146" s="167">
        <v>1919</v>
      </c>
      <c r="BF146" s="148">
        <v>1923</v>
      </c>
      <c r="BG146" s="148">
        <v>977</v>
      </c>
      <c r="BH146" s="148">
        <v>968</v>
      </c>
    </row>
    <row r="147" spans="1:60" ht="15" customHeight="1">
      <c r="A147" s="67" t="s">
        <v>218</v>
      </c>
      <c r="B147" s="119" t="s">
        <v>41</v>
      </c>
      <c r="C147" s="78" t="s">
        <v>49</v>
      </c>
      <c r="D147" s="78" t="s">
        <v>49</v>
      </c>
      <c r="E147" s="78" t="s">
        <v>49</v>
      </c>
      <c r="F147" s="78" t="s">
        <v>49</v>
      </c>
      <c r="G147" s="119" t="s">
        <v>41</v>
      </c>
      <c r="H147" s="78" t="s">
        <v>49</v>
      </c>
      <c r="I147" s="78" t="s">
        <v>49</v>
      </c>
      <c r="J147" s="78" t="s">
        <v>49</v>
      </c>
      <c r="K147" s="78" t="s">
        <v>49</v>
      </c>
      <c r="L147" s="119" t="s">
        <v>41</v>
      </c>
      <c r="M147" s="78" t="s">
        <v>49</v>
      </c>
      <c r="N147" s="78" t="s">
        <v>49</v>
      </c>
      <c r="O147" s="78" t="s">
        <v>49</v>
      </c>
      <c r="P147" s="78" t="s">
        <v>49</v>
      </c>
      <c r="Q147" s="119" t="s">
        <v>41</v>
      </c>
      <c r="R147" s="78" t="s">
        <v>49</v>
      </c>
      <c r="S147" s="78" t="s">
        <v>49</v>
      </c>
      <c r="T147" s="78" t="s">
        <v>49</v>
      </c>
      <c r="U147" s="78" t="s">
        <v>49</v>
      </c>
      <c r="V147" s="119" t="s">
        <v>41</v>
      </c>
      <c r="W147" s="78" t="s">
        <v>49</v>
      </c>
      <c r="X147" s="78" t="s">
        <v>49</v>
      </c>
      <c r="Y147" s="78" t="s">
        <v>49</v>
      </c>
      <c r="Z147" s="78" t="s">
        <v>49</v>
      </c>
      <c r="AA147" s="119" t="s">
        <v>41</v>
      </c>
      <c r="AB147" s="78" t="s">
        <v>49</v>
      </c>
      <c r="AC147" s="78" t="s">
        <v>49</v>
      </c>
      <c r="AD147" s="78" t="s">
        <v>49</v>
      </c>
      <c r="AE147" s="78" t="s">
        <v>49</v>
      </c>
      <c r="AF147" s="119" t="s">
        <v>41</v>
      </c>
      <c r="AG147" s="78" t="s">
        <v>49</v>
      </c>
      <c r="AH147" s="78" t="s">
        <v>49</v>
      </c>
      <c r="AI147" s="78" t="s">
        <v>49</v>
      </c>
      <c r="AJ147" s="78" t="s">
        <v>49</v>
      </c>
      <c r="AK147" s="119" t="s">
        <v>41</v>
      </c>
      <c r="AL147" s="78" t="s">
        <v>49</v>
      </c>
      <c r="AM147" s="78" t="s">
        <v>49</v>
      </c>
      <c r="AN147" s="78" t="s">
        <v>49</v>
      </c>
      <c r="AO147" s="78" t="s">
        <v>49</v>
      </c>
      <c r="AP147" s="167">
        <v>1178</v>
      </c>
      <c r="AQ147" s="148">
        <v>1105</v>
      </c>
      <c r="AR147" s="148">
        <v>1099</v>
      </c>
      <c r="AS147" s="148">
        <v>1103</v>
      </c>
      <c r="AT147" s="148">
        <v>1007</v>
      </c>
      <c r="AU147" s="167">
        <v>1007</v>
      </c>
      <c r="AV147" s="148">
        <v>1008</v>
      </c>
      <c r="AW147" s="148">
        <v>1015</v>
      </c>
      <c r="AX147" s="148">
        <v>1014</v>
      </c>
      <c r="AY147" s="148">
        <v>1019</v>
      </c>
      <c r="AZ147" s="167">
        <v>1019</v>
      </c>
      <c r="BA147" s="148">
        <v>1027</v>
      </c>
      <c r="BB147" s="148">
        <v>1035</v>
      </c>
      <c r="BC147" s="148">
        <v>1041</v>
      </c>
      <c r="BD147" s="148">
        <v>1205</v>
      </c>
      <c r="BE147" s="167">
        <v>1205</v>
      </c>
      <c r="BF147" s="148">
        <v>1193</v>
      </c>
      <c r="BG147" s="148">
        <v>12</v>
      </c>
      <c r="BH147" s="148">
        <v>18</v>
      </c>
    </row>
    <row r="148" spans="1:60" ht="15" customHeight="1">
      <c r="A148" s="67" t="s">
        <v>219</v>
      </c>
      <c r="B148" s="119" t="s">
        <v>41</v>
      </c>
      <c r="C148" s="78" t="s">
        <v>49</v>
      </c>
      <c r="D148" s="78" t="s">
        <v>49</v>
      </c>
      <c r="E148" s="78" t="s">
        <v>49</v>
      </c>
      <c r="F148" s="78" t="s">
        <v>49</v>
      </c>
      <c r="G148" s="119" t="s">
        <v>41</v>
      </c>
      <c r="H148" s="78" t="s">
        <v>49</v>
      </c>
      <c r="I148" s="78" t="s">
        <v>49</v>
      </c>
      <c r="J148" s="78" t="s">
        <v>49</v>
      </c>
      <c r="K148" s="78" t="s">
        <v>49</v>
      </c>
      <c r="L148" s="119" t="s">
        <v>41</v>
      </c>
      <c r="M148" s="78" t="s">
        <v>49</v>
      </c>
      <c r="N148" s="78" t="s">
        <v>49</v>
      </c>
      <c r="O148" s="78" t="s">
        <v>49</v>
      </c>
      <c r="P148" s="78" t="s">
        <v>49</v>
      </c>
      <c r="Q148" s="119" t="s">
        <v>41</v>
      </c>
      <c r="R148" s="78" t="s">
        <v>49</v>
      </c>
      <c r="S148" s="78" t="s">
        <v>49</v>
      </c>
      <c r="T148" s="78" t="s">
        <v>49</v>
      </c>
      <c r="U148" s="78" t="s">
        <v>49</v>
      </c>
      <c r="V148" s="119" t="s">
        <v>41</v>
      </c>
      <c r="W148" s="78" t="s">
        <v>49</v>
      </c>
      <c r="X148" s="78" t="s">
        <v>49</v>
      </c>
      <c r="Y148" s="78" t="s">
        <v>49</v>
      </c>
      <c r="Z148" s="78" t="s">
        <v>49</v>
      </c>
      <c r="AA148" s="119" t="s">
        <v>41</v>
      </c>
      <c r="AB148" s="78" t="s">
        <v>49</v>
      </c>
      <c r="AC148" s="78" t="s">
        <v>49</v>
      </c>
      <c r="AD148" s="78" t="s">
        <v>49</v>
      </c>
      <c r="AE148" s="78" t="s">
        <v>49</v>
      </c>
      <c r="AF148" s="119" t="s">
        <v>41</v>
      </c>
      <c r="AG148" s="78" t="s">
        <v>49</v>
      </c>
      <c r="AH148" s="78" t="s">
        <v>49</v>
      </c>
      <c r="AI148" s="78" t="s">
        <v>49</v>
      </c>
      <c r="AJ148" s="78" t="s">
        <v>49</v>
      </c>
      <c r="AK148" s="119" t="s">
        <v>41</v>
      </c>
      <c r="AL148" s="78" t="s">
        <v>49</v>
      </c>
      <c r="AM148" s="78" t="s">
        <v>49</v>
      </c>
      <c r="AN148" s="78" t="s">
        <v>49</v>
      </c>
      <c r="AO148" s="78" t="s">
        <v>49</v>
      </c>
      <c r="AP148" s="167">
        <v>386</v>
      </c>
      <c r="AQ148" s="148">
        <v>407</v>
      </c>
      <c r="AR148" s="148">
        <v>397</v>
      </c>
      <c r="AS148" s="148">
        <v>388</v>
      </c>
      <c r="AT148" s="148">
        <v>382</v>
      </c>
      <c r="AU148" s="167">
        <v>382</v>
      </c>
      <c r="AV148" s="148">
        <v>429</v>
      </c>
      <c r="AW148" s="148">
        <v>457</v>
      </c>
      <c r="AX148" s="148">
        <v>489</v>
      </c>
      <c r="AY148" s="148">
        <v>494</v>
      </c>
      <c r="AZ148" s="167">
        <v>494</v>
      </c>
      <c r="BA148" s="148">
        <v>547</v>
      </c>
      <c r="BB148" s="148">
        <v>530</v>
      </c>
      <c r="BC148" s="148">
        <v>519</v>
      </c>
      <c r="BD148" s="148">
        <v>462</v>
      </c>
      <c r="BE148" s="167">
        <v>462</v>
      </c>
      <c r="BF148" s="148">
        <v>463</v>
      </c>
      <c r="BG148" s="148">
        <v>465</v>
      </c>
      <c r="BH148" s="148">
        <v>469</v>
      </c>
    </row>
    <row r="149" spans="1:60" ht="15" customHeight="1">
      <c r="A149" s="67" t="s">
        <v>255</v>
      </c>
      <c r="B149" s="119" t="s">
        <v>41</v>
      </c>
      <c r="C149" s="78" t="s">
        <v>49</v>
      </c>
      <c r="D149" s="78" t="s">
        <v>49</v>
      </c>
      <c r="E149" s="78" t="s">
        <v>49</v>
      </c>
      <c r="F149" s="78" t="s">
        <v>49</v>
      </c>
      <c r="G149" s="119" t="s">
        <v>41</v>
      </c>
      <c r="H149" s="78" t="s">
        <v>49</v>
      </c>
      <c r="I149" s="78" t="s">
        <v>49</v>
      </c>
      <c r="J149" s="78" t="s">
        <v>49</v>
      </c>
      <c r="K149" s="78" t="s">
        <v>49</v>
      </c>
      <c r="L149" s="119" t="s">
        <v>41</v>
      </c>
      <c r="M149" s="78" t="s">
        <v>49</v>
      </c>
      <c r="N149" s="78" t="s">
        <v>49</v>
      </c>
      <c r="O149" s="78" t="s">
        <v>49</v>
      </c>
      <c r="P149" s="78" t="s">
        <v>49</v>
      </c>
      <c r="Q149" s="119" t="s">
        <v>41</v>
      </c>
      <c r="R149" s="78" t="s">
        <v>49</v>
      </c>
      <c r="S149" s="78" t="s">
        <v>49</v>
      </c>
      <c r="T149" s="78" t="s">
        <v>49</v>
      </c>
      <c r="U149" s="78" t="s">
        <v>49</v>
      </c>
      <c r="V149" s="119" t="s">
        <v>41</v>
      </c>
      <c r="W149" s="78" t="s">
        <v>49</v>
      </c>
      <c r="X149" s="78" t="s">
        <v>49</v>
      </c>
      <c r="Y149" s="78" t="s">
        <v>49</v>
      </c>
      <c r="Z149" s="78" t="s">
        <v>49</v>
      </c>
      <c r="AA149" s="119" t="s">
        <v>41</v>
      </c>
      <c r="AB149" s="78" t="s">
        <v>49</v>
      </c>
      <c r="AC149" s="78" t="s">
        <v>49</v>
      </c>
      <c r="AD149" s="78" t="s">
        <v>49</v>
      </c>
      <c r="AE149" s="78" t="s">
        <v>49</v>
      </c>
      <c r="AF149" s="119" t="s">
        <v>41</v>
      </c>
      <c r="AG149" s="78" t="s">
        <v>49</v>
      </c>
      <c r="AH149" s="78" t="s">
        <v>49</v>
      </c>
      <c r="AI149" s="78" t="s">
        <v>49</v>
      </c>
      <c r="AJ149" s="78" t="s">
        <v>49</v>
      </c>
      <c r="AK149" s="119" t="s">
        <v>41</v>
      </c>
      <c r="AL149" s="78" t="s">
        <v>49</v>
      </c>
      <c r="AM149" s="78" t="s">
        <v>49</v>
      </c>
      <c r="AN149" s="78" t="s">
        <v>49</v>
      </c>
      <c r="AO149" s="78" t="s">
        <v>49</v>
      </c>
      <c r="AP149" s="211" t="s">
        <v>141</v>
      </c>
      <c r="AQ149" s="147" t="s">
        <v>141</v>
      </c>
      <c r="AR149" s="147" t="s">
        <v>141</v>
      </c>
      <c r="AS149" s="147" t="s">
        <v>141</v>
      </c>
      <c r="AT149" s="147" t="s">
        <v>141</v>
      </c>
      <c r="AU149" s="211" t="s">
        <v>141</v>
      </c>
      <c r="AV149" s="147" t="s">
        <v>141</v>
      </c>
      <c r="AW149" s="147" t="s">
        <v>141</v>
      </c>
      <c r="AX149" s="147" t="s">
        <v>141</v>
      </c>
      <c r="AY149" s="147" t="s">
        <v>141</v>
      </c>
      <c r="AZ149" s="211" t="s">
        <v>141</v>
      </c>
      <c r="BA149" s="147" t="s">
        <v>141</v>
      </c>
      <c r="BB149" s="148">
        <v>130</v>
      </c>
      <c r="BC149" s="148">
        <v>140</v>
      </c>
      <c r="BD149" s="148">
        <v>58</v>
      </c>
      <c r="BE149" s="167">
        <v>58</v>
      </c>
      <c r="BF149" s="148">
        <v>58</v>
      </c>
      <c r="BG149" s="147" t="s">
        <v>141</v>
      </c>
      <c r="BH149" s="147" t="s">
        <v>141</v>
      </c>
    </row>
    <row r="150" spans="1:60" ht="15" customHeight="1">
      <c r="A150" s="39" t="s">
        <v>220</v>
      </c>
      <c r="B150" s="39"/>
      <c r="C150" s="210"/>
      <c r="D150" s="210"/>
      <c r="E150" s="210"/>
      <c r="F150" s="210"/>
      <c r="G150" s="39"/>
      <c r="H150" s="210"/>
      <c r="I150" s="210"/>
      <c r="J150" s="210"/>
      <c r="K150" s="210"/>
      <c r="L150" s="39"/>
      <c r="M150" s="210"/>
      <c r="N150" s="210"/>
      <c r="O150" s="210"/>
      <c r="P150" s="210"/>
      <c r="Q150" s="39"/>
      <c r="R150" s="210"/>
      <c r="S150" s="210"/>
      <c r="T150" s="210"/>
      <c r="U150" s="210"/>
      <c r="V150" s="39"/>
      <c r="W150" s="210"/>
      <c r="X150" s="210"/>
      <c r="Y150" s="210"/>
      <c r="Z150" s="210"/>
      <c r="AA150" s="39"/>
      <c r="AB150" s="210"/>
      <c r="AC150" s="210"/>
      <c r="AD150" s="210"/>
      <c r="AE150" s="210"/>
      <c r="AF150" s="39"/>
      <c r="AG150" s="210"/>
      <c r="AH150" s="210"/>
      <c r="AI150" s="210"/>
      <c r="AJ150" s="210"/>
      <c r="AK150" s="39"/>
      <c r="AL150" s="210"/>
      <c r="AM150" s="210"/>
      <c r="AN150" s="210"/>
      <c r="AO150" s="210"/>
      <c r="AP150" s="210">
        <v>12920</v>
      </c>
      <c r="AQ150" s="210">
        <v>12792</v>
      </c>
      <c r="AR150" s="210">
        <v>12665</v>
      </c>
      <c r="AS150" s="210">
        <v>12543</v>
      </c>
      <c r="AT150" s="210">
        <v>12388</v>
      </c>
      <c r="AU150" s="210">
        <v>12388</v>
      </c>
      <c r="AV150" s="210">
        <v>12342</v>
      </c>
      <c r="AW150" s="210">
        <v>12246</v>
      </c>
      <c r="AX150" s="210">
        <v>12191</v>
      </c>
      <c r="AY150" s="210">
        <v>12026</v>
      </c>
      <c r="AZ150" s="210">
        <v>12026</v>
      </c>
      <c r="BA150" s="210">
        <v>13418</v>
      </c>
      <c r="BB150" s="210">
        <v>13531</v>
      </c>
      <c r="BC150" s="210">
        <v>13443</v>
      </c>
      <c r="BD150" s="210">
        <v>11892</v>
      </c>
      <c r="BE150" s="210">
        <v>11892</v>
      </c>
      <c r="BF150" s="210">
        <v>11876</v>
      </c>
      <c r="BG150" s="210">
        <v>9687</v>
      </c>
      <c r="BH150" s="210">
        <v>9538</v>
      </c>
    </row>
    <row r="151" spans="1:60" ht="15" customHeight="1">
      <c r="A151" s="39" t="s">
        <v>221</v>
      </c>
      <c r="B151" s="39"/>
      <c r="C151" s="210"/>
      <c r="D151" s="210"/>
      <c r="E151" s="210"/>
      <c r="F151" s="210"/>
      <c r="G151" s="39"/>
      <c r="H151" s="210"/>
      <c r="I151" s="210"/>
      <c r="J151" s="210"/>
      <c r="K151" s="210"/>
      <c r="L151" s="39"/>
      <c r="M151" s="210"/>
      <c r="N151" s="210"/>
      <c r="O151" s="210"/>
      <c r="P151" s="210"/>
      <c r="Q151" s="39"/>
      <c r="R151" s="210"/>
      <c r="S151" s="210"/>
      <c r="T151" s="210"/>
      <c r="U151" s="210"/>
      <c r="V151" s="39"/>
      <c r="W151" s="210"/>
      <c r="X151" s="210"/>
      <c r="Y151" s="210"/>
      <c r="Z151" s="210"/>
      <c r="AA151" s="39"/>
      <c r="AB151" s="210"/>
      <c r="AC151" s="210"/>
      <c r="AD151" s="210"/>
      <c r="AE151" s="210"/>
      <c r="AF151" s="39"/>
      <c r="AG151" s="210"/>
      <c r="AH151" s="210"/>
      <c r="AI151" s="210"/>
      <c r="AJ151" s="210"/>
      <c r="AK151" s="39"/>
      <c r="AL151" s="210"/>
      <c r="AM151" s="210"/>
      <c r="AN151" s="210"/>
      <c r="AO151" s="210"/>
      <c r="AP151" s="210">
        <v>16679</v>
      </c>
      <c r="AQ151" s="210">
        <v>17033</v>
      </c>
      <c r="AR151" s="210">
        <v>17287</v>
      </c>
      <c r="AS151" s="210">
        <v>16703</v>
      </c>
      <c r="AT151" s="210">
        <v>15947</v>
      </c>
      <c r="AU151" s="210">
        <v>15947</v>
      </c>
      <c r="AV151" s="210">
        <v>16134</v>
      </c>
      <c r="AW151" s="210">
        <v>16618</v>
      </c>
      <c r="AX151" s="210">
        <v>17142</v>
      </c>
      <c r="AY151" s="210">
        <v>16849</v>
      </c>
      <c r="AZ151" s="210">
        <v>16849</v>
      </c>
      <c r="BA151" s="210">
        <v>18922</v>
      </c>
      <c r="BB151" s="210">
        <v>18361</v>
      </c>
      <c r="BC151" s="210">
        <v>18558</v>
      </c>
      <c r="BD151" s="210">
        <v>16323</v>
      </c>
      <c r="BE151" s="210">
        <v>16323</v>
      </c>
      <c r="BF151" s="210">
        <v>16629</v>
      </c>
      <c r="BG151" s="210">
        <v>14734</v>
      </c>
      <c r="BH151" s="210">
        <v>14084</v>
      </c>
    </row>
    <row r="152" spans="1:60" ht="15" customHeight="1">
      <c r="A152" s="67" t="s">
        <v>222</v>
      </c>
      <c r="B152" s="119" t="s">
        <v>41</v>
      </c>
      <c r="C152" s="78" t="s">
        <v>49</v>
      </c>
      <c r="D152" s="78" t="s">
        <v>49</v>
      </c>
      <c r="E152" s="78" t="s">
        <v>49</v>
      </c>
      <c r="F152" s="78" t="s">
        <v>49</v>
      </c>
      <c r="G152" s="119" t="s">
        <v>41</v>
      </c>
      <c r="H152" s="78" t="s">
        <v>49</v>
      </c>
      <c r="I152" s="78" t="s">
        <v>49</v>
      </c>
      <c r="J152" s="78" t="s">
        <v>49</v>
      </c>
      <c r="K152" s="78" t="s">
        <v>49</v>
      </c>
      <c r="L152" s="119" t="s">
        <v>41</v>
      </c>
      <c r="M152" s="78" t="s">
        <v>49</v>
      </c>
      <c r="N152" s="78" t="s">
        <v>49</v>
      </c>
      <c r="O152" s="78" t="s">
        <v>49</v>
      </c>
      <c r="P152" s="78" t="s">
        <v>49</v>
      </c>
      <c r="Q152" s="119" t="s">
        <v>41</v>
      </c>
      <c r="R152" s="78" t="s">
        <v>49</v>
      </c>
      <c r="S152" s="78" t="s">
        <v>49</v>
      </c>
      <c r="T152" s="78" t="s">
        <v>49</v>
      </c>
      <c r="U152" s="78" t="s">
        <v>49</v>
      </c>
      <c r="V152" s="119" t="s">
        <v>41</v>
      </c>
      <c r="W152" s="78" t="s">
        <v>49</v>
      </c>
      <c r="X152" s="78" t="s">
        <v>49</v>
      </c>
      <c r="Y152" s="78" t="s">
        <v>49</v>
      </c>
      <c r="Z152" s="78" t="s">
        <v>49</v>
      </c>
      <c r="AA152" s="119" t="s">
        <v>41</v>
      </c>
      <c r="AB152" s="78" t="s">
        <v>49</v>
      </c>
      <c r="AC152" s="78" t="s">
        <v>49</v>
      </c>
      <c r="AD152" s="78" t="s">
        <v>49</v>
      </c>
      <c r="AE152" s="78" t="s">
        <v>49</v>
      </c>
      <c r="AF152" s="119" t="s">
        <v>41</v>
      </c>
      <c r="AG152" s="78" t="s">
        <v>49</v>
      </c>
      <c r="AH152" s="78" t="s">
        <v>49</v>
      </c>
      <c r="AI152" s="78" t="s">
        <v>49</v>
      </c>
      <c r="AJ152" s="78" t="s">
        <v>49</v>
      </c>
      <c r="AK152" s="119" t="s">
        <v>41</v>
      </c>
      <c r="AL152" s="78" t="s">
        <v>49</v>
      </c>
      <c r="AM152" s="78" t="s">
        <v>49</v>
      </c>
      <c r="AN152" s="78" t="s">
        <v>49</v>
      </c>
      <c r="AO152" s="78" t="s">
        <v>49</v>
      </c>
      <c r="AP152" s="167">
        <v>1913</v>
      </c>
      <c r="AQ152" s="148">
        <v>2073</v>
      </c>
      <c r="AR152" s="148">
        <v>1958</v>
      </c>
      <c r="AS152" s="148">
        <v>2135</v>
      </c>
      <c r="AT152" s="148">
        <v>1825</v>
      </c>
      <c r="AU152" s="167">
        <v>1825</v>
      </c>
      <c r="AV152" s="148">
        <v>1594</v>
      </c>
      <c r="AW152" s="148">
        <v>958</v>
      </c>
      <c r="AX152" s="148">
        <v>555</v>
      </c>
      <c r="AY152" s="148">
        <v>1632</v>
      </c>
      <c r="AZ152" s="167">
        <v>1632</v>
      </c>
      <c r="BA152" s="148">
        <v>1609</v>
      </c>
      <c r="BB152" s="148">
        <v>1796</v>
      </c>
      <c r="BC152" s="148">
        <v>1798</v>
      </c>
      <c r="BD152" s="148">
        <v>1542</v>
      </c>
      <c r="BE152" s="167">
        <v>1542</v>
      </c>
      <c r="BF152" s="148">
        <v>1538</v>
      </c>
      <c r="BG152" s="148">
        <v>1625</v>
      </c>
      <c r="BH152" s="148">
        <v>1126</v>
      </c>
    </row>
    <row r="153" spans="1:60" ht="15" customHeight="1">
      <c r="A153" s="67" t="s">
        <v>248</v>
      </c>
      <c r="B153" s="119"/>
      <c r="C153" s="78"/>
      <c r="D153" s="78"/>
      <c r="E153" s="78"/>
      <c r="F153" s="78"/>
      <c r="G153" s="119"/>
      <c r="H153" s="78"/>
      <c r="I153" s="78"/>
      <c r="J153" s="78"/>
      <c r="K153" s="78"/>
      <c r="L153" s="119"/>
      <c r="M153" s="78"/>
      <c r="N153" s="78"/>
      <c r="O153" s="78"/>
      <c r="P153" s="78"/>
      <c r="Q153" s="119"/>
      <c r="R153" s="78"/>
      <c r="S153" s="78"/>
      <c r="T153" s="78"/>
      <c r="U153" s="78"/>
      <c r="V153" s="119"/>
      <c r="W153" s="78"/>
      <c r="X153" s="78"/>
      <c r="Y153" s="78"/>
      <c r="Z153" s="78"/>
      <c r="AA153" s="119"/>
      <c r="AB153" s="78"/>
      <c r="AC153" s="78"/>
      <c r="AD153" s="78"/>
      <c r="AE153" s="78"/>
      <c r="AF153" s="119"/>
      <c r="AG153" s="78"/>
      <c r="AH153" s="78"/>
      <c r="AI153" s="78"/>
      <c r="AJ153" s="78"/>
      <c r="AK153" s="119"/>
      <c r="AL153" s="78"/>
      <c r="AM153" s="78"/>
      <c r="AN153" s="78"/>
      <c r="AO153" s="78"/>
      <c r="AP153" s="167"/>
      <c r="AQ153" s="148"/>
      <c r="AR153" s="148"/>
      <c r="AS153" s="148"/>
      <c r="AT153" s="148"/>
      <c r="AU153" s="167"/>
      <c r="AV153" s="148"/>
      <c r="AW153" s="148"/>
      <c r="AX153" s="148"/>
      <c r="AY153" s="148"/>
      <c r="AZ153" s="167"/>
      <c r="BA153" s="148">
        <v>428</v>
      </c>
      <c r="BB153" s="148">
        <v>417</v>
      </c>
      <c r="BC153" s="148">
        <v>443</v>
      </c>
      <c r="BD153" s="148">
        <v>445</v>
      </c>
      <c r="BE153" s="167">
        <v>445</v>
      </c>
      <c r="BF153" s="148">
        <v>422</v>
      </c>
      <c r="BG153" s="148">
        <v>434</v>
      </c>
      <c r="BH153" s="148">
        <v>427</v>
      </c>
    </row>
    <row r="154" spans="1:60" ht="15" customHeight="1">
      <c r="A154" s="67" t="s">
        <v>223</v>
      </c>
      <c r="B154" s="119" t="s">
        <v>41</v>
      </c>
      <c r="C154" s="78" t="s">
        <v>49</v>
      </c>
      <c r="D154" s="78" t="s">
        <v>49</v>
      </c>
      <c r="E154" s="78" t="s">
        <v>49</v>
      </c>
      <c r="F154" s="78" t="s">
        <v>49</v>
      </c>
      <c r="G154" s="119" t="s">
        <v>41</v>
      </c>
      <c r="H154" s="78" t="s">
        <v>49</v>
      </c>
      <c r="I154" s="78" t="s">
        <v>49</v>
      </c>
      <c r="J154" s="78" t="s">
        <v>49</v>
      </c>
      <c r="K154" s="78" t="s">
        <v>49</v>
      </c>
      <c r="L154" s="119" t="s">
        <v>41</v>
      </c>
      <c r="M154" s="78" t="s">
        <v>49</v>
      </c>
      <c r="N154" s="78" t="s">
        <v>49</v>
      </c>
      <c r="O154" s="78" t="s">
        <v>49</v>
      </c>
      <c r="P154" s="78" t="s">
        <v>49</v>
      </c>
      <c r="Q154" s="119" t="s">
        <v>41</v>
      </c>
      <c r="R154" s="78" t="s">
        <v>49</v>
      </c>
      <c r="S154" s="78" t="s">
        <v>49</v>
      </c>
      <c r="T154" s="78" t="s">
        <v>49</v>
      </c>
      <c r="U154" s="78" t="s">
        <v>49</v>
      </c>
      <c r="V154" s="119" t="s">
        <v>41</v>
      </c>
      <c r="W154" s="78" t="s">
        <v>49</v>
      </c>
      <c r="X154" s="78" t="s">
        <v>49</v>
      </c>
      <c r="Y154" s="78" t="s">
        <v>49</v>
      </c>
      <c r="Z154" s="78" t="s">
        <v>49</v>
      </c>
      <c r="AA154" s="119" t="s">
        <v>41</v>
      </c>
      <c r="AB154" s="78" t="s">
        <v>49</v>
      </c>
      <c r="AC154" s="78" t="s">
        <v>49</v>
      </c>
      <c r="AD154" s="78" t="s">
        <v>49</v>
      </c>
      <c r="AE154" s="78" t="s">
        <v>49</v>
      </c>
      <c r="AF154" s="119" t="s">
        <v>41</v>
      </c>
      <c r="AG154" s="78" t="s">
        <v>49</v>
      </c>
      <c r="AH154" s="78" t="s">
        <v>49</v>
      </c>
      <c r="AI154" s="78" t="s">
        <v>49</v>
      </c>
      <c r="AJ154" s="78" t="s">
        <v>49</v>
      </c>
      <c r="AK154" s="119" t="s">
        <v>41</v>
      </c>
      <c r="AL154" s="78" t="s">
        <v>49</v>
      </c>
      <c r="AM154" s="78" t="s">
        <v>49</v>
      </c>
      <c r="AN154" s="78" t="s">
        <v>49</v>
      </c>
      <c r="AO154" s="78" t="s">
        <v>49</v>
      </c>
      <c r="AP154" s="167">
        <v>1657</v>
      </c>
      <c r="AQ154" s="148">
        <v>1843</v>
      </c>
      <c r="AR154" s="148">
        <v>1576</v>
      </c>
      <c r="AS154" s="148">
        <v>1599</v>
      </c>
      <c r="AT154" s="148">
        <v>1610</v>
      </c>
      <c r="AU154" s="167">
        <v>1610</v>
      </c>
      <c r="AV154" s="148">
        <v>1705</v>
      </c>
      <c r="AW154" s="148">
        <v>1608</v>
      </c>
      <c r="AX154" s="148">
        <v>1807</v>
      </c>
      <c r="AY154" s="148">
        <v>1699</v>
      </c>
      <c r="AZ154" s="167">
        <v>1699</v>
      </c>
      <c r="BA154" s="148">
        <v>1820</v>
      </c>
      <c r="BB154" s="148">
        <v>1583</v>
      </c>
      <c r="BC154" s="148">
        <v>1602</v>
      </c>
      <c r="BD154" s="148">
        <v>1690</v>
      </c>
      <c r="BE154" s="167">
        <v>1690</v>
      </c>
      <c r="BF154" s="148">
        <v>1845</v>
      </c>
      <c r="BG154" s="148">
        <v>1427</v>
      </c>
      <c r="BH154" s="148">
        <v>1503</v>
      </c>
    </row>
    <row r="155" spans="1:60" ht="15" customHeight="1">
      <c r="A155" s="67" t="s">
        <v>224</v>
      </c>
      <c r="B155" s="119" t="s">
        <v>41</v>
      </c>
      <c r="C155" s="78" t="s">
        <v>49</v>
      </c>
      <c r="D155" s="78" t="s">
        <v>49</v>
      </c>
      <c r="E155" s="78" t="s">
        <v>49</v>
      </c>
      <c r="F155" s="78" t="s">
        <v>49</v>
      </c>
      <c r="G155" s="119" t="s">
        <v>41</v>
      </c>
      <c r="H155" s="78" t="s">
        <v>49</v>
      </c>
      <c r="I155" s="78" t="s">
        <v>49</v>
      </c>
      <c r="J155" s="78" t="s">
        <v>49</v>
      </c>
      <c r="K155" s="78" t="s">
        <v>49</v>
      </c>
      <c r="L155" s="119" t="s">
        <v>41</v>
      </c>
      <c r="M155" s="78" t="s">
        <v>49</v>
      </c>
      <c r="N155" s="78" t="s">
        <v>49</v>
      </c>
      <c r="O155" s="78" t="s">
        <v>49</v>
      </c>
      <c r="P155" s="78" t="s">
        <v>49</v>
      </c>
      <c r="Q155" s="119" t="s">
        <v>41</v>
      </c>
      <c r="R155" s="78" t="s">
        <v>49</v>
      </c>
      <c r="S155" s="78" t="s">
        <v>49</v>
      </c>
      <c r="T155" s="78" t="s">
        <v>49</v>
      </c>
      <c r="U155" s="78" t="s">
        <v>49</v>
      </c>
      <c r="V155" s="119" t="s">
        <v>41</v>
      </c>
      <c r="W155" s="78" t="s">
        <v>49</v>
      </c>
      <c r="X155" s="78" t="s">
        <v>49</v>
      </c>
      <c r="Y155" s="78" t="s">
        <v>49</v>
      </c>
      <c r="Z155" s="78" t="s">
        <v>49</v>
      </c>
      <c r="AA155" s="119" t="s">
        <v>41</v>
      </c>
      <c r="AB155" s="78" t="s">
        <v>49</v>
      </c>
      <c r="AC155" s="78" t="s">
        <v>49</v>
      </c>
      <c r="AD155" s="78" t="s">
        <v>49</v>
      </c>
      <c r="AE155" s="78" t="s">
        <v>49</v>
      </c>
      <c r="AF155" s="119" t="s">
        <v>41</v>
      </c>
      <c r="AG155" s="78" t="s">
        <v>49</v>
      </c>
      <c r="AH155" s="78" t="s">
        <v>49</v>
      </c>
      <c r="AI155" s="78" t="s">
        <v>49</v>
      </c>
      <c r="AJ155" s="78" t="s">
        <v>49</v>
      </c>
      <c r="AK155" s="119" t="s">
        <v>41</v>
      </c>
      <c r="AL155" s="78" t="s">
        <v>49</v>
      </c>
      <c r="AM155" s="78" t="s">
        <v>49</v>
      </c>
      <c r="AN155" s="78" t="s">
        <v>49</v>
      </c>
      <c r="AO155" s="78" t="s">
        <v>49</v>
      </c>
      <c r="AP155" s="167">
        <v>624</v>
      </c>
      <c r="AQ155" s="148">
        <v>622</v>
      </c>
      <c r="AR155" s="148">
        <v>628</v>
      </c>
      <c r="AS155" s="148">
        <v>171</v>
      </c>
      <c r="AT155" s="148">
        <v>104</v>
      </c>
      <c r="AU155" s="167">
        <v>104</v>
      </c>
      <c r="AV155" s="148">
        <v>112</v>
      </c>
      <c r="AW155" s="148">
        <v>112</v>
      </c>
      <c r="AX155" s="148">
        <v>118</v>
      </c>
      <c r="AY155" s="148">
        <v>152</v>
      </c>
      <c r="AZ155" s="167">
        <v>152</v>
      </c>
      <c r="BA155" s="148">
        <v>43</v>
      </c>
      <c r="BB155" s="147" t="s">
        <v>141</v>
      </c>
      <c r="BC155" s="148">
        <v>9</v>
      </c>
      <c r="BD155" s="147" t="s">
        <v>141</v>
      </c>
      <c r="BE155" s="211" t="s">
        <v>141</v>
      </c>
      <c r="BF155" s="148">
        <v>10</v>
      </c>
      <c r="BG155" s="148">
        <v>20</v>
      </c>
      <c r="BH155" s="148">
        <v>15</v>
      </c>
    </row>
    <row r="156" spans="1:60" ht="15" customHeight="1">
      <c r="A156" s="67" t="s">
        <v>225</v>
      </c>
      <c r="B156" s="119" t="s">
        <v>41</v>
      </c>
      <c r="C156" s="78" t="s">
        <v>49</v>
      </c>
      <c r="D156" s="78" t="s">
        <v>49</v>
      </c>
      <c r="E156" s="78" t="s">
        <v>49</v>
      </c>
      <c r="F156" s="78" t="s">
        <v>49</v>
      </c>
      <c r="G156" s="119" t="s">
        <v>41</v>
      </c>
      <c r="H156" s="78" t="s">
        <v>49</v>
      </c>
      <c r="I156" s="78" t="s">
        <v>49</v>
      </c>
      <c r="J156" s="78" t="s">
        <v>49</v>
      </c>
      <c r="K156" s="78" t="s">
        <v>49</v>
      </c>
      <c r="L156" s="119" t="s">
        <v>41</v>
      </c>
      <c r="M156" s="78" t="s">
        <v>49</v>
      </c>
      <c r="N156" s="78" t="s">
        <v>49</v>
      </c>
      <c r="O156" s="78" t="s">
        <v>49</v>
      </c>
      <c r="P156" s="78" t="s">
        <v>49</v>
      </c>
      <c r="Q156" s="119" t="s">
        <v>41</v>
      </c>
      <c r="R156" s="78" t="s">
        <v>49</v>
      </c>
      <c r="S156" s="78" t="s">
        <v>49</v>
      </c>
      <c r="T156" s="78" t="s">
        <v>49</v>
      </c>
      <c r="U156" s="78" t="s">
        <v>49</v>
      </c>
      <c r="V156" s="119" t="s">
        <v>41</v>
      </c>
      <c r="W156" s="78" t="s">
        <v>49</v>
      </c>
      <c r="X156" s="78" t="s">
        <v>49</v>
      </c>
      <c r="Y156" s="78" t="s">
        <v>49</v>
      </c>
      <c r="Z156" s="78" t="s">
        <v>49</v>
      </c>
      <c r="AA156" s="119" t="s">
        <v>41</v>
      </c>
      <c r="AB156" s="78" t="s">
        <v>49</v>
      </c>
      <c r="AC156" s="78" t="s">
        <v>49</v>
      </c>
      <c r="AD156" s="78" t="s">
        <v>49</v>
      </c>
      <c r="AE156" s="78" t="s">
        <v>49</v>
      </c>
      <c r="AF156" s="119" t="s">
        <v>41</v>
      </c>
      <c r="AG156" s="78" t="s">
        <v>49</v>
      </c>
      <c r="AH156" s="78" t="s">
        <v>49</v>
      </c>
      <c r="AI156" s="78" t="s">
        <v>49</v>
      </c>
      <c r="AJ156" s="78" t="s">
        <v>49</v>
      </c>
      <c r="AK156" s="119" t="s">
        <v>41</v>
      </c>
      <c r="AL156" s="78" t="s">
        <v>49</v>
      </c>
      <c r="AM156" s="78" t="s">
        <v>49</v>
      </c>
      <c r="AN156" s="78" t="s">
        <v>49</v>
      </c>
      <c r="AO156" s="78" t="s">
        <v>49</v>
      </c>
      <c r="AP156" s="167">
        <v>233</v>
      </c>
      <c r="AQ156" s="148">
        <v>206</v>
      </c>
      <c r="AR156" s="148">
        <v>208</v>
      </c>
      <c r="AS156" s="148">
        <v>6</v>
      </c>
      <c r="AT156" s="148">
        <v>32</v>
      </c>
      <c r="AU156" s="167">
        <v>32</v>
      </c>
      <c r="AV156" s="148">
        <v>6</v>
      </c>
      <c r="AW156" s="147" t="s">
        <v>141</v>
      </c>
      <c r="AX156" s="147" t="s">
        <v>141</v>
      </c>
      <c r="AY156" s="147" t="s">
        <v>141</v>
      </c>
      <c r="AZ156" s="211" t="s">
        <v>141</v>
      </c>
      <c r="BA156" s="147" t="s">
        <v>141</v>
      </c>
      <c r="BB156" s="147" t="s">
        <v>141</v>
      </c>
      <c r="BC156" s="147" t="s">
        <v>141</v>
      </c>
      <c r="BD156" s="147" t="s">
        <v>141</v>
      </c>
      <c r="BE156" s="211" t="s">
        <v>141</v>
      </c>
      <c r="BF156" s="147" t="s">
        <v>141</v>
      </c>
      <c r="BG156" s="147" t="s">
        <v>141</v>
      </c>
      <c r="BH156" s="147" t="s">
        <v>141</v>
      </c>
    </row>
    <row r="157" spans="1:60" ht="15" customHeight="1">
      <c r="A157" s="67" t="s">
        <v>226</v>
      </c>
      <c r="B157" s="119" t="s">
        <v>41</v>
      </c>
      <c r="C157" s="78" t="s">
        <v>49</v>
      </c>
      <c r="D157" s="78" t="s">
        <v>49</v>
      </c>
      <c r="E157" s="78" t="s">
        <v>49</v>
      </c>
      <c r="F157" s="78" t="s">
        <v>49</v>
      </c>
      <c r="G157" s="119" t="s">
        <v>41</v>
      </c>
      <c r="H157" s="78" t="s">
        <v>49</v>
      </c>
      <c r="I157" s="78" t="s">
        <v>49</v>
      </c>
      <c r="J157" s="78" t="s">
        <v>49</v>
      </c>
      <c r="K157" s="78" t="s">
        <v>49</v>
      </c>
      <c r="L157" s="119" t="s">
        <v>41</v>
      </c>
      <c r="M157" s="78" t="s">
        <v>49</v>
      </c>
      <c r="N157" s="78" t="s">
        <v>49</v>
      </c>
      <c r="O157" s="78" t="s">
        <v>49</v>
      </c>
      <c r="P157" s="78" t="s">
        <v>49</v>
      </c>
      <c r="Q157" s="119" t="s">
        <v>41</v>
      </c>
      <c r="R157" s="78" t="s">
        <v>49</v>
      </c>
      <c r="S157" s="78" t="s">
        <v>49</v>
      </c>
      <c r="T157" s="78" t="s">
        <v>49</v>
      </c>
      <c r="U157" s="78" t="s">
        <v>49</v>
      </c>
      <c r="V157" s="119" t="s">
        <v>41</v>
      </c>
      <c r="W157" s="78" t="s">
        <v>49</v>
      </c>
      <c r="X157" s="78" t="s">
        <v>49</v>
      </c>
      <c r="Y157" s="78" t="s">
        <v>49</v>
      </c>
      <c r="Z157" s="78" t="s">
        <v>49</v>
      </c>
      <c r="AA157" s="119" t="s">
        <v>41</v>
      </c>
      <c r="AB157" s="78" t="s">
        <v>49</v>
      </c>
      <c r="AC157" s="78" t="s">
        <v>49</v>
      </c>
      <c r="AD157" s="78" t="s">
        <v>49</v>
      </c>
      <c r="AE157" s="78" t="s">
        <v>49</v>
      </c>
      <c r="AF157" s="119" t="s">
        <v>41</v>
      </c>
      <c r="AG157" s="78" t="s">
        <v>49</v>
      </c>
      <c r="AH157" s="78" t="s">
        <v>49</v>
      </c>
      <c r="AI157" s="78" t="s">
        <v>49</v>
      </c>
      <c r="AJ157" s="78" t="s">
        <v>49</v>
      </c>
      <c r="AK157" s="119" t="s">
        <v>41</v>
      </c>
      <c r="AL157" s="78" t="s">
        <v>49</v>
      </c>
      <c r="AM157" s="78" t="s">
        <v>49</v>
      </c>
      <c r="AN157" s="78" t="s">
        <v>49</v>
      </c>
      <c r="AO157" s="78" t="s">
        <v>49</v>
      </c>
      <c r="AP157" s="167">
        <v>378</v>
      </c>
      <c r="AQ157" s="148">
        <v>380</v>
      </c>
      <c r="AR157" s="148">
        <v>370</v>
      </c>
      <c r="AS157" s="148">
        <v>280</v>
      </c>
      <c r="AT157" s="148">
        <v>315</v>
      </c>
      <c r="AU157" s="167">
        <v>315</v>
      </c>
      <c r="AV157" s="148">
        <v>308</v>
      </c>
      <c r="AW157" s="148">
        <v>318</v>
      </c>
      <c r="AX157" s="148">
        <v>251</v>
      </c>
      <c r="AY157" s="148">
        <v>280</v>
      </c>
      <c r="AZ157" s="167">
        <v>280</v>
      </c>
      <c r="BA157" s="148">
        <v>286</v>
      </c>
      <c r="BB157" s="148">
        <v>369</v>
      </c>
      <c r="BC157" s="148">
        <v>330</v>
      </c>
      <c r="BD157" s="148">
        <v>581</v>
      </c>
      <c r="BE157" s="167">
        <v>581</v>
      </c>
      <c r="BF157" s="148">
        <v>500</v>
      </c>
      <c r="BG157" s="148">
        <v>443</v>
      </c>
      <c r="BH157" s="148">
        <v>365</v>
      </c>
    </row>
    <row r="158" spans="1:60" ht="15" customHeight="1">
      <c r="A158" s="67" t="s">
        <v>227</v>
      </c>
      <c r="B158" s="119" t="s">
        <v>41</v>
      </c>
      <c r="C158" s="78" t="s">
        <v>49</v>
      </c>
      <c r="D158" s="78" t="s">
        <v>49</v>
      </c>
      <c r="E158" s="78" t="s">
        <v>49</v>
      </c>
      <c r="F158" s="78" t="s">
        <v>49</v>
      </c>
      <c r="G158" s="119" t="s">
        <v>41</v>
      </c>
      <c r="H158" s="78" t="s">
        <v>49</v>
      </c>
      <c r="I158" s="78" t="s">
        <v>49</v>
      </c>
      <c r="J158" s="78" t="s">
        <v>49</v>
      </c>
      <c r="K158" s="78" t="s">
        <v>49</v>
      </c>
      <c r="L158" s="119" t="s">
        <v>41</v>
      </c>
      <c r="M158" s="78" t="s">
        <v>49</v>
      </c>
      <c r="N158" s="78" t="s">
        <v>49</v>
      </c>
      <c r="O158" s="78" t="s">
        <v>49</v>
      </c>
      <c r="P158" s="78" t="s">
        <v>49</v>
      </c>
      <c r="Q158" s="119" t="s">
        <v>41</v>
      </c>
      <c r="R158" s="78" t="s">
        <v>49</v>
      </c>
      <c r="S158" s="78" t="s">
        <v>49</v>
      </c>
      <c r="T158" s="78" t="s">
        <v>49</v>
      </c>
      <c r="U158" s="78" t="s">
        <v>49</v>
      </c>
      <c r="V158" s="119" t="s">
        <v>41</v>
      </c>
      <c r="W158" s="78" t="s">
        <v>49</v>
      </c>
      <c r="X158" s="78" t="s">
        <v>49</v>
      </c>
      <c r="Y158" s="78" t="s">
        <v>49</v>
      </c>
      <c r="Z158" s="78" t="s">
        <v>49</v>
      </c>
      <c r="AA158" s="119" t="s">
        <v>41</v>
      </c>
      <c r="AB158" s="78" t="s">
        <v>49</v>
      </c>
      <c r="AC158" s="78" t="s">
        <v>49</v>
      </c>
      <c r="AD158" s="78" t="s">
        <v>49</v>
      </c>
      <c r="AE158" s="78" t="s">
        <v>49</v>
      </c>
      <c r="AF158" s="119" t="s">
        <v>41</v>
      </c>
      <c r="AG158" s="78" t="s">
        <v>49</v>
      </c>
      <c r="AH158" s="78" t="s">
        <v>49</v>
      </c>
      <c r="AI158" s="78" t="s">
        <v>49</v>
      </c>
      <c r="AJ158" s="78" t="s">
        <v>49</v>
      </c>
      <c r="AK158" s="119" t="s">
        <v>41</v>
      </c>
      <c r="AL158" s="78" t="s">
        <v>49</v>
      </c>
      <c r="AM158" s="78" t="s">
        <v>49</v>
      </c>
      <c r="AN158" s="78" t="s">
        <v>49</v>
      </c>
      <c r="AO158" s="78" t="s">
        <v>49</v>
      </c>
      <c r="AP158" s="167">
        <v>100</v>
      </c>
      <c r="AQ158" s="148">
        <v>88</v>
      </c>
      <c r="AR158" s="148">
        <v>90</v>
      </c>
      <c r="AS158" s="148">
        <v>87</v>
      </c>
      <c r="AT158" s="148">
        <v>80</v>
      </c>
      <c r="AU158" s="167">
        <v>80</v>
      </c>
      <c r="AV158" s="148">
        <v>81</v>
      </c>
      <c r="AW158" s="148">
        <v>79</v>
      </c>
      <c r="AX158" s="148">
        <v>94</v>
      </c>
      <c r="AY158" s="148">
        <v>94</v>
      </c>
      <c r="AZ158" s="167">
        <v>94</v>
      </c>
      <c r="BA158" s="148">
        <v>103</v>
      </c>
      <c r="BB158" s="148">
        <v>110</v>
      </c>
      <c r="BC158" s="148">
        <v>106</v>
      </c>
      <c r="BD158" s="148">
        <v>175</v>
      </c>
      <c r="BE158" s="167">
        <v>175</v>
      </c>
      <c r="BF158" s="148">
        <v>145</v>
      </c>
      <c r="BG158" s="148">
        <v>148</v>
      </c>
      <c r="BH158" s="148">
        <v>143</v>
      </c>
    </row>
    <row r="159" spans="1:60" ht="15" customHeight="1">
      <c r="A159" s="67" t="s">
        <v>228</v>
      </c>
      <c r="B159" s="119" t="s">
        <v>41</v>
      </c>
      <c r="C159" s="78" t="s">
        <v>49</v>
      </c>
      <c r="D159" s="78" t="s">
        <v>49</v>
      </c>
      <c r="E159" s="78" t="s">
        <v>49</v>
      </c>
      <c r="F159" s="78" t="s">
        <v>49</v>
      </c>
      <c r="G159" s="119" t="s">
        <v>41</v>
      </c>
      <c r="H159" s="78" t="s">
        <v>49</v>
      </c>
      <c r="I159" s="78" t="s">
        <v>49</v>
      </c>
      <c r="J159" s="78" t="s">
        <v>49</v>
      </c>
      <c r="K159" s="78" t="s">
        <v>49</v>
      </c>
      <c r="L159" s="119" t="s">
        <v>41</v>
      </c>
      <c r="M159" s="78" t="s">
        <v>49</v>
      </c>
      <c r="N159" s="78" t="s">
        <v>49</v>
      </c>
      <c r="O159" s="78" t="s">
        <v>49</v>
      </c>
      <c r="P159" s="78" t="s">
        <v>49</v>
      </c>
      <c r="Q159" s="119" t="s">
        <v>41</v>
      </c>
      <c r="R159" s="78" t="s">
        <v>49</v>
      </c>
      <c r="S159" s="78" t="s">
        <v>49</v>
      </c>
      <c r="T159" s="78" t="s">
        <v>49</v>
      </c>
      <c r="U159" s="78" t="s">
        <v>49</v>
      </c>
      <c r="V159" s="119" t="s">
        <v>41</v>
      </c>
      <c r="W159" s="78" t="s">
        <v>49</v>
      </c>
      <c r="X159" s="78" t="s">
        <v>49</v>
      </c>
      <c r="Y159" s="78" t="s">
        <v>49</v>
      </c>
      <c r="Z159" s="78" t="s">
        <v>49</v>
      </c>
      <c r="AA159" s="119" t="s">
        <v>41</v>
      </c>
      <c r="AB159" s="78" t="s">
        <v>49</v>
      </c>
      <c r="AC159" s="78" t="s">
        <v>49</v>
      </c>
      <c r="AD159" s="78" t="s">
        <v>49</v>
      </c>
      <c r="AE159" s="78" t="s">
        <v>49</v>
      </c>
      <c r="AF159" s="119" t="s">
        <v>41</v>
      </c>
      <c r="AG159" s="78" t="s">
        <v>49</v>
      </c>
      <c r="AH159" s="78" t="s">
        <v>49</v>
      </c>
      <c r="AI159" s="78" t="s">
        <v>49</v>
      </c>
      <c r="AJ159" s="78" t="s">
        <v>49</v>
      </c>
      <c r="AK159" s="119" t="s">
        <v>41</v>
      </c>
      <c r="AL159" s="78" t="s">
        <v>49</v>
      </c>
      <c r="AM159" s="78" t="s">
        <v>49</v>
      </c>
      <c r="AN159" s="78" t="s">
        <v>49</v>
      </c>
      <c r="AO159" s="78" t="s">
        <v>49</v>
      </c>
      <c r="AP159" s="211" t="s">
        <v>141</v>
      </c>
      <c r="AQ159" s="147" t="s">
        <v>141</v>
      </c>
      <c r="AR159" s="147" t="s">
        <v>141</v>
      </c>
      <c r="AS159" s="148">
        <v>665</v>
      </c>
      <c r="AT159" s="147" t="s">
        <v>141</v>
      </c>
      <c r="AU159" s="211" t="s">
        <v>141</v>
      </c>
      <c r="AV159" s="147" t="s">
        <v>141</v>
      </c>
      <c r="AW159" s="147" t="s">
        <v>141</v>
      </c>
      <c r="AX159" s="148">
        <v>708</v>
      </c>
      <c r="AY159" s="147" t="s">
        <v>141</v>
      </c>
      <c r="AZ159" s="211" t="s">
        <v>141</v>
      </c>
      <c r="BA159" s="147" t="s">
        <v>141</v>
      </c>
      <c r="BB159" s="147" t="s">
        <v>141</v>
      </c>
      <c r="BC159" s="148">
        <v>318</v>
      </c>
      <c r="BD159" s="147" t="s">
        <v>141</v>
      </c>
      <c r="BE159" s="211" t="s">
        <v>141</v>
      </c>
      <c r="BF159" s="147" t="s">
        <v>141</v>
      </c>
      <c r="BG159" s="147" t="s">
        <v>141</v>
      </c>
      <c r="BH159" s="147" t="s">
        <v>141</v>
      </c>
    </row>
    <row r="160" spans="1:60" ht="15" customHeight="1">
      <c r="A160" s="39" t="s">
        <v>229</v>
      </c>
      <c r="B160" s="39"/>
      <c r="C160" s="210"/>
      <c r="D160" s="210"/>
      <c r="E160" s="210"/>
      <c r="F160" s="210"/>
      <c r="G160" s="39"/>
      <c r="H160" s="210"/>
      <c r="I160" s="210"/>
      <c r="J160" s="210"/>
      <c r="K160" s="210"/>
      <c r="L160" s="39"/>
      <c r="M160" s="210"/>
      <c r="N160" s="210"/>
      <c r="O160" s="210"/>
      <c r="P160" s="210"/>
      <c r="Q160" s="39"/>
      <c r="R160" s="210"/>
      <c r="S160" s="210"/>
      <c r="T160" s="210"/>
      <c r="U160" s="210"/>
      <c r="V160" s="39"/>
      <c r="W160" s="210"/>
      <c r="X160" s="210"/>
      <c r="Y160" s="210"/>
      <c r="Z160" s="210"/>
      <c r="AA160" s="39"/>
      <c r="AB160" s="210"/>
      <c r="AC160" s="210"/>
      <c r="AD160" s="210"/>
      <c r="AE160" s="210"/>
      <c r="AF160" s="39"/>
      <c r="AG160" s="210"/>
      <c r="AH160" s="210"/>
      <c r="AI160" s="210"/>
      <c r="AJ160" s="210"/>
      <c r="AK160" s="39"/>
      <c r="AL160" s="210"/>
      <c r="AM160" s="210"/>
      <c r="AN160" s="210"/>
      <c r="AO160" s="210"/>
      <c r="AP160" s="39"/>
      <c r="AQ160" s="210">
        <v>5212</v>
      </c>
      <c r="AR160" s="210">
        <v>4830</v>
      </c>
      <c r="AS160" s="210">
        <v>4943</v>
      </c>
      <c r="AT160" s="210">
        <v>3966</v>
      </c>
      <c r="AU160" s="210">
        <v>3966</v>
      </c>
      <c r="AV160" s="210">
        <v>3806</v>
      </c>
      <c r="AW160" s="210">
        <v>3075</v>
      </c>
      <c r="AX160" s="210">
        <v>3533</v>
      </c>
      <c r="AY160" s="210">
        <v>3857</v>
      </c>
      <c r="AZ160" s="210">
        <v>3857</v>
      </c>
      <c r="BA160" s="210">
        <v>4289</v>
      </c>
      <c r="BB160" s="210">
        <v>4275</v>
      </c>
      <c r="BC160" s="210">
        <v>4606</v>
      </c>
      <c r="BD160" s="210">
        <v>4433</v>
      </c>
      <c r="BE160" s="210">
        <v>4433</v>
      </c>
      <c r="BF160" s="210">
        <v>4460</v>
      </c>
      <c r="BG160" s="210">
        <v>4097</v>
      </c>
      <c r="BH160" s="210">
        <v>3579</v>
      </c>
    </row>
    <row r="161" spans="1:16384" ht="15" customHeight="1">
      <c r="A161" s="67" t="s">
        <v>232</v>
      </c>
      <c r="B161" s="119" t="s">
        <v>41</v>
      </c>
      <c r="C161" s="78" t="s">
        <v>49</v>
      </c>
      <c r="D161" s="78" t="s">
        <v>49</v>
      </c>
      <c r="E161" s="78" t="s">
        <v>49</v>
      </c>
      <c r="F161" s="78" t="s">
        <v>49</v>
      </c>
      <c r="G161" s="119" t="s">
        <v>41</v>
      </c>
      <c r="H161" s="78" t="s">
        <v>49</v>
      </c>
      <c r="I161" s="78" t="s">
        <v>49</v>
      </c>
      <c r="J161" s="78" t="s">
        <v>49</v>
      </c>
      <c r="K161" s="78" t="s">
        <v>49</v>
      </c>
      <c r="L161" s="119" t="s">
        <v>41</v>
      </c>
      <c r="M161" s="78" t="s">
        <v>49</v>
      </c>
      <c r="N161" s="78" t="s">
        <v>49</v>
      </c>
      <c r="O161" s="78" t="s">
        <v>49</v>
      </c>
      <c r="P161" s="78" t="s">
        <v>49</v>
      </c>
      <c r="Q161" s="119" t="s">
        <v>41</v>
      </c>
      <c r="R161" s="78" t="s">
        <v>49</v>
      </c>
      <c r="S161" s="78" t="s">
        <v>49</v>
      </c>
      <c r="T161" s="78" t="s">
        <v>49</v>
      </c>
      <c r="U161" s="78" t="s">
        <v>49</v>
      </c>
      <c r="V161" s="119" t="s">
        <v>41</v>
      </c>
      <c r="W161" s="78" t="s">
        <v>49</v>
      </c>
      <c r="X161" s="78" t="s">
        <v>49</v>
      </c>
      <c r="Y161" s="78" t="s">
        <v>49</v>
      </c>
      <c r="Z161" s="78" t="s">
        <v>49</v>
      </c>
      <c r="AA161" s="119" t="s">
        <v>41</v>
      </c>
      <c r="AB161" s="78" t="s">
        <v>49</v>
      </c>
      <c r="AC161" s="78" t="s">
        <v>49</v>
      </c>
      <c r="AD161" s="78" t="s">
        <v>49</v>
      </c>
      <c r="AE161" s="78" t="s">
        <v>49</v>
      </c>
      <c r="AF161" s="119" t="s">
        <v>41</v>
      </c>
      <c r="AG161" s="78" t="s">
        <v>49</v>
      </c>
      <c r="AH161" s="78" t="s">
        <v>49</v>
      </c>
      <c r="AI161" s="78" t="s">
        <v>49</v>
      </c>
      <c r="AJ161" s="78" t="s">
        <v>49</v>
      </c>
      <c r="AK161" s="119" t="s">
        <v>41</v>
      </c>
      <c r="AL161" s="78" t="s">
        <v>49</v>
      </c>
      <c r="AM161" s="78" t="s">
        <v>49</v>
      </c>
      <c r="AN161" s="78" t="s">
        <v>49</v>
      </c>
      <c r="AO161" s="78" t="s">
        <v>49</v>
      </c>
      <c r="AP161" s="167">
        <v>8800</v>
      </c>
      <c r="AQ161" s="148">
        <v>8532</v>
      </c>
      <c r="AR161" s="148">
        <v>9546</v>
      </c>
      <c r="AS161" s="148">
        <v>9111</v>
      </c>
      <c r="AT161" s="148">
        <v>9128</v>
      </c>
      <c r="AU161" s="167">
        <v>9128</v>
      </c>
      <c r="AV161" s="148">
        <v>9109</v>
      </c>
      <c r="AW161" s="148">
        <v>10561</v>
      </c>
      <c r="AX161" s="148">
        <v>10978</v>
      </c>
      <c r="AY161" s="148">
        <v>10229</v>
      </c>
      <c r="AZ161" s="167">
        <v>10229</v>
      </c>
      <c r="BA161" s="148">
        <v>10547</v>
      </c>
      <c r="BB161" s="148">
        <v>10204</v>
      </c>
      <c r="BC161" s="148">
        <v>10149</v>
      </c>
      <c r="BD161" s="148">
        <v>9637</v>
      </c>
      <c r="BE161" s="167">
        <v>9637</v>
      </c>
      <c r="BF161" s="148">
        <v>9618</v>
      </c>
      <c r="BG161" s="148">
        <v>9709</v>
      </c>
      <c r="BH161" s="148">
        <v>9393</v>
      </c>
    </row>
    <row r="162" spans="1:16384" ht="15" customHeight="1">
      <c r="A162" s="67" t="s">
        <v>248</v>
      </c>
      <c r="B162" s="119"/>
      <c r="C162" s="78"/>
      <c r="D162" s="78"/>
      <c r="E162" s="78"/>
      <c r="F162" s="78"/>
      <c r="G162" s="119"/>
      <c r="H162" s="78"/>
      <c r="I162" s="78"/>
      <c r="J162" s="78"/>
      <c r="K162" s="78"/>
      <c r="L162" s="119"/>
      <c r="M162" s="78"/>
      <c r="N162" s="78"/>
      <c r="O162" s="78"/>
      <c r="P162" s="78"/>
      <c r="Q162" s="119"/>
      <c r="R162" s="78"/>
      <c r="S162" s="78"/>
      <c r="T162" s="78"/>
      <c r="U162" s="78"/>
      <c r="V162" s="119"/>
      <c r="W162" s="78"/>
      <c r="X162" s="78"/>
      <c r="Y162" s="78"/>
      <c r="Z162" s="78"/>
      <c r="AA162" s="119"/>
      <c r="AB162" s="78"/>
      <c r="AC162" s="78"/>
      <c r="AD162" s="78"/>
      <c r="AE162" s="78"/>
      <c r="AF162" s="119"/>
      <c r="AG162" s="78"/>
      <c r="AH162" s="78"/>
      <c r="AI162" s="78"/>
      <c r="AJ162" s="78"/>
      <c r="AK162" s="119"/>
      <c r="AL162" s="78"/>
      <c r="AM162" s="78"/>
      <c r="AN162" s="78"/>
      <c r="AO162" s="78"/>
      <c r="AP162" s="167"/>
      <c r="AQ162" s="148"/>
      <c r="AR162" s="148"/>
      <c r="AS162" s="148"/>
      <c r="AT162" s="148"/>
      <c r="AU162" s="167"/>
      <c r="AV162" s="148"/>
      <c r="AW162" s="148"/>
      <c r="AX162" s="148"/>
      <c r="AY162" s="148"/>
      <c r="AZ162" s="167"/>
      <c r="BA162" s="148">
        <v>1006</v>
      </c>
      <c r="BB162" s="148">
        <v>1034</v>
      </c>
      <c r="BC162" s="148">
        <v>1024</v>
      </c>
      <c r="BD162" s="148">
        <v>1106</v>
      </c>
      <c r="BE162" s="167">
        <v>1106</v>
      </c>
      <c r="BF162" s="148">
        <v>1061</v>
      </c>
      <c r="BG162" s="148">
        <v>1022</v>
      </c>
      <c r="BH162" s="148">
        <v>989</v>
      </c>
    </row>
    <row r="163" spans="1:16384" ht="15" customHeight="1">
      <c r="A163" s="67" t="s">
        <v>226</v>
      </c>
      <c r="B163" s="119" t="s">
        <v>41</v>
      </c>
      <c r="C163" s="78" t="s">
        <v>49</v>
      </c>
      <c r="D163" s="78" t="s">
        <v>49</v>
      </c>
      <c r="E163" s="78" t="s">
        <v>49</v>
      </c>
      <c r="F163" s="78" t="s">
        <v>49</v>
      </c>
      <c r="G163" s="119" t="s">
        <v>41</v>
      </c>
      <c r="H163" s="78" t="s">
        <v>49</v>
      </c>
      <c r="I163" s="78" t="s">
        <v>49</v>
      </c>
      <c r="J163" s="78" t="s">
        <v>49</v>
      </c>
      <c r="K163" s="78" t="s">
        <v>49</v>
      </c>
      <c r="L163" s="119" t="s">
        <v>41</v>
      </c>
      <c r="M163" s="78" t="s">
        <v>49</v>
      </c>
      <c r="N163" s="78" t="s">
        <v>49</v>
      </c>
      <c r="O163" s="78" t="s">
        <v>49</v>
      </c>
      <c r="P163" s="78" t="s">
        <v>49</v>
      </c>
      <c r="Q163" s="119" t="s">
        <v>41</v>
      </c>
      <c r="R163" s="78" t="s">
        <v>49</v>
      </c>
      <c r="S163" s="78" t="s">
        <v>49</v>
      </c>
      <c r="T163" s="78" t="s">
        <v>49</v>
      </c>
      <c r="U163" s="78" t="s">
        <v>49</v>
      </c>
      <c r="V163" s="119" t="s">
        <v>41</v>
      </c>
      <c r="W163" s="78" t="s">
        <v>49</v>
      </c>
      <c r="X163" s="78" t="s">
        <v>49</v>
      </c>
      <c r="Y163" s="78" t="s">
        <v>49</v>
      </c>
      <c r="Z163" s="78" t="s">
        <v>49</v>
      </c>
      <c r="AA163" s="119" t="s">
        <v>41</v>
      </c>
      <c r="AB163" s="78" t="s">
        <v>49</v>
      </c>
      <c r="AC163" s="78" t="s">
        <v>49</v>
      </c>
      <c r="AD163" s="78" t="s">
        <v>49</v>
      </c>
      <c r="AE163" s="78" t="s">
        <v>49</v>
      </c>
      <c r="AF163" s="119" t="s">
        <v>41</v>
      </c>
      <c r="AG163" s="78" t="s">
        <v>49</v>
      </c>
      <c r="AH163" s="78" t="s">
        <v>49</v>
      </c>
      <c r="AI163" s="78" t="s">
        <v>49</v>
      </c>
      <c r="AJ163" s="78" t="s">
        <v>49</v>
      </c>
      <c r="AK163" s="119" t="s">
        <v>41</v>
      </c>
      <c r="AL163" s="78" t="s">
        <v>49</v>
      </c>
      <c r="AM163" s="78" t="s">
        <v>49</v>
      </c>
      <c r="AN163" s="78" t="s">
        <v>49</v>
      </c>
      <c r="AO163" s="78" t="s">
        <v>49</v>
      </c>
      <c r="AP163" s="167">
        <v>240</v>
      </c>
      <c r="AQ163" s="148">
        <v>238</v>
      </c>
      <c r="AR163" s="148">
        <v>239</v>
      </c>
      <c r="AS163" s="148">
        <v>237</v>
      </c>
      <c r="AT163" s="148">
        <v>258</v>
      </c>
      <c r="AU163" s="167">
        <v>258</v>
      </c>
      <c r="AV163" s="148">
        <v>260</v>
      </c>
      <c r="AW163" s="148">
        <v>259</v>
      </c>
      <c r="AX163" s="148">
        <v>260</v>
      </c>
      <c r="AY163" s="148">
        <v>272</v>
      </c>
      <c r="AZ163" s="167">
        <v>272</v>
      </c>
      <c r="BA163" s="148">
        <v>272</v>
      </c>
      <c r="BB163" s="148">
        <v>267</v>
      </c>
      <c r="BC163" s="148">
        <v>266</v>
      </c>
      <c r="BD163" s="148">
        <v>445</v>
      </c>
      <c r="BE163" s="167">
        <v>445</v>
      </c>
      <c r="BF163" s="148">
        <v>482</v>
      </c>
      <c r="BG163" s="148">
        <v>487</v>
      </c>
      <c r="BH163" s="148">
        <v>539</v>
      </c>
    </row>
    <row r="164" spans="1:16384" ht="15" customHeight="1">
      <c r="A164" s="67" t="s">
        <v>233</v>
      </c>
      <c r="B164" s="119" t="s">
        <v>41</v>
      </c>
      <c r="C164" s="78" t="s">
        <v>49</v>
      </c>
      <c r="D164" s="78" t="s">
        <v>49</v>
      </c>
      <c r="E164" s="78" t="s">
        <v>49</v>
      </c>
      <c r="F164" s="78" t="s">
        <v>49</v>
      </c>
      <c r="G164" s="119" t="s">
        <v>41</v>
      </c>
      <c r="H164" s="78" t="s">
        <v>49</v>
      </c>
      <c r="I164" s="78" t="s">
        <v>49</v>
      </c>
      <c r="J164" s="78" t="s">
        <v>49</v>
      </c>
      <c r="K164" s="78" t="s">
        <v>49</v>
      </c>
      <c r="L164" s="119" t="s">
        <v>41</v>
      </c>
      <c r="M164" s="78" t="s">
        <v>49</v>
      </c>
      <c r="N164" s="78" t="s">
        <v>49</v>
      </c>
      <c r="O164" s="78" t="s">
        <v>49</v>
      </c>
      <c r="P164" s="78" t="s">
        <v>49</v>
      </c>
      <c r="Q164" s="119" t="s">
        <v>41</v>
      </c>
      <c r="R164" s="78" t="s">
        <v>49</v>
      </c>
      <c r="S164" s="78" t="s">
        <v>49</v>
      </c>
      <c r="T164" s="78" t="s">
        <v>49</v>
      </c>
      <c r="U164" s="78" t="s">
        <v>49</v>
      </c>
      <c r="V164" s="119" t="s">
        <v>41</v>
      </c>
      <c r="W164" s="78" t="s">
        <v>49</v>
      </c>
      <c r="X164" s="78" t="s">
        <v>49</v>
      </c>
      <c r="Y164" s="78" t="s">
        <v>49</v>
      </c>
      <c r="Z164" s="78" t="s">
        <v>49</v>
      </c>
      <c r="AA164" s="119" t="s">
        <v>41</v>
      </c>
      <c r="AB164" s="78" t="s">
        <v>49</v>
      </c>
      <c r="AC164" s="78" t="s">
        <v>49</v>
      </c>
      <c r="AD164" s="78" t="s">
        <v>49</v>
      </c>
      <c r="AE164" s="78" t="s">
        <v>49</v>
      </c>
      <c r="AF164" s="119" t="s">
        <v>41</v>
      </c>
      <c r="AG164" s="78" t="s">
        <v>49</v>
      </c>
      <c r="AH164" s="78" t="s">
        <v>49</v>
      </c>
      <c r="AI164" s="78" t="s">
        <v>49</v>
      </c>
      <c r="AJ164" s="78" t="s">
        <v>49</v>
      </c>
      <c r="AK164" s="119" t="s">
        <v>41</v>
      </c>
      <c r="AL164" s="78" t="s">
        <v>49</v>
      </c>
      <c r="AM164" s="78" t="s">
        <v>49</v>
      </c>
      <c r="AN164" s="78" t="s">
        <v>49</v>
      </c>
      <c r="AO164" s="78" t="s">
        <v>49</v>
      </c>
      <c r="AP164" s="167">
        <v>226</v>
      </c>
      <c r="AQ164" s="148">
        <v>262</v>
      </c>
      <c r="AR164" s="148">
        <v>252</v>
      </c>
      <c r="AS164" s="148">
        <v>257</v>
      </c>
      <c r="AT164" s="148">
        <v>244</v>
      </c>
      <c r="AU164" s="167">
        <v>244</v>
      </c>
      <c r="AV164" s="148">
        <v>250</v>
      </c>
      <c r="AW164" s="148">
        <v>251</v>
      </c>
      <c r="AX164" s="148">
        <v>292</v>
      </c>
      <c r="AY164" s="148">
        <v>234</v>
      </c>
      <c r="AZ164" s="167">
        <v>234</v>
      </c>
      <c r="BA164" s="148">
        <v>258</v>
      </c>
      <c r="BB164" s="148">
        <v>210</v>
      </c>
      <c r="BC164" s="148">
        <v>212</v>
      </c>
      <c r="BD164" s="148">
        <v>174</v>
      </c>
      <c r="BE164" s="167">
        <v>174</v>
      </c>
      <c r="BF164" s="148">
        <v>168</v>
      </c>
      <c r="BG164" s="148">
        <v>163</v>
      </c>
      <c r="BH164" s="148">
        <v>178</v>
      </c>
    </row>
    <row r="165" spans="1:16384" ht="15" customHeight="1">
      <c r="A165" s="67" t="s">
        <v>234</v>
      </c>
      <c r="B165" s="119" t="s">
        <v>41</v>
      </c>
      <c r="C165" s="78" t="s">
        <v>49</v>
      </c>
      <c r="D165" s="78" t="s">
        <v>49</v>
      </c>
      <c r="E165" s="78" t="s">
        <v>49</v>
      </c>
      <c r="F165" s="78" t="s">
        <v>49</v>
      </c>
      <c r="G165" s="119" t="s">
        <v>41</v>
      </c>
      <c r="H165" s="78" t="s">
        <v>49</v>
      </c>
      <c r="I165" s="78" t="s">
        <v>49</v>
      </c>
      <c r="J165" s="78" t="s">
        <v>49</v>
      </c>
      <c r="K165" s="78" t="s">
        <v>49</v>
      </c>
      <c r="L165" s="119" t="s">
        <v>41</v>
      </c>
      <c r="M165" s="78" t="s">
        <v>49</v>
      </c>
      <c r="N165" s="78" t="s">
        <v>49</v>
      </c>
      <c r="O165" s="78" t="s">
        <v>49</v>
      </c>
      <c r="P165" s="78" t="s">
        <v>49</v>
      </c>
      <c r="Q165" s="119" t="s">
        <v>41</v>
      </c>
      <c r="R165" s="78" t="s">
        <v>49</v>
      </c>
      <c r="S165" s="78" t="s">
        <v>49</v>
      </c>
      <c r="T165" s="78" t="s">
        <v>49</v>
      </c>
      <c r="U165" s="78" t="s">
        <v>49</v>
      </c>
      <c r="V165" s="119" t="s">
        <v>41</v>
      </c>
      <c r="W165" s="78" t="s">
        <v>49</v>
      </c>
      <c r="X165" s="78" t="s">
        <v>49</v>
      </c>
      <c r="Y165" s="78" t="s">
        <v>49</v>
      </c>
      <c r="Z165" s="78" t="s">
        <v>49</v>
      </c>
      <c r="AA165" s="119" t="s">
        <v>41</v>
      </c>
      <c r="AB165" s="78" t="s">
        <v>49</v>
      </c>
      <c r="AC165" s="78" t="s">
        <v>49</v>
      </c>
      <c r="AD165" s="78" t="s">
        <v>49</v>
      </c>
      <c r="AE165" s="78" t="s">
        <v>49</v>
      </c>
      <c r="AF165" s="119" t="s">
        <v>41</v>
      </c>
      <c r="AG165" s="78" t="s">
        <v>49</v>
      </c>
      <c r="AH165" s="78" t="s">
        <v>49</v>
      </c>
      <c r="AI165" s="78" t="s">
        <v>49</v>
      </c>
      <c r="AJ165" s="78" t="s">
        <v>49</v>
      </c>
      <c r="AK165" s="119" t="s">
        <v>41</v>
      </c>
      <c r="AL165" s="78" t="s">
        <v>49</v>
      </c>
      <c r="AM165" s="78" t="s">
        <v>49</v>
      </c>
      <c r="AN165" s="78" t="s">
        <v>49</v>
      </c>
      <c r="AO165" s="78" t="s">
        <v>49</v>
      </c>
      <c r="AP165" s="167">
        <v>51</v>
      </c>
      <c r="AQ165" s="148">
        <v>50</v>
      </c>
      <c r="AR165" s="148">
        <v>75</v>
      </c>
      <c r="AS165" s="148">
        <v>81</v>
      </c>
      <c r="AT165" s="148">
        <v>101</v>
      </c>
      <c r="AU165" s="167">
        <v>101</v>
      </c>
      <c r="AV165" s="148">
        <v>103</v>
      </c>
      <c r="AW165" s="148">
        <v>99</v>
      </c>
      <c r="AX165" s="148">
        <v>104</v>
      </c>
      <c r="AY165" s="148">
        <v>73</v>
      </c>
      <c r="AZ165" s="167">
        <v>73</v>
      </c>
      <c r="BA165" s="148">
        <v>86</v>
      </c>
      <c r="BB165" s="148">
        <v>74</v>
      </c>
      <c r="BC165" s="148">
        <v>91</v>
      </c>
      <c r="BD165" s="148">
        <v>56</v>
      </c>
      <c r="BE165" s="167">
        <v>56</v>
      </c>
      <c r="BF165" s="148">
        <v>54</v>
      </c>
      <c r="BG165" s="148">
        <v>53</v>
      </c>
      <c r="BH165" s="148">
        <v>50</v>
      </c>
    </row>
    <row r="166" spans="1:16384" ht="15" customHeight="1">
      <c r="A166" s="67" t="s">
        <v>227</v>
      </c>
      <c r="B166" s="119" t="s">
        <v>41</v>
      </c>
      <c r="C166" s="78" t="s">
        <v>49</v>
      </c>
      <c r="D166" s="78" t="s">
        <v>49</v>
      </c>
      <c r="E166" s="78" t="s">
        <v>49</v>
      </c>
      <c r="F166" s="78" t="s">
        <v>49</v>
      </c>
      <c r="G166" s="119" t="s">
        <v>41</v>
      </c>
      <c r="H166" s="78" t="s">
        <v>49</v>
      </c>
      <c r="I166" s="78" t="s">
        <v>49</v>
      </c>
      <c r="J166" s="78" t="s">
        <v>49</v>
      </c>
      <c r="K166" s="78" t="s">
        <v>49</v>
      </c>
      <c r="L166" s="119" t="s">
        <v>41</v>
      </c>
      <c r="M166" s="78" t="s">
        <v>49</v>
      </c>
      <c r="N166" s="78" t="s">
        <v>49</v>
      </c>
      <c r="O166" s="78" t="s">
        <v>49</v>
      </c>
      <c r="P166" s="78" t="s">
        <v>49</v>
      </c>
      <c r="Q166" s="119" t="s">
        <v>41</v>
      </c>
      <c r="R166" s="78" t="s">
        <v>49</v>
      </c>
      <c r="S166" s="78" t="s">
        <v>49</v>
      </c>
      <c r="T166" s="78" t="s">
        <v>49</v>
      </c>
      <c r="U166" s="78" t="s">
        <v>49</v>
      </c>
      <c r="V166" s="119" t="s">
        <v>41</v>
      </c>
      <c r="W166" s="78" t="s">
        <v>49</v>
      </c>
      <c r="X166" s="78" t="s">
        <v>49</v>
      </c>
      <c r="Y166" s="78" t="s">
        <v>49</v>
      </c>
      <c r="Z166" s="78" t="s">
        <v>49</v>
      </c>
      <c r="AA166" s="119" t="s">
        <v>41</v>
      </c>
      <c r="AB166" s="78" t="s">
        <v>49</v>
      </c>
      <c r="AC166" s="78" t="s">
        <v>49</v>
      </c>
      <c r="AD166" s="78" t="s">
        <v>49</v>
      </c>
      <c r="AE166" s="78" t="s">
        <v>49</v>
      </c>
      <c r="AF166" s="119" t="s">
        <v>41</v>
      </c>
      <c r="AG166" s="78" t="s">
        <v>49</v>
      </c>
      <c r="AH166" s="78" t="s">
        <v>49</v>
      </c>
      <c r="AI166" s="78" t="s">
        <v>49</v>
      </c>
      <c r="AJ166" s="78" t="s">
        <v>49</v>
      </c>
      <c r="AK166" s="119" t="s">
        <v>41</v>
      </c>
      <c r="AL166" s="78" t="s">
        <v>49</v>
      </c>
      <c r="AM166" s="78" t="s">
        <v>49</v>
      </c>
      <c r="AN166" s="78" t="s">
        <v>49</v>
      </c>
      <c r="AO166" s="78" t="s">
        <v>49</v>
      </c>
      <c r="AP166" s="167">
        <v>46</v>
      </c>
      <c r="AQ166" s="148">
        <v>46</v>
      </c>
      <c r="AR166" s="148">
        <v>46</v>
      </c>
      <c r="AS166" s="148">
        <v>47</v>
      </c>
      <c r="AT166" s="148">
        <v>47</v>
      </c>
      <c r="AU166" s="167">
        <v>47</v>
      </c>
      <c r="AV166" s="148">
        <v>47</v>
      </c>
      <c r="AW166" s="148">
        <v>48</v>
      </c>
      <c r="AX166" s="148">
        <v>48</v>
      </c>
      <c r="AY166" s="148">
        <v>40</v>
      </c>
      <c r="AZ166" s="167">
        <v>40</v>
      </c>
      <c r="BA166" s="148">
        <v>39</v>
      </c>
      <c r="BB166" s="148">
        <v>40</v>
      </c>
      <c r="BC166" s="148">
        <v>40</v>
      </c>
      <c r="BD166" s="148">
        <v>38</v>
      </c>
      <c r="BE166" s="167">
        <v>38</v>
      </c>
      <c r="BF166" s="148">
        <v>39</v>
      </c>
      <c r="BG166" s="148">
        <v>39</v>
      </c>
      <c r="BH166" s="148">
        <v>39</v>
      </c>
    </row>
    <row r="167" spans="1:16384" ht="15" customHeight="1">
      <c r="A167" s="39" t="s">
        <v>230</v>
      </c>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210"/>
      <c r="AM167" s="210"/>
      <c r="AN167" s="210"/>
      <c r="AO167" s="210"/>
      <c r="AP167" s="210">
        <v>9363</v>
      </c>
      <c r="AQ167" s="210">
        <v>9128</v>
      </c>
      <c r="AR167" s="210">
        <v>10158</v>
      </c>
      <c r="AS167" s="210">
        <v>9733</v>
      </c>
      <c r="AT167" s="210">
        <v>9778</v>
      </c>
      <c r="AU167" s="210">
        <v>9778</v>
      </c>
      <c r="AV167" s="210">
        <v>9769</v>
      </c>
      <c r="AW167" s="210">
        <v>11218</v>
      </c>
      <c r="AX167" s="210">
        <v>11682</v>
      </c>
      <c r="AY167" s="210">
        <v>10848</v>
      </c>
      <c r="AZ167" s="210">
        <v>10848</v>
      </c>
      <c r="BA167" s="210">
        <v>12208</v>
      </c>
      <c r="BB167" s="210">
        <v>11829</v>
      </c>
      <c r="BC167" s="210">
        <v>11782</v>
      </c>
      <c r="BD167" s="210">
        <v>11456</v>
      </c>
      <c r="BE167" s="210">
        <v>11456</v>
      </c>
      <c r="BF167" s="210">
        <v>11422</v>
      </c>
      <c r="BG167" s="210">
        <v>11473</v>
      </c>
      <c r="BH167" s="210">
        <v>11188</v>
      </c>
    </row>
    <row r="168" spans="1:16384" ht="15" customHeight="1">
      <c r="A168" s="39" t="s">
        <v>231</v>
      </c>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210"/>
      <c r="AM168" s="210"/>
      <c r="AN168" s="210"/>
      <c r="AO168" s="210"/>
      <c r="AP168" s="215">
        <v>2411</v>
      </c>
      <c r="AQ168" s="210">
        <v>2693</v>
      </c>
      <c r="AR168" s="210">
        <v>2299</v>
      </c>
      <c r="AS168" s="210">
        <v>2027</v>
      </c>
      <c r="AT168" s="210">
        <v>2203</v>
      </c>
      <c r="AU168" s="210">
        <v>2203</v>
      </c>
      <c r="AV168" s="210">
        <v>2559</v>
      </c>
      <c r="AW168" s="210">
        <v>2325</v>
      </c>
      <c r="AX168" s="210">
        <v>1927</v>
      </c>
      <c r="AY168" s="210">
        <v>2144</v>
      </c>
      <c r="AZ168" s="210">
        <v>2144</v>
      </c>
      <c r="BA168" s="210">
        <v>2425</v>
      </c>
      <c r="BB168" s="210">
        <v>2257</v>
      </c>
      <c r="BC168" s="210">
        <v>2170</v>
      </c>
      <c r="BD168" s="210">
        <v>434</v>
      </c>
      <c r="BE168" s="210">
        <v>434</v>
      </c>
      <c r="BF168" s="210">
        <v>747</v>
      </c>
      <c r="BG168" s="210">
        <v>-836</v>
      </c>
      <c r="BH168" s="210">
        <v>-683</v>
      </c>
    </row>
    <row r="169" spans="1:16384" ht="15.75" customHeight="1">
      <c r="C169"/>
      <c r="D169"/>
      <c r="E169"/>
      <c r="F169"/>
      <c r="G169"/>
      <c r="H169"/>
      <c r="I169"/>
      <c r="J169"/>
      <c r="K169"/>
      <c r="L169"/>
      <c r="M169"/>
      <c r="N169"/>
      <c r="O169"/>
      <c r="P169"/>
      <c r="Q169" s="212"/>
      <c r="R169"/>
      <c r="S169"/>
      <c r="T169"/>
      <c r="U169"/>
      <c r="V169" s="212"/>
      <c r="W169"/>
      <c r="X169"/>
      <c r="Y169"/>
      <c r="Z169"/>
      <c r="AA169" s="212"/>
      <c r="AB169"/>
      <c r="AC169"/>
      <c r="AD169"/>
      <c r="AE169"/>
      <c r="AF169" s="212"/>
      <c r="AG169"/>
      <c r="AH169"/>
      <c r="AI169"/>
      <c r="AJ169"/>
      <c r="AK169" s="212"/>
      <c r="AL169"/>
      <c r="AM169"/>
      <c r="AN169"/>
      <c r="AO169"/>
      <c r="AP169" s="212"/>
      <c r="AQ169"/>
      <c r="AR169"/>
      <c r="AS169"/>
      <c r="AT169"/>
      <c r="AU169" s="212"/>
      <c r="AV169"/>
      <c r="AW169"/>
      <c r="AX169"/>
      <c r="AY169"/>
      <c r="AZ169" s="212"/>
      <c r="BA169"/>
      <c r="BB169"/>
      <c r="BC169"/>
      <c r="BD169"/>
      <c r="BE169" s="212"/>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c r="AMK169"/>
      <c r="AML169"/>
      <c r="AMM169"/>
      <c r="AMN169"/>
      <c r="AMO169"/>
      <c r="AMP169"/>
      <c r="AMQ169"/>
      <c r="AMR169"/>
      <c r="AMS169"/>
      <c r="AMT169"/>
      <c r="AMU169"/>
      <c r="AMV169"/>
      <c r="AMW169"/>
      <c r="AMX169"/>
      <c r="AMY169"/>
      <c r="AMZ169"/>
      <c r="ANA169"/>
      <c r="ANB169"/>
      <c r="ANC169"/>
      <c r="AND169"/>
      <c r="ANE169"/>
      <c r="ANF169"/>
      <c r="ANG169"/>
      <c r="ANH169"/>
      <c r="ANI169"/>
      <c r="ANJ169"/>
      <c r="ANK169"/>
      <c r="ANL169"/>
      <c r="ANM169"/>
      <c r="ANN169"/>
      <c r="ANO169"/>
      <c r="ANP169"/>
      <c r="ANQ169"/>
      <c r="ANR169"/>
      <c r="ANS169"/>
      <c r="ANT169"/>
      <c r="ANU169"/>
      <c r="ANV169"/>
      <c r="ANW169"/>
      <c r="ANX169"/>
      <c r="ANY169"/>
      <c r="ANZ169"/>
      <c r="AOA169"/>
      <c r="AOB169"/>
      <c r="AOC169"/>
      <c r="AOD169"/>
      <c r="AOE169"/>
      <c r="AOF169"/>
      <c r="AOG169"/>
      <c r="AOH169"/>
      <c r="AOI169"/>
      <c r="AOJ169"/>
      <c r="AOK169"/>
      <c r="AOL169"/>
      <c r="AOM169"/>
      <c r="AON169"/>
      <c r="AOO169"/>
      <c r="AOP169"/>
      <c r="AOQ169"/>
      <c r="AOR169"/>
      <c r="AOS169"/>
      <c r="AOT169"/>
      <c r="AOU169"/>
      <c r="AOV169"/>
      <c r="AOW169"/>
      <c r="AOX169"/>
      <c r="AOY169"/>
      <c r="AOZ169"/>
      <c r="APA169"/>
      <c r="APB169"/>
      <c r="APC169"/>
      <c r="APD169"/>
      <c r="APE169"/>
      <c r="APF169"/>
      <c r="APG169"/>
      <c r="APH169"/>
      <c r="API169"/>
      <c r="APJ169"/>
      <c r="APK169"/>
      <c r="APL169"/>
      <c r="APM169"/>
      <c r="APN169"/>
      <c r="APO169"/>
      <c r="APP169"/>
      <c r="APQ169"/>
      <c r="APR169"/>
      <c r="APS169"/>
      <c r="APT169"/>
      <c r="APU169"/>
      <c r="APV169"/>
      <c r="APW169"/>
      <c r="APX169"/>
      <c r="APY169"/>
      <c r="APZ169"/>
      <c r="AQA169"/>
      <c r="AQB169"/>
      <c r="AQC169"/>
      <c r="AQD169"/>
      <c r="AQE169"/>
      <c r="AQF169"/>
      <c r="AQG169"/>
      <c r="AQH169"/>
      <c r="AQI169"/>
      <c r="AQJ169"/>
      <c r="AQK169"/>
      <c r="AQL169"/>
      <c r="AQM169"/>
      <c r="AQN169"/>
      <c r="AQO169"/>
      <c r="AQP169"/>
      <c r="AQQ169"/>
      <c r="AQR169"/>
      <c r="AQS169"/>
      <c r="AQT169"/>
      <c r="AQU169"/>
      <c r="AQV169"/>
      <c r="AQW169"/>
      <c r="AQX169"/>
      <c r="AQY169"/>
      <c r="AQZ169"/>
      <c r="ARA169"/>
      <c r="ARB169"/>
      <c r="ARC169"/>
      <c r="ARD169"/>
      <c r="ARE169"/>
      <c r="ARF169"/>
      <c r="ARG169"/>
      <c r="ARH169"/>
      <c r="ARI169"/>
      <c r="ARJ169"/>
      <c r="ARK169"/>
      <c r="ARL169"/>
      <c r="ARM169"/>
      <c r="ARN169"/>
      <c r="ARO169"/>
      <c r="ARP169"/>
      <c r="ARQ169"/>
      <c r="ARR169"/>
      <c r="ARS169"/>
      <c r="ART169"/>
      <c r="ARU169"/>
      <c r="ARV169"/>
      <c r="ARW169"/>
      <c r="ARX169"/>
      <c r="ARY169"/>
      <c r="ARZ169"/>
      <c r="ASA169"/>
      <c r="ASB169"/>
      <c r="ASC169"/>
      <c r="ASD169"/>
      <c r="ASE169"/>
      <c r="ASF169"/>
      <c r="ASG169"/>
      <c r="ASH169"/>
      <c r="ASI169"/>
      <c r="ASJ169"/>
      <c r="ASK169"/>
      <c r="ASL169"/>
      <c r="ASM169"/>
      <c r="ASN169"/>
      <c r="ASO169"/>
      <c r="ASP169"/>
      <c r="ASQ169"/>
      <c r="ASR169"/>
      <c r="ASS169"/>
      <c r="AST169"/>
      <c r="ASU169"/>
      <c r="ASV169"/>
      <c r="ASW169"/>
      <c r="ASX169"/>
      <c r="ASY169"/>
      <c r="ASZ169"/>
      <c r="ATA169"/>
      <c r="ATB169"/>
      <c r="ATC169"/>
      <c r="ATD169"/>
      <c r="ATE169"/>
      <c r="ATF169"/>
      <c r="ATG169"/>
      <c r="ATH169"/>
      <c r="ATI169"/>
      <c r="ATJ169"/>
      <c r="ATK169"/>
      <c r="ATL169"/>
      <c r="ATM169"/>
      <c r="ATN169"/>
      <c r="ATO169"/>
      <c r="ATP169"/>
      <c r="ATQ169"/>
      <c r="ATR169"/>
      <c r="ATS169"/>
      <c r="ATT169"/>
      <c r="ATU169"/>
      <c r="ATV169"/>
      <c r="ATW169"/>
      <c r="ATX169"/>
      <c r="ATY169"/>
      <c r="ATZ169"/>
      <c r="AUA169"/>
      <c r="AUB169"/>
      <c r="AUC169"/>
      <c r="AUD169"/>
      <c r="AUE169"/>
      <c r="AUF169"/>
      <c r="AUG169"/>
      <c r="AUH169"/>
      <c r="AUI169"/>
      <c r="AUJ169"/>
      <c r="AUK169"/>
      <c r="AUL169"/>
      <c r="AUM169"/>
      <c r="AUN169"/>
      <c r="AUO169"/>
      <c r="AUP169"/>
      <c r="AUQ169"/>
      <c r="AUR169"/>
      <c r="AUS169"/>
      <c r="AUT169"/>
      <c r="AUU169"/>
      <c r="AUV169"/>
      <c r="AUW169"/>
      <c r="AUX169"/>
      <c r="AUY169"/>
      <c r="AUZ169"/>
      <c r="AVA169"/>
      <c r="AVB169"/>
      <c r="AVC169"/>
      <c r="AVD169"/>
      <c r="AVE169"/>
      <c r="AVF169"/>
      <c r="AVG169"/>
      <c r="AVH169"/>
      <c r="AVI169"/>
      <c r="AVJ169"/>
      <c r="AVK169"/>
      <c r="AVL169"/>
      <c r="AVM169"/>
      <c r="AVN169"/>
      <c r="AVO169"/>
      <c r="AVP169"/>
      <c r="AVQ169"/>
      <c r="AVR169"/>
      <c r="AVS169"/>
      <c r="AVT169"/>
      <c r="AVU169"/>
      <c r="AVV169"/>
      <c r="AVW169"/>
      <c r="AVX169"/>
      <c r="AVY169"/>
      <c r="AVZ169"/>
      <c r="AWA169"/>
      <c r="AWB169"/>
      <c r="AWC169"/>
      <c r="AWD169"/>
      <c r="AWE169"/>
      <c r="AWF169"/>
      <c r="AWG169"/>
      <c r="AWH169"/>
      <c r="AWI169"/>
      <c r="AWJ169"/>
      <c r="AWK169"/>
      <c r="AWL169"/>
      <c r="AWM169"/>
      <c r="AWN169"/>
      <c r="AWO169"/>
      <c r="AWP169"/>
      <c r="AWQ169"/>
      <c r="AWR169"/>
      <c r="AWS169"/>
      <c r="AWT169"/>
      <c r="AWU169"/>
      <c r="AWV169"/>
      <c r="AWW169"/>
      <c r="AWX169"/>
      <c r="AWY169"/>
      <c r="AWZ169"/>
      <c r="AXA169"/>
      <c r="AXB169"/>
      <c r="AXC169"/>
      <c r="AXD169"/>
      <c r="AXE169"/>
      <c r="AXF169"/>
      <c r="AXG169"/>
      <c r="AXH169"/>
      <c r="AXI169"/>
      <c r="AXJ169"/>
      <c r="AXK169"/>
      <c r="AXL169"/>
      <c r="AXM169"/>
      <c r="AXN169"/>
      <c r="AXO169"/>
      <c r="AXP169"/>
      <c r="AXQ169"/>
      <c r="AXR169"/>
      <c r="AXS169"/>
      <c r="AXT169"/>
      <c r="AXU169"/>
      <c r="AXV169"/>
      <c r="AXW169"/>
      <c r="AXX169"/>
      <c r="AXY169"/>
      <c r="AXZ169"/>
      <c r="AYA169"/>
      <c r="AYB169"/>
      <c r="AYC169"/>
      <c r="AYD169"/>
      <c r="AYE169"/>
      <c r="AYF169"/>
      <c r="AYG169"/>
      <c r="AYH169"/>
      <c r="AYI169"/>
      <c r="AYJ169"/>
      <c r="AYK169"/>
      <c r="AYL169"/>
      <c r="AYM169"/>
      <c r="AYN169"/>
      <c r="AYO169"/>
      <c r="AYP169"/>
      <c r="AYQ169"/>
      <c r="AYR169"/>
      <c r="AYS169"/>
      <c r="AYT169"/>
      <c r="AYU169"/>
      <c r="AYV169"/>
      <c r="AYW169"/>
      <c r="AYX169"/>
      <c r="AYY169"/>
      <c r="AYZ169"/>
      <c r="AZA169"/>
      <c r="AZB169"/>
      <c r="AZC169"/>
      <c r="AZD169"/>
      <c r="AZE169"/>
      <c r="AZF169"/>
      <c r="AZG169"/>
      <c r="AZH169"/>
      <c r="AZI169"/>
      <c r="AZJ169"/>
      <c r="AZK169"/>
      <c r="AZL169"/>
      <c r="AZM169"/>
      <c r="AZN169"/>
      <c r="AZO169"/>
      <c r="AZP169"/>
      <c r="AZQ169"/>
      <c r="AZR169"/>
      <c r="AZS169"/>
      <c r="AZT169"/>
      <c r="AZU169"/>
      <c r="AZV169"/>
      <c r="AZW169"/>
      <c r="AZX169"/>
      <c r="AZY169"/>
      <c r="AZZ169"/>
      <c r="BAA169"/>
      <c r="BAB169"/>
      <c r="BAC169"/>
      <c r="BAD169"/>
      <c r="BAE169"/>
      <c r="BAF169"/>
      <c r="BAG169"/>
      <c r="BAH169"/>
      <c r="BAI169"/>
      <c r="BAJ169"/>
      <c r="BAK169"/>
      <c r="BAL169"/>
      <c r="BAM169"/>
      <c r="BAN169"/>
      <c r="BAO169"/>
      <c r="BAP169"/>
      <c r="BAQ169"/>
      <c r="BAR169"/>
      <c r="BAS169"/>
      <c r="BAT169"/>
      <c r="BAU169"/>
      <c r="BAV169"/>
      <c r="BAW169"/>
      <c r="BAX169"/>
      <c r="BAY169"/>
      <c r="BAZ169"/>
      <c r="BBA169"/>
      <c r="BBB169"/>
      <c r="BBC169"/>
      <c r="BBD169"/>
      <c r="BBE169"/>
      <c r="BBF169"/>
      <c r="BBG169"/>
      <c r="BBH169"/>
      <c r="BBI169"/>
      <c r="BBJ169"/>
      <c r="BBK169"/>
      <c r="BBL169"/>
      <c r="BBM169"/>
      <c r="BBN169"/>
      <c r="BBO169"/>
      <c r="BBP169"/>
      <c r="BBQ169"/>
      <c r="BBR169"/>
      <c r="BBS169"/>
      <c r="BBT169"/>
      <c r="BBU169"/>
      <c r="BBV169"/>
      <c r="BBW169"/>
      <c r="BBX169"/>
      <c r="BBY169"/>
      <c r="BBZ169"/>
      <c r="BCA169"/>
      <c r="BCB169"/>
      <c r="BCC169"/>
      <c r="BCD169"/>
      <c r="BCE169"/>
      <c r="BCF169"/>
      <c r="BCG169"/>
      <c r="BCH169"/>
      <c r="BCI169"/>
      <c r="BCJ169"/>
      <c r="BCK169"/>
      <c r="BCL169"/>
      <c r="BCM169"/>
      <c r="BCN169"/>
      <c r="BCO169"/>
      <c r="BCP169"/>
      <c r="BCQ169"/>
      <c r="BCR169"/>
      <c r="BCS169"/>
      <c r="BCT169"/>
      <c r="BCU169"/>
      <c r="BCV169"/>
      <c r="BCW169"/>
      <c r="BCX169"/>
      <c r="BCY169"/>
      <c r="BCZ169"/>
      <c r="BDA169"/>
      <c r="BDB169"/>
      <c r="BDC169"/>
      <c r="BDD169"/>
      <c r="BDE169"/>
      <c r="BDF169"/>
      <c r="BDG169"/>
      <c r="BDH169"/>
      <c r="BDI169"/>
      <c r="BDJ169"/>
      <c r="BDK169"/>
      <c r="BDL169"/>
      <c r="BDM169"/>
      <c r="BDN169"/>
      <c r="BDO169"/>
      <c r="BDP169"/>
      <c r="BDQ169"/>
      <c r="BDR169"/>
      <c r="BDS169"/>
      <c r="BDT169"/>
      <c r="BDU169"/>
      <c r="BDV169"/>
      <c r="BDW169"/>
      <c r="BDX169"/>
      <c r="BDY169"/>
      <c r="BDZ169"/>
      <c r="BEA169"/>
      <c r="BEB169"/>
      <c r="BEC169"/>
      <c r="BED169"/>
      <c r="BEE169"/>
      <c r="BEF169"/>
      <c r="BEG169"/>
      <c r="BEH169"/>
      <c r="BEI169"/>
      <c r="BEJ169"/>
      <c r="BEK169"/>
      <c r="BEL169"/>
      <c r="BEM169"/>
      <c r="BEN169"/>
      <c r="BEO169"/>
      <c r="BEP169"/>
      <c r="BEQ169"/>
      <c r="BER169"/>
      <c r="BES169"/>
      <c r="BET169"/>
      <c r="BEU169"/>
      <c r="BEV169"/>
      <c r="BEW169"/>
      <c r="BEX169"/>
      <c r="BEY169"/>
      <c r="BEZ169"/>
      <c r="BFA169"/>
      <c r="BFB169"/>
      <c r="BFC169"/>
      <c r="BFD169"/>
      <c r="BFE169"/>
      <c r="BFF169"/>
      <c r="BFG169"/>
      <c r="BFH169"/>
      <c r="BFI169"/>
      <c r="BFJ169"/>
      <c r="BFK169"/>
      <c r="BFL169"/>
      <c r="BFM169"/>
      <c r="BFN169"/>
      <c r="BFO169"/>
      <c r="BFP169"/>
      <c r="BFQ169"/>
      <c r="BFR169"/>
      <c r="BFS169"/>
      <c r="BFT169"/>
      <c r="BFU169"/>
      <c r="BFV169"/>
      <c r="BFW169"/>
      <c r="BFX169"/>
      <c r="BFY169"/>
      <c r="BFZ169"/>
      <c r="BGA169"/>
      <c r="BGB169"/>
      <c r="BGC169"/>
      <c r="BGD169"/>
      <c r="BGE169"/>
      <c r="BGF169"/>
      <c r="BGG169"/>
      <c r="BGH169"/>
      <c r="BGI169"/>
      <c r="BGJ169"/>
      <c r="BGK169"/>
      <c r="BGL169"/>
      <c r="BGM169"/>
      <c r="BGN169"/>
      <c r="BGO169"/>
      <c r="BGP169"/>
      <c r="BGQ169"/>
      <c r="BGR169"/>
      <c r="BGS169"/>
      <c r="BGT169"/>
      <c r="BGU169"/>
      <c r="BGV169"/>
      <c r="BGW169"/>
      <c r="BGX169"/>
      <c r="BGY169"/>
      <c r="BGZ169"/>
      <c r="BHA169"/>
      <c r="BHB169"/>
      <c r="BHC169"/>
      <c r="BHD169"/>
      <c r="BHE169"/>
      <c r="BHF169"/>
      <c r="BHG169"/>
      <c r="BHH169"/>
      <c r="BHI169"/>
      <c r="BHJ169"/>
      <c r="BHK169"/>
      <c r="BHL169"/>
      <c r="BHM169"/>
      <c r="BHN169"/>
      <c r="BHO169"/>
      <c r="BHP169"/>
      <c r="BHQ169"/>
      <c r="BHR169"/>
      <c r="BHS169"/>
      <c r="BHT169"/>
      <c r="BHU169"/>
      <c r="BHV169"/>
      <c r="BHW169"/>
      <c r="BHX169"/>
      <c r="BHY169"/>
      <c r="BHZ169"/>
      <c r="BIA169"/>
      <c r="BIB169"/>
      <c r="BIC169"/>
      <c r="BID169"/>
      <c r="BIE169"/>
      <c r="BIF169"/>
      <c r="BIG169"/>
      <c r="BIH169"/>
      <c r="BII169"/>
      <c r="BIJ169"/>
      <c r="BIK169"/>
      <c r="BIL169"/>
      <c r="BIM169"/>
      <c r="BIN169"/>
      <c r="BIO169"/>
      <c r="BIP169"/>
      <c r="BIQ169"/>
      <c r="BIR169"/>
      <c r="BIS169"/>
      <c r="BIT169"/>
      <c r="BIU169"/>
      <c r="BIV169"/>
      <c r="BIW169"/>
      <c r="BIX169"/>
      <c r="BIY169"/>
      <c r="BIZ169"/>
      <c r="BJA169"/>
      <c r="BJB169"/>
      <c r="BJC169"/>
      <c r="BJD169"/>
      <c r="BJE169"/>
      <c r="BJF169"/>
      <c r="BJG169"/>
      <c r="BJH169"/>
      <c r="BJI169"/>
      <c r="BJJ169"/>
      <c r="BJK169"/>
      <c r="BJL169"/>
      <c r="BJM169"/>
      <c r="BJN169"/>
      <c r="BJO169"/>
      <c r="BJP169"/>
      <c r="BJQ169"/>
      <c r="BJR169"/>
      <c r="BJS169"/>
      <c r="BJT169"/>
      <c r="BJU169"/>
      <c r="BJV169"/>
      <c r="BJW169"/>
      <c r="BJX169"/>
      <c r="BJY169"/>
      <c r="BJZ169"/>
      <c r="BKA169"/>
      <c r="BKB169"/>
      <c r="BKC169"/>
      <c r="BKD169"/>
      <c r="BKE169"/>
      <c r="BKF169"/>
      <c r="BKG169"/>
      <c r="BKH169"/>
      <c r="BKI169"/>
      <c r="BKJ169"/>
      <c r="BKK169"/>
      <c r="BKL169"/>
      <c r="BKM169"/>
      <c r="BKN169"/>
      <c r="BKO169"/>
      <c r="BKP169"/>
      <c r="BKQ169"/>
      <c r="BKR169"/>
      <c r="BKS169"/>
      <c r="BKT169"/>
      <c r="BKU169"/>
      <c r="BKV169"/>
      <c r="BKW169"/>
      <c r="BKX169"/>
      <c r="BKY169"/>
      <c r="BKZ169"/>
      <c r="BLA169"/>
      <c r="BLB169"/>
      <c r="BLC169"/>
      <c r="BLD169"/>
      <c r="BLE169"/>
      <c r="BLF169"/>
      <c r="BLG169"/>
      <c r="BLH169"/>
      <c r="BLI169"/>
      <c r="BLJ169"/>
      <c r="BLK169"/>
      <c r="BLL169"/>
      <c r="BLM169"/>
      <c r="BLN169"/>
      <c r="BLO169"/>
      <c r="BLP169"/>
      <c r="BLQ169"/>
      <c r="BLR169"/>
      <c r="BLS169"/>
      <c r="BLT169"/>
      <c r="BLU169"/>
      <c r="BLV169"/>
      <c r="BLW169"/>
      <c r="BLX169"/>
      <c r="BLY169"/>
      <c r="BLZ169"/>
      <c r="BMA169"/>
      <c r="BMB169"/>
      <c r="BMC169"/>
      <c r="BMD169"/>
      <c r="BME169"/>
      <c r="BMF169"/>
      <c r="BMG169"/>
      <c r="BMH169"/>
      <c r="BMI169"/>
      <c r="BMJ169"/>
      <c r="BMK169"/>
      <c r="BML169"/>
      <c r="BMM169"/>
      <c r="BMN169"/>
      <c r="BMO169"/>
      <c r="BMP169"/>
      <c r="BMQ169"/>
      <c r="BMR169"/>
      <c r="BMS169"/>
      <c r="BMT169"/>
      <c r="BMU169"/>
      <c r="BMV169"/>
      <c r="BMW169"/>
      <c r="BMX169"/>
      <c r="BMY169"/>
      <c r="BMZ169"/>
      <c r="BNA169"/>
      <c r="BNB169"/>
      <c r="BNC169"/>
      <c r="BND169"/>
      <c r="BNE169"/>
      <c r="BNF169"/>
      <c r="BNG169"/>
      <c r="BNH169"/>
      <c r="BNI169"/>
      <c r="BNJ169"/>
      <c r="BNK169"/>
      <c r="BNL169"/>
      <c r="BNM169"/>
      <c r="BNN169"/>
      <c r="BNO169"/>
      <c r="BNP169"/>
      <c r="BNQ169"/>
      <c r="BNR169"/>
      <c r="BNS169"/>
      <c r="BNT169"/>
      <c r="BNU169"/>
      <c r="BNV169"/>
      <c r="BNW169"/>
      <c r="BNX169"/>
      <c r="BNY169"/>
      <c r="BNZ169"/>
      <c r="BOA169"/>
      <c r="BOB169"/>
      <c r="BOC169"/>
      <c r="BOD169"/>
      <c r="BOE169"/>
      <c r="BOF169"/>
      <c r="BOG169"/>
      <c r="BOH169"/>
      <c r="BOI169"/>
      <c r="BOJ169"/>
      <c r="BOK169"/>
      <c r="BOL169"/>
      <c r="BOM169"/>
      <c r="BON169"/>
      <c r="BOO169"/>
      <c r="BOP169"/>
      <c r="BOQ169"/>
      <c r="BOR169"/>
      <c r="BOS169"/>
      <c r="BOT169"/>
      <c r="BOU169"/>
      <c r="BOV169"/>
      <c r="BOW169"/>
      <c r="BOX169"/>
      <c r="BOY169"/>
      <c r="BOZ169"/>
      <c r="BPA169"/>
      <c r="BPB169"/>
      <c r="BPC169"/>
      <c r="BPD169"/>
      <c r="BPE169"/>
      <c r="BPF169"/>
      <c r="BPG169"/>
      <c r="BPH169"/>
      <c r="BPI169"/>
      <c r="BPJ169"/>
      <c r="BPK169"/>
      <c r="BPL169"/>
      <c r="BPM169"/>
      <c r="BPN169"/>
      <c r="BPO169"/>
      <c r="BPP169"/>
      <c r="BPQ169"/>
      <c r="BPR169"/>
      <c r="BPS169"/>
      <c r="BPT169"/>
      <c r="BPU169"/>
      <c r="BPV169"/>
      <c r="BPW169"/>
      <c r="BPX169"/>
      <c r="BPY169"/>
      <c r="BPZ169"/>
      <c r="BQA169"/>
      <c r="BQB169"/>
      <c r="BQC169"/>
      <c r="BQD169"/>
      <c r="BQE169"/>
      <c r="BQF169"/>
      <c r="BQG169"/>
      <c r="BQH169"/>
      <c r="BQI169"/>
      <c r="BQJ169"/>
      <c r="BQK169"/>
      <c r="BQL169"/>
      <c r="BQM169"/>
      <c r="BQN169"/>
      <c r="BQO169"/>
      <c r="BQP169"/>
      <c r="BQQ169"/>
      <c r="BQR169"/>
      <c r="BQS169"/>
      <c r="BQT169"/>
      <c r="BQU169"/>
      <c r="BQV169"/>
      <c r="BQW169"/>
      <c r="BQX169"/>
      <c r="BQY169"/>
      <c r="BQZ169"/>
      <c r="BRA169"/>
      <c r="BRB169"/>
      <c r="BRC169"/>
      <c r="BRD169"/>
      <c r="BRE169"/>
      <c r="BRF169"/>
      <c r="BRG169"/>
      <c r="BRH169"/>
      <c r="BRI169"/>
      <c r="BRJ169"/>
      <c r="BRK169"/>
      <c r="BRL169"/>
      <c r="BRM169"/>
      <c r="BRN169"/>
      <c r="BRO169"/>
      <c r="BRP169"/>
      <c r="BRQ169"/>
      <c r="BRR169"/>
      <c r="BRS169"/>
      <c r="BRT169"/>
      <c r="BRU169"/>
      <c r="BRV169"/>
      <c r="BRW169"/>
      <c r="BRX169"/>
      <c r="BRY169"/>
      <c r="BRZ169"/>
      <c r="BSA169"/>
      <c r="BSB169"/>
      <c r="BSC169"/>
      <c r="BSD169"/>
      <c r="BSE169"/>
      <c r="BSF169"/>
      <c r="BSG169"/>
      <c r="BSH169"/>
      <c r="BSI169"/>
      <c r="BSJ169"/>
      <c r="BSK169"/>
      <c r="BSL169"/>
      <c r="BSM169"/>
      <c r="BSN169"/>
      <c r="BSO169"/>
      <c r="BSP169"/>
      <c r="BSQ169"/>
      <c r="BSR169"/>
      <c r="BSS169"/>
      <c r="BST169"/>
      <c r="BSU169"/>
      <c r="BSV169"/>
      <c r="BSW169"/>
      <c r="BSX169"/>
      <c r="BSY169"/>
      <c r="BSZ169"/>
      <c r="BTA169"/>
      <c r="BTB169"/>
      <c r="BTC169"/>
      <c r="BTD169"/>
      <c r="BTE169"/>
      <c r="BTF169"/>
      <c r="BTG169"/>
      <c r="BTH169"/>
      <c r="BTI169"/>
      <c r="BTJ169"/>
      <c r="BTK169"/>
      <c r="BTL169"/>
      <c r="BTM169"/>
      <c r="BTN169"/>
      <c r="BTO169"/>
      <c r="BTP169"/>
      <c r="BTQ169"/>
      <c r="BTR169"/>
      <c r="BTS169"/>
      <c r="BTT169"/>
      <c r="BTU169"/>
      <c r="BTV169"/>
      <c r="BTW169"/>
      <c r="BTX169"/>
      <c r="BTY169"/>
      <c r="BTZ169"/>
      <c r="BUA169"/>
      <c r="BUB169"/>
      <c r="BUC169"/>
      <c r="BUD169"/>
      <c r="BUE169"/>
      <c r="BUF169"/>
      <c r="BUG169"/>
      <c r="BUH169"/>
      <c r="BUI169"/>
      <c r="BUJ169"/>
      <c r="BUK169"/>
      <c r="BUL169"/>
      <c r="BUM169"/>
      <c r="BUN169"/>
      <c r="BUO169"/>
      <c r="BUP169"/>
      <c r="BUQ169"/>
      <c r="BUR169"/>
      <c r="BUS169"/>
      <c r="BUT169"/>
      <c r="BUU169"/>
      <c r="BUV169"/>
      <c r="BUW169"/>
      <c r="BUX169"/>
      <c r="BUY169"/>
      <c r="BUZ169"/>
      <c r="BVA169"/>
      <c r="BVB169"/>
      <c r="BVC169"/>
      <c r="BVD169"/>
      <c r="BVE169"/>
      <c r="BVF169"/>
      <c r="BVG169"/>
      <c r="BVH169"/>
      <c r="BVI169"/>
      <c r="BVJ169"/>
      <c r="BVK169"/>
      <c r="BVL169"/>
      <c r="BVM169"/>
      <c r="BVN169"/>
      <c r="BVO169"/>
      <c r="BVP169"/>
      <c r="BVQ169"/>
      <c r="BVR169"/>
      <c r="BVS169"/>
      <c r="BVT169"/>
      <c r="BVU169"/>
      <c r="BVV169"/>
      <c r="BVW169"/>
      <c r="BVX169"/>
      <c r="BVY169"/>
      <c r="BVZ169"/>
      <c r="BWA169"/>
      <c r="BWB169"/>
      <c r="BWC169"/>
      <c r="BWD169"/>
      <c r="BWE169"/>
      <c r="BWF169"/>
      <c r="BWG169"/>
      <c r="BWH169"/>
      <c r="BWI169"/>
      <c r="BWJ169"/>
      <c r="BWK169"/>
      <c r="BWL169"/>
      <c r="BWM169"/>
      <c r="BWN169"/>
      <c r="BWO169"/>
      <c r="BWP169"/>
      <c r="BWQ169"/>
      <c r="BWR169"/>
      <c r="BWS169"/>
      <c r="BWT169"/>
      <c r="BWU169"/>
      <c r="BWV169"/>
      <c r="BWW169"/>
      <c r="BWX169"/>
      <c r="BWY169"/>
      <c r="BWZ169"/>
      <c r="BXA169"/>
      <c r="BXB169"/>
      <c r="BXC169"/>
      <c r="BXD169"/>
      <c r="BXE169"/>
      <c r="BXF169"/>
      <c r="BXG169"/>
      <c r="BXH169"/>
      <c r="BXI169"/>
      <c r="BXJ169"/>
      <c r="BXK169"/>
      <c r="BXL169"/>
      <c r="BXM169"/>
      <c r="BXN169"/>
      <c r="BXO169"/>
      <c r="BXP169"/>
      <c r="BXQ169"/>
      <c r="BXR169"/>
      <c r="BXS169"/>
      <c r="BXT169"/>
      <c r="BXU169"/>
      <c r="BXV169"/>
      <c r="BXW169"/>
      <c r="BXX169"/>
      <c r="BXY169"/>
      <c r="BXZ169"/>
      <c r="BYA169"/>
      <c r="BYB169"/>
      <c r="BYC169"/>
      <c r="BYD169"/>
      <c r="BYE169"/>
      <c r="BYF169"/>
      <c r="BYG169"/>
      <c r="BYH169"/>
      <c r="BYI169"/>
      <c r="BYJ169"/>
      <c r="BYK169"/>
      <c r="BYL169"/>
      <c r="BYM169"/>
      <c r="BYN169"/>
      <c r="BYO169"/>
      <c r="BYP169"/>
      <c r="BYQ169"/>
      <c r="BYR169"/>
      <c r="BYS169"/>
      <c r="BYT169"/>
      <c r="BYU169"/>
      <c r="BYV169"/>
      <c r="BYW169"/>
      <c r="BYX169"/>
      <c r="BYY169"/>
      <c r="BYZ169"/>
      <c r="BZA169"/>
      <c r="BZB169"/>
      <c r="BZC169"/>
      <c r="BZD169"/>
      <c r="BZE169"/>
      <c r="BZF169"/>
      <c r="BZG169"/>
      <c r="BZH169"/>
      <c r="BZI169"/>
      <c r="BZJ169"/>
      <c r="BZK169"/>
      <c r="BZL169"/>
      <c r="BZM169"/>
      <c r="BZN169"/>
      <c r="BZO169"/>
      <c r="BZP169"/>
      <c r="BZQ169"/>
      <c r="BZR169"/>
      <c r="BZS169"/>
      <c r="BZT169"/>
      <c r="BZU169"/>
      <c r="BZV169"/>
      <c r="BZW169"/>
      <c r="BZX169"/>
      <c r="BZY169"/>
      <c r="BZZ169"/>
      <c r="CAA169"/>
      <c r="CAB169"/>
      <c r="CAC169"/>
      <c r="CAD169"/>
      <c r="CAE169"/>
      <c r="CAF169"/>
      <c r="CAG169"/>
      <c r="CAH169"/>
      <c r="CAI169"/>
      <c r="CAJ169"/>
      <c r="CAK169"/>
      <c r="CAL169"/>
      <c r="CAM169"/>
      <c r="CAN169"/>
      <c r="CAO169"/>
      <c r="CAP169"/>
      <c r="CAQ169"/>
      <c r="CAR169"/>
      <c r="CAS169"/>
      <c r="CAT169"/>
      <c r="CAU169"/>
      <c r="CAV169"/>
      <c r="CAW169"/>
      <c r="CAX169"/>
      <c r="CAY169"/>
      <c r="CAZ169"/>
      <c r="CBA169"/>
      <c r="CBB169"/>
      <c r="CBC169"/>
      <c r="CBD169"/>
      <c r="CBE169"/>
      <c r="CBF169"/>
      <c r="CBG169"/>
      <c r="CBH169"/>
      <c r="CBI169"/>
      <c r="CBJ169"/>
      <c r="CBK169"/>
      <c r="CBL169"/>
      <c r="CBM169"/>
      <c r="CBN169"/>
      <c r="CBO169"/>
      <c r="CBP169"/>
      <c r="CBQ169"/>
      <c r="CBR169"/>
      <c r="CBS169"/>
      <c r="CBT169"/>
      <c r="CBU169"/>
      <c r="CBV169"/>
      <c r="CBW169"/>
      <c r="CBX169"/>
      <c r="CBY169"/>
      <c r="CBZ169"/>
      <c r="CCA169"/>
      <c r="CCB169"/>
      <c r="CCC169"/>
      <c r="CCD169"/>
      <c r="CCE169"/>
      <c r="CCF169"/>
      <c r="CCG169"/>
      <c r="CCH169"/>
      <c r="CCI169"/>
      <c r="CCJ169"/>
      <c r="CCK169"/>
      <c r="CCL169"/>
      <c r="CCM169"/>
      <c r="CCN169"/>
      <c r="CCO169"/>
      <c r="CCP169"/>
      <c r="CCQ169"/>
      <c r="CCR169"/>
      <c r="CCS169"/>
      <c r="CCT169"/>
      <c r="CCU169"/>
      <c r="CCV169"/>
      <c r="CCW169"/>
      <c r="CCX169"/>
      <c r="CCY169"/>
      <c r="CCZ169"/>
      <c r="CDA169"/>
      <c r="CDB169"/>
      <c r="CDC169"/>
      <c r="CDD169"/>
      <c r="CDE169"/>
      <c r="CDF169"/>
      <c r="CDG169"/>
      <c r="CDH169"/>
      <c r="CDI169"/>
      <c r="CDJ169"/>
      <c r="CDK169"/>
      <c r="CDL169"/>
      <c r="CDM169"/>
      <c r="CDN169"/>
      <c r="CDO169"/>
      <c r="CDP169"/>
      <c r="CDQ169"/>
      <c r="CDR169"/>
      <c r="CDS169"/>
      <c r="CDT169"/>
      <c r="CDU169"/>
      <c r="CDV169"/>
      <c r="CDW169"/>
      <c r="CDX169"/>
      <c r="CDY169"/>
      <c r="CDZ169"/>
      <c r="CEA169"/>
      <c r="CEB169"/>
      <c r="CEC169"/>
      <c r="CED169"/>
      <c r="CEE169"/>
      <c r="CEF169"/>
      <c r="CEG169"/>
      <c r="CEH169"/>
      <c r="CEI169"/>
      <c r="CEJ169"/>
      <c r="CEK169"/>
      <c r="CEL169"/>
      <c r="CEM169"/>
      <c r="CEN169"/>
      <c r="CEO169"/>
      <c r="CEP169"/>
      <c r="CEQ169"/>
      <c r="CER169"/>
      <c r="CES169"/>
      <c r="CET169"/>
      <c r="CEU169"/>
      <c r="CEV169"/>
      <c r="CEW169"/>
      <c r="CEX169"/>
      <c r="CEY169"/>
      <c r="CEZ169"/>
      <c r="CFA169"/>
      <c r="CFB169"/>
      <c r="CFC169"/>
      <c r="CFD169"/>
      <c r="CFE169"/>
      <c r="CFF169"/>
      <c r="CFG169"/>
      <c r="CFH169"/>
      <c r="CFI169"/>
      <c r="CFJ169"/>
      <c r="CFK169"/>
      <c r="CFL169"/>
      <c r="CFM169"/>
      <c r="CFN169"/>
      <c r="CFO169"/>
      <c r="CFP169"/>
      <c r="CFQ169"/>
      <c r="CFR169"/>
      <c r="CFS169"/>
      <c r="CFT169"/>
      <c r="CFU169"/>
      <c r="CFV169"/>
      <c r="CFW169"/>
      <c r="CFX169"/>
      <c r="CFY169"/>
      <c r="CFZ169"/>
      <c r="CGA169"/>
      <c r="CGB169"/>
      <c r="CGC169"/>
      <c r="CGD169"/>
      <c r="CGE169"/>
      <c r="CGF169"/>
      <c r="CGG169"/>
      <c r="CGH169"/>
      <c r="CGI169"/>
      <c r="CGJ169"/>
      <c r="CGK169"/>
      <c r="CGL169"/>
      <c r="CGM169"/>
      <c r="CGN169"/>
      <c r="CGO169"/>
      <c r="CGP169"/>
      <c r="CGQ169"/>
      <c r="CGR169"/>
      <c r="CGS169"/>
      <c r="CGT169"/>
      <c r="CGU169"/>
      <c r="CGV169"/>
      <c r="CGW169"/>
      <c r="CGX169"/>
      <c r="CGY169"/>
      <c r="CGZ169"/>
      <c r="CHA169"/>
      <c r="CHB169"/>
      <c r="CHC169"/>
      <c r="CHD169"/>
      <c r="CHE169"/>
      <c r="CHF169"/>
      <c r="CHG169"/>
      <c r="CHH169"/>
      <c r="CHI169"/>
      <c r="CHJ169"/>
      <c r="CHK169"/>
      <c r="CHL169"/>
      <c r="CHM169"/>
      <c r="CHN169"/>
      <c r="CHO169"/>
      <c r="CHP169"/>
      <c r="CHQ169"/>
      <c r="CHR169"/>
      <c r="CHS169"/>
      <c r="CHT169"/>
      <c r="CHU169"/>
      <c r="CHV169"/>
      <c r="CHW169"/>
      <c r="CHX169"/>
      <c r="CHY169"/>
      <c r="CHZ169"/>
      <c r="CIA169"/>
      <c r="CIB169"/>
      <c r="CIC169"/>
      <c r="CID169"/>
      <c r="CIE169"/>
      <c r="CIF169"/>
      <c r="CIG169"/>
      <c r="CIH169"/>
      <c r="CII169"/>
      <c r="CIJ169"/>
      <c r="CIK169"/>
      <c r="CIL169"/>
      <c r="CIM169"/>
      <c r="CIN169"/>
      <c r="CIO169"/>
      <c r="CIP169"/>
      <c r="CIQ169"/>
      <c r="CIR169"/>
      <c r="CIS169"/>
      <c r="CIT169"/>
      <c r="CIU169"/>
      <c r="CIV169"/>
      <c r="CIW169"/>
      <c r="CIX169"/>
      <c r="CIY169"/>
      <c r="CIZ169"/>
      <c r="CJA169"/>
      <c r="CJB169"/>
      <c r="CJC169"/>
      <c r="CJD169"/>
      <c r="CJE169"/>
      <c r="CJF169"/>
      <c r="CJG169"/>
      <c r="CJH169"/>
      <c r="CJI169"/>
      <c r="CJJ169"/>
      <c r="CJK169"/>
      <c r="CJL169"/>
      <c r="CJM169"/>
      <c r="CJN169"/>
      <c r="CJO169"/>
      <c r="CJP169"/>
      <c r="CJQ169"/>
      <c r="CJR169"/>
      <c r="CJS169"/>
      <c r="CJT169"/>
      <c r="CJU169"/>
      <c r="CJV169"/>
      <c r="CJW169"/>
      <c r="CJX169"/>
      <c r="CJY169"/>
      <c r="CJZ169"/>
      <c r="CKA169"/>
      <c r="CKB169"/>
      <c r="CKC169"/>
      <c r="CKD169"/>
      <c r="CKE169"/>
      <c r="CKF169"/>
      <c r="CKG169"/>
      <c r="CKH169"/>
      <c r="CKI169"/>
      <c r="CKJ169"/>
      <c r="CKK169"/>
      <c r="CKL169"/>
      <c r="CKM169"/>
      <c r="CKN169"/>
      <c r="CKO169"/>
      <c r="CKP169"/>
      <c r="CKQ169"/>
      <c r="CKR169"/>
      <c r="CKS169"/>
      <c r="CKT169"/>
      <c r="CKU169"/>
      <c r="CKV169"/>
      <c r="CKW169"/>
      <c r="CKX169"/>
      <c r="CKY169"/>
      <c r="CKZ169"/>
      <c r="CLA169"/>
      <c r="CLB169"/>
      <c r="CLC169"/>
      <c r="CLD169"/>
      <c r="CLE169"/>
      <c r="CLF169"/>
      <c r="CLG169"/>
      <c r="CLH169"/>
      <c r="CLI169"/>
      <c r="CLJ169"/>
      <c r="CLK169"/>
      <c r="CLL169"/>
      <c r="CLM169"/>
      <c r="CLN169"/>
      <c r="CLO169"/>
      <c r="CLP169"/>
      <c r="CLQ169"/>
      <c r="CLR169"/>
      <c r="CLS169"/>
      <c r="CLT169"/>
      <c r="CLU169"/>
      <c r="CLV169"/>
      <c r="CLW169"/>
      <c r="CLX169"/>
      <c r="CLY169"/>
      <c r="CLZ169"/>
      <c r="CMA169"/>
      <c r="CMB169"/>
      <c r="CMC169"/>
      <c r="CMD169"/>
      <c r="CME169"/>
      <c r="CMF169"/>
      <c r="CMG169"/>
      <c r="CMH169"/>
      <c r="CMI169"/>
      <c r="CMJ169"/>
      <c r="CMK169"/>
      <c r="CML169"/>
      <c r="CMM169"/>
      <c r="CMN169"/>
      <c r="CMO169"/>
      <c r="CMP169"/>
      <c r="CMQ169"/>
      <c r="CMR169"/>
      <c r="CMS169"/>
      <c r="CMT169"/>
      <c r="CMU169"/>
      <c r="CMV169"/>
      <c r="CMW169"/>
      <c r="CMX169"/>
      <c r="CMY169"/>
      <c r="CMZ169"/>
      <c r="CNA169"/>
      <c r="CNB169"/>
      <c r="CNC169"/>
      <c r="CND169"/>
      <c r="CNE169"/>
      <c r="CNF169"/>
      <c r="CNG169"/>
      <c r="CNH169"/>
      <c r="CNI169"/>
      <c r="CNJ169"/>
      <c r="CNK169"/>
      <c r="CNL169"/>
      <c r="CNM169"/>
      <c r="CNN169"/>
      <c r="CNO169"/>
      <c r="CNP169"/>
      <c r="CNQ169"/>
      <c r="CNR169"/>
      <c r="CNS169"/>
      <c r="CNT169"/>
      <c r="CNU169"/>
      <c r="CNV169"/>
      <c r="CNW169"/>
      <c r="CNX169"/>
      <c r="CNY169"/>
      <c r="CNZ169"/>
      <c r="COA169"/>
      <c r="COB169"/>
      <c r="COC169"/>
      <c r="COD169"/>
      <c r="COE169"/>
      <c r="COF169"/>
      <c r="COG169"/>
      <c r="COH169"/>
      <c r="COI169"/>
      <c r="COJ169"/>
      <c r="COK169"/>
      <c r="COL169"/>
      <c r="COM169"/>
      <c r="CON169"/>
      <c r="COO169"/>
      <c r="COP169"/>
      <c r="COQ169"/>
      <c r="COR169"/>
      <c r="COS169"/>
      <c r="COT169"/>
      <c r="COU169"/>
      <c r="COV169"/>
      <c r="COW169"/>
      <c r="COX169"/>
      <c r="COY169"/>
      <c r="COZ169"/>
      <c r="CPA169"/>
      <c r="CPB169"/>
      <c r="CPC169"/>
      <c r="CPD169"/>
      <c r="CPE169"/>
      <c r="CPF169"/>
      <c r="CPG169"/>
      <c r="CPH169"/>
      <c r="CPI169"/>
      <c r="CPJ169"/>
      <c r="CPK169"/>
      <c r="CPL169"/>
      <c r="CPM169"/>
      <c r="CPN169"/>
      <c r="CPO169"/>
      <c r="CPP169"/>
      <c r="CPQ169"/>
      <c r="CPR169"/>
      <c r="CPS169"/>
      <c r="CPT169"/>
      <c r="CPU169"/>
      <c r="CPV169"/>
      <c r="CPW169"/>
      <c r="CPX169"/>
      <c r="CPY169"/>
      <c r="CPZ169"/>
      <c r="CQA169"/>
      <c r="CQB169"/>
      <c r="CQC169"/>
      <c r="CQD169"/>
      <c r="CQE169"/>
      <c r="CQF169"/>
      <c r="CQG169"/>
      <c r="CQH169"/>
      <c r="CQI169"/>
      <c r="CQJ169"/>
      <c r="CQK169"/>
      <c r="CQL169"/>
      <c r="CQM169"/>
      <c r="CQN169"/>
      <c r="CQO169"/>
      <c r="CQP169"/>
      <c r="CQQ169"/>
      <c r="CQR169"/>
      <c r="CQS169"/>
      <c r="CQT169"/>
      <c r="CQU169"/>
      <c r="CQV169"/>
      <c r="CQW169"/>
      <c r="CQX169"/>
      <c r="CQY169"/>
      <c r="CQZ169"/>
      <c r="CRA169"/>
      <c r="CRB169"/>
      <c r="CRC169"/>
      <c r="CRD169"/>
      <c r="CRE169"/>
      <c r="CRF169"/>
      <c r="CRG169"/>
      <c r="CRH169"/>
      <c r="CRI169"/>
      <c r="CRJ169"/>
      <c r="CRK169"/>
      <c r="CRL169"/>
      <c r="CRM169"/>
      <c r="CRN169"/>
      <c r="CRO169"/>
      <c r="CRP169"/>
      <c r="CRQ169"/>
      <c r="CRR169"/>
      <c r="CRS169"/>
      <c r="CRT169"/>
      <c r="CRU169"/>
      <c r="CRV169"/>
      <c r="CRW169"/>
      <c r="CRX169"/>
      <c r="CRY169"/>
      <c r="CRZ169"/>
      <c r="CSA169"/>
      <c r="CSB169"/>
      <c r="CSC169"/>
      <c r="CSD169"/>
      <c r="CSE169"/>
      <c r="CSF169"/>
      <c r="CSG169"/>
      <c r="CSH169"/>
      <c r="CSI169"/>
      <c r="CSJ169"/>
      <c r="CSK169"/>
      <c r="CSL169"/>
      <c r="CSM169"/>
      <c r="CSN169"/>
      <c r="CSO169"/>
      <c r="CSP169"/>
      <c r="CSQ169"/>
      <c r="CSR169"/>
      <c r="CSS169"/>
      <c r="CST169"/>
      <c r="CSU169"/>
      <c r="CSV169"/>
      <c r="CSW169"/>
      <c r="CSX169"/>
      <c r="CSY169"/>
      <c r="CSZ169"/>
      <c r="CTA169"/>
      <c r="CTB169"/>
      <c r="CTC169"/>
      <c r="CTD169"/>
      <c r="CTE169"/>
      <c r="CTF169"/>
      <c r="CTG169"/>
      <c r="CTH169"/>
      <c r="CTI169"/>
      <c r="CTJ169"/>
      <c r="CTK169"/>
      <c r="CTL169"/>
      <c r="CTM169"/>
      <c r="CTN169"/>
      <c r="CTO169"/>
      <c r="CTP169"/>
      <c r="CTQ169"/>
      <c r="CTR169"/>
      <c r="CTS169"/>
      <c r="CTT169"/>
      <c r="CTU169"/>
      <c r="CTV169"/>
      <c r="CTW169"/>
      <c r="CTX169"/>
      <c r="CTY169"/>
      <c r="CTZ169"/>
      <c r="CUA169"/>
      <c r="CUB169"/>
      <c r="CUC169"/>
      <c r="CUD169"/>
      <c r="CUE169"/>
      <c r="CUF169"/>
      <c r="CUG169"/>
      <c r="CUH169"/>
      <c r="CUI169"/>
      <c r="CUJ169"/>
      <c r="CUK169"/>
      <c r="CUL169"/>
      <c r="CUM169"/>
      <c r="CUN169"/>
      <c r="CUO169"/>
      <c r="CUP169"/>
      <c r="CUQ169"/>
      <c r="CUR169"/>
      <c r="CUS169"/>
      <c r="CUT169"/>
      <c r="CUU169"/>
      <c r="CUV169"/>
      <c r="CUW169"/>
      <c r="CUX169"/>
      <c r="CUY169"/>
      <c r="CUZ169"/>
      <c r="CVA169"/>
      <c r="CVB169"/>
      <c r="CVC169"/>
      <c r="CVD169"/>
      <c r="CVE169"/>
      <c r="CVF169"/>
      <c r="CVG169"/>
      <c r="CVH169"/>
      <c r="CVI169"/>
      <c r="CVJ169"/>
      <c r="CVK169"/>
      <c r="CVL169"/>
      <c r="CVM169"/>
      <c r="CVN169"/>
      <c r="CVO169"/>
      <c r="CVP169"/>
      <c r="CVQ169"/>
      <c r="CVR169"/>
      <c r="CVS169"/>
      <c r="CVT169"/>
      <c r="CVU169"/>
      <c r="CVV169"/>
      <c r="CVW169"/>
      <c r="CVX169"/>
      <c r="CVY169"/>
      <c r="CVZ169"/>
      <c r="CWA169"/>
      <c r="CWB169"/>
      <c r="CWC169"/>
      <c r="CWD169"/>
      <c r="CWE169"/>
      <c r="CWF169"/>
      <c r="CWG169"/>
      <c r="CWH169"/>
      <c r="CWI169"/>
      <c r="CWJ169"/>
      <c r="CWK169"/>
      <c r="CWL169"/>
      <c r="CWM169"/>
      <c r="CWN169"/>
      <c r="CWO169"/>
      <c r="CWP169"/>
      <c r="CWQ169"/>
      <c r="CWR169"/>
      <c r="CWS169"/>
      <c r="CWT169"/>
      <c r="CWU169"/>
      <c r="CWV169"/>
      <c r="CWW169"/>
      <c r="CWX169"/>
      <c r="CWY169"/>
      <c r="CWZ169"/>
      <c r="CXA169"/>
      <c r="CXB169"/>
      <c r="CXC169"/>
      <c r="CXD169"/>
      <c r="CXE169"/>
      <c r="CXF169"/>
      <c r="CXG169"/>
      <c r="CXH169"/>
      <c r="CXI169"/>
      <c r="CXJ169"/>
      <c r="CXK169"/>
      <c r="CXL169"/>
      <c r="CXM169"/>
      <c r="CXN169"/>
      <c r="CXO169"/>
      <c r="CXP169"/>
      <c r="CXQ169"/>
      <c r="CXR169"/>
      <c r="CXS169"/>
      <c r="CXT169"/>
      <c r="CXU169"/>
      <c r="CXV169"/>
      <c r="CXW169"/>
      <c r="CXX169"/>
      <c r="CXY169"/>
      <c r="CXZ169"/>
      <c r="CYA169"/>
      <c r="CYB169"/>
      <c r="CYC169"/>
      <c r="CYD169"/>
      <c r="CYE169"/>
      <c r="CYF169"/>
      <c r="CYG169"/>
      <c r="CYH169"/>
      <c r="CYI169"/>
      <c r="CYJ169"/>
      <c r="CYK169"/>
      <c r="CYL169"/>
      <c r="CYM169"/>
      <c r="CYN169"/>
      <c r="CYO169"/>
      <c r="CYP169"/>
      <c r="CYQ169"/>
      <c r="CYR169"/>
      <c r="CYS169"/>
      <c r="CYT169"/>
      <c r="CYU169"/>
      <c r="CYV169"/>
      <c r="CYW169"/>
      <c r="CYX169"/>
      <c r="CYY169"/>
      <c r="CYZ169"/>
      <c r="CZA169"/>
      <c r="CZB169"/>
      <c r="CZC169"/>
      <c r="CZD169"/>
      <c r="CZE169"/>
      <c r="CZF169"/>
      <c r="CZG169"/>
      <c r="CZH169"/>
      <c r="CZI169"/>
      <c r="CZJ169"/>
      <c r="CZK169"/>
      <c r="CZL169"/>
      <c r="CZM169"/>
      <c r="CZN169"/>
      <c r="CZO169"/>
      <c r="CZP169"/>
      <c r="CZQ169"/>
      <c r="CZR169"/>
      <c r="CZS169"/>
      <c r="CZT169"/>
      <c r="CZU169"/>
      <c r="CZV169"/>
      <c r="CZW169"/>
      <c r="CZX169"/>
      <c r="CZY169"/>
      <c r="CZZ169"/>
      <c r="DAA169"/>
      <c r="DAB169"/>
      <c r="DAC169"/>
      <c r="DAD169"/>
      <c r="DAE169"/>
      <c r="DAF169"/>
      <c r="DAG169"/>
      <c r="DAH169"/>
      <c r="DAI169"/>
      <c r="DAJ169"/>
      <c r="DAK169"/>
      <c r="DAL169"/>
      <c r="DAM169"/>
      <c r="DAN169"/>
      <c r="DAO169"/>
      <c r="DAP169"/>
      <c r="DAQ169"/>
      <c r="DAR169"/>
      <c r="DAS169"/>
      <c r="DAT169"/>
      <c r="DAU169"/>
      <c r="DAV169"/>
      <c r="DAW169"/>
      <c r="DAX169"/>
      <c r="DAY169"/>
      <c r="DAZ169"/>
      <c r="DBA169"/>
      <c r="DBB169"/>
      <c r="DBC169"/>
      <c r="DBD169"/>
      <c r="DBE169"/>
      <c r="DBF169"/>
      <c r="DBG169"/>
      <c r="DBH169"/>
      <c r="DBI169"/>
      <c r="DBJ169"/>
      <c r="DBK169"/>
      <c r="DBL169"/>
      <c r="DBM169"/>
      <c r="DBN169"/>
      <c r="DBO169"/>
      <c r="DBP169"/>
      <c r="DBQ169"/>
      <c r="DBR169"/>
      <c r="DBS169"/>
      <c r="DBT169"/>
      <c r="DBU169"/>
      <c r="DBV169"/>
      <c r="DBW169"/>
      <c r="DBX169"/>
      <c r="DBY169"/>
      <c r="DBZ169"/>
      <c r="DCA169"/>
      <c r="DCB169"/>
      <c r="DCC169"/>
      <c r="DCD169"/>
      <c r="DCE169"/>
      <c r="DCF169"/>
      <c r="DCG169"/>
      <c r="DCH169"/>
      <c r="DCI169"/>
      <c r="DCJ169"/>
      <c r="DCK169"/>
      <c r="DCL169"/>
      <c r="DCM169"/>
      <c r="DCN169"/>
      <c r="DCO169"/>
      <c r="DCP169"/>
      <c r="DCQ169"/>
      <c r="DCR169"/>
      <c r="DCS169"/>
      <c r="DCT169"/>
      <c r="DCU169"/>
      <c r="DCV169"/>
      <c r="DCW169"/>
      <c r="DCX169"/>
      <c r="DCY169"/>
      <c r="DCZ169"/>
      <c r="DDA169"/>
      <c r="DDB169"/>
      <c r="DDC169"/>
      <c r="DDD169"/>
      <c r="DDE169"/>
      <c r="DDF169"/>
      <c r="DDG169"/>
      <c r="DDH169"/>
      <c r="DDI169"/>
      <c r="DDJ169"/>
      <c r="DDK169"/>
      <c r="DDL169"/>
      <c r="DDM169"/>
      <c r="DDN169"/>
      <c r="DDO169"/>
      <c r="DDP169"/>
      <c r="DDQ169"/>
      <c r="DDR169"/>
      <c r="DDS169"/>
      <c r="DDT169"/>
      <c r="DDU169"/>
      <c r="DDV169"/>
      <c r="DDW169"/>
      <c r="DDX169"/>
      <c r="DDY169"/>
      <c r="DDZ169"/>
      <c r="DEA169"/>
      <c r="DEB169"/>
      <c r="DEC169"/>
      <c r="DED169"/>
      <c r="DEE169"/>
      <c r="DEF169"/>
      <c r="DEG169"/>
      <c r="DEH169"/>
      <c r="DEI169"/>
      <c r="DEJ169"/>
      <c r="DEK169"/>
      <c r="DEL169"/>
      <c r="DEM169"/>
      <c r="DEN169"/>
      <c r="DEO169"/>
      <c r="DEP169"/>
      <c r="DEQ169"/>
      <c r="DER169"/>
      <c r="DES169"/>
      <c r="DET169"/>
      <c r="DEU169"/>
      <c r="DEV169"/>
      <c r="DEW169"/>
      <c r="DEX169"/>
      <c r="DEY169"/>
      <c r="DEZ169"/>
      <c r="DFA169"/>
      <c r="DFB169"/>
      <c r="DFC169"/>
      <c r="DFD169"/>
      <c r="DFE169"/>
      <c r="DFF169"/>
      <c r="DFG169"/>
      <c r="DFH169"/>
      <c r="DFI169"/>
      <c r="DFJ169"/>
      <c r="DFK169"/>
      <c r="DFL169"/>
      <c r="DFM169"/>
      <c r="DFN169"/>
      <c r="DFO169"/>
      <c r="DFP169"/>
      <c r="DFQ169"/>
      <c r="DFR169"/>
      <c r="DFS169"/>
      <c r="DFT169"/>
      <c r="DFU169"/>
      <c r="DFV169"/>
      <c r="DFW169"/>
      <c r="DFX169"/>
      <c r="DFY169"/>
      <c r="DFZ169"/>
      <c r="DGA169"/>
      <c r="DGB169"/>
      <c r="DGC169"/>
      <c r="DGD169"/>
      <c r="DGE169"/>
      <c r="DGF169"/>
      <c r="DGG169"/>
      <c r="DGH169"/>
      <c r="DGI169"/>
      <c r="DGJ169"/>
      <c r="DGK169"/>
      <c r="DGL169"/>
      <c r="DGM169"/>
      <c r="DGN169"/>
      <c r="DGO169"/>
      <c r="DGP169"/>
      <c r="DGQ169"/>
      <c r="DGR169"/>
      <c r="DGS169"/>
      <c r="DGT169"/>
      <c r="DGU169"/>
      <c r="DGV169"/>
      <c r="DGW169"/>
      <c r="DGX169"/>
      <c r="DGY169"/>
      <c r="DGZ169"/>
      <c r="DHA169"/>
      <c r="DHB169"/>
      <c r="DHC169"/>
      <c r="DHD169"/>
      <c r="DHE169"/>
      <c r="DHF169"/>
      <c r="DHG169"/>
      <c r="DHH169"/>
      <c r="DHI169"/>
      <c r="DHJ169"/>
      <c r="DHK169"/>
      <c r="DHL169"/>
      <c r="DHM169"/>
      <c r="DHN169"/>
      <c r="DHO169"/>
      <c r="DHP169"/>
      <c r="DHQ169"/>
      <c r="DHR169"/>
      <c r="DHS169"/>
      <c r="DHT169"/>
      <c r="DHU169"/>
      <c r="DHV169"/>
      <c r="DHW169"/>
      <c r="DHX169"/>
      <c r="DHY169"/>
      <c r="DHZ169"/>
      <c r="DIA169"/>
      <c r="DIB169"/>
      <c r="DIC169"/>
      <c r="DID169"/>
      <c r="DIE169"/>
      <c r="DIF169"/>
      <c r="DIG169"/>
      <c r="DIH169"/>
      <c r="DII169"/>
      <c r="DIJ169"/>
      <c r="DIK169"/>
      <c r="DIL169"/>
      <c r="DIM169"/>
      <c r="DIN169"/>
      <c r="DIO169"/>
      <c r="DIP169"/>
      <c r="DIQ169"/>
      <c r="DIR169"/>
      <c r="DIS169"/>
      <c r="DIT169"/>
      <c r="DIU169"/>
      <c r="DIV169"/>
      <c r="DIW169"/>
      <c r="DIX169"/>
      <c r="DIY169"/>
      <c r="DIZ169"/>
      <c r="DJA169"/>
      <c r="DJB169"/>
      <c r="DJC169"/>
      <c r="DJD169"/>
      <c r="DJE169"/>
      <c r="DJF169"/>
      <c r="DJG169"/>
      <c r="DJH169"/>
      <c r="DJI169"/>
      <c r="DJJ169"/>
      <c r="DJK169"/>
      <c r="DJL169"/>
      <c r="DJM169"/>
      <c r="DJN169"/>
      <c r="DJO169"/>
      <c r="DJP169"/>
      <c r="DJQ169"/>
      <c r="DJR169"/>
      <c r="DJS169"/>
      <c r="DJT169"/>
      <c r="DJU169"/>
      <c r="DJV169"/>
      <c r="DJW169"/>
      <c r="DJX169"/>
      <c r="DJY169"/>
      <c r="DJZ169"/>
      <c r="DKA169"/>
      <c r="DKB169"/>
      <c r="DKC169"/>
      <c r="DKD169"/>
      <c r="DKE169"/>
      <c r="DKF169"/>
      <c r="DKG169"/>
      <c r="DKH169"/>
      <c r="DKI169"/>
      <c r="DKJ169"/>
      <c r="DKK169"/>
      <c r="DKL169"/>
      <c r="DKM169"/>
      <c r="DKN169"/>
      <c r="DKO169"/>
      <c r="DKP169"/>
      <c r="DKQ169"/>
      <c r="DKR169"/>
      <c r="DKS169"/>
      <c r="DKT169"/>
      <c r="DKU169"/>
      <c r="DKV169"/>
      <c r="DKW169"/>
      <c r="DKX169"/>
      <c r="DKY169"/>
      <c r="DKZ169"/>
      <c r="DLA169"/>
      <c r="DLB169"/>
      <c r="DLC169"/>
      <c r="DLD169"/>
      <c r="DLE169"/>
      <c r="DLF169"/>
      <c r="DLG169"/>
      <c r="DLH169"/>
      <c r="DLI169"/>
      <c r="DLJ169"/>
      <c r="DLK169"/>
      <c r="DLL169"/>
      <c r="DLM169"/>
      <c r="DLN169"/>
      <c r="DLO169"/>
      <c r="DLP169"/>
      <c r="DLQ169"/>
      <c r="DLR169"/>
      <c r="DLS169"/>
      <c r="DLT169"/>
      <c r="DLU169"/>
      <c r="DLV169"/>
      <c r="DLW169"/>
      <c r="DLX169"/>
      <c r="DLY169"/>
      <c r="DLZ169"/>
      <c r="DMA169"/>
      <c r="DMB169"/>
      <c r="DMC169"/>
      <c r="DMD169"/>
      <c r="DME169"/>
      <c r="DMF169"/>
      <c r="DMG169"/>
      <c r="DMH169"/>
      <c r="DMI169"/>
      <c r="DMJ169"/>
      <c r="DMK169"/>
      <c r="DML169"/>
      <c r="DMM169"/>
      <c r="DMN169"/>
      <c r="DMO169"/>
      <c r="DMP169"/>
      <c r="DMQ169"/>
      <c r="DMR169"/>
      <c r="DMS169"/>
      <c r="DMT169"/>
      <c r="DMU169"/>
      <c r="DMV169"/>
      <c r="DMW169"/>
      <c r="DMX169"/>
      <c r="DMY169"/>
      <c r="DMZ169"/>
      <c r="DNA169"/>
      <c r="DNB169"/>
      <c r="DNC169"/>
      <c r="DND169"/>
      <c r="DNE169"/>
      <c r="DNF169"/>
      <c r="DNG169"/>
      <c r="DNH169"/>
      <c r="DNI169"/>
      <c r="DNJ169"/>
      <c r="DNK169"/>
      <c r="DNL169"/>
      <c r="DNM169"/>
      <c r="DNN169"/>
      <c r="DNO169"/>
      <c r="DNP169"/>
      <c r="DNQ169"/>
      <c r="DNR169"/>
      <c r="DNS169"/>
      <c r="DNT169"/>
      <c r="DNU169"/>
      <c r="DNV169"/>
      <c r="DNW169"/>
      <c r="DNX169"/>
      <c r="DNY169"/>
      <c r="DNZ169"/>
      <c r="DOA169"/>
      <c r="DOB169"/>
      <c r="DOC169"/>
      <c r="DOD169"/>
      <c r="DOE169"/>
      <c r="DOF169"/>
      <c r="DOG169"/>
      <c r="DOH169"/>
      <c r="DOI169"/>
      <c r="DOJ169"/>
      <c r="DOK169"/>
      <c r="DOL169"/>
      <c r="DOM169"/>
      <c r="DON169"/>
      <c r="DOO169"/>
      <c r="DOP169"/>
      <c r="DOQ169"/>
      <c r="DOR169"/>
      <c r="DOS169"/>
      <c r="DOT169"/>
      <c r="DOU169"/>
      <c r="DOV169"/>
      <c r="DOW169"/>
      <c r="DOX169"/>
      <c r="DOY169"/>
      <c r="DOZ169"/>
      <c r="DPA169"/>
      <c r="DPB169"/>
      <c r="DPC169"/>
      <c r="DPD169"/>
      <c r="DPE169"/>
      <c r="DPF169"/>
      <c r="DPG169"/>
      <c r="DPH169"/>
      <c r="DPI169"/>
      <c r="DPJ169"/>
      <c r="DPK169"/>
      <c r="DPL169"/>
      <c r="DPM169"/>
      <c r="DPN169"/>
      <c r="DPO169"/>
      <c r="DPP169"/>
      <c r="DPQ169"/>
      <c r="DPR169"/>
      <c r="DPS169"/>
      <c r="DPT169"/>
      <c r="DPU169"/>
      <c r="DPV169"/>
      <c r="DPW169"/>
      <c r="DPX169"/>
      <c r="DPY169"/>
      <c r="DPZ169"/>
      <c r="DQA169"/>
      <c r="DQB169"/>
      <c r="DQC169"/>
      <c r="DQD169"/>
      <c r="DQE169"/>
      <c r="DQF169"/>
      <c r="DQG169"/>
      <c r="DQH169"/>
      <c r="DQI169"/>
      <c r="DQJ169"/>
      <c r="DQK169"/>
      <c r="DQL169"/>
      <c r="DQM169"/>
      <c r="DQN169"/>
      <c r="DQO169"/>
      <c r="DQP169"/>
      <c r="DQQ169"/>
      <c r="DQR169"/>
      <c r="DQS169"/>
      <c r="DQT169"/>
      <c r="DQU169"/>
      <c r="DQV169"/>
      <c r="DQW169"/>
      <c r="DQX169"/>
      <c r="DQY169"/>
      <c r="DQZ169"/>
      <c r="DRA169"/>
      <c r="DRB169"/>
      <c r="DRC169"/>
      <c r="DRD169"/>
      <c r="DRE169"/>
      <c r="DRF169"/>
      <c r="DRG169"/>
      <c r="DRH169"/>
      <c r="DRI169"/>
      <c r="DRJ169"/>
      <c r="DRK169"/>
      <c r="DRL169"/>
      <c r="DRM169"/>
      <c r="DRN169"/>
      <c r="DRO169"/>
      <c r="DRP169"/>
      <c r="DRQ169"/>
      <c r="DRR169"/>
      <c r="DRS169"/>
      <c r="DRT169"/>
      <c r="DRU169"/>
      <c r="DRV169"/>
      <c r="DRW169"/>
      <c r="DRX169"/>
      <c r="DRY169"/>
      <c r="DRZ169"/>
      <c r="DSA169"/>
      <c r="DSB169"/>
      <c r="DSC169"/>
      <c r="DSD169"/>
      <c r="DSE169"/>
      <c r="DSF169"/>
      <c r="DSG169"/>
      <c r="DSH169"/>
      <c r="DSI169"/>
      <c r="DSJ169"/>
      <c r="DSK169"/>
      <c r="DSL169"/>
      <c r="DSM169"/>
      <c r="DSN169"/>
      <c r="DSO169"/>
      <c r="DSP169"/>
      <c r="DSQ169"/>
      <c r="DSR169"/>
      <c r="DSS169"/>
      <c r="DST169"/>
      <c r="DSU169"/>
      <c r="DSV169"/>
      <c r="DSW169"/>
      <c r="DSX169"/>
      <c r="DSY169"/>
      <c r="DSZ169"/>
      <c r="DTA169"/>
      <c r="DTB169"/>
      <c r="DTC169"/>
      <c r="DTD169"/>
      <c r="DTE169"/>
      <c r="DTF169"/>
      <c r="DTG169"/>
      <c r="DTH169"/>
      <c r="DTI169"/>
      <c r="DTJ169"/>
      <c r="DTK169"/>
      <c r="DTL169"/>
      <c r="DTM169"/>
      <c r="DTN169"/>
      <c r="DTO169"/>
      <c r="DTP169"/>
      <c r="DTQ169"/>
      <c r="DTR169"/>
      <c r="DTS169"/>
      <c r="DTT169"/>
      <c r="DTU169"/>
      <c r="DTV169"/>
      <c r="DTW169"/>
      <c r="DTX169"/>
      <c r="DTY169"/>
      <c r="DTZ169"/>
      <c r="DUA169"/>
      <c r="DUB169"/>
      <c r="DUC169"/>
      <c r="DUD169"/>
      <c r="DUE169"/>
      <c r="DUF169"/>
      <c r="DUG169"/>
      <c r="DUH169"/>
      <c r="DUI169"/>
      <c r="DUJ169"/>
      <c r="DUK169"/>
      <c r="DUL169"/>
      <c r="DUM169"/>
      <c r="DUN169"/>
      <c r="DUO169"/>
      <c r="DUP169"/>
      <c r="DUQ169"/>
      <c r="DUR169"/>
      <c r="DUS169"/>
      <c r="DUT169"/>
      <c r="DUU169"/>
      <c r="DUV169"/>
      <c r="DUW169"/>
      <c r="DUX169"/>
      <c r="DUY169"/>
      <c r="DUZ169"/>
      <c r="DVA169"/>
      <c r="DVB169"/>
      <c r="DVC169"/>
      <c r="DVD169"/>
      <c r="DVE169"/>
      <c r="DVF169"/>
      <c r="DVG169"/>
      <c r="DVH169"/>
      <c r="DVI169"/>
      <c r="DVJ169"/>
      <c r="DVK169"/>
      <c r="DVL169"/>
      <c r="DVM169"/>
      <c r="DVN169"/>
      <c r="DVO169"/>
      <c r="DVP169"/>
      <c r="DVQ169"/>
      <c r="DVR169"/>
      <c r="DVS169"/>
      <c r="DVT169"/>
      <c r="DVU169"/>
      <c r="DVV169"/>
      <c r="DVW169"/>
      <c r="DVX169"/>
      <c r="DVY169"/>
      <c r="DVZ169"/>
      <c r="DWA169"/>
      <c r="DWB169"/>
      <c r="DWC169"/>
      <c r="DWD169"/>
      <c r="DWE169"/>
      <c r="DWF169"/>
      <c r="DWG169"/>
      <c r="DWH169"/>
      <c r="DWI169"/>
      <c r="DWJ169"/>
      <c r="DWK169"/>
      <c r="DWL169"/>
      <c r="DWM169"/>
      <c r="DWN169"/>
      <c r="DWO169"/>
      <c r="DWP169"/>
      <c r="DWQ169"/>
      <c r="DWR169"/>
      <c r="DWS169"/>
      <c r="DWT169"/>
      <c r="DWU169"/>
      <c r="DWV169"/>
      <c r="DWW169"/>
      <c r="DWX169"/>
      <c r="DWY169"/>
      <c r="DWZ169"/>
      <c r="DXA169"/>
      <c r="DXB169"/>
      <c r="DXC169"/>
      <c r="DXD169"/>
      <c r="DXE169"/>
      <c r="DXF169"/>
      <c r="DXG169"/>
      <c r="DXH169"/>
      <c r="DXI169"/>
      <c r="DXJ169"/>
      <c r="DXK169"/>
      <c r="DXL169"/>
      <c r="DXM169"/>
      <c r="DXN169"/>
      <c r="DXO169"/>
      <c r="DXP169"/>
      <c r="DXQ169"/>
      <c r="DXR169"/>
      <c r="DXS169"/>
      <c r="DXT169"/>
      <c r="DXU169"/>
      <c r="DXV169"/>
      <c r="DXW169"/>
      <c r="DXX169"/>
      <c r="DXY169"/>
      <c r="DXZ169"/>
      <c r="DYA169"/>
      <c r="DYB169"/>
      <c r="DYC169"/>
      <c r="DYD169"/>
      <c r="DYE169"/>
      <c r="DYF169"/>
      <c r="DYG169"/>
      <c r="DYH169"/>
      <c r="DYI169"/>
      <c r="DYJ169"/>
      <c r="DYK169"/>
      <c r="DYL169"/>
      <c r="DYM169"/>
      <c r="DYN169"/>
      <c r="DYO169"/>
      <c r="DYP169"/>
      <c r="DYQ169"/>
      <c r="DYR169"/>
      <c r="DYS169"/>
      <c r="DYT169"/>
      <c r="DYU169"/>
      <c r="DYV169"/>
      <c r="DYW169"/>
      <c r="DYX169"/>
      <c r="DYY169"/>
      <c r="DYZ169"/>
      <c r="DZA169"/>
      <c r="DZB169"/>
      <c r="DZC169"/>
      <c r="DZD169"/>
      <c r="DZE169"/>
      <c r="DZF169"/>
      <c r="DZG169"/>
      <c r="DZH169"/>
      <c r="DZI169"/>
      <c r="DZJ169"/>
      <c r="DZK169"/>
      <c r="DZL169"/>
      <c r="DZM169"/>
      <c r="DZN169"/>
      <c r="DZO169"/>
      <c r="DZP169"/>
      <c r="DZQ169"/>
      <c r="DZR169"/>
      <c r="DZS169"/>
      <c r="DZT169"/>
      <c r="DZU169"/>
      <c r="DZV169"/>
      <c r="DZW169"/>
      <c r="DZX169"/>
      <c r="DZY169"/>
      <c r="DZZ169"/>
      <c r="EAA169"/>
      <c r="EAB169"/>
      <c r="EAC169"/>
      <c r="EAD169"/>
      <c r="EAE169"/>
      <c r="EAF169"/>
      <c r="EAG169"/>
      <c r="EAH169"/>
      <c r="EAI169"/>
      <c r="EAJ169"/>
      <c r="EAK169"/>
      <c r="EAL169"/>
      <c r="EAM169"/>
      <c r="EAN169"/>
      <c r="EAO169"/>
      <c r="EAP169"/>
      <c r="EAQ169"/>
      <c r="EAR169"/>
      <c r="EAS169"/>
      <c r="EAT169"/>
      <c r="EAU169"/>
      <c r="EAV169"/>
      <c r="EAW169"/>
      <c r="EAX169"/>
      <c r="EAY169"/>
      <c r="EAZ169"/>
      <c r="EBA169"/>
      <c r="EBB169"/>
      <c r="EBC169"/>
      <c r="EBD169"/>
      <c r="EBE169"/>
      <c r="EBF169"/>
      <c r="EBG169"/>
      <c r="EBH169"/>
      <c r="EBI169"/>
      <c r="EBJ169"/>
      <c r="EBK169"/>
      <c r="EBL169"/>
      <c r="EBM169"/>
      <c r="EBN169"/>
      <c r="EBO169"/>
      <c r="EBP169"/>
      <c r="EBQ169"/>
      <c r="EBR169"/>
      <c r="EBS169"/>
      <c r="EBT169"/>
      <c r="EBU169"/>
      <c r="EBV169"/>
      <c r="EBW169"/>
      <c r="EBX169"/>
      <c r="EBY169"/>
      <c r="EBZ169"/>
      <c r="ECA169"/>
      <c r="ECB169"/>
      <c r="ECC169"/>
      <c r="ECD169"/>
      <c r="ECE169"/>
      <c r="ECF169"/>
      <c r="ECG169"/>
      <c r="ECH169"/>
      <c r="ECI169"/>
      <c r="ECJ169"/>
      <c r="ECK169"/>
      <c r="ECL169"/>
      <c r="ECM169"/>
      <c r="ECN169"/>
      <c r="ECO169"/>
      <c r="ECP169"/>
      <c r="ECQ169"/>
      <c r="ECR169"/>
      <c r="ECS169"/>
      <c r="ECT169"/>
      <c r="ECU169"/>
      <c r="ECV169"/>
      <c r="ECW169"/>
      <c r="ECX169"/>
      <c r="ECY169"/>
      <c r="ECZ169"/>
      <c r="EDA169"/>
      <c r="EDB169"/>
      <c r="EDC169"/>
      <c r="EDD169"/>
      <c r="EDE169"/>
      <c r="EDF169"/>
      <c r="EDG169"/>
      <c r="EDH169"/>
      <c r="EDI169"/>
      <c r="EDJ169"/>
      <c r="EDK169"/>
      <c r="EDL169"/>
      <c r="EDM169"/>
      <c r="EDN169"/>
      <c r="EDO169"/>
      <c r="EDP169"/>
      <c r="EDQ169"/>
      <c r="EDR169"/>
      <c r="EDS169"/>
      <c r="EDT169"/>
      <c r="EDU169"/>
      <c r="EDV169"/>
      <c r="EDW169"/>
      <c r="EDX169"/>
      <c r="EDY169"/>
      <c r="EDZ169"/>
      <c r="EEA169"/>
      <c r="EEB169"/>
      <c r="EEC169"/>
      <c r="EED169"/>
      <c r="EEE169"/>
      <c r="EEF169"/>
      <c r="EEG169"/>
      <c r="EEH169"/>
      <c r="EEI169"/>
      <c r="EEJ169"/>
      <c r="EEK169"/>
      <c r="EEL169"/>
      <c r="EEM169"/>
      <c r="EEN169"/>
      <c r="EEO169"/>
      <c r="EEP169"/>
      <c r="EEQ169"/>
      <c r="EER169"/>
      <c r="EES169"/>
      <c r="EET169"/>
      <c r="EEU169"/>
      <c r="EEV169"/>
      <c r="EEW169"/>
      <c r="EEX169"/>
      <c r="EEY169"/>
      <c r="EEZ169"/>
      <c r="EFA169"/>
      <c r="EFB169"/>
      <c r="EFC169"/>
      <c r="EFD169"/>
      <c r="EFE169"/>
      <c r="EFF169"/>
      <c r="EFG169"/>
      <c r="EFH169"/>
      <c r="EFI169"/>
      <c r="EFJ169"/>
      <c r="EFK169"/>
      <c r="EFL169"/>
      <c r="EFM169"/>
      <c r="EFN169"/>
      <c r="EFO169"/>
      <c r="EFP169"/>
      <c r="EFQ169"/>
      <c r="EFR169"/>
      <c r="EFS169"/>
      <c r="EFT169"/>
      <c r="EFU169"/>
      <c r="EFV169"/>
      <c r="EFW169"/>
      <c r="EFX169"/>
      <c r="EFY169"/>
      <c r="EFZ169"/>
      <c r="EGA169"/>
      <c r="EGB169"/>
      <c r="EGC169"/>
      <c r="EGD169"/>
      <c r="EGE169"/>
      <c r="EGF169"/>
      <c r="EGG169"/>
      <c r="EGH169"/>
      <c r="EGI169"/>
      <c r="EGJ169"/>
      <c r="EGK169"/>
      <c r="EGL169"/>
      <c r="EGM169"/>
      <c r="EGN169"/>
      <c r="EGO169"/>
      <c r="EGP169"/>
      <c r="EGQ169"/>
      <c r="EGR169"/>
      <c r="EGS169"/>
      <c r="EGT169"/>
      <c r="EGU169"/>
      <c r="EGV169"/>
      <c r="EGW169"/>
      <c r="EGX169"/>
      <c r="EGY169"/>
      <c r="EGZ169"/>
      <c r="EHA169"/>
      <c r="EHB169"/>
      <c r="EHC169"/>
      <c r="EHD169"/>
      <c r="EHE169"/>
      <c r="EHF169"/>
      <c r="EHG169"/>
      <c r="EHH169"/>
      <c r="EHI169"/>
      <c r="EHJ169"/>
      <c r="EHK169"/>
      <c r="EHL169"/>
      <c r="EHM169"/>
      <c r="EHN169"/>
      <c r="EHO169"/>
      <c r="EHP169"/>
      <c r="EHQ169"/>
      <c r="EHR169"/>
      <c r="EHS169"/>
      <c r="EHT169"/>
      <c r="EHU169"/>
      <c r="EHV169"/>
      <c r="EHW169"/>
      <c r="EHX169"/>
      <c r="EHY169"/>
      <c r="EHZ169"/>
      <c r="EIA169"/>
      <c r="EIB169"/>
      <c r="EIC169"/>
      <c r="EID169"/>
      <c r="EIE169"/>
      <c r="EIF169"/>
      <c r="EIG169"/>
      <c r="EIH169"/>
      <c r="EII169"/>
      <c r="EIJ169"/>
      <c r="EIK169"/>
      <c r="EIL169"/>
      <c r="EIM169"/>
      <c r="EIN169"/>
      <c r="EIO169"/>
      <c r="EIP169"/>
      <c r="EIQ169"/>
      <c r="EIR169"/>
      <c r="EIS169"/>
      <c r="EIT169"/>
      <c r="EIU169"/>
      <c r="EIV169"/>
      <c r="EIW169"/>
      <c r="EIX169"/>
      <c r="EIY169"/>
      <c r="EIZ169"/>
      <c r="EJA169"/>
      <c r="EJB169"/>
      <c r="EJC169"/>
      <c r="EJD169"/>
      <c r="EJE169"/>
      <c r="EJF169"/>
      <c r="EJG169"/>
      <c r="EJH169"/>
      <c r="EJI169"/>
      <c r="EJJ169"/>
      <c r="EJK169"/>
      <c r="EJL169"/>
      <c r="EJM169"/>
      <c r="EJN169"/>
      <c r="EJO169"/>
      <c r="EJP169"/>
      <c r="EJQ169"/>
      <c r="EJR169"/>
      <c r="EJS169"/>
      <c r="EJT169"/>
      <c r="EJU169"/>
      <c r="EJV169"/>
      <c r="EJW169"/>
      <c r="EJX169"/>
      <c r="EJY169"/>
      <c r="EJZ169"/>
      <c r="EKA169"/>
      <c r="EKB169"/>
      <c r="EKC169"/>
      <c r="EKD169"/>
      <c r="EKE169"/>
      <c r="EKF169"/>
      <c r="EKG169"/>
      <c r="EKH169"/>
      <c r="EKI169"/>
      <c r="EKJ169"/>
      <c r="EKK169"/>
      <c r="EKL169"/>
      <c r="EKM169"/>
      <c r="EKN169"/>
      <c r="EKO169"/>
      <c r="EKP169"/>
      <c r="EKQ169"/>
      <c r="EKR169"/>
      <c r="EKS169"/>
      <c r="EKT169"/>
      <c r="EKU169"/>
      <c r="EKV169"/>
      <c r="EKW169"/>
      <c r="EKX169"/>
      <c r="EKY169"/>
      <c r="EKZ169"/>
      <c r="ELA169"/>
      <c r="ELB169"/>
      <c r="ELC169"/>
      <c r="ELD169"/>
      <c r="ELE169"/>
      <c r="ELF169"/>
      <c r="ELG169"/>
      <c r="ELH169"/>
      <c r="ELI169"/>
      <c r="ELJ169"/>
      <c r="ELK169"/>
      <c r="ELL169"/>
      <c r="ELM169"/>
      <c r="ELN169"/>
      <c r="ELO169"/>
      <c r="ELP169"/>
      <c r="ELQ169"/>
      <c r="ELR169"/>
      <c r="ELS169"/>
      <c r="ELT169"/>
      <c r="ELU169"/>
      <c r="ELV169"/>
      <c r="ELW169"/>
      <c r="ELX169"/>
      <c r="ELY169"/>
      <c r="ELZ169"/>
      <c r="EMA169"/>
      <c r="EMB169"/>
      <c r="EMC169"/>
      <c r="EMD169"/>
      <c r="EME169"/>
      <c r="EMF169"/>
      <c r="EMG169"/>
      <c r="EMH169"/>
      <c r="EMI169"/>
      <c r="EMJ169"/>
      <c r="EMK169"/>
      <c r="EML169"/>
      <c r="EMM169"/>
      <c r="EMN169"/>
      <c r="EMO169"/>
      <c r="EMP169"/>
      <c r="EMQ169"/>
      <c r="EMR169"/>
      <c r="EMS169"/>
      <c r="EMT169"/>
      <c r="EMU169"/>
      <c r="EMV169"/>
      <c r="EMW169"/>
      <c r="EMX169"/>
      <c r="EMY169"/>
      <c r="EMZ169"/>
      <c r="ENA169"/>
      <c r="ENB169"/>
      <c r="ENC169"/>
      <c r="END169"/>
      <c r="ENE169"/>
      <c r="ENF169"/>
      <c r="ENG169"/>
      <c r="ENH169"/>
      <c r="ENI169"/>
      <c r="ENJ169"/>
      <c r="ENK169"/>
      <c r="ENL169"/>
      <c r="ENM169"/>
      <c r="ENN169"/>
      <c r="ENO169"/>
      <c r="ENP169"/>
      <c r="ENQ169"/>
      <c r="ENR169"/>
      <c r="ENS169"/>
      <c r="ENT169"/>
      <c r="ENU169"/>
      <c r="ENV169"/>
      <c r="ENW169"/>
      <c r="ENX169"/>
      <c r="ENY169"/>
      <c r="ENZ169"/>
      <c r="EOA169"/>
      <c r="EOB169"/>
      <c r="EOC169"/>
      <c r="EOD169"/>
      <c r="EOE169"/>
      <c r="EOF169"/>
      <c r="EOG169"/>
      <c r="EOH169"/>
      <c r="EOI169"/>
      <c r="EOJ169"/>
      <c r="EOK169"/>
      <c r="EOL169"/>
      <c r="EOM169"/>
      <c r="EON169"/>
      <c r="EOO169"/>
      <c r="EOP169"/>
      <c r="EOQ169"/>
      <c r="EOR169"/>
      <c r="EOS169"/>
      <c r="EOT169"/>
      <c r="EOU169"/>
      <c r="EOV169"/>
      <c r="EOW169"/>
      <c r="EOX169"/>
      <c r="EOY169"/>
      <c r="EOZ169"/>
      <c r="EPA169"/>
      <c r="EPB169"/>
      <c r="EPC169"/>
      <c r="EPD169"/>
      <c r="EPE169"/>
      <c r="EPF169"/>
      <c r="EPG169"/>
      <c r="EPH169"/>
      <c r="EPI169"/>
      <c r="EPJ169"/>
      <c r="EPK169"/>
      <c r="EPL169"/>
      <c r="EPM169"/>
      <c r="EPN169"/>
      <c r="EPO169"/>
      <c r="EPP169"/>
      <c r="EPQ169"/>
      <c r="EPR169"/>
      <c r="EPS169"/>
      <c r="EPT169"/>
      <c r="EPU169"/>
      <c r="EPV169"/>
      <c r="EPW169"/>
      <c r="EPX169"/>
      <c r="EPY169"/>
      <c r="EPZ169"/>
      <c r="EQA169"/>
      <c r="EQB169"/>
      <c r="EQC169"/>
      <c r="EQD169"/>
      <c r="EQE169"/>
      <c r="EQF169"/>
      <c r="EQG169"/>
      <c r="EQH169"/>
      <c r="EQI169"/>
      <c r="EQJ169"/>
      <c r="EQK169"/>
      <c r="EQL169"/>
      <c r="EQM169"/>
      <c r="EQN169"/>
      <c r="EQO169"/>
      <c r="EQP169"/>
      <c r="EQQ169"/>
      <c r="EQR169"/>
      <c r="EQS169"/>
      <c r="EQT169"/>
      <c r="EQU169"/>
      <c r="EQV169"/>
      <c r="EQW169"/>
      <c r="EQX169"/>
      <c r="EQY169"/>
      <c r="EQZ169"/>
      <c r="ERA169"/>
      <c r="ERB169"/>
      <c r="ERC169"/>
      <c r="ERD169"/>
      <c r="ERE169"/>
      <c r="ERF169"/>
      <c r="ERG169"/>
      <c r="ERH169"/>
      <c r="ERI169"/>
      <c r="ERJ169"/>
      <c r="ERK169"/>
      <c r="ERL169"/>
      <c r="ERM169"/>
      <c r="ERN169"/>
      <c r="ERO169"/>
      <c r="ERP169"/>
      <c r="ERQ169"/>
      <c r="ERR169"/>
      <c r="ERS169"/>
      <c r="ERT169"/>
      <c r="ERU169"/>
      <c r="ERV169"/>
      <c r="ERW169"/>
      <c r="ERX169"/>
      <c r="ERY169"/>
      <c r="ERZ169"/>
      <c r="ESA169"/>
      <c r="ESB169"/>
      <c r="ESC169"/>
      <c r="ESD169"/>
      <c r="ESE169"/>
      <c r="ESF169"/>
      <c r="ESG169"/>
      <c r="ESH169"/>
      <c r="ESI169"/>
      <c r="ESJ169"/>
      <c r="ESK169"/>
      <c r="ESL169"/>
      <c r="ESM169"/>
      <c r="ESN169"/>
      <c r="ESO169"/>
      <c r="ESP169"/>
      <c r="ESQ169"/>
      <c r="ESR169"/>
      <c r="ESS169"/>
      <c r="EST169"/>
      <c r="ESU169"/>
      <c r="ESV169"/>
      <c r="ESW169"/>
      <c r="ESX169"/>
      <c r="ESY169"/>
      <c r="ESZ169"/>
      <c r="ETA169"/>
      <c r="ETB169"/>
      <c r="ETC169"/>
      <c r="ETD169"/>
      <c r="ETE169"/>
      <c r="ETF169"/>
      <c r="ETG169"/>
      <c r="ETH169"/>
      <c r="ETI169"/>
      <c r="ETJ169"/>
      <c r="ETK169"/>
      <c r="ETL169"/>
      <c r="ETM169"/>
      <c r="ETN169"/>
      <c r="ETO169"/>
      <c r="ETP169"/>
      <c r="ETQ169"/>
      <c r="ETR169"/>
      <c r="ETS169"/>
      <c r="ETT169"/>
      <c r="ETU169"/>
      <c r="ETV169"/>
      <c r="ETW169"/>
      <c r="ETX169"/>
      <c r="ETY169"/>
      <c r="ETZ169"/>
      <c r="EUA169"/>
      <c r="EUB169"/>
      <c r="EUC169"/>
      <c r="EUD169"/>
      <c r="EUE169"/>
      <c r="EUF169"/>
      <c r="EUG169"/>
      <c r="EUH169"/>
      <c r="EUI169"/>
      <c r="EUJ169"/>
      <c r="EUK169"/>
      <c r="EUL169"/>
      <c r="EUM169"/>
      <c r="EUN169"/>
      <c r="EUO169"/>
      <c r="EUP169"/>
      <c r="EUQ169"/>
      <c r="EUR169"/>
      <c r="EUS169"/>
      <c r="EUT169"/>
      <c r="EUU169"/>
      <c r="EUV169"/>
      <c r="EUW169"/>
      <c r="EUX169"/>
      <c r="EUY169"/>
      <c r="EUZ169"/>
      <c r="EVA169"/>
      <c r="EVB169"/>
      <c r="EVC169"/>
      <c r="EVD169"/>
      <c r="EVE169"/>
      <c r="EVF169"/>
      <c r="EVG169"/>
      <c r="EVH169"/>
      <c r="EVI169"/>
      <c r="EVJ169"/>
      <c r="EVK169"/>
      <c r="EVL169"/>
      <c r="EVM169"/>
      <c r="EVN169"/>
      <c r="EVO169"/>
      <c r="EVP169"/>
      <c r="EVQ169"/>
      <c r="EVR169"/>
      <c r="EVS169"/>
      <c r="EVT169"/>
      <c r="EVU169"/>
      <c r="EVV169"/>
      <c r="EVW169"/>
      <c r="EVX169"/>
      <c r="EVY169"/>
      <c r="EVZ169"/>
      <c r="EWA169"/>
      <c r="EWB169"/>
      <c r="EWC169"/>
      <c r="EWD169"/>
      <c r="EWE169"/>
      <c r="EWF169"/>
      <c r="EWG169"/>
      <c r="EWH169"/>
      <c r="EWI169"/>
      <c r="EWJ169"/>
      <c r="EWK169"/>
      <c r="EWL169"/>
      <c r="EWM169"/>
      <c r="EWN169"/>
      <c r="EWO169"/>
      <c r="EWP169"/>
      <c r="EWQ169"/>
      <c r="EWR169"/>
      <c r="EWS169"/>
      <c r="EWT169"/>
      <c r="EWU169"/>
      <c r="EWV169"/>
      <c r="EWW169"/>
      <c r="EWX169"/>
      <c r="EWY169"/>
      <c r="EWZ169"/>
      <c r="EXA169"/>
      <c r="EXB169"/>
      <c r="EXC169"/>
      <c r="EXD169"/>
      <c r="EXE169"/>
      <c r="EXF169"/>
      <c r="EXG169"/>
      <c r="EXH169"/>
      <c r="EXI169"/>
      <c r="EXJ169"/>
      <c r="EXK169"/>
      <c r="EXL169"/>
      <c r="EXM169"/>
      <c r="EXN169"/>
      <c r="EXO169"/>
      <c r="EXP169"/>
      <c r="EXQ169"/>
      <c r="EXR169"/>
      <c r="EXS169"/>
      <c r="EXT169"/>
      <c r="EXU169"/>
      <c r="EXV169"/>
      <c r="EXW169"/>
      <c r="EXX169"/>
      <c r="EXY169"/>
      <c r="EXZ169"/>
      <c r="EYA169"/>
      <c r="EYB169"/>
      <c r="EYC169"/>
      <c r="EYD169"/>
      <c r="EYE169"/>
      <c r="EYF169"/>
      <c r="EYG169"/>
      <c r="EYH169"/>
      <c r="EYI169"/>
      <c r="EYJ169"/>
      <c r="EYK169"/>
      <c r="EYL169"/>
      <c r="EYM169"/>
      <c r="EYN169"/>
      <c r="EYO169"/>
      <c r="EYP169"/>
      <c r="EYQ169"/>
      <c r="EYR169"/>
      <c r="EYS169"/>
      <c r="EYT169"/>
      <c r="EYU169"/>
      <c r="EYV169"/>
      <c r="EYW169"/>
      <c r="EYX169"/>
      <c r="EYY169"/>
      <c r="EYZ169"/>
      <c r="EZA169"/>
      <c r="EZB169"/>
      <c r="EZC169"/>
      <c r="EZD169"/>
      <c r="EZE169"/>
      <c r="EZF169"/>
      <c r="EZG169"/>
      <c r="EZH169"/>
      <c r="EZI169"/>
      <c r="EZJ169"/>
      <c r="EZK169"/>
      <c r="EZL169"/>
      <c r="EZM169"/>
      <c r="EZN169"/>
      <c r="EZO169"/>
      <c r="EZP169"/>
      <c r="EZQ169"/>
      <c r="EZR169"/>
      <c r="EZS169"/>
      <c r="EZT169"/>
      <c r="EZU169"/>
      <c r="EZV169"/>
      <c r="EZW169"/>
      <c r="EZX169"/>
      <c r="EZY169"/>
      <c r="EZZ169"/>
      <c r="FAA169"/>
      <c r="FAB169"/>
      <c r="FAC169"/>
      <c r="FAD169"/>
      <c r="FAE169"/>
      <c r="FAF169"/>
      <c r="FAG169"/>
      <c r="FAH169"/>
      <c r="FAI169"/>
      <c r="FAJ169"/>
      <c r="FAK169"/>
      <c r="FAL169"/>
      <c r="FAM169"/>
      <c r="FAN169"/>
      <c r="FAO169"/>
      <c r="FAP169"/>
      <c r="FAQ169"/>
      <c r="FAR169"/>
      <c r="FAS169"/>
      <c r="FAT169"/>
      <c r="FAU169"/>
      <c r="FAV169"/>
      <c r="FAW169"/>
      <c r="FAX169"/>
      <c r="FAY169"/>
      <c r="FAZ169"/>
      <c r="FBA169"/>
      <c r="FBB169"/>
      <c r="FBC169"/>
      <c r="FBD169"/>
      <c r="FBE169"/>
      <c r="FBF169"/>
      <c r="FBG169"/>
      <c r="FBH169"/>
      <c r="FBI169"/>
      <c r="FBJ169"/>
      <c r="FBK169"/>
      <c r="FBL169"/>
      <c r="FBM169"/>
      <c r="FBN169"/>
      <c r="FBO169"/>
      <c r="FBP169"/>
      <c r="FBQ169"/>
      <c r="FBR169"/>
      <c r="FBS169"/>
      <c r="FBT169"/>
      <c r="FBU169"/>
      <c r="FBV169"/>
      <c r="FBW169"/>
      <c r="FBX169"/>
      <c r="FBY169"/>
      <c r="FBZ169"/>
      <c r="FCA169"/>
      <c r="FCB169"/>
      <c r="FCC169"/>
      <c r="FCD169"/>
      <c r="FCE169"/>
      <c r="FCF169"/>
      <c r="FCG169"/>
      <c r="FCH169"/>
      <c r="FCI169"/>
      <c r="FCJ169"/>
      <c r="FCK169"/>
      <c r="FCL169"/>
      <c r="FCM169"/>
      <c r="FCN169"/>
      <c r="FCO169"/>
      <c r="FCP169"/>
      <c r="FCQ169"/>
      <c r="FCR169"/>
      <c r="FCS169"/>
      <c r="FCT169"/>
      <c r="FCU169"/>
      <c r="FCV169"/>
      <c r="FCW169"/>
      <c r="FCX169"/>
      <c r="FCY169"/>
      <c r="FCZ169"/>
      <c r="FDA169"/>
      <c r="FDB169"/>
      <c r="FDC169"/>
      <c r="FDD169"/>
      <c r="FDE169"/>
      <c r="FDF169"/>
      <c r="FDG169"/>
      <c r="FDH169"/>
      <c r="FDI169"/>
      <c r="FDJ169"/>
      <c r="FDK169"/>
      <c r="FDL169"/>
      <c r="FDM169"/>
      <c r="FDN169"/>
      <c r="FDO169"/>
      <c r="FDP169"/>
      <c r="FDQ169"/>
      <c r="FDR169"/>
      <c r="FDS169"/>
      <c r="FDT169"/>
      <c r="FDU169"/>
      <c r="FDV169"/>
      <c r="FDW169"/>
      <c r="FDX169"/>
      <c r="FDY169"/>
      <c r="FDZ169"/>
      <c r="FEA169"/>
      <c r="FEB169"/>
      <c r="FEC169"/>
      <c r="FED169"/>
      <c r="FEE169"/>
      <c r="FEF169"/>
      <c r="FEG169"/>
      <c r="FEH169"/>
      <c r="FEI169"/>
      <c r="FEJ169"/>
      <c r="FEK169"/>
      <c r="FEL169"/>
      <c r="FEM169"/>
      <c r="FEN169"/>
      <c r="FEO169"/>
      <c r="FEP169"/>
      <c r="FEQ169"/>
      <c r="FER169"/>
      <c r="FES169"/>
      <c r="FET169"/>
      <c r="FEU169"/>
      <c r="FEV169"/>
      <c r="FEW169"/>
      <c r="FEX169"/>
      <c r="FEY169"/>
      <c r="FEZ169"/>
      <c r="FFA169"/>
      <c r="FFB169"/>
      <c r="FFC169"/>
      <c r="FFD169"/>
      <c r="FFE169"/>
      <c r="FFF169"/>
      <c r="FFG169"/>
      <c r="FFH169"/>
      <c r="FFI169"/>
      <c r="FFJ169"/>
      <c r="FFK169"/>
      <c r="FFL169"/>
      <c r="FFM169"/>
      <c r="FFN169"/>
      <c r="FFO169"/>
      <c r="FFP169"/>
      <c r="FFQ169"/>
      <c r="FFR169"/>
      <c r="FFS169"/>
      <c r="FFT169"/>
      <c r="FFU169"/>
      <c r="FFV169"/>
      <c r="FFW169"/>
      <c r="FFX169"/>
      <c r="FFY169"/>
      <c r="FFZ169"/>
      <c r="FGA169"/>
      <c r="FGB169"/>
      <c r="FGC169"/>
      <c r="FGD169"/>
      <c r="FGE169"/>
      <c r="FGF169"/>
      <c r="FGG169"/>
      <c r="FGH169"/>
      <c r="FGI169"/>
      <c r="FGJ169"/>
      <c r="FGK169"/>
      <c r="FGL169"/>
      <c r="FGM169"/>
      <c r="FGN169"/>
      <c r="FGO169"/>
      <c r="FGP169"/>
      <c r="FGQ169"/>
      <c r="FGR169"/>
      <c r="FGS169"/>
      <c r="FGT169"/>
      <c r="FGU169"/>
      <c r="FGV169"/>
      <c r="FGW169"/>
      <c r="FGX169"/>
      <c r="FGY169"/>
      <c r="FGZ169"/>
      <c r="FHA169"/>
      <c r="FHB169"/>
      <c r="FHC169"/>
      <c r="FHD169"/>
      <c r="FHE169"/>
      <c r="FHF169"/>
      <c r="FHG169"/>
      <c r="FHH169"/>
      <c r="FHI169"/>
      <c r="FHJ169"/>
      <c r="FHK169"/>
      <c r="FHL169"/>
      <c r="FHM169"/>
      <c r="FHN169"/>
      <c r="FHO169"/>
      <c r="FHP169"/>
      <c r="FHQ169"/>
      <c r="FHR169"/>
      <c r="FHS169"/>
      <c r="FHT169"/>
      <c r="FHU169"/>
      <c r="FHV169"/>
      <c r="FHW169"/>
      <c r="FHX169"/>
      <c r="FHY169"/>
      <c r="FHZ169"/>
      <c r="FIA169"/>
      <c r="FIB169"/>
      <c r="FIC169"/>
      <c r="FID169"/>
      <c r="FIE169"/>
      <c r="FIF169"/>
      <c r="FIG169"/>
      <c r="FIH169"/>
      <c r="FII169"/>
      <c r="FIJ169"/>
      <c r="FIK169"/>
      <c r="FIL169"/>
      <c r="FIM169"/>
      <c r="FIN169"/>
      <c r="FIO169"/>
      <c r="FIP169"/>
      <c r="FIQ169"/>
      <c r="FIR169"/>
      <c r="FIS169"/>
      <c r="FIT169"/>
      <c r="FIU169"/>
      <c r="FIV169"/>
      <c r="FIW169"/>
      <c r="FIX169"/>
      <c r="FIY169"/>
      <c r="FIZ169"/>
      <c r="FJA169"/>
      <c r="FJB169"/>
      <c r="FJC169"/>
      <c r="FJD169"/>
      <c r="FJE169"/>
      <c r="FJF169"/>
      <c r="FJG169"/>
      <c r="FJH169"/>
      <c r="FJI169"/>
      <c r="FJJ169"/>
      <c r="FJK169"/>
      <c r="FJL169"/>
      <c r="FJM169"/>
      <c r="FJN169"/>
      <c r="FJO169"/>
      <c r="FJP169"/>
      <c r="FJQ169"/>
      <c r="FJR169"/>
      <c r="FJS169"/>
      <c r="FJT169"/>
      <c r="FJU169"/>
      <c r="FJV169"/>
      <c r="FJW169"/>
      <c r="FJX169"/>
      <c r="FJY169"/>
      <c r="FJZ169"/>
      <c r="FKA169"/>
      <c r="FKB169"/>
      <c r="FKC169"/>
      <c r="FKD169"/>
      <c r="FKE169"/>
      <c r="FKF169"/>
      <c r="FKG169"/>
      <c r="FKH169"/>
      <c r="FKI169"/>
      <c r="FKJ169"/>
      <c r="FKK169"/>
      <c r="FKL169"/>
      <c r="FKM169"/>
      <c r="FKN169"/>
      <c r="FKO169"/>
      <c r="FKP169"/>
      <c r="FKQ169"/>
      <c r="FKR169"/>
      <c r="FKS169"/>
      <c r="FKT169"/>
      <c r="FKU169"/>
      <c r="FKV169"/>
      <c r="FKW169"/>
      <c r="FKX169"/>
      <c r="FKY169"/>
      <c r="FKZ169"/>
      <c r="FLA169"/>
      <c r="FLB169"/>
      <c r="FLC169"/>
      <c r="FLD169"/>
      <c r="FLE169"/>
      <c r="FLF169"/>
      <c r="FLG169"/>
      <c r="FLH169"/>
      <c r="FLI169"/>
      <c r="FLJ169"/>
      <c r="FLK169"/>
      <c r="FLL169"/>
      <c r="FLM169"/>
      <c r="FLN169"/>
      <c r="FLO169"/>
      <c r="FLP169"/>
      <c r="FLQ169"/>
      <c r="FLR169"/>
      <c r="FLS169"/>
      <c r="FLT169"/>
      <c r="FLU169"/>
      <c r="FLV169"/>
      <c r="FLW169"/>
      <c r="FLX169"/>
      <c r="FLY169"/>
      <c r="FLZ169"/>
      <c r="FMA169"/>
      <c r="FMB169"/>
      <c r="FMC169"/>
      <c r="FMD169"/>
      <c r="FME169"/>
      <c r="FMF169"/>
      <c r="FMG169"/>
      <c r="FMH169"/>
      <c r="FMI169"/>
      <c r="FMJ169"/>
      <c r="FMK169"/>
      <c r="FML169"/>
      <c r="FMM169"/>
      <c r="FMN169"/>
      <c r="FMO169"/>
      <c r="FMP169"/>
      <c r="FMQ169"/>
      <c r="FMR169"/>
      <c r="FMS169"/>
      <c r="FMT169"/>
      <c r="FMU169"/>
      <c r="FMV169"/>
      <c r="FMW169"/>
      <c r="FMX169"/>
      <c r="FMY169"/>
      <c r="FMZ169"/>
      <c r="FNA169"/>
      <c r="FNB169"/>
      <c r="FNC169"/>
      <c r="FND169"/>
      <c r="FNE169"/>
      <c r="FNF169"/>
      <c r="FNG169"/>
      <c r="FNH169"/>
      <c r="FNI169"/>
      <c r="FNJ169"/>
      <c r="FNK169"/>
      <c r="FNL169"/>
      <c r="FNM169"/>
      <c r="FNN169"/>
      <c r="FNO169"/>
      <c r="FNP169"/>
      <c r="FNQ169"/>
      <c r="FNR169"/>
      <c r="FNS169"/>
      <c r="FNT169"/>
      <c r="FNU169"/>
      <c r="FNV169"/>
      <c r="FNW169"/>
      <c r="FNX169"/>
      <c r="FNY169"/>
      <c r="FNZ169"/>
      <c r="FOA169"/>
      <c r="FOB169"/>
      <c r="FOC169"/>
      <c r="FOD169"/>
      <c r="FOE169"/>
      <c r="FOF169"/>
      <c r="FOG169"/>
      <c r="FOH169"/>
      <c r="FOI169"/>
      <c r="FOJ169"/>
      <c r="FOK169"/>
      <c r="FOL169"/>
      <c r="FOM169"/>
      <c r="FON169"/>
      <c r="FOO169"/>
      <c r="FOP169"/>
      <c r="FOQ169"/>
      <c r="FOR169"/>
      <c r="FOS169"/>
      <c r="FOT169"/>
      <c r="FOU169"/>
      <c r="FOV169"/>
      <c r="FOW169"/>
      <c r="FOX169"/>
      <c r="FOY169"/>
      <c r="FOZ169"/>
      <c r="FPA169"/>
      <c r="FPB169"/>
      <c r="FPC169"/>
      <c r="FPD169"/>
      <c r="FPE169"/>
      <c r="FPF169"/>
      <c r="FPG169"/>
      <c r="FPH169"/>
      <c r="FPI169"/>
      <c r="FPJ169"/>
      <c r="FPK169"/>
      <c r="FPL169"/>
      <c r="FPM169"/>
      <c r="FPN169"/>
      <c r="FPO169"/>
      <c r="FPP169"/>
      <c r="FPQ169"/>
      <c r="FPR169"/>
      <c r="FPS169"/>
      <c r="FPT169"/>
      <c r="FPU169"/>
      <c r="FPV169"/>
      <c r="FPW169"/>
      <c r="FPX169"/>
      <c r="FPY169"/>
      <c r="FPZ169"/>
      <c r="FQA169"/>
      <c r="FQB169"/>
      <c r="FQC169"/>
      <c r="FQD169"/>
      <c r="FQE169"/>
      <c r="FQF169"/>
      <c r="FQG169"/>
      <c r="FQH169"/>
      <c r="FQI169"/>
      <c r="FQJ169"/>
      <c r="FQK169"/>
      <c r="FQL169"/>
      <c r="FQM169"/>
      <c r="FQN169"/>
      <c r="FQO169"/>
      <c r="FQP169"/>
      <c r="FQQ169"/>
      <c r="FQR169"/>
      <c r="FQS169"/>
      <c r="FQT169"/>
      <c r="FQU169"/>
      <c r="FQV169"/>
      <c r="FQW169"/>
      <c r="FQX169"/>
      <c r="FQY169"/>
      <c r="FQZ169"/>
      <c r="FRA169"/>
      <c r="FRB169"/>
      <c r="FRC169"/>
      <c r="FRD169"/>
      <c r="FRE169"/>
      <c r="FRF169"/>
      <c r="FRG169"/>
      <c r="FRH169"/>
      <c r="FRI169"/>
      <c r="FRJ169"/>
      <c r="FRK169"/>
      <c r="FRL169"/>
      <c r="FRM169"/>
      <c r="FRN169"/>
      <c r="FRO169"/>
      <c r="FRP169"/>
      <c r="FRQ169"/>
      <c r="FRR169"/>
      <c r="FRS169"/>
      <c r="FRT169"/>
      <c r="FRU169"/>
      <c r="FRV169"/>
      <c r="FRW169"/>
      <c r="FRX169"/>
      <c r="FRY169"/>
      <c r="FRZ169"/>
      <c r="FSA169"/>
      <c r="FSB169"/>
      <c r="FSC169"/>
      <c r="FSD169"/>
      <c r="FSE169"/>
      <c r="FSF169"/>
      <c r="FSG169"/>
      <c r="FSH169"/>
      <c r="FSI169"/>
      <c r="FSJ169"/>
      <c r="FSK169"/>
      <c r="FSL169"/>
      <c r="FSM169"/>
      <c r="FSN169"/>
      <c r="FSO169"/>
      <c r="FSP169"/>
      <c r="FSQ169"/>
      <c r="FSR169"/>
      <c r="FSS169"/>
      <c r="FST169"/>
      <c r="FSU169"/>
      <c r="FSV169"/>
      <c r="FSW169"/>
      <c r="FSX169"/>
      <c r="FSY169"/>
      <c r="FSZ169"/>
      <c r="FTA169"/>
      <c r="FTB169"/>
      <c r="FTC169"/>
      <c r="FTD169"/>
      <c r="FTE169"/>
      <c r="FTF169"/>
      <c r="FTG169"/>
      <c r="FTH169"/>
      <c r="FTI169"/>
      <c r="FTJ169"/>
      <c r="FTK169"/>
      <c r="FTL169"/>
      <c r="FTM169"/>
      <c r="FTN169"/>
      <c r="FTO169"/>
      <c r="FTP169"/>
      <c r="FTQ169"/>
      <c r="FTR169"/>
      <c r="FTS169"/>
      <c r="FTT169"/>
      <c r="FTU169"/>
      <c r="FTV169"/>
      <c r="FTW169"/>
      <c r="FTX169"/>
      <c r="FTY169"/>
      <c r="FTZ169"/>
      <c r="FUA169"/>
      <c r="FUB169"/>
      <c r="FUC169"/>
      <c r="FUD169"/>
      <c r="FUE169"/>
      <c r="FUF169"/>
      <c r="FUG169"/>
      <c r="FUH169"/>
      <c r="FUI169"/>
      <c r="FUJ169"/>
      <c r="FUK169"/>
      <c r="FUL169"/>
      <c r="FUM169"/>
      <c r="FUN169"/>
      <c r="FUO169"/>
      <c r="FUP169"/>
      <c r="FUQ169"/>
      <c r="FUR169"/>
      <c r="FUS169"/>
      <c r="FUT169"/>
      <c r="FUU169"/>
      <c r="FUV169"/>
      <c r="FUW169"/>
      <c r="FUX169"/>
      <c r="FUY169"/>
      <c r="FUZ169"/>
      <c r="FVA169"/>
      <c r="FVB169"/>
      <c r="FVC169"/>
      <c r="FVD169"/>
      <c r="FVE169"/>
      <c r="FVF169"/>
      <c r="FVG169"/>
      <c r="FVH169"/>
      <c r="FVI169"/>
      <c r="FVJ169"/>
      <c r="FVK169"/>
      <c r="FVL169"/>
      <c r="FVM169"/>
      <c r="FVN169"/>
      <c r="FVO169"/>
      <c r="FVP169"/>
      <c r="FVQ169"/>
      <c r="FVR169"/>
      <c r="FVS169"/>
      <c r="FVT169"/>
      <c r="FVU169"/>
      <c r="FVV169"/>
      <c r="FVW169"/>
      <c r="FVX169"/>
      <c r="FVY169"/>
      <c r="FVZ169"/>
      <c r="FWA169"/>
      <c r="FWB169"/>
      <c r="FWC169"/>
      <c r="FWD169"/>
      <c r="FWE169"/>
      <c r="FWF169"/>
      <c r="FWG169"/>
      <c r="FWH169"/>
      <c r="FWI169"/>
      <c r="FWJ169"/>
      <c r="FWK169"/>
      <c r="FWL169"/>
      <c r="FWM169"/>
      <c r="FWN169"/>
      <c r="FWO169"/>
      <c r="FWP169"/>
      <c r="FWQ169"/>
      <c r="FWR169"/>
      <c r="FWS169"/>
      <c r="FWT169"/>
      <c r="FWU169"/>
      <c r="FWV169"/>
      <c r="FWW169"/>
      <c r="FWX169"/>
      <c r="FWY169"/>
      <c r="FWZ169"/>
      <c r="FXA169"/>
      <c r="FXB169"/>
      <c r="FXC169"/>
      <c r="FXD169"/>
      <c r="FXE169"/>
      <c r="FXF169"/>
      <c r="FXG169"/>
      <c r="FXH169"/>
      <c r="FXI169"/>
      <c r="FXJ169"/>
      <c r="FXK169"/>
      <c r="FXL169"/>
      <c r="FXM169"/>
      <c r="FXN169"/>
      <c r="FXO169"/>
      <c r="FXP169"/>
      <c r="FXQ169"/>
      <c r="FXR169"/>
      <c r="FXS169"/>
      <c r="FXT169"/>
      <c r="FXU169"/>
      <c r="FXV169"/>
      <c r="FXW169"/>
      <c r="FXX169"/>
      <c r="FXY169"/>
      <c r="FXZ169"/>
      <c r="FYA169"/>
      <c r="FYB169"/>
      <c r="FYC169"/>
      <c r="FYD169"/>
      <c r="FYE169"/>
      <c r="FYF169"/>
      <c r="FYG169"/>
      <c r="FYH169"/>
      <c r="FYI169"/>
      <c r="FYJ169"/>
      <c r="FYK169"/>
      <c r="FYL169"/>
      <c r="FYM169"/>
      <c r="FYN169"/>
      <c r="FYO169"/>
      <c r="FYP169"/>
      <c r="FYQ169"/>
      <c r="FYR169"/>
      <c r="FYS169"/>
      <c r="FYT169"/>
      <c r="FYU169"/>
      <c r="FYV169"/>
      <c r="FYW169"/>
      <c r="FYX169"/>
      <c r="FYY169"/>
      <c r="FYZ169"/>
      <c r="FZA169"/>
      <c r="FZB169"/>
      <c r="FZC169"/>
      <c r="FZD169"/>
      <c r="FZE169"/>
      <c r="FZF169"/>
      <c r="FZG169"/>
      <c r="FZH169"/>
      <c r="FZI169"/>
      <c r="FZJ169"/>
      <c r="FZK169"/>
      <c r="FZL169"/>
      <c r="FZM169"/>
      <c r="FZN169"/>
      <c r="FZO169"/>
      <c r="FZP169"/>
      <c r="FZQ169"/>
      <c r="FZR169"/>
      <c r="FZS169"/>
      <c r="FZT169"/>
      <c r="FZU169"/>
      <c r="FZV169"/>
      <c r="FZW169"/>
      <c r="FZX169"/>
      <c r="FZY169"/>
      <c r="FZZ169"/>
      <c r="GAA169"/>
      <c r="GAB169"/>
      <c r="GAC169"/>
      <c r="GAD169"/>
      <c r="GAE169"/>
      <c r="GAF169"/>
      <c r="GAG169"/>
      <c r="GAH169"/>
      <c r="GAI169"/>
      <c r="GAJ169"/>
      <c r="GAK169"/>
      <c r="GAL169"/>
      <c r="GAM169"/>
      <c r="GAN169"/>
      <c r="GAO169"/>
      <c r="GAP169"/>
      <c r="GAQ169"/>
      <c r="GAR169"/>
      <c r="GAS169"/>
      <c r="GAT169"/>
      <c r="GAU169"/>
      <c r="GAV169"/>
      <c r="GAW169"/>
      <c r="GAX169"/>
      <c r="GAY169"/>
      <c r="GAZ169"/>
      <c r="GBA169"/>
      <c r="GBB169"/>
      <c r="GBC169"/>
      <c r="GBD169"/>
      <c r="GBE169"/>
      <c r="GBF169"/>
      <c r="GBG169"/>
      <c r="GBH169"/>
      <c r="GBI169"/>
      <c r="GBJ169"/>
      <c r="GBK169"/>
      <c r="GBL169"/>
      <c r="GBM169"/>
      <c r="GBN169"/>
      <c r="GBO169"/>
      <c r="GBP169"/>
      <c r="GBQ169"/>
      <c r="GBR169"/>
      <c r="GBS169"/>
      <c r="GBT169"/>
      <c r="GBU169"/>
      <c r="GBV169"/>
      <c r="GBW169"/>
      <c r="GBX169"/>
      <c r="GBY169"/>
      <c r="GBZ169"/>
      <c r="GCA169"/>
      <c r="GCB169"/>
      <c r="GCC169"/>
      <c r="GCD169"/>
      <c r="GCE169"/>
      <c r="GCF169"/>
      <c r="GCG169"/>
      <c r="GCH169"/>
      <c r="GCI169"/>
      <c r="GCJ169"/>
      <c r="GCK169"/>
      <c r="GCL169"/>
      <c r="GCM169"/>
      <c r="GCN169"/>
      <c r="GCO169"/>
      <c r="GCP169"/>
      <c r="GCQ169"/>
      <c r="GCR169"/>
      <c r="GCS169"/>
      <c r="GCT169"/>
      <c r="GCU169"/>
      <c r="GCV169"/>
      <c r="GCW169"/>
      <c r="GCX169"/>
      <c r="GCY169"/>
      <c r="GCZ169"/>
      <c r="GDA169"/>
      <c r="GDB169"/>
      <c r="GDC169"/>
      <c r="GDD169"/>
      <c r="GDE169"/>
      <c r="GDF169"/>
      <c r="GDG169"/>
      <c r="GDH169"/>
      <c r="GDI169"/>
      <c r="GDJ169"/>
      <c r="GDK169"/>
      <c r="GDL169"/>
      <c r="GDM169"/>
      <c r="GDN169"/>
      <c r="GDO169"/>
      <c r="GDP169"/>
      <c r="GDQ169"/>
      <c r="GDR169"/>
      <c r="GDS169"/>
      <c r="GDT169"/>
      <c r="GDU169"/>
      <c r="GDV169"/>
      <c r="GDW169"/>
      <c r="GDX169"/>
      <c r="GDY169"/>
      <c r="GDZ169"/>
      <c r="GEA169"/>
      <c r="GEB169"/>
      <c r="GEC169"/>
      <c r="GED169"/>
      <c r="GEE169"/>
      <c r="GEF169"/>
      <c r="GEG169"/>
      <c r="GEH169"/>
      <c r="GEI169"/>
      <c r="GEJ169"/>
      <c r="GEK169"/>
      <c r="GEL169"/>
      <c r="GEM169"/>
      <c r="GEN169"/>
      <c r="GEO169"/>
      <c r="GEP169"/>
      <c r="GEQ169"/>
      <c r="GER169"/>
      <c r="GES169"/>
      <c r="GET169"/>
      <c r="GEU169"/>
      <c r="GEV169"/>
      <c r="GEW169"/>
      <c r="GEX169"/>
      <c r="GEY169"/>
      <c r="GEZ169"/>
      <c r="GFA169"/>
      <c r="GFB169"/>
      <c r="GFC169"/>
      <c r="GFD169"/>
      <c r="GFE169"/>
      <c r="GFF169"/>
      <c r="GFG169"/>
      <c r="GFH169"/>
      <c r="GFI169"/>
      <c r="GFJ169"/>
      <c r="GFK169"/>
      <c r="GFL169"/>
      <c r="GFM169"/>
      <c r="GFN169"/>
      <c r="GFO169"/>
      <c r="GFP169"/>
      <c r="GFQ169"/>
      <c r="GFR169"/>
      <c r="GFS169"/>
      <c r="GFT169"/>
      <c r="GFU169"/>
      <c r="GFV169"/>
      <c r="GFW169"/>
      <c r="GFX169"/>
      <c r="GFY169"/>
      <c r="GFZ169"/>
      <c r="GGA169"/>
      <c r="GGB169"/>
      <c r="GGC169"/>
      <c r="GGD169"/>
      <c r="GGE169"/>
      <c r="GGF169"/>
      <c r="GGG169"/>
      <c r="GGH169"/>
      <c r="GGI169"/>
      <c r="GGJ169"/>
      <c r="GGK169"/>
      <c r="GGL169"/>
      <c r="GGM169"/>
      <c r="GGN169"/>
      <c r="GGO169"/>
      <c r="GGP169"/>
      <c r="GGQ169"/>
      <c r="GGR169"/>
      <c r="GGS169"/>
      <c r="GGT169"/>
      <c r="GGU169"/>
      <c r="GGV169"/>
      <c r="GGW169"/>
      <c r="GGX169"/>
      <c r="GGY169"/>
      <c r="GGZ169"/>
      <c r="GHA169"/>
      <c r="GHB169"/>
      <c r="GHC169"/>
      <c r="GHD169"/>
      <c r="GHE169"/>
      <c r="GHF169"/>
      <c r="GHG169"/>
      <c r="GHH169"/>
      <c r="GHI169"/>
      <c r="GHJ169"/>
      <c r="GHK169"/>
      <c r="GHL169"/>
      <c r="GHM169"/>
      <c r="GHN169"/>
      <c r="GHO169"/>
      <c r="GHP169"/>
      <c r="GHQ169"/>
      <c r="GHR169"/>
      <c r="GHS169"/>
      <c r="GHT169"/>
      <c r="GHU169"/>
      <c r="GHV169"/>
      <c r="GHW169"/>
      <c r="GHX169"/>
      <c r="GHY169"/>
      <c r="GHZ169"/>
      <c r="GIA169"/>
      <c r="GIB169"/>
      <c r="GIC169"/>
      <c r="GID169"/>
      <c r="GIE169"/>
      <c r="GIF169"/>
      <c r="GIG169"/>
      <c r="GIH169"/>
      <c r="GII169"/>
      <c r="GIJ169"/>
      <c r="GIK169"/>
      <c r="GIL169"/>
      <c r="GIM169"/>
      <c r="GIN169"/>
      <c r="GIO169"/>
      <c r="GIP169"/>
      <c r="GIQ169"/>
      <c r="GIR169"/>
      <c r="GIS169"/>
      <c r="GIT169"/>
      <c r="GIU169"/>
      <c r="GIV169"/>
      <c r="GIW169"/>
      <c r="GIX169"/>
      <c r="GIY169"/>
      <c r="GIZ169"/>
      <c r="GJA169"/>
      <c r="GJB169"/>
      <c r="GJC169"/>
      <c r="GJD169"/>
      <c r="GJE169"/>
      <c r="GJF169"/>
      <c r="GJG169"/>
      <c r="GJH169"/>
      <c r="GJI169"/>
      <c r="GJJ169"/>
      <c r="GJK169"/>
      <c r="GJL169"/>
      <c r="GJM169"/>
      <c r="GJN169"/>
      <c r="GJO169"/>
      <c r="GJP169"/>
      <c r="GJQ169"/>
      <c r="GJR169"/>
      <c r="GJS169"/>
      <c r="GJT169"/>
      <c r="GJU169"/>
      <c r="GJV169"/>
      <c r="GJW169"/>
      <c r="GJX169"/>
      <c r="GJY169"/>
      <c r="GJZ169"/>
      <c r="GKA169"/>
      <c r="GKB169"/>
      <c r="GKC169"/>
      <c r="GKD169"/>
      <c r="GKE169"/>
      <c r="GKF169"/>
      <c r="GKG169"/>
      <c r="GKH169"/>
      <c r="GKI169"/>
      <c r="GKJ169"/>
      <c r="GKK169"/>
      <c r="GKL169"/>
      <c r="GKM169"/>
      <c r="GKN169"/>
      <c r="GKO169"/>
      <c r="GKP169"/>
      <c r="GKQ169"/>
      <c r="GKR169"/>
      <c r="GKS169"/>
      <c r="GKT169"/>
      <c r="GKU169"/>
      <c r="GKV169"/>
      <c r="GKW169"/>
      <c r="GKX169"/>
      <c r="GKY169"/>
      <c r="GKZ169"/>
      <c r="GLA169"/>
      <c r="GLB169"/>
      <c r="GLC169"/>
      <c r="GLD169"/>
      <c r="GLE169"/>
      <c r="GLF169"/>
      <c r="GLG169"/>
      <c r="GLH169"/>
      <c r="GLI169"/>
      <c r="GLJ169"/>
      <c r="GLK169"/>
      <c r="GLL169"/>
      <c r="GLM169"/>
      <c r="GLN169"/>
      <c r="GLO169"/>
      <c r="GLP169"/>
      <c r="GLQ169"/>
      <c r="GLR169"/>
      <c r="GLS169"/>
      <c r="GLT169"/>
      <c r="GLU169"/>
      <c r="GLV169"/>
      <c r="GLW169"/>
      <c r="GLX169"/>
      <c r="GLY169"/>
      <c r="GLZ169"/>
      <c r="GMA169"/>
      <c r="GMB169"/>
      <c r="GMC169"/>
      <c r="GMD169"/>
      <c r="GME169"/>
      <c r="GMF169"/>
      <c r="GMG169"/>
      <c r="GMH169"/>
      <c r="GMI169"/>
      <c r="GMJ169"/>
      <c r="GMK169"/>
      <c r="GML169"/>
      <c r="GMM169"/>
      <c r="GMN169"/>
      <c r="GMO169"/>
      <c r="GMP169"/>
      <c r="GMQ169"/>
      <c r="GMR169"/>
      <c r="GMS169"/>
      <c r="GMT169"/>
      <c r="GMU169"/>
      <c r="GMV169"/>
      <c r="GMW169"/>
      <c r="GMX169"/>
      <c r="GMY169"/>
      <c r="GMZ169"/>
      <c r="GNA169"/>
      <c r="GNB169"/>
      <c r="GNC169"/>
      <c r="GND169"/>
      <c r="GNE169"/>
      <c r="GNF169"/>
      <c r="GNG169"/>
      <c r="GNH169"/>
      <c r="GNI169"/>
      <c r="GNJ169"/>
      <c r="GNK169"/>
      <c r="GNL169"/>
      <c r="GNM169"/>
      <c r="GNN169"/>
      <c r="GNO169"/>
      <c r="GNP169"/>
      <c r="GNQ169"/>
      <c r="GNR169"/>
      <c r="GNS169"/>
      <c r="GNT169"/>
      <c r="GNU169"/>
      <c r="GNV169"/>
      <c r="GNW169"/>
      <c r="GNX169"/>
      <c r="GNY169"/>
      <c r="GNZ169"/>
      <c r="GOA169"/>
      <c r="GOB169"/>
      <c r="GOC169"/>
      <c r="GOD169"/>
      <c r="GOE169"/>
      <c r="GOF169"/>
      <c r="GOG169"/>
      <c r="GOH169"/>
      <c r="GOI169"/>
      <c r="GOJ169"/>
      <c r="GOK169"/>
      <c r="GOL169"/>
      <c r="GOM169"/>
      <c r="GON169"/>
      <c r="GOO169"/>
      <c r="GOP169"/>
      <c r="GOQ169"/>
      <c r="GOR169"/>
      <c r="GOS169"/>
      <c r="GOT169"/>
      <c r="GOU169"/>
      <c r="GOV169"/>
      <c r="GOW169"/>
      <c r="GOX169"/>
      <c r="GOY169"/>
      <c r="GOZ169"/>
      <c r="GPA169"/>
      <c r="GPB169"/>
      <c r="GPC169"/>
      <c r="GPD169"/>
      <c r="GPE169"/>
      <c r="GPF169"/>
      <c r="GPG169"/>
      <c r="GPH169"/>
      <c r="GPI169"/>
      <c r="GPJ169"/>
      <c r="GPK169"/>
      <c r="GPL169"/>
      <c r="GPM169"/>
      <c r="GPN169"/>
      <c r="GPO169"/>
      <c r="GPP169"/>
      <c r="GPQ169"/>
      <c r="GPR169"/>
      <c r="GPS169"/>
      <c r="GPT169"/>
      <c r="GPU169"/>
      <c r="GPV169"/>
      <c r="GPW169"/>
      <c r="GPX169"/>
      <c r="GPY169"/>
      <c r="GPZ169"/>
      <c r="GQA169"/>
      <c r="GQB169"/>
      <c r="GQC169"/>
      <c r="GQD169"/>
      <c r="GQE169"/>
      <c r="GQF169"/>
      <c r="GQG169"/>
      <c r="GQH169"/>
      <c r="GQI169"/>
      <c r="GQJ169"/>
      <c r="GQK169"/>
      <c r="GQL169"/>
      <c r="GQM169"/>
      <c r="GQN169"/>
      <c r="GQO169"/>
      <c r="GQP169"/>
      <c r="GQQ169"/>
      <c r="GQR169"/>
      <c r="GQS169"/>
      <c r="GQT169"/>
      <c r="GQU169"/>
      <c r="GQV169"/>
      <c r="GQW169"/>
      <c r="GQX169"/>
      <c r="GQY169"/>
      <c r="GQZ169"/>
      <c r="GRA169"/>
      <c r="GRB169"/>
      <c r="GRC169"/>
      <c r="GRD169"/>
      <c r="GRE169"/>
      <c r="GRF169"/>
      <c r="GRG169"/>
      <c r="GRH169"/>
      <c r="GRI169"/>
      <c r="GRJ169"/>
      <c r="GRK169"/>
      <c r="GRL169"/>
      <c r="GRM169"/>
      <c r="GRN169"/>
      <c r="GRO169"/>
      <c r="GRP169"/>
      <c r="GRQ169"/>
      <c r="GRR169"/>
      <c r="GRS169"/>
      <c r="GRT169"/>
      <c r="GRU169"/>
      <c r="GRV169"/>
      <c r="GRW169"/>
      <c r="GRX169"/>
      <c r="GRY169"/>
      <c r="GRZ169"/>
      <c r="GSA169"/>
      <c r="GSB169"/>
      <c r="GSC169"/>
      <c r="GSD169"/>
      <c r="GSE169"/>
      <c r="GSF169"/>
      <c r="GSG169"/>
      <c r="GSH169"/>
      <c r="GSI169"/>
      <c r="GSJ169"/>
      <c r="GSK169"/>
      <c r="GSL169"/>
      <c r="GSM169"/>
      <c r="GSN169"/>
      <c r="GSO169"/>
      <c r="GSP169"/>
      <c r="GSQ169"/>
      <c r="GSR169"/>
      <c r="GSS169"/>
      <c r="GST169"/>
      <c r="GSU169"/>
      <c r="GSV169"/>
      <c r="GSW169"/>
      <c r="GSX169"/>
      <c r="GSY169"/>
      <c r="GSZ169"/>
      <c r="GTA169"/>
      <c r="GTB169"/>
      <c r="GTC169"/>
      <c r="GTD169"/>
      <c r="GTE169"/>
      <c r="GTF169"/>
      <c r="GTG169"/>
      <c r="GTH169"/>
      <c r="GTI169"/>
      <c r="GTJ169"/>
      <c r="GTK169"/>
      <c r="GTL169"/>
      <c r="GTM169"/>
      <c r="GTN169"/>
      <c r="GTO169"/>
      <c r="GTP169"/>
      <c r="GTQ169"/>
      <c r="GTR169"/>
      <c r="GTS169"/>
      <c r="GTT169"/>
      <c r="GTU169"/>
      <c r="GTV169"/>
      <c r="GTW169"/>
      <c r="GTX169"/>
      <c r="GTY169"/>
      <c r="GTZ169"/>
      <c r="GUA169"/>
      <c r="GUB169"/>
      <c r="GUC169"/>
      <c r="GUD169"/>
      <c r="GUE169"/>
      <c r="GUF169"/>
      <c r="GUG169"/>
      <c r="GUH169"/>
      <c r="GUI169"/>
      <c r="GUJ169"/>
      <c r="GUK169"/>
      <c r="GUL169"/>
      <c r="GUM169"/>
      <c r="GUN169"/>
      <c r="GUO169"/>
      <c r="GUP169"/>
      <c r="GUQ169"/>
      <c r="GUR169"/>
      <c r="GUS169"/>
      <c r="GUT169"/>
      <c r="GUU169"/>
      <c r="GUV169"/>
      <c r="GUW169"/>
      <c r="GUX169"/>
      <c r="GUY169"/>
      <c r="GUZ169"/>
      <c r="GVA169"/>
      <c r="GVB169"/>
      <c r="GVC169"/>
      <c r="GVD169"/>
      <c r="GVE169"/>
      <c r="GVF169"/>
      <c r="GVG169"/>
      <c r="GVH169"/>
      <c r="GVI169"/>
      <c r="GVJ169"/>
      <c r="GVK169"/>
      <c r="GVL169"/>
      <c r="GVM169"/>
      <c r="GVN169"/>
      <c r="GVO169"/>
      <c r="GVP169"/>
      <c r="GVQ169"/>
      <c r="GVR169"/>
      <c r="GVS169"/>
      <c r="GVT169"/>
      <c r="GVU169"/>
      <c r="GVV169"/>
      <c r="GVW169"/>
      <c r="GVX169"/>
      <c r="GVY169"/>
      <c r="GVZ169"/>
      <c r="GWA169"/>
      <c r="GWB169"/>
      <c r="GWC169"/>
      <c r="GWD169"/>
      <c r="GWE169"/>
      <c r="GWF169"/>
      <c r="GWG169"/>
      <c r="GWH169"/>
      <c r="GWI169"/>
      <c r="GWJ169"/>
      <c r="GWK169"/>
      <c r="GWL169"/>
      <c r="GWM169"/>
      <c r="GWN169"/>
      <c r="GWO169"/>
      <c r="GWP169"/>
      <c r="GWQ169"/>
      <c r="GWR169"/>
      <c r="GWS169"/>
      <c r="GWT169"/>
      <c r="GWU169"/>
      <c r="GWV169"/>
      <c r="GWW169"/>
      <c r="GWX169"/>
      <c r="GWY169"/>
      <c r="GWZ169"/>
      <c r="GXA169"/>
      <c r="GXB169"/>
      <c r="GXC169"/>
      <c r="GXD169"/>
      <c r="GXE169"/>
      <c r="GXF169"/>
      <c r="GXG169"/>
      <c r="GXH169"/>
      <c r="GXI169"/>
      <c r="GXJ169"/>
      <c r="GXK169"/>
      <c r="GXL169"/>
      <c r="GXM169"/>
      <c r="GXN169"/>
      <c r="GXO169"/>
      <c r="GXP169"/>
      <c r="GXQ169"/>
      <c r="GXR169"/>
      <c r="GXS169"/>
      <c r="GXT169"/>
      <c r="GXU169"/>
      <c r="GXV169"/>
      <c r="GXW169"/>
      <c r="GXX169"/>
      <c r="GXY169"/>
      <c r="GXZ169"/>
      <c r="GYA169"/>
      <c r="GYB169"/>
      <c r="GYC169"/>
      <c r="GYD169"/>
      <c r="GYE169"/>
      <c r="GYF169"/>
      <c r="GYG169"/>
      <c r="GYH169"/>
      <c r="GYI169"/>
      <c r="GYJ169"/>
      <c r="GYK169"/>
      <c r="GYL169"/>
      <c r="GYM169"/>
      <c r="GYN169"/>
      <c r="GYO169"/>
      <c r="GYP169"/>
      <c r="GYQ169"/>
      <c r="GYR169"/>
      <c r="GYS169"/>
      <c r="GYT169"/>
      <c r="GYU169"/>
      <c r="GYV169"/>
      <c r="GYW169"/>
      <c r="GYX169"/>
      <c r="GYY169"/>
      <c r="GYZ169"/>
      <c r="GZA169"/>
      <c r="GZB169"/>
      <c r="GZC169"/>
      <c r="GZD169"/>
      <c r="GZE169"/>
      <c r="GZF169"/>
      <c r="GZG169"/>
      <c r="GZH169"/>
      <c r="GZI169"/>
      <c r="GZJ169"/>
      <c r="GZK169"/>
      <c r="GZL169"/>
      <c r="GZM169"/>
      <c r="GZN169"/>
      <c r="GZO169"/>
      <c r="GZP169"/>
      <c r="GZQ169"/>
      <c r="GZR169"/>
      <c r="GZS169"/>
      <c r="GZT169"/>
      <c r="GZU169"/>
      <c r="GZV169"/>
      <c r="GZW169"/>
      <c r="GZX169"/>
      <c r="GZY169"/>
      <c r="GZZ169"/>
      <c r="HAA169"/>
      <c r="HAB169"/>
      <c r="HAC169"/>
      <c r="HAD169"/>
      <c r="HAE169"/>
      <c r="HAF169"/>
      <c r="HAG169"/>
      <c r="HAH169"/>
      <c r="HAI169"/>
      <c r="HAJ169"/>
      <c r="HAK169"/>
      <c r="HAL169"/>
      <c r="HAM169"/>
      <c r="HAN169"/>
      <c r="HAO169"/>
      <c r="HAP169"/>
      <c r="HAQ169"/>
      <c r="HAR169"/>
      <c r="HAS169"/>
      <c r="HAT169"/>
      <c r="HAU169"/>
      <c r="HAV169"/>
      <c r="HAW169"/>
      <c r="HAX169"/>
      <c r="HAY169"/>
      <c r="HAZ169"/>
      <c r="HBA169"/>
      <c r="HBB169"/>
      <c r="HBC169"/>
      <c r="HBD169"/>
      <c r="HBE169"/>
      <c r="HBF169"/>
      <c r="HBG169"/>
      <c r="HBH169"/>
      <c r="HBI169"/>
      <c r="HBJ169"/>
      <c r="HBK169"/>
      <c r="HBL169"/>
      <c r="HBM169"/>
      <c r="HBN169"/>
      <c r="HBO169"/>
      <c r="HBP169"/>
      <c r="HBQ169"/>
      <c r="HBR169"/>
      <c r="HBS169"/>
      <c r="HBT169"/>
      <c r="HBU169"/>
      <c r="HBV169"/>
      <c r="HBW169"/>
      <c r="HBX169"/>
      <c r="HBY169"/>
      <c r="HBZ169"/>
      <c r="HCA169"/>
      <c r="HCB169"/>
      <c r="HCC169"/>
      <c r="HCD169"/>
      <c r="HCE169"/>
      <c r="HCF169"/>
      <c r="HCG169"/>
      <c r="HCH169"/>
      <c r="HCI169"/>
      <c r="HCJ169"/>
      <c r="HCK169"/>
      <c r="HCL169"/>
      <c r="HCM169"/>
      <c r="HCN169"/>
      <c r="HCO169"/>
      <c r="HCP169"/>
      <c r="HCQ169"/>
      <c r="HCR169"/>
      <c r="HCS169"/>
      <c r="HCT169"/>
      <c r="HCU169"/>
      <c r="HCV169"/>
      <c r="HCW169"/>
      <c r="HCX169"/>
      <c r="HCY169"/>
      <c r="HCZ169"/>
      <c r="HDA169"/>
      <c r="HDB169"/>
      <c r="HDC169"/>
      <c r="HDD169"/>
      <c r="HDE169"/>
      <c r="HDF169"/>
      <c r="HDG169"/>
      <c r="HDH169"/>
      <c r="HDI169"/>
      <c r="HDJ169"/>
      <c r="HDK169"/>
      <c r="HDL169"/>
      <c r="HDM169"/>
      <c r="HDN169"/>
      <c r="HDO169"/>
      <c r="HDP169"/>
      <c r="HDQ169"/>
      <c r="HDR169"/>
      <c r="HDS169"/>
      <c r="HDT169"/>
      <c r="HDU169"/>
      <c r="HDV169"/>
      <c r="HDW169"/>
      <c r="HDX169"/>
      <c r="HDY169"/>
      <c r="HDZ169"/>
      <c r="HEA169"/>
      <c r="HEB169"/>
      <c r="HEC169"/>
      <c r="HED169"/>
      <c r="HEE169"/>
      <c r="HEF169"/>
      <c r="HEG169"/>
      <c r="HEH169"/>
      <c r="HEI169"/>
      <c r="HEJ169"/>
      <c r="HEK169"/>
      <c r="HEL169"/>
      <c r="HEM169"/>
      <c r="HEN169"/>
      <c r="HEO169"/>
      <c r="HEP169"/>
      <c r="HEQ169"/>
      <c r="HER169"/>
      <c r="HES169"/>
      <c r="HET169"/>
      <c r="HEU169"/>
      <c r="HEV169"/>
      <c r="HEW169"/>
      <c r="HEX169"/>
      <c r="HEY169"/>
      <c r="HEZ169"/>
      <c r="HFA169"/>
      <c r="HFB169"/>
      <c r="HFC169"/>
      <c r="HFD169"/>
      <c r="HFE169"/>
      <c r="HFF169"/>
      <c r="HFG169"/>
      <c r="HFH169"/>
      <c r="HFI169"/>
      <c r="HFJ169"/>
      <c r="HFK169"/>
      <c r="HFL169"/>
      <c r="HFM169"/>
      <c r="HFN169"/>
      <c r="HFO169"/>
      <c r="HFP169"/>
      <c r="HFQ169"/>
      <c r="HFR169"/>
      <c r="HFS169"/>
      <c r="HFT169"/>
      <c r="HFU169"/>
      <c r="HFV169"/>
      <c r="HFW169"/>
      <c r="HFX169"/>
      <c r="HFY169"/>
      <c r="HFZ169"/>
      <c r="HGA169"/>
      <c r="HGB169"/>
      <c r="HGC169"/>
      <c r="HGD169"/>
      <c r="HGE169"/>
      <c r="HGF169"/>
      <c r="HGG169"/>
      <c r="HGH169"/>
      <c r="HGI169"/>
      <c r="HGJ169"/>
      <c r="HGK169"/>
      <c r="HGL169"/>
      <c r="HGM169"/>
      <c r="HGN169"/>
      <c r="HGO169"/>
      <c r="HGP169"/>
      <c r="HGQ169"/>
      <c r="HGR169"/>
      <c r="HGS169"/>
      <c r="HGT169"/>
      <c r="HGU169"/>
      <c r="HGV169"/>
      <c r="HGW169"/>
      <c r="HGX169"/>
      <c r="HGY169"/>
      <c r="HGZ169"/>
      <c r="HHA169"/>
      <c r="HHB169"/>
      <c r="HHC169"/>
      <c r="HHD169"/>
      <c r="HHE169"/>
      <c r="HHF169"/>
      <c r="HHG169"/>
      <c r="HHH169"/>
      <c r="HHI169"/>
      <c r="HHJ169"/>
      <c r="HHK169"/>
      <c r="HHL169"/>
      <c r="HHM169"/>
      <c r="HHN169"/>
      <c r="HHO169"/>
      <c r="HHP169"/>
      <c r="HHQ169"/>
      <c r="HHR169"/>
      <c r="HHS169"/>
      <c r="HHT169"/>
      <c r="HHU169"/>
      <c r="HHV169"/>
      <c r="HHW169"/>
      <c r="HHX169"/>
      <c r="HHY169"/>
      <c r="HHZ169"/>
      <c r="HIA169"/>
      <c r="HIB169"/>
      <c r="HIC169"/>
      <c r="HID169"/>
      <c r="HIE169"/>
      <c r="HIF169"/>
      <c r="HIG169"/>
      <c r="HIH169"/>
      <c r="HII169"/>
      <c r="HIJ169"/>
      <c r="HIK169"/>
      <c r="HIL169"/>
      <c r="HIM169"/>
      <c r="HIN169"/>
      <c r="HIO169"/>
      <c r="HIP169"/>
      <c r="HIQ169"/>
      <c r="HIR169"/>
      <c r="HIS169"/>
      <c r="HIT169"/>
      <c r="HIU169"/>
      <c r="HIV169"/>
      <c r="HIW169"/>
      <c r="HIX169"/>
      <c r="HIY169"/>
      <c r="HIZ169"/>
      <c r="HJA169"/>
      <c r="HJB169"/>
      <c r="HJC169"/>
      <c r="HJD169"/>
      <c r="HJE169"/>
      <c r="HJF169"/>
      <c r="HJG169"/>
      <c r="HJH169"/>
      <c r="HJI169"/>
      <c r="HJJ169"/>
      <c r="HJK169"/>
      <c r="HJL169"/>
      <c r="HJM169"/>
      <c r="HJN169"/>
      <c r="HJO169"/>
      <c r="HJP169"/>
      <c r="HJQ169"/>
      <c r="HJR169"/>
      <c r="HJS169"/>
      <c r="HJT169"/>
      <c r="HJU169"/>
      <c r="HJV169"/>
      <c r="HJW169"/>
      <c r="HJX169"/>
      <c r="HJY169"/>
      <c r="HJZ169"/>
      <c r="HKA169"/>
      <c r="HKB169"/>
      <c r="HKC169"/>
      <c r="HKD169"/>
      <c r="HKE169"/>
      <c r="HKF169"/>
      <c r="HKG169"/>
      <c r="HKH169"/>
      <c r="HKI169"/>
      <c r="HKJ169"/>
      <c r="HKK169"/>
      <c r="HKL169"/>
      <c r="HKM169"/>
      <c r="HKN169"/>
      <c r="HKO169"/>
      <c r="HKP169"/>
      <c r="HKQ169"/>
      <c r="HKR169"/>
      <c r="HKS169"/>
      <c r="HKT169"/>
      <c r="HKU169"/>
      <c r="HKV169"/>
      <c r="HKW169"/>
      <c r="HKX169"/>
      <c r="HKY169"/>
      <c r="HKZ169"/>
      <c r="HLA169"/>
      <c r="HLB169"/>
      <c r="HLC169"/>
      <c r="HLD169"/>
      <c r="HLE169"/>
      <c r="HLF169"/>
      <c r="HLG169"/>
      <c r="HLH169"/>
      <c r="HLI169"/>
      <c r="HLJ169"/>
      <c r="HLK169"/>
      <c r="HLL169"/>
      <c r="HLM169"/>
      <c r="HLN169"/>
      <c r="HLO169"/>
      <c r="HLP169"/>
      <c r="HLQ169"/>
      <c r="HLR169"/>
      <c r="HLS169"/>
      <c r="HLT169"/>
      <c r="HLU169"/>
      <c r="HLV169"/>
      <c r="HLW169"/>
      <c r="HLX169"/>
      <c r="HLY169"/>
      <c r="HLZ169"/>
      <c r="HMA169"/>
      <c r="HMB169"/>
      <c r="HMC169"/>
      <c r="HMD169"/>
      <c r="HME169"/>
      <c r="HMF169"/>
      <c r="HMG169"/>
      <c r="HMH169"/>
      <c r="HMI169"/>
      <c r="HMJ169"/>
      <c r="HMK169"/>
      <c r="HML169"/>
      <c r="HMM169"/>
      <c r="HMN169"/>
      <c r="HMO169"/>
      <c r="HMP169"/>
      <c r="HMQ169"/>
      <c r="HMR169"/>
      <c r="HMS169"/>
      <c r="HMT169"/>
      <c r="HMU169"/>
      <c r="HMV169"/>
      <c r="HMW169"/>
      <c r="HMX169"/>
      <c r="HMY169"/>
      <c r="HMZ169"/>
      <c r="HNA169"/>
      <c r="HNB169"/>
      <c r="HNC169"/>
      <c r="HND169"/>
      <c r="HNE169"/>
      <c r="HNF169"/>
      <c r="HNG169"/>
      <c r="HNH169"/>
      <c r="HNI169"/>
      <c r="HNJ169"/>
      <c r="HNK169"/>
      <c r="HNL169"/>
      <c r="HNM169"/>
      <c r="HNN169"/>
      <c r="HNO169"/>
      <c r="HNP169"/>
      <c r="HNQ169"/>
      <c r="HNR169"/>
      <c r="HNS169"/>
      <c r="HNT169"/>
      <c r="HNU169"/>
      <c r="HNV169"/>
      <c r="HNW169"/>
      <c r="HNX169"/>
      <c r="HNY169"/>
      <c r="HNZ169"/>
      <c r="HOA169"/>
      <c r="HOB169"/>
      <c r="HOC169"/>
      <c r="HOD169"/>
      <c r="HOE169"/>
      <c r="HOF169"/>
      <c r="HOG169"/>
      <c r="HOH169"/>
      <c r="HOI169"/>
      <c r="HOJ169"/>
      <c r="HOK169"/>
      <c r="HOL169"/>
      <c r="HOM169"/>
      <c r="HON169"/>
      <c r="HOO169"/>
      <c r="HOP169"/>
      <c r="HOQ169"/>
      <c r="HOR169"/>
      <c r="HOS169"/>
      <c r="HOT169"/>
      <c r="HOU169"/>
      <c r="HOV169"/>
      <c r="HOW169"/>
      <c r="HOX169"/>
      <c r="HOY169"/>
      <c r="HOZ169"/>
      <c r="HPA169"/>
      <c r="HPB169"/>
      <c r="HPC169"/>
      <c r="HPD169"/>
      <c r="HPE169"/>
      <c r="HPF169"/>
      <c r="HPG169"/>
      <c r="HPH169"/>
      <c r="HPI169"/>
      <c r="HPJ169"/>
      <c r="HPK169"/>
      <c r="HPL169"/>
      <c r="HPM169"/>
      <c r="HPN169"/>
      <c r="HPO169"/>
      <c r="HPP169"/>
      <c r="HPQ169"/>
      <c r="HPR169"/>
      <c r="HPS169"/>
      <c r="HPT169"/>
      <c r="HPU169"/>
      <c r="HPV169"/>
      <c r="HPW169"/>
      <c r="HPX169"/>
      <c r="HPY169"/>
      <c r="HPZ169"/>
      <c r="HQA169"/>
      <c r="HQB169"/>
      <c r="HQC169"/>
      <c r="HQD169"/>
      <c r="HQE169"/>
      <c r="HQF169"/>
      <c r="HQG169"/>
      <c r="HQH169"/>
      <c r="HQI169"/>
      <c r="HQJ169"/>
      <c r="HQK169"/>
      <c r="HQL169"/>
      <c r="HQM169"/>
      <c r="HQN169"/>
      <c r="HQO169"/>
      <c r="HQP169"/>
      <c r="HQQ169"/>
      <c r="HQR169"/>
      <c r="HQS169"/>
      <c r="HQT169"/>
      <c r="HQU169"/>
      <c r="HQV169"/>
      <c r="HQW169"/>
      <c r="HQX169"/>
      <c r="HQY169"/>
      <c r="HQZ169"/>
      <c r="HRA169"/>
      <c r="HRB169"/>
      <c r="HRC169"/>
      <c r="HRD169"/>
      <c r="HRE169"/>
      <c r="HRF169"/>
      <c r="HRG169"/>
      <c r="HRH169"/>
      <c r="HRI169"/>
      <c r="HRJ169"/>
      <c r="HRK169"/>
      <c r="HRL169"/>
      <c r="HRM169"/>
      <c r="HRN169"/>
      <c r="HRO169"/>
      <c r="HRP169"/>
      <c r="HRQ169"/>
      <c r="HRR169"/>
      <c r="HRS169"/>
      <c r="HRT169"/>
      <c r="HRU169"/>
      <c r="HRV169"/>
      <c r="HRW169"/>
      <c r="HRX169"/>
      <c r="HRY169"/>
      <c r="HRZ169"/>
      <c r="HSA169"/>
      <c r="HSB169"/>
      <c r="HSC169"/>
      <c r="HSD169"/>
      <c r="HSE169"/>
      <c r="HSF169"/>
      <c r="HSG169"/>
      <c r="HSH169"/>
      <c r="HSI169"/>
      <c r="HSJ169"/>
      <c r="HSK169"/>
      <c r="HSL169"/>
      <c r="HSM169"/>
      <c r="HSN169"/>
      <c r="HSO169"/>
      <c r="HSP169"/>
      <c r="HSQ169"/>
      <c r="HSR169"/>
      <c r="HSS169"/>
      <c r="HST169"/>
      <c r="HSU169"/>
      <c r="HSV169"/>
      <c r="HSW169"/>
      <c r="HSX169"/>
      <c r="HSY169"/>
      <c r="HSZ169"/>
      <c r="HTA169"/>
      <c r="HTB169"/>
      <c r="HTC169"/>
      <c r="HTD169"/>
      <c r="HTE169"/>
      <c r="HTF169"/>
      <c r="HTG169"/>
      <c r="HTH169"/>
      <c r="HTI169"/>
      <c r="HTJ169"/>
      <c r="HTK169"/>
      <c r="HTL169"/>
      <c r="HTM169"/>
      <c r="HTN169"/>
      <c r="HTO169"/>
      <c r="HTP169"/>
      <c r="HTQ169"/>
      <c r="HTR169"/>
      <c r="HTS169"/>
      <c r="HTT169"/>
      <c r="HTU169"/>
      <c r="HTV169"/>
      <c r="HTW169"/>
      <c r="HTX169"/>
      <c r="HTY169"/>
      <c r="HTZ169"/>
      <c r="HUA169"/>
      <c r="HUB169"/>
      <c r="HUC169"/>
      <c r="HUD169"/>
      <c r="HUE169"/>
      <c r="HUF169"/>
      <c r="HUG169"/>
      <c r="HUH169"/>
      <c r="HUI169"/>
      <c r="HUJ169"/>
      <c r="HUK169"/>
      <c r="HUL169"/>
      <c r="HUM169"/>
      <c r="HUN169"/>
      <c r="HUO169"/>
      <c r="HUP169"/>
      <c r="HUQ169"/>
      <c r="HUR169"/>
      <c r="HUS169"/>
      <c r="HUT169"/>
      <c r="HUU169"/>
      <c r="HUV169"/>
      <c r="HUW169"/>
      <c r="HUX169"/>
      <c r="HUY169"/>
      <c r="HUZ169"/>
      <c r="HVA169"/>
      <c r="HVB169"/>
      <c r="HVC169"/>
      <c r="HVD169"/>
      <c r="HVE169"/>
      <c r="HVF169"/>
      <c r="HVG169"/>
      <c r="HVH169"/>
      <c r="HVI169"/>
      <c r="HVJ169"/>
      <c r="HVK169"/>
      <c r="HVL169"/>
      <c r="HVM169"/>
      <c r="HVN169"/>
      <c r="HVO169"/>
      <c r="HVP169"/>
      <c r="HVQ169"/>
      <c r="HVR169"/>
      <c r="HVS169"/>
      <c r="HVT169"/>
      <c r="HVU169"/>
      <c r="HVV169"/>
      <c r="HVW169"/>
      <c r="HVX169"/>
      <c r="HVY169"/>
      <c r="HVZ169"/>
      <c r="HWA169"/>
      <c r="HWB169"/>
      <c r="HWC169"/>
      <c r="HWD169"/>
      <c r="HWE169"/>
      <c r="HWF169"/>
      <c r="HWG169"/>
      <c r="HWH169"/>
      <c r="HWI169"/>
      <c r="HWJ169"/>
      <c r="HWK169"/>
      <c r="HWL169"/>
      <c r="HWM169"/>
      <c r="HWN169"/>
      <c r="HWO169"/>
      <c r="HWP169"/>
      <c r="HWQ169"/>
      <c r="HWR169"/>
      <c r="HWS169"/>
      <c r="HWT169"/>
      <c r="HWU169"/>
      <c r="HWV169"/>
      <c r="HWW169"/>
      <c r="HWX169"/>
      <c r="HWY169"/>
      <c r="HWZ169"/>
      <c r="HXA169"/>
      <c r="HXB169"/>
      <c r="HXC169"/>
      <c r="HXD169"/>
      <c r="HXE169"/>
      <c r="HXF169"/>
      <c r="HXG169"/>
      <c r="HXH169"/>
      <c r="HXI169"/>
      <c r="HXJ169"/>
      <c r="HXK169"/>
      <c r="HXL169"/>
      <c r="HXM169"/>
      <c r="HXN169"/>
      <c r="HXO169"/>
      <c r="HXP169"/>
      <c r="HXQ169"/>
      <c r="HXR169"/>
      <c r="HXS169"/>
      <c r="HXT169"/>
      <c r="HXU169"/>
      <c r="HXV169"/>
      <c r="HXW169"/>
      <c r="HXX169"/>
      <c r="HXY169"/>
      <c r="HXZ169"/>
      <c r="HYA169"/>
      <c r="HYB169"/>
      <c r="HYC169"/>
      <c r="HYD169"/>
      <c r="HYE169"/>
      <c r="HYF169"/>
      <c r="HYG169"/>
      <c r="HYH169"/>
      <c r="HYI169"/>
      <c r="HYJ169"/>
      <c r="HYK169"/>
      <c r="HYL169"/>
      <c r="HYM169"/>
      <c r="HYN169"/>
      <c r="HYO169"/>
      <c r="HYP169"/>
      <c r="HYQ169"/>
      <c r="HYR169"/>
      <c r="HYS169"/>
      <c r="HYT169"/>
      <c r="HYU169"/>
      <c r="HYV169"/>
      <c r="HYW169"/>
      <c r="HYX169"/>
      <c r="HYY169"/>
      <c r="HYZ169"/>
      <c r="HZA169"/>
      <c r="HZB169"/>
      <c r="HZC169"/>
      <c r="HZD169"/>
      <c r="HZE169"/>
      <c r="HZF169"/>
      <c r="HZG169"/>
      <c r="HZH169"/>
      <c r="HZI169"/>
      <c r="HZJ169"/>
      <c r="HZK169"/>
      <c r="HZL169"/>
      <c r="HZM169"/>
      <c r="HZN169"/>
      <c r="HZO169"/>
      <c r="HZP169"/>
      <c r="HZQ169"/>
      <c r="HZR169"/>
      <c r="HZS169"/>
      <c r="HZT169"/>
      <c r="HZU169"/>
      <c r="HZV169"/>
      <c r="HZW169"/>
      <c r="HZX169"/>
      <c r="HZY169"/>
      <c r="HZZ169"/>
      <c r="IAA169"/>
      <c r="IAB169"/>
      <c r="IAC169"/>
      <c r="IAD169"/>
      <c r="IAE169"/>
      <c r="IAF169"/>
      <c r="IAG169"/>
      <c r="IAH169"/>
      <c r="IAI169"/>
      <c r="IAJ169"/>
      <c r="IAK169"/>
      <c r="IAL169"/>
      <c r="IAM169"/>
      <c r="IAN169"/>
      <c r="IAO169"/>
      <c r="IAP169"/>
      <c r="IAQ169"/>
      <c r="IAR169"/>
      <c r="IAS169"/>
      <c r="IAT169"/>
      <c r="IAU169"/>
      <c r="IAV169"/>
      <c r="IAW169"/>
      <c r="IAX169"/>
      <c r="IAY169"/>
      <c r="IAZ169"/>
      <c r="IBA169"/>
      <c r="IBB169"/>
      <c r="IBC169"/>
      <c r="IBD169"/>
      <c r="IBE169"/>
      <c r="IBF169"/>
      <c r="IBG169"/>
      <c r="IBH169"/>
      <c r="IBI169"/>
      <c r="IBJ169"/>
      <c r="IBK169"/>
      <c r="IBL169"/>
      <c r="IBM169"/>
      <c r="IBN169"/>
      <c r="IBO169"/>
      <c r="IBP169"/>
      <c r="IBQ169"/>
      <c r="IBR169"/>
      <c r="IBS169"/>
      <c r="IBT169"/>
      <c r="IBU169"/>
      <c r="IBV169"/>
      <c r="IBW169"/>
      <c r="IBX169"/>
      <c r="IBY169"/>
      <c r="IBZ169"/>
      <c r="ICA169"/>
      <c r="ICB169"/>
      <c r="ICC169"/>
      <c r="ICD169"/>
      <c r="ICE169"/>
      <c r="ICF169"/>
      <c r="ICG169"/>
      <c r="ICH169"/>
      <c r="ICI169"/>
      <c r="ICJ169"/>
      <c r="ICK169"/>
      <c r="ICL169"/>
      <c r="ICM169"/>
      <c r="ICN169"/>
      <c r="ICO169"/>
      <c r="ICP169"/>
      <c r="ICQ169"/>
      <c r="ICR169"/>
      <c r="ICS169"/>
      <c r="ICT169"/>
      <c r="ICU169"/>
      <c r="ICV169"/>
      <c r="ICW169"/>
      <c r="ICX169"/>
      <c r="ICY169"/>
      <c r="ICZ169"/>
      <c r="IDA169"/>
      <c r="IDB169"/>
      <c r="IDC169"/>
      <c r="IDD169"/>
      <c r="IDE169"/>
      <c r="IDF169"/>
      <c r="IDG169"/>
      <c r="IDH169"/>
      <c r="IDI169"/>
      <c r="IDJ169"/>
      <c r="IDK169"/>
      <c r="IDL169"/>
      <c r="IDM169"/>
      <c r="IDN169"/>
      <c r="IDO169"/>
      <c r="IDP169"/>
      <c r="IDQ169"/>
      <c r="IDR169"/>
      <c r="IDS169"/>
      <c r="IDT169"/>
      <c r="IDU169"/>
      <c r="IDV169"/>
      <c r="IDW169"/>
      <c r="IDX169"/>
      <c r="IDY169"/>
      <c r="IDZ169"/>
      <c r="IEA169"/>
      <c r="IEB169"/>
      <c r="IEC169"/>
      <c r="IED169"/>
      <c r="IEE169"/>
      <c r="IEF169"/>
      <c r="IEG169"/>
      <c r="IEH169"/>
      <c r="IEI169"/>
      <c r="IEJ169"/>
      <c r="IEK169"/>
      <c r="IEL169"/>
      <c r="IEM169"/>
      <c r="IEN169"/>
      <c r="IEO169"/>
      <c r="IEP169"/>
      <c r="IEQ169"/>
      <c r="IER169"/>
      <c r="IES169"/>
      <c r="IET169"/>
      <c r="IEU169"/>
      <c r="IEV169"/>
      <c r="IEW169"/>
      <c r="IEX169"/>
      <c r="IEY169"/>
      <c r="IEZ169"/>
      <c r="IFA169"/>
      <c r="IFB169"/>
      <c r="IFC169"/>
      <c r="IFD169"/>
      <c r="IFE169"/>
      <c r="IFF169"/>
      <c r="IFG169"/>
      <c r="IFH169"/>
      <c r="IFI169"/>
      <c r="IFJ169"/>
      <c r="IFK169"/>
      <c r="IFL169"/>
      <c r="IFM169"/>
      <c r="IFN169"/>
      <c r="IFO169"/>
      <c r="IFP169"/>
      <c r="IFQ169"/>
      <c r="IFR169"/>
      <c r="IFS169"/>
      <c r="IFT169"/>
      <c r="IFU169"/>
      <c r="IFV169"/>
      <c r="IFW169"/>
      <c r="IFX169"/>
      <c r="IFY169"/>
      <c r="IFZ169"/>
      <c r="IGA169"/>
      <c r="IGB169"/>
      <c r="IGC169"/>
      <c r="IGD169"/>
      <c r="IGE169"/>
      <c r="IGF169"/>
      <c r="IGG169"/>
      <c r="IGH169"/>
      <c r="IGI169"/>
      <c r="IGJ169"/>
      <c r="IGK169"/>
      <c r="IGL169"/>
      <c r="IGM169"/>
      <c r="IGN169"/>
      <c r="IGO169"/>
      <c r="IGP169"/>
      <c r="IGQ169"/>
      <c r="IGR169"/>
      <c r="IGS169"/>
      <c r="IGT169"/>
      <c r="IGU169"/>
      <c r="IGV169"/>
      <c r="IGW169"/>
      <c r="IGX169"/>
      <c r="IGY169"/>
      <c r="IGZ169"/>
      <c r="IHA169"/>
      <c r="IHB169"/>
      <c r="IHC169"/>
      <c r="IHD169"/>
      <c r="IHE169"/>
      <c r="IHF169"/>
      <c r="IHG169"/>
      <c r="IHH169"/>
      <c r="IHI169"/>
      <c r="IHJ169"/>
      <c r="IHK169"/>
      <c r="IHL169"/>
      <c r="IHM169"/>
      <c r="IHN169"/>
      <c r="IHO169"/>
      <c r="IHP169"/>
      <c r="IHQ169"/>
      <c r="IHR169"/>
      <c r="IHS169"/>
      <c r="IHT169"/>
      <c r="IHU169"/>
      <c r="IHV169"/>
      <c r="IHW169"/>
      <c r="IHX169"/>
      <c r="IHY169"/>
      <c r="IHZ169"/>
      <c r="IIA169"/>
      <c r="IIB169"/>
      <c r="IIC169"/>
      <c r="IID169"/>
      <c r="IIE169"/>
      <c r="IIF169"/>
      <c r="IIG169"/>
      <c r="IIH169"/>
      <c r="III169"/>
      <c r="IIJ169"/>
      <c r="IIK169"/>
      <c r="IIL169"/>
      <c r="IIM169"/>
      <c r="IIN169"/>
      <c r="IIO169"/>
      <c r="IIP169"/>
      <c r="IIQ169"/>
      <c r="IIR169"/>
      <c r="IIS169"/>
      <c r="IIT169"/>
      <c r="IIU169"/>
      <c r="IIV169"/>
      <c r="IIW169"/>
      <c r="IIX169"/>
      <c r="IIY169"/>
      <c r="IIZ169"/>
      <c r="IJA169"/>
      <c r="IJB169"/>
      <c r="IJC169"/>
      <c r="IJD169"/>
      <c r="IJE169"/>
      <c r="IJF169"/>
      <c r="IJG169"/>
      <c r="IJH169"/>
      <c r="IJI169"/>
      <c r="IJJ169"/>
      <c r="IJK169"/>
      <c r="IJL169"/>
      <c r="IJM169"/>
      <c r="IJN169"/>
      <c r="IJO169"/>
      <c r="IJP169"/>
      <c r="IJQ169"/>
      <c r="IJR169"/>
      <c r="IJS169"/>
      <c r="IJT169"/>
      <c r="IJU169"/>
      <c r="IJV169"/>
      <c r="IJW169"/>
      <c r="IJX169"/>
      <c r="IJY169"/>
      <c r="IJZ169"/>
      <c r="IKA169"/>
      <c r="IKB169"/>
      <c r="IKC169"/>
      <c r="IKD169"/>
      <c r="IKE169"/>
      <c r="IKF169"/>
      <c r="IKG169"/>
      <c r="IKH169"/>
      <c r="IKI169"/>
      <c r="IKJ169"/>
      <c r="IKK169"/>
      <c r="IKL169"/>
      <c r="IKM169"/>
      <c r="IKN169"/>
      <c r="IKO169"/>
      <c r="IKP169"/>
      <c r="IKQ169"/>
      <c r="IKR169"/>
      <c r="IKS169"/>
      <c r="IKT169"/>
      <c r="IKU169"/>
      <c r="IKV169"/>
      <c r="IKW169"/>
      <c r="IKX169"/>
      <c r="IKY169"/>
      <c r="IKZ169"/>
      <c r="ILA169"/>
      <c r="ILB169"/>
      <c r="ILC169"/>
      <c r="ILD169"/>
      <c r="ILE169"/>
      <c r="ILF169"/>
      <c r="ILG169"/>
      <c r="ILH169"/>
      <c r="ILI169"/>
      <c r="ILJ169"/>
      <c r="ILK169"/>
      <c r="ILL169"/>
      <c r="ILM169"/>
      <c r="ILN169"/>
      <c r="ILO169"/>
      <c r="ILP169"/>
      <c r="ILQ169"/>
      <c r="ILR169"/>
      <c r="ILS169"/>
      <c r="ILT169"/>
      <c r="ILU169"/>
      <c r="ILV169"/>
      <c r="ILW169"/>
      <c r="ILX169"/>
      <c r="ILY169"/>
      <c r="ILZ169"/>
      <c r="IMA169"/>
      <c r="IMB169"/>
      <c r="IMC169"/>
      <c r="IMD169"/>
      <c r="IME169"/>
      <c r="IMF169"/>
      <c r="IMG169"/>
      <c r="IMH169"/>
      <c r="IMI169"/>
      <c r="IMJ169"/>
      <c r="IMK169"/>
      <c r="IML169"/>
      <c r="IMM169"/>
      <c r="IMN169"/>
      <c r="IMO169"/>
      <c r="IMP169"/>
      <c r="IMQ169"/>
      <c r="IMR169"/>
      <c r="IMS169"/>
      <c r="IMT169"/>
      <c r="IMU169"/>
      <c r="IMV169"/>
      <c r="IMW169"/>
      <c r="IMX169"/>
      <c r="IMY169"/>
      <c r="IMZ169"/>
      <c r="INA169"/>
      <c r="INB169"/>
      <c r="INC169"/>
      <c r="IND169"/>
      <c r="INE169"/>
      <c r="INF169"/>
      <c r="ING169"/>
      <c r="INH169"/>
      <c r="INI169"/>
      <c r="INJ169"/>
      <c r="INK169"/>
      <c r="INL169"/>
      <c r="INM169"/>
      <c r="INN169"/>
      <c r="INO169"/>
      <c r="INP169"/>
      <c r="INQ169"/>
      <c r="INR169"/>
      <c r="INS169"/>
      <c r="INT169"/>
      <c r="INU169"/>
      <c r="INV169"/>
      <c r="INW169"/>
      <c r="INX169"/>
      <c r="INY169"/>
      <c r="INZ169"/>
      <c r="IOA169"/>
      <c r="IOB169"/>
      <c r="IOC169"/>
      <c r="IOD169"/>
      <c r="IOE169"/>
      <c r="IOF169"/>
      <c r="IOG169"/>
      <c r="IOH169"/>
      <c r="IOI169"/>
      <c r="IOJ169"/>
      <c r="IOK169"/>
      <c r="IOL169"/>
      <c r="IOM169"/>
      <c r="ION169"/>
      <c r="IOO169"/>
      <c r="IOP169"/>
      <c r="IOQ169"/>
      <c r="IOR169"/>
      <c r="IOS169"/>
      <c r="IOT169"/>
      <c r="IOU169"/>
      <c r="IOV169"/>
      <c r="IOW169"/>
      <c r="IOX169"/>
      <c r="IOY169"/>
      <c r="IOZ169"/>
      <c r="IPA169"/>
      <c r="IPB169"/>
      <c r="IPC169"/>
      <c r="IPD169"/>
      <c r="IPE169"/>
      <c r="IPF169"/>
      <c r="IPG169"/>
      <c r="IPH169"/>
      <c r="IPI169"/>
      <c r="IPJ169"/>
      <c r="IPK169"/>
      <c r="IPL169"/>
      <c r="IPM169"/>
      <c r="IPN169"/>
      <c r="IPO169"/>
      <c r="IPP169"/>
      <c r="IPQ169"/>
      <c r="IPR169"/>
      <c r="IPS169"/>
      <c r="IPT169"/>
      <c r="IPU169"/>
      <c r="IPV169"/>
      <c r="IPW169"/>
      <c r="IPX169"/>
      <c r="IPY169"/>
      <c r="IPZ169"/>
      <c r="IQA169"/>
      <c r="IQB169"/>
      <c r="IQC169"/>
      <c r="IQD169"/>
      <c r="IQE169"/>
      <c r="IQF169"/>
      <c r="IQG169"/>
      <c r="IQH169"/>
      <c r="IQI169"/>
      <c r="IQJ169"/>
      <c r="IQK169"/>
      <c r="IQL169"/>
      <c r="IQM169"/>
      <c r="IQN169"/>
      <c r="IQO169"/>
      <c r="IQP169"/>
      <c r="IQQ169"/>
      <c r="IQR169"/>
      <c r="IQS169"/>
      <c r="IQT169"/>
      <c r="IQU169"/>
      <c r="IQV169"/>
      <c r="IQW169"/>
      <c r="IQX169"/>
      <c r="IQY169"/>
      <c r="IQZ169"/>
      <c r="IRA169"/>
      <c r="IRB169"/>
      <c r="IRC169"/>
      <c r="IRD169"/>
      <c r="IRE169"/>
      <c r="IRF169"/>
      <c r="IRG169"/>
      <c r="IRH169"/>
      <c r="IRI169"/>
      <c r="IRJ169"/>
      <c r="IRK169"/>
      <c r="IRL169"/>
      <c r="IRM169"/>
      <c r="IRN169"/>
      <c r="IRO169"/>
      <c r="IRP169"/>
      <c r="IRQ169"/>
      <c r="IRR169"/>
      <c r="IRS169"/>
      <c r="IRT169"/>
      <c r="IRU169"/>
      <c r="IRV169"/>
      <c r="IRW169"/>
      <c r="IRX169"/>
      <c r="IRY169"/>
      <c r="IRZ169"/>
      <c r="ISA169"/>
      <c r="ISB169"/>
      <c r="ISC169"/>
      <c r="ISD169"/>
      <c r="ISE169"/>
      <c r="ISF169"/>
      <c r="ISG169"/>
      <c r="ISH169"/>
      <c r="ISI169"/>
      <c r="ISJ169"/>
      <c r="ISK169"/>
      <c r="ISL169"/>
      <c r="ISM169"/>
      <c r="ISN169"/>
      <c r="ISO169"/>
      <c r="ISP169"/>
      <c r="ISQ169"/>
      <c r="ISR169"/>
      <c r="ISS169"/>
      <c r="IST169"/>
      <c r="ISU169"/>
      <c r="ISV169"/>
      <c r="ISW169"/>
      <c r="ISX169"/>
      <c r="ISY169"/>
      <c r="ISZ169"/>
      <c r="ITA169"/>
      <c r="ITB169"/>
      <c r="ITC169"/>
      <c r="ITD169"/>
      <c r="ITE169"/>
      <c r="ITF169"/>
      <c r="ITG169"/>
      <c r="ITH169"/>
      <c r="ITI169"/>
      <c r="ITJ169"/>
      <c r="ITK169"/>
      <c r="ITL169"/>
      <c r="ITM169"/>
      <c r="ITN169"/>
      <c r="ITO169"/>
      <c r="ITP169"/>
      <c r="ITQ169"/>
      <c r="ITR169"/>
      <c r="ITS169"/>
      <c r="ITT169"/>
      <c r="ITU169"/>
      <c r="ITV169"/>
      <c r="ITW169"/>
      <c r="ITX169"/>
      <c r="ITY169"/>
      <c r="ITZ169"/>
      <c r="IUA169"/>
      <c r="IUB169"/>
      <c r="IUC169"/>
      <c r="IUD169"/>
      <c r="IUE169"/>
      <c r="IUF169"/>
      <c r="IUG169"/>
      <c r="IUH169"/>
      <c r="IUI169"/>
      <c r="IUJ169"/>
      <c r="IUK169"/>
      <c r="IUL169"/>
      <c r="IUM169"/>
      <c r="IUN169"/>
      <c r="IUO169"/>
      <c r="IUP169"/>
      <c r="IUQ169"/>
      <c r="IUR169"/>
      <c r="IUS169"/>
      <c r="IUT169"/>
      <c r="IUU169"/>
      <c r="IUV169"/>
      <c r="IUW169"/>
      <c r="IUX169"/>
      <c r="IUY169"/>
      <c r="IUZ169"/>
      <c r="IVA169"/>
      <c r="IVB169"/>
      <c r="IVC169"/>
      <c r="IVD169"/>
      <c r="IVE169"/>
      <c r="IVF169"/>
      <c r="IVG169"/>
      <c r="IVH169"/>
      <c r="IVI169"/>
      <c r="IVJ169"/>
      <c r="IVK169"/>
      <c r="IVL169"/>
      <c r="IVM169"/>
      <c r="IVN169"/>
      <c r="IVO169"/>
      <c r="IVP169"/>
      <c r="IVQ169"/>
      <c r="IVR169"/>
      <c r="IVS169"/>
      <c r="IVT169"/>
      <c r="IVU169"/>
      <c r="IVV169"/>
      <c r="IVW169"/>
      <c r="IVX169"/>
      <c r="IVY169"/>
      <c r="IVZ169"/>
      <c r="IWA169"/>
      <c r="IWB169"/>
      <c r="IWC169"/>
      <c r="IWD169"/>
      <c r="IWE169"/>
      <c r="IWF169"/>
      <c r="IWG169"/>
      <c r="IWH169"/>
      <c r="IWI169"/>
      <c r="IWJ169"/>
      <c r="IWK169"/>
      <c r="IWL169"/>
      <c r="IWM169"/>
      <c r="IWN169"/>
      <c r="IWO169"/>
      <c r="IWP169"/>
      <c r="IWQ169"/>
      <c r="IWR169"/>
      <c r="IWS169"/>
      <c r="IWT169"/>
      <c r="IWU169"/>
      <c r="IWV169"/>
      <c r="IWW169"/>
      <c r="IWX169"/>
      <c r="IWY169"/>
      <c r="IWZ169"/>
      <c r="IXA169"/>
      <c r="IXB169"/>
      <c r="IXC169"/>
      <c r="IXD169"/>
      <c r="IXE169"/>
      <c r="IXF169"/>
      <c r="IXG169"/>
      <c r="IXH169"/>
      <c r="IXI169"/>
      <c r="IXJ169"/>
      <c r="IXK169"/>
      <c r="IXL169"/>
      <c r="IXM169"/>
      <c r="IXN169"/>
      <c r="IXO169"/>
      <c r="IXP169"/>
      <c r="IXQ169"/>
      <c r="IXR169"/>
      <c r="IXS169"/>
      <c r="IXT169"/>
      <c r="IXU169"/>
      <c r="IXV169"/>
      <c r="IXW169"/>
      <c r="IXX169"/>
      <c r="IXY169"/>
      <c r="IXZ169"/>
      <c r="IYA169"/>
      <c r="IYB169"/>
      <c r="IYC169"/>
      <c r="IYD169"/>
      <c r="IYE169"/>
      <c r="IYF169"/>
      <c r="IYG169"/>
      <c r="IYH169"/>
      <c r="IYI169"/>
      <c r="IYJ169"/>
      <c r="IYK169"/>
      <c r="IYL169"/>
      <c r="IYM169"/>
      <c r="IYN169"/>
      <c r="IYO169"/>
      <c r="IYP169"/>
      <c r="IYQ169"/>
      <c r="IYR169"/>
      <c r="IYS169"/>
      <c r="IYT169"/>
      <c r="IYU169"/>
      <c r="IYV169"/>
      <c r="IYW169"/>
      <c r="IYX169"/>
      <c r="IYY169"/>
      <c r="IYZ169"/>
      <c r="IZA169"/>
      <c r="IZB169"/>
      <c r="IZC169"/>
      <c r="IZD169"/>
      <c r="IZE169"/>
      <c r="IZF169"/>
      <c r="IZG169"/>
      <c r="IZH169"/>
      <c r="IZI169"/>
      <c r="IZJ169"/>
      <c r="IZK169"/>
      <c r="IZL169"/>
      <c r="IZM169"/>
      <c r="IZN169"/>
      <c r="IZO169"/>
      <c r="IZP169"/>
      <c r="IZQ169"/>
      <c r="IZR169"/>
      <c r="IZS169"/>
      <c r="IZT169"/>
      <c r="IZU169"/>
      <c r="IZV169"/>
      <c r="IZW169"/>
      <c r="IZX169"/>
      <c r="IZY169"/>
      <c r="IZZ169"/>
      <c r="JAA169"/>
      <c r="JAB169"/>
      <c r="JAC169"/>
      <c r="JAD169"/>
      <c r="JAE169"/>
      <c r="JAF169"/>
      <c r="JAG169"/>
      <c r="JAH169"/>
      <c r="JAI169"/>
      <c r="JAJ169"/>
      <c r="JAK169"/>
      <c r="JAL169"/>
      <c r="JAM169"/>
      <c r="JAN169"/>
      <c r="JAO169"/>
      <c r="JAP169"/>
      <c r="JAQ169"/>
      <c r="JAR169"/>
      <c r="JAS169"/>
      <c r="JAT169"/>
      <c r="JAU169"/>
      <c r="JAV169"/>
      <c r="JAW169"/>
      <c r="JAX169"/>
      <c r="JAY169"/>
      <c r="JAZ169"/>
      <c r="JBA169"/>
      <c r="JBB169"/>
      <c r="JBC169"/>
      <c r="JBD169"/>
      <c r="JBE169"/>
      <c r="JBF169"/>
      <c r="JBG169"/>
      <c r="JBH169"/>
      <c r="JBI169"/>
      <c r="JBJ169"/>
      <c r="JBK169"/>
      <c r="JBL169"/>
      <c r="JBM169"/>
      <c r="JBN169"/>
      <c r="JBO169"/>
      <c r="JBP169"/>
      <c r="JBQ169"/>
      <c r="JBR169"/>
      <c r="JBS169"/>
      <c r="JBT169"/>
      <c r="JBU169"/>
      <c r="JBV169"/>
      <c r="JBW169"/>
      <c r="JBX169"/>
      <c r="JBY169"/>
      <c r="JBZ169"/>
      <c r="JCA169"/>
      <c r="JCB169"/>
      <c r="JCC169"/>
      <c r="JCD169"/>
      <c r="JCE169"/>
      <c r="JCF169"/>
      <c r="JCG169"/>
      <c r="JCH169"/>
      <c r="JCI169"/>
      <c r="JCJ169"/>
      <c r="JCK169"/>
      <c r="JCL169"/>
      <c r="JCM169"/>
      <c r="JCN169"/>
      <c r="JCO169"/>
      <c r="JCP169"/>
      <c r="JCQ169"/>
      <c r="JCR169"/>
      <c r="JCS169"/>
      <c r="JCT169"/>
      <c r="JCU169"/>
      <c r="JCV169"/>
      <c r="JCW169"/>
      <c r="JCX169"/>
      <c r="JCY169"/>
      <c r="JCZ169"/>
      <c r="JDA169"/>
      <c r="JDB169"/>
      <c r="JDC169"/>
      <c r="JDD169"/>
      <c r="JDE169"/>
      <c r="JDF169"/>
      <c r="JDG169"/>
      <c r="JDH169"/>
      <c r="JDI169"/>
      <c r="JDJ169"/>
      <c r="JDK169"/>
      <c r="JDL169"/>
      <c r="JDM169"/>
      <c r="JDN169"/>
      <c r="JDO169"/>
      <c r="JDP169"/>
      <c r="JDQ169"/>
      <c r="JDR169"/>
      <c r="JDS169"/>
      <c r="JDT169"/>
      <c r="JDU169"/>
      <c r="JDV169"/>
      <c r="JDW169"/>
      <c r="JDX169"/>
      <c r="JDY169"/>
      <c r="JDZ169"/>
      <c r="JEA169"/>
      <c r="JEB169"/>
      <c r="JEC169"/>
      <c r="JED169"/>
      <c r="JEE169"/>
      <c r="JEF169"/>
      <c r="JEG169"/>
      <c r="JEH169"/>
      <c r="JEI169"/>
      <c r="JEJ169"/>
      <c r="JEK169"/>
      <c r="JEL169"/>
      <c r="JEM169"/>
      <c r="JEN169"/>
      <c r="JEO169"/>
      <c r="JEP169"/>
      <c r="JEQ169"/>
      <c r="JER169"/>
      <c r="JES169"/>
      <c r="JET169"/>
      <c r="JEU169"/>
      <c r="JEV169"/>
      <c r="JEW169"/>
      <c r="JEX169"/>
      <c r="JEY169"/>
      <c r="JEZ169"/>
      <c r="JFA169"/>
      <c r="JFB169"/>
      <c r="JFC169"/>
      <c r="JFD169"/>
      <c r="JFE169"/>
      <c r="JFF169"/>
      <c r="JFG169"/>
      <c r="JFH169"/>
      <c r="JFI169"/>
      <c r="JFJ169"/>
      <c r="JFK169"/>
      <c r="JFL169"/>
      <c r="JFM169"/>
      <c r="JFN169"/>
      <c r="JFO169"/>
      <c r="JFP169"/>
      <c r="JFQ169"/>
      <c r="JFR169"/>
      <c r="JFS169"/>
      <c r="JFT169"/>
      <c r="JFU169"/>
      <c r="JFV169"/>
      <c r="JFW169"/>
      <c r="JFX169"/>
      <c r="JFY169"/>
      <c r="JFZ169"/>
      <c r="JGA169"/>
      <c r="JGB169"/>
      <c r="JGC169"/>
      <c r="JGD169"/>
      <c r="JGE169"/>
      <c r="JGF169"/>
      <c r="JGG169"/>
      <c r="JGH169"/>
      <c r="JGI169"/>
      <c r="JGJ169"/>
      <c r="JGK169"/>
      <c r="JGL169"/>
      <c r="JGM169"/>
      <c r="JGN169"/>
      <c r="JGO169"/>
      <c r="JGP169"/>
      <c r="JGQ169"/>
      <c r="JGR169"/>
      <c r="JGS169"/>
      <c r="JGT169"/>
      <c r="JGU169"/>
      <c r="JGV169"/>
      <c r="JGW169"/>
      <c r="JGX169"/>
      <c r="JGY169"/>
      <c r="JGZ169"/>
      <c r="JHA169"/>
      <c r="JHB169"/>
      <c r="JHC169"/>
      <c r="JHD169"/>
      <c r="JHE169"/>
      <c r="JHF169"/>
      <c r="JHG169"/>
      <c r="JHH169"/>
      <c r="JHI169"/>
      <c r="JHJ169"/>
      <c r="JHK169"/>
      <c r="JHL169"/>
      <c r="JHM169"/>
      <c r="JHN169"/>
      <c r="JHO169"/>
      <c r="JHP169"/>
      <c r="JHQ169"/>
      <c r="JHR169"/>
      <c r="JHS169"/>
      <c r="JHT169"/>
      <c r="JHU169"/>
      <c r="JHV169"/>
      <c r="JHW169"/>
      <c r="JHX169"/>
      <c r="JHY169"/>
      <c r="JHZ169"/>
      <c r="JIA169"/>
      <c r="JIB169"/>
      <c r="JIC169"/>
      <c r="JID169"/>
      <c r="JIE169"/>
      <c r="JIF169"/>
      <c r="JIG169"/>
      <c r="JIH169"/>
      <c r="JII169"/>
      <c r="JIJ169"/>
      <c r="JIK169"/>
      <c r="JIL169"/>
      <c r="JIM169"/>
      <c r="JIN169"/>
      <c r="JIO169"/>
      <c r="JIP169"/>
      <c r="JIQ169"/>
      <c r="JIR169"/>
      <c r="JIS169"/>
      <c r="JIT169"/>
      <c r="JIU169"/>
      <c r="JIV169"/>
      <c r="JIW169"/>
      <c r="JIX169"/>
      <c r="JIY169"/>
      <c r="JIZ169"/>
      <c r="JJA169"/>
      <c r="JJB169"/>
      <c r="JJC169"/>
      <c r="JJD169"/>
      <c r="JJE169"/>
      <c r="JJF169"/>
      <c r="JJG169"/>
      <c r="JJH169"/>
      <c r="JJI169"/>
      <c r="JJJ169"/>
      <c r="JJK169"/>
      <c r="JJL169"/>
      <c r="JJM169"/>
      <c r="JJN169"/>
      <c r="JJO169"/>
      <c r="JJP169"/>
      <c r="JJQ169"/>
      <c r="JJR169"/>
      <c r="JJS169"/>
      <c r="JJT169"/>
      <c r="JJU169"/>
      <c r="JJV169"/>
      <c r="JJW169"/>
      <c r="JJX169"/>
      <c r="JJY169"/>
      <c r="JJZ169"/>
      <c r="JKA169"/>
      <c r="JKB169"/>
      <c r="JKC169"/>
      <c r="JKD169"/>
      <c r="JKE169"/>
      <c r="JKF169"/>
      <c r="JKG169"/>
      <c r="JKH169"/>
      <c r="JKI169"/>
      <c r="JKJ169"/>
      <c r="JKK169"/>
      <c r="JKL169"/>
      <c r="JKM169"/>
      <c r="JKN169"/>
      <c r="JKO169"/>
      <c r="JKP169"/>
      <c r="JKQ169"/>
      <c r="JKR169"/>
      <c r="JKS169"/>
      <c r="JKT169"/>
      <c r="JKU169"/>
      <c r="JKV169"/>
      <c r="JKW169"/>
      <c r="JKX169"/>
      <c r="JKY169"/>
      <c r="JKZ169"/>
      <c r="JLA169"/>
      <c r="JLB169"/>
      <c r="JLC169"/>
      <c r="JLD169"/>
      <c r="JLE169"/>
      <c r="JLF169"/>
      <c r="JLG169"/>
      <c r="JLH169"/>
      <c r="JLI169"/>
      <c r="JLJ169"/>
      <c r="JLK169"/>
      <c r="JLL169"/>
      <c r="JLM169"/>
      <c r="JLN169"/>
      <c r="JLO169"/>
      <c r="JLP169"/>
      <c r="JLQ169"/>
      <c r="JLR169"/>
      <c r="JLS169"/>
      <c r="JLT169"/>
      <c r="JLU169"/>
      <c r="JLV169"/>
      <c r="JLW169"/>
      <c r="JLX169"/>
      <c r="JLY169"/>
      <c r="JLZ169"/>
      <c r="JMA169"/>
      <c r="JMB169"/>
      <c r="JMC169"/>
      <c r="JMD169"/>
      <c r="JME169"/>
      <c r="JMF169"/>
      <c r="JMG169"/>
      <c r="JMH169"/>
      <c r="JMI169"/>
      <c r="JMJ169"/>
      <c r="JMK169"/>
      <c r="JML169"/>
      <c r="JMM169"/>
      <c r="JMN169"/>
      <c r="JMO169"/>
      <c r="JMP169"/>
      <c r="JMQ169"/>
      <c r="JMR169"/>
      <c r="JMS169"/>
      <c r="JMT169"/>
      <c r="JMU169"/>
      <c r="JMV169"/>
      <c r="JMW169"/>
      <c r="JMX169"/>
      <c r="JMY169"/>
      <c r="JMZ169"/>
      <c r="JNA169"/>
      <c r="JNB169"/>
      <c r="JNC169"/>
      <c r="JND169"/>
      <c r="JNE169"/>
      <c r="JNF169"/>
      <c r="JNG169"/>
      <c r="JNH169"/>
      <c r="JNI169"/>
      <c r="JNJ169"/>
      <c r="JNK169"/>
      <c r="JNL169"/>
      <c r="JNM169"/>
      <c r="JNN169"/>
      <c r="JNO169"/>
      <c r="JNP169"/>
      <c r="JNQ169"/>
      <c r="JNR169"/>
      <c r="JNS169"/>
      <c r="JNT169"/>
      <c r="JNU169"/>
      <c r="JNV169"/>
      <c r="JNW169"/>
      <c r="JNX169"/>
      <c r="JNY169"/>
      <c r="JNZ169"/>
      <c r="JOA169"/>
      <c r="JOB169"/>
      <c r="JOC169"/>
      <c r="JOD169"/>
      <c r="JOE169"/>
      <c r="JOF169"/>
      <c r="JOG169"/>
      <c r="JOH169"/>
      <c r="JOI169"/>
      <c r="JOJ169"/>
      <c r="JOK169"/>
      <c r="JOL169"/>
      <c r="JOM169"/>
      <c r="JON169"/>
      <c r="JOO169"/>
      <c r="JOP169"/>
      <c r="JOQ169"/>
      <c r="JOR169"/>
      <c r="JOS169"/>
      <c r="JOT169"/>
      <c r="JOU169"/>
      <c r="JOV169"/>
      <c r="JOW169"/>
      <c r="JOX169"/>
      <c r="JOY169"/>
      <c r="JOZ169"/>
      <c r="JPA169"/>
      <c r="JPB169"/>
      <c r="JPC169"/>
      <c r="JPD169"/>
      <c r="JPE169"/>
      <c r="JPF169"/>
      <c r="JPG169"/>
      <c r="JPH169"/>
      <c r="JPI169"/>
      <c r="JPJ169"/>
      <c r="JPK169"/>
      <c r="JPL169"/>
      <c r="JPM169"/>
      <c r="JPN169"/>
      <c r="JPO169"/>
      <c r="JPP169"/>
      <c r="JPQ169"/>
      <c r="JPR169"/>
      <c r="JPS169"/>
      <c r="JPT169"/>
      <c r="JPU169"/>
      <c r="JPV169"/>
      <c r="JPW169"/>
      <c r="JPX169"/>
      <c r="JPY169"/>
      <c r="JPZ169"/>
      <c r="JQA169"/>
      <c r="JQB169"/>
      <c r="JQC169"/>
      <c r="JQD169"/>
      <c r="JQE169"/>
      <c r="JQF169"/>
      <c r="JQG169"/>
      <c r="JQH169"/>
      <c r="JQI169"/>
      <c r="JQJ169"/>
      <c r="JQK169"/>
      <c r="JQL169"/>
      <c r="JQM169"/>
      <c r="JQN169"/>
      <c r="JQO169"/>
      <c r="JQP169"/>
      <c r="JQQ169"/>
      <c r="JQR169"/>
      <c r="JQS169"/>
      <c r="JQT169"/>
      <c r="JQU169"/>
      <c r="JQV169"/>
      <c r="JQW169"/>
      <c r="JQX169"/>
      <c r="JQY169"/>
      <c r="JQZ169"/>
      <c r="JRA169"/>
      <c r="JRB169"/>
      <c r="JRC169"/>
      <c r="JRD169"/>
      <c r="JRE169"/>
      <c r="JRF169"/>
      <c r="JRG169"/>
      <c r="JRH169"/>
      <c r="JRI169"/>
      <c r="JRJ169"/>
      <c r="JRK169"/>
      <c r="JRL169"/>
      <c r="JRM169"/>
      <c r="JRN169"/>
      <c r="JRO169"/>
      <c r="JRP169"/>
      <c r="JRQ169"/>
      <c r="JRR169"/>
      <c r="JRS169"/>
      <c r="JRT169"/>
      <c r="JRU169"/>
      <c r="JRV169"/>
      <c r="JRW169"/>
      <c r="JRX169"/>
      <c r="JRY169"/>
      <c r="JRZ169"/>
      <c r="JSA169"/>
      <c r="JSB169"/>
      <c r="JSC169"/>
      <c r="JSD169"/>
      <c r="JSE169"/>
      <c r="JSF169"/>
      <c r="JSG169"/>
      <c r="JSH169"/>
      <c r="JSI169"/>
      <c r="JSJ169"/>
      <c r="JSK169"/>
      <c r="JSL169"/>
      <c r="JSM169"/>
      <c r="JSN169"/>
      <c r="JSO169"/>
      <c r="JSP169"/>
      <c r="JSQ169"/>
      <c r="JSR169"/>
      <c r="JSS169"/>
      <c r="JST169"/>
      <c r="JSU169"/>
      <c r="JSV169"/>
      <c r="JSW169"/>
      <c r="JSX169"/>
      <c r="JSY169"/>
      <c r="JSZ169"/>
      <c r="JTA169"/>
      <c r="JTB169"/>
      <c r="JTC169"/>
      <c r="JTD169"/>
      <c r="JTE169"/>
      <c r="JTF169"/>
      <c r="JTG169"/>
      <c r="JTH169"/>
      <c r="JTI169"/>
      <c r="JTJ169"/>
      <c r="JTK169"/>
      <c r="JTL169"/>
      <c r="JTM169"/>
      <c r="JTN169"/>
      <c r="JTO169"/>
      <c r="JTP169"/>
      <c r="JTQ169"/>
      <c r="JTR169"/>
      <c r="JTS169"/>
      <c r="JTT169"/>
      <c r="JTU169"/>
      <c r="JTV169"/>
      <c r="JTW169"/>
      <c r="JTX169"/>
      <c r="JTY169"/>
      <c r="JTZ169"/>
      <c r="JUA169"/>
      <c r="JUB169"/>
      <c r="JUC169"/>
      <c r="JUD169"/>
      <c r="JUE169"/>
      <c r="JUF169"/>
      <c r="JUG169"/>
      <c r="JUH169"/>
      <c r="JUI169"/>
      <c r="JUJ169"/>
      <c r="JUK169"/>
      <c r="JUL169"/>
      <c r="JUM169"/>
      <c r="JUN169"/>
      <c r="JUO169"/>
      <c r="JUP169"/>
      <c r="JUQ169"/>
      <c r="JUR169"/>
      <c r="JUS169"/>
      <c r="JUT169"/>
      <c r="JUU169"/>
      <c r="JUV169"/>
      <c r="JUW169"/>
      <c r="JUX169"/>
      <c r="JUY169"/>
      <c r="JUZ169"/>
      <c r="JVA169"/>
      <c r="JVB169"/>
      <c r="JVC169"/>
      <c r="JVD169"/>
      <c r="JVE169"/>
      <c r="JVF169"/>
      <c r="JVG169"/>
      <c r="JVH169"/>
      <c r="JVI169"/>
      <c r="JVJ169"/>
      <c r="JVK169"/>
      <c r="JVL169"/>
      <c r="JVM169"/>
      <c r="JVN169"/>
      <c r="JVO169"/>
      <c r="JVP169"/>
      <c r="JVQ169"/>
      <c r="JVR169"/>
      <c r="JVS169"/>
      <c r="JVT169"/>
      <c r="JVU169"/>
      <c r="JVV169"/>
      <c r="JVW169"/>
      <c r="JVX169"/>
      <c r="JVY169"/>
      <c r="JVZ169"/>
      <c r="JWA169"/>
      <c r="JWB169"/>
      <c r="JWC169"/>
      <c r="JWD169"/>
      <c r="JWE169"/>
      <c r="JWF169"/>
      <c r="JWG169"/>
      <c r="JWH169"/>
      <c r="JWI169"/>
      <c r="JWJ169"/>
      <c r="JWK169"/>
      <c r="JWL169"/>
      <c r="JWM169"/>
      <c r="JWN169"/>
      <c r="JWO169"/>
      <c r="JWP169"/>
      <c r="JWQ169"/>
      <c r="JWR169"/>
      <c r="JWS169"/>
      <c r="JWT169"/>
      <c r="JWU169"/>
      <c r="JWV169"/>
      <c r="JWW169"/>
      <c r="JWX169"/>
      <c r="JWY169"/>
      <c r="JWZ169"/>
      <c r="JXA169"/>
      <c r="JXB169"/>
      <c r="JXC169"/>
      <c r="JXD169"/>
      <c r="JXE169"/>
      <c r="JXF169"/>
      <c r="JXG169"/>
      <c r="JXH169"/>
      <c r="JXI169"/>
      <c r="JXJ169"/>
      <c r="JXK169"/>
      <c r="JXL169"/>
      <c r="JXM169"/>
      <c r="JXN169"/>
      <c r="JXO169"/>
      <c r="JXP169"/>
      <c r="JXQ169"/>
      <c r="JXR169"/>
      <c r="JXS169"/>
      <c r="JXT169"/>
      <c r="JXU169"/>
      <c r="JXV169"/>
      <c r="JXW169"/>
      <c r="JXX169"/>
      <c r="JXY169"/>
      <c r="JXZ169"/>
      <c r="JYA169"/>
      <c r="JYB169"/>
      <c r="JYC169"/>
      <c r="JYD169"/>
      <c r="JYE169"/>
      <c r="JYF169"/>
      <c r="JYG169"/>
      <c r="JYH169"/>
      <c r="JYI169"/>
      <c r="JYJ169"/>
      <c r="JYK169"/>
      <c r="JYL169"/>
      <c r="JYM169"/>
      <c r="JYN169"/>
      <c r="JYO169"/>
      <c r="JYP169"/>
      <c r="JYQ169"/>
      <c r="JYR169"/>
      <c r="JYS169"/>
      <c r="JYT169"/>
      <c r="JYU169"/>
      <c r="JYV169"/>
      <c r="JYW169"/>
      <c r="JYX169"/>
      <c r="JYY169"/>
      <c r="JYZ169"/>
      <c r="JZA169"/>
      <c r="JZB169"/>
      <c r="JZC169"/>
      <c r="JZD169"/>
      <c r="JZE169"/>
      <c r="JZF169"/>
      <c r="JZG169"/>
      <c r="JZH169"/>
      <c r="JZI169"/>
      <c r="JZJ169"/>
      <c r="JZK169"/>
      <c r="JZL169"/>
      <c r="JZM169"/>
      <c r="JZN169"/>
      <c r="JZO169"/>
      <c r="JZP169"/>
      <c r="JZQ169"/>
      <c r="JZR169"/>
      <c r="JZS169"/>
      <c r="JZT169"/>
      <c r="JZU169"/>
      <c r="JZV169"/>
      <c r="JZW169"/>
      <c r="JZX169"/>
      <c r="JZY169"/>
      <c r="JZZ169"/>
      <c r="KAA169"/>
      <c r="KAB169"/>
      <c r="KAC169"/>
      <c r="KAD169"/>
      <c r="KAE169"/>
      <c r="KAF169"/>
      <c r="KAG169"/>
      <c r="KAH169"/>
      <c r="KAI169"/>
      <c r="KAJ169"/>
      <c r="KAK169"/>
      <c r="KAL169"/>
      <c r="KAM169"/>
      <c r="KAN169"/>
      <c r="KAO169"/>
      <c r="KAP169"/>
      <c r="KAQ169"/>
      <c r="KAR169"/>
      <c r="KAS169"/>
      <c r="KAT169"/>
      <c r="KAU169"/>
      <c r="KAV169"/>
      <c r="KAW169"/>
      <c r="KAX169"/>
      <c r="KAY169"/>
      <c r="KAZ169"/>
      <c r="KBA169"/>
      <c r="KBB169"/>
      <c r="KBC169"/>
      <c r="KBD169"/>
      <c r="KBE169"/>
      <c r="KBF169"/>
      <c r="KBG169"/>
      <c r="KBH169"/>
      <c r="KBI169"/>
      <c r="KBJ169"/>
      <c r="KBK169"/>
      <c r="KBL169"/>
      <c r="KBM169"/>
      <c r="KBN169"/>
      <c r="KBO169"/>
      <c r="KBP169"/>
      <c r="KBQ169"/>
      <c r="KBR169"/>
      <c r="KBS169"/>
      <c r="KBT169"/>
      <c r="KBU169"/>
      <c r="KBV169"/>
      <c r="KBW169"/>
      <c r="KBX169"/>
      <c r="KBY169"/>
      <c r="KBZ169"/>
      <c r="KCA169"/>
      <c r="KCB169"/>
      <c r="KCC169"/>
      <c r="KCD169"/>
      <c r="KCE169"/>
      <c r="KCF169"/>
      <c r="KCG169"/>
      <c r="KCH169"/>
      <c r="KCI169"/>
      <c r="KCJ169"/>
      <c r="KCK169"/>
      <c r="KCL169"/>
      <c r="KCM169"/>
      <c r="KCN169"/>
      <c r="KCO169"/>
      <c r="KCP169"/>
      <c r="KCQ169"/>
      <c r="KCR169"/>
      <c r="KCS169"/>
      <c r="KCT169"/>
      <c r="KCU169"/>
      <c r="KCV169"/>
      <c r="KCW169"/>
      <c r="KCX169"/>
      <c r="KCY169"/>
      <c r="KCZ169"/>
      <c r="KDA169"/>
      <c r="KDB169"/>
      <c r="KDC169"/>
      <c r="KDD169"/>
      <c r="KDE169"/>
      <c r="KDF169"/>
      <c r="KDG169"/>
      <c r="KDH169"/>
      <c r="KDI169"/>
      <c r="KDJ169"/>
      <c r="KDK169"/>
      <c r="KDL169"/>
      <c r="KDM169"/>
      <c r="KDN169"/>
      <c r="KDO169"/>
      <c r="KDP169"/>
      <c r="KDQ169"/>
      <c r="KDR169"/>
      <c r="KDS169"/>
      <c r="KDT169"/>
      <c r="KDU169"/>
      <c r="KDV169"/>
      <c r="KDW169"/>
      <c r="KDX169"/>
      <c r="KDY169"/>
      <c r="KDZ169"/>
      <c r="KEA169"/>
      <c r="KEB169"/>
      <c r="KEC169"/>
      <c r="KED169"/>
      <c r="KEE169"/>
      <c r="KEF169"/>
      <c r="KEG169"/>
      <c r="KEH169"/>
      <c r="KEI169"/>
      <c r="KEJ169"/>
      <c r="KEK169"/>
      <c r="KEL169"/>
      <c r="KEM169"/>
      <c r="KEN169"/>
      <c r="KEO169"/>
      <c r="KEP169"/>
      <c r="KEQ169"/>
      <c r="KER169"/>
      <c r="KES169"/>
      <c r="KET169"/>
      <c r="KEU169"/>
      <c r="KEV169"/>
      <c r="KEW169"/>
      <c r="KEX169"/>
      <c r="KEY169"/>
      <c r="KEZ169"/>
      <c r="KFA169"/>
      <c r="KFB169"/>
      <c r="KFC169"/>
      <c r="KFD169"/>
      <c r="KFE169"/>
      <c r="KFF169"/>
      <c r="KFG169"/>
      <c r="KFH169"/>
      <c r="KFI169"/>
      <c r="KFJ169"/>
      <c r="KFK169"/>
      <c r="KFL169"/>
      <c r="KFM169"/>
      <c r="KFN169"/>
      <c r="KFO169"/>
      <c r="KFP169"/>
      <c r="KFQ169"/>
      <c r="KFR169"/>
      <c r="KFS169"/>
      <c r="KFT169"/>
      <c r="KFU169"/>
      <c r="KFV169"/>
      <c r="KFW169"/>
      <c r="KFX169"/>
      <c r="KFY169"/>
      <c r="KFZ169"/>
      <c r="KGA169"/>
      <c r="KGB169"/>
      <c r="KGC169"/>
      <c r="KGD169"/>
      <c r="KGE169"/>
      <c r="KGF169"/>
      <c r="KGG169"/>
      <c r="KGH169"/>
      <c r="KGI169"/>
      <c r="KGJ169"/>
      <c r="KGK169"/>
      <c r="KGL169"/>
      <c r="KGM169"/>
      <c r="KGN169"/>
      <c r="KGO169"/>
      <c r="KGP169"/>
      <c r="KGQ169"/>
      <c r="KGR169"/>
      <c r="KGS169"/>
      <c r="KGT169"/>
      <c r="KGU169"/>
      <c r="KGV169"/>
      <c r="KGW169"/>
      <c r="KGX169"/>
      <c r="KGY169"/>
      <c r="KGZ169"/>
      <c r="KHA169"/>
      <c r="KHB169"/>
      <c r="KHC169"/>
      <c r="KHD169"/>
      <c r="KHE169"/>
      <c r="KHF169"/>
      <c r="KHG169"/>
      <c r="KHH169"/>
      <c r="KHI169"/>
      <c r="KHJ169"/>
      <c r="KHK169"/>
      <c r="KHL169"/>
      <c r="KHM169"/>
      <c r="KHN169"/>
      <c r="KHO169"/>
      <c r="KHP169"/>
      <c r="KHQ169"/>
      <c r="KHR169"/>
      <c r="KHS169"/>
      <c r="KHT169"/>
      <c r="KHU169"/>
      <c r="KHV169"/>
      <c r="KHW169"/>
      <c r="KHX169"/>
      <c r="KHY169"/>
      <c r="KHZ169"/>
      <c r="KIA169"/>
      <c r="KIB169"/>
      <c r="KIC169"/>
      <c r="KID169"/>
      <c r="KIE169"/>
      <c r="KIF169"/>
      <c r="KIG169"/>
      <c r="KIH169"/>
      <c r="KII169"/>
      <c r="KIJ169"/>
      <c r="KIK169"/>
      <c r="KIL169"/>
      <c r="KIM169"/>
      <c r="KIN169"/>
      <c r="KIO169"/>
      <c r="KIP169"/>
      <c r="KIQ169"/>
      <c r="KIR169"/>
      <c r="KIS169"/>
      <c r="KIT169"/>
      <c r="KIU169"/>
      <c r="KIV169"/>
      <c r="KIW169"/>
      <c r="KIX169"/>
      <c r="KIY169"/>
      <c r="KIZ169"/>
      <c r="KJA169"/>
      <c r="KJB169"/>
      <c r="KJC169"/>
      <c r="KJD169"/>
      <c r="KJE169"/>
      <c r="KJF169"/>
      <c r="KJG169"/>
      <c r="KJH169"/>
      <c r="KJI169"/>
      <c r="KJJ169"/>
      <c r="KJK169"/>
      <c r="KJL169"/>
      <c r="KJM169"/>
      <c r="KJN169"/>
      <c r="KJO169"/>
      <c r="KJP169"/>
      <c r="KJQ169"/>
      <c r="KJR169"/>
      <c r="KJS169"/>
      <c r="KJT169"/>
      <c r="KJU169"/>
      <c r="KJV169"/>
      <c r="KJW169"/>
      <c r="KJX169"/>
      <c r="KJY169"/>
      <c r="KJZ169"/>
      <c r="KKA169"/>
      <c r="KKB169"/>
      <c r="KKC169"/>
      <c r="KKD169"/>
      <c r="KKE169"/>
      <c r="KKF169"/>
      <c r="KKG169"/>
      <c r="KKH169"/>
      <c r="KKI169"/>
      <c r="KKJ169"/>
      <c r="KKK169"/>
      <c r="KKL169"/>
      <c r="KKM169"/>
      <c r="KKN169"/>
      <c r="KKO169"/>
      <c r="KKP169"/>
      <c r="KKQ169"/>
      <c r="KKR169"/>
      <c r="KKS169"/>
      <c r="KKT169"/>
      <c r="KKU169"/>
      <c r="KKV169"/>
      <c r="KKW169"/>
      <c r="KKX169"/>
      <c r="KKY169"/>
      <c r="KKZ169"/>
      <c r="KLA169"/>
      <c r="KLB169"/>
      <c r="KLC169"/>
      <c r="KLD169"/>
      <c r="KLE169"/>
      <c r="KLF169"/>
      <c r="KLG169"/>
      <c r="KLH169"/>
      <c r="KLI169"/>
      <c r="KLJ169"/>
      <c r="KLK169"/>
      <c r="KLL169"/>
      <c r="KLM169"/>
      <c r="KLN169"/>
      <c r="KLO169"/>
      <c r="KLP169"/>
      <c r="KLQ169"/>
      <c r="KLR169"/>
      <c r="KLS169"/>
      <c r="KLT169"/>
      <c r="KLU169"/>
      <c r="KLV169"/>
      <c r="KLW169"/>
      <c r="KLX169"/>
      <c r="KLY169"/>
      <c r="KLZ169"/>
      <c r="KMA169"/>
      <c r="KMB169"/>
      <c r="KMC169"/>
      <c r="KMD169"/>
      <c r="KME169"/>
      <c r="KMF169"/>
      <c r="KMG169"/>
      <c r="KMH169"/>
      <c r="KMI169"/>
      <c r="KMJ169"/>
      <c r="KMK169"/>
      <c r="KML169"/>
      <c r="KMM169"/>
      <c r="KMN169"/>
      <c r="KMO169"/>
      <c r="KMP169"/>
      <c r="KMQ169"/>
      <c r="KMR169"/>
      <c r="KMS169"/>
      <c r="KMT169"/>
      <c r="KMU169"/>
      <c r="KMV169"/>
      <c r="KMW169"/>
      <c r="KMX169"/>
      <c r="KMY169"/>
      <c r="KMZ169"/>
      <c r="KNA169"/>
      <c r="KNB169"/>
      <c r="KNC169"/>
      <c r="KND169"/>
      <c r="KNE169"/>
      <c r="KNF169"/>
      <c r="KNG169"/>
      <c r="KNH169"/>
      <c r="KNI169"/>
      <c r="KNJ169"/>
      <c r="KNK169"/>
      <c r="KNL169"/>
      <c r="KNM169"/>
      <c r="KNN169"/>
      <c r="KNO169"/>
      <c r="KNP169"/>
      <c r="KNQ169"/>
      <c r="KNR169"/>
      <c r="KNS169"/>
      <c r="KNT169"/>
      <c r="KNU169"/>
      <c r="KNV169"/>
      <c r="KNW169"/>
      <c r="KNX169"/>
      <c r="KNY169"/>
      <c r="KNZ169"/>
      <c r="KOA169"/>
      <c r="KOB169"/>
      <c r="KOC169"/>
      <c r="KOD169"/>
      <c r="KOE169"/>
      <c r="KOF169"/>
      <c r="KOG169"/>
      <c r="KOH169"/>
      <c r="KOI169"/>
      <c r="KOJ169"/>
      <c r="KOK169"/>
      <c r="KOL169"/>
      <c r="KOM169"/>
      <c r="KON169"/>
      <c r="KOO169"/>
      <c r="KOP169"/>
      <c r="KOQ169"/>
      <c r="KOR169"/>
      <c r="KOS169"/>
      <c r="KOT169"/>
      <c r="KOU169"/>
      <c r="KOV169"/>
      <c r="KOW169"/>
      <c r="KOX169"/>
      <c r="KOY169"/>
      <c r="KOZ169"/>
      <c r="KPA169"/>
      <c r="KPB169"/>
      <c r="KPC169"/>
      <c r="KPD169"/>
      <c r="KPE169"/>
      <c r="KPF169"/>
      <c r="KPG169"/>
      <c r="KPH169"/>
      <c r="KPI169"/>
      <c r="KPJ169"/>
      <c r="KPK169"/>
      <c r="KPL169"/>
      <c r="KPM169"/>
      <c r="KPN169"/>
      <c r="KPO169"/>
      <c r="KPP169"/>
      <c r="KPQ169"/>
      <c r="KPR169"/>
      <c r="KPS169"/>
      <c r="KPT169"/>
      <c r="KPU169"/>
      <c r="KPV169"/>
      <c r="KPW169"/>
      <c r="KPX169"/>
      <c r="KPY169"/>
      <c r="KPZ169"/>
      <c r="KQA169"/>
      <c r="KQB169"/>
      <c r="KQC169"/>
      <c r="KQD169"/>
      <c r="KQE169"/>
      <c r="KQF169"/>
      <c r="KQG169"/>
      <c r="KQH169"/>
      <c r="KQI169"/>
      <c r="KQJ169"/>
      <c r="KQK169"/>
      <c r="KQL169"/>
      <c r="KQM169"/>
      <c r="KQN169"/>
      <c r="KQO169"/>
      <c r="KQP169"/>
      <c r="KQQ169"/>
      <c r="KQR169"/>
      <c r="KQS169"/>
      <c r="KQT169"/>
      <c r="KQU169"/>
      <c r="KQV169"/>
      <c r="KQW169"/>
      <c r="KQX169"/>
      <c r="KQY169"/>
      <c r="KQZ169"/>
      <c r="KRA169"/>
      <c r="KRB169"/>
      <c r="KRC169"/>
      <c r="KRD169"/>
      <c r="KRE169"/>
      <c r="KRF169"/>
      <c r="KRG169"/>
      <c r="KRH169"/>
      <c r="KRI169"/>
      <c r="KRJ169"/>
      <c r="KRK169"/>
      <c r="KRL169"/>
      <c r="KRM169"/>
      <c r="KRN169"/>
      <c r="KRO169"/>
      <c r="KRP169"/>
      <c r="KRQ169"/>
      <c r="KRR169"/>
      <c r="KRS169"/>
      <c r="KRT169"/>
      <c r="KRU169"/>
      <c r="KRV169"/>
      <c r="KRW169"/>
      <c r="KRX169"/>
      <c r="KRY169"/>
      <c r="KRZ169"/>
      <c r="KSA169"/>
      <c r="KSB169"/>
      <c r="KSC169"/>
      <c r="KSD169"/>
      <c r="KSE169"/>
      <c r="KSF169"/>
      <c r="KSG169"/>
      <c r="KSH169"/>
      <c r="KSI169"/>
      <c r="KSJ169"/>
      <c r="KSK169"/>
      <c r="KSL169"/>
      <c r="KSM169"/>
      <c r="KSN169"/>
      <c r="KSO169"/>
      <c r="KSP169"/>
      <c r="KSQ169"/>
      <c r="KSR169"/>
      <c r="KSS169"/>
      <c r="KST169"/>
      <c r="KSU169"/>
      <c r="KSV169"/>
      <c r="KSW169"/>
      <c r="KSX169"/>
      <c r="KSY169"/>
      <c r="KSZ169"/>
      <c r="KTA169"/>
      <c r="KTB169"/>
      <c r="KTC169"/>
      <c r="KTD169"/>
      <c r="KTE169"/>
      <c r="KTF169"/>
      <c r="KTG169"/>
      <c r="KTH169"/>
      <c r="KTI169"/>
      <c r="KTJ169"/>
      <c r="KTK169"/>
      <c r="KTL169"/>
      <c r="KTM169"/>
      <c r="KTN169"/>
      <c r="KTO169"/>
      <c r="KTP169"/>
      <c r="KTQ169"/>
      <c r="KTR169"/>
      <c r="KTS169"/>
      <c r="KTT169"/>
      <c r="KTU169"/>
      <c r="KTV169"/>
      <c r="KTW169"/>
      <c r="KTX169"/>
      <c r="KTY169"/>
      <c r="KTZ169"/>
      <c r="KUA169"/>
      <c r="KUB169"/>
      <c r="KUC169"/>
      <c r="KUD169"/>
      <c r="KUE169"/>
      <c r="KUF169"/>
      <c r="KUG169"/>
      <c r="KUH169"/>
      <c r="KUI169"/>
      <c r="KUJ169"/>
      <c r="KUK169"/>
      <c r="KUL169"/>
      <c r="KUM169"/>
      <c r="KUN169"/>
      <c r="KUO169"/>
      <c r="KUP169"/>
      <c r="KUQ169"/>
      <c r="KUR169"/>
      <c r="KUS169"/>
      <c r="KUT169"/>
      <c r="KUU169"/>
      <c r="KUV169"/>
      <c r="KUW169"/>
      <c r="KUX169"/>
      <c r="KUY169"/>
      <c r="KUZ169"/>
      <c r="KVA169"/>
      <c r="KVB169"/>
      <c r="KVC169"/>
      <c r="KVD169"/>
      <c r="KVE169"/>
      <c r="KVF169"/>
      <c r="KVG169"/>
      <c r="KVH169"/>
      <c r="KVI169"/>
      <c r="KVJ169"/>
      <c r="KVK169"/>
      <c r="KVL169"/>
      <c r="KVM169"/>
      <c r="KVN169"/>
      <c r="KVO169"/>
      <c r="KVP169"/>
      <c r="KVQ169"/>
      <c r="KVR169"/>
      <c r="KVS169"/>
      <c r="KVT169"/>
      <c r="KVU169"/>
      <c r="KVV169"/>
      <c r="KVW169"/>
      <c r="KVX169"/>
      <c r="KVY169"/>
      <c r="KVZ169"/>
      <c r="KWA169"/>
      <c r="KWB169"/>
      <c r="KWC169"/>
      <c r="KWD169"/>
      <c r="KWE169"/>
      <c r="KWF169"/>
      <c r="KWG169"/>
      <c r="KWH169"/>
      <c r="KWI169"/>
      <c r="KWJ169"/>
      <c r="KWK169"/>
      <c r="KWL169"/>
      <c r="KWM169"/>
      <c r="KWN169"/>
      <c r="KWO169"/>
      <c r="KWP169"/>
      <c r="KWQ169"/>
      <c r="KWR169"/>
      <c r="KWS169"/>
      <c r="KWT169"/>
      <c r="KWU169"/>
      <c r="KWV169"/>
      <c r="KWW169"/>
      <c r="KWX169"/>
      <c r="KWY169"/>
      <c r="KWZ169"/>
      <c r="KXA169"/>
      <c r="KXB169"/>
      <c r="KXC169"/>
      <c r="KXD169"/>
      <c r="KXE169"/>
      <c r="KXF169"/>
      <c r="KXG169"/>
      <c r="KXH169"/>
      <c r="KXI169"/>
      <c r="KXJ169"/>
      <c r="KXK169"/>
      <c r="KXL169"/>
      <c r="KXM169"/>
      <c r="KXN169"/>
      <c r="KXO169"/>
      <c r="KXP169"/>
      <c r="KXQ169"/>
      <c r="KXR169"/>
      <c r="KXS169"/>
      <c r="KXT169"/>
      <c r="KXU169"/>
      <c r="KXV169"/>
      <c r="KXW169"/>
      <c r="KXX169"/>
      <c r="KXY169"/>
      <c r="KXZ169"/>
      <c r="KYA169"/>
      <c r="KYB169"/>
      <c r="KYC169"/>
      <c r="KYD169"/>
      <c r="KYE169"/>
      <c r="KYF169"/>
      <c r="KYG169"/>
      <c r="KYH169"/>
      <c r="KYI169"/>
      <c r="KYJ169"/>
      <c r="KYK169"/>
      <c r="KYL169"/>
      <c r="KYM169"/>
      <c r="KYN169"/>
      <c r="KYO169"/>
      <c r="KYP169"/>
      <c r="KYQ169"/>
      <c r="KYR169"/>
      <c r="KYS169"/>
      <c r="KYT169"/>
      <c r="KYU169"/>
      <c r="KYV169"/>
      <c r="KYW169"/>
      <c r="KYX169"/>
      <c r="KYY169"/>
      <c r="KYZ169"/>
      <c r="KZA169"/>
      <c r="KZB169"/>
      <c r="KZC169"/>
      <c r="KZD169"/>
      <c r="KZE169"/>
      <c r="KZF169"/>
      <c r="KZG169"/>
      <c r="KZH169"/>
      <c r="KZI169"/>
      <c r="KZJ169"/>
      <c r="KZK169"/>
      <c r="KZL169"/>
      <c r="KZM169"/>
      <c r="KZN169"/>
      <c r="KZO169"/>
      <c r="KZP169"/>
      <c r="KZQ169"/>
      <c r="KZR169"/>
      <c r="KZS169"/>
      <c r="KZT169"/>
      <c r="KZU169"/>
      <c r="KZV169"/>
      <c r="KZW169"/>
      <c r="KZX169"/>
      <c r="KZY169"/>
      <c r="KZZ169"/>
      <c r="LAA169"/>
      <c r="LAB169"/>
      <c r="LAC169"/>
      <c r="LAD169"/>
      <c r="LAE169"/>
      <c r="LAF169"/>
      <c r="LAG169"/>
      <c r="LAH169"/>
      <c r="LAI169"/>
      <c r="LAJ169"/>
      <c r="LAK169"/>
      <c r="LAL169"/>
      <c r="LAM169"/>
      <c r="LAN169"/>
      <c r="LAO169"/>
      <c r="LAP169"/>
      <c r="LAQ169"/>
      <c r="LAR169"/>
      <c r="LAS169"/>
      <c r="LAT169"/>
      <c r="LAU169"/>
      <c r="LAV169"/>
      <c r="LAW169"/>
      <c r="LAX169"/>
      <c r="LAY169"/>
      <c r="LAZ169"/>
      <c r="LBA169"/>
      <c r="LBB169"/>
      <c r="LBC169"/>
      <c r="LBD169"/>
      <c r="LBE169"/>
      <c r="LBF169"/>
      <c r="LBG169"/>
      <c r="LBH169"/>
      <c r="LBI169"/>
      <c r="LBJ169"/>
      <c r="LBK169"/>
      <c r="LBL169"/>
      <c r="LBM169"/>
      <c r="LBN169"/>
      <c r="LBO169"/>
      <c r="LBP169"/>
      <c r="LBQ169"/>
      <c r="LBR169"/>
      <c r="LBS169"/>
      <c r="LBT169"/>
      <c r="LBU169"/>
      <c r="LBV169"/>
      <c r="LBW169"/>
      <c r="LBX169"/>
      <c r="LBY169"/>
      <c r="LBZ169"/>
      <c r="LCA169"/>
      <c r="LCB169"/>
      <c r="LCC169"/>
      <c r="LCD169"/>
      <c r="LCE169"/>
      <c r="LCF169"/>
      <c r="LCG169"/>
      <c r="LCH169"/>
      <c r="LCI169"/>
      <c r="LCJ169"/>
      <c r="LCK169"/>
      <c r="LCL169"/>
      <c r="LCM169"/>
      <c r="LCN169"/>
      <c r="LCO169"/>
      <c r="LCP169"/>
      <c r="LCQ169"/>
      <c r="LCR169"/>
      <c r="LCS169"/>
      <c r="LCT169"/>
      <c r="LCU169"/>
      <c r="LCV169"/>
      <c r="LCW169"/>
      <c r="LCX169"/>
      <c r="LCY169"/>
      <c r="LCZ169"/>
      <c r="LDA169"/>
      <c r="LDB169"/>
      <c r="LDC169"/>
      <c r="LDD169"/>
      <c r="LDE169"/>
      <c r="LDF169"/>
      <c r="LDG169"/>
      <c r="LDH169"/>
      <c r="LDI169"/>
      <c r="LDJ169"/>
      <c r="LDK169"/>
      <c r="LDL169"/>
      <c r="LDM169"/>
      <c r="LDN169"/>
      <c r="LDO169"/>
      <c r="LDP169"/>
      <c r="LDQ169"/>
      <c r="LDR169"/>
      <c r="LDS169"/>
      <c r="LDT169"/>
      <c r="LDU169"/>
      <c r="LDV169"/>
      <c r="LDW169"/>
      <c r="LDX169"/>
      <c r="LDY169"/>
      <c r="LDZ169"/>
      <c r="LEA169"/>
      <c r="LEB169"/>
      <c r="LEC169"/>
      <c r="LED169"/>
      <c r="LEE169"/>
      <c r="LEF169"/>
      <c r="LEG169"/>
      <c r="LEH169"/>
      <c r="LEI169"/>
      <c r="LEJ169"/>
      <c r="LEK169"/>
      <c r="LEL169"/>
      <c r="LEM169"/>
      <c r="LEN169"/>
      <c r="LEO169"/>
      <c r="LEP169"/>
      <c r="LEQ169"/>
      <c r="LER169"/>
      <c r="LES169"/>
      <c r="LET169"/>
      <c r="LEU169"/>
      <c r="LEV169"/>
      <c r="LEW169"/>
      <c r="LEX169"/>
      <c r="LEY169"/>
      <c r="LEZ169"/>
      <c r="LFA169"/>
      <c r="LFB169"/>
      <c r="LFC169"/>
      <c r="LFD169"/>
      <c r="LFE169"/>
      <c r="LFF169"/>
      <c r="LFG169"/>
      <c r="LFH169"/>
      <c r="LFI169"/>
      <c r="LFJ169"/>
      <c r="LFK169"/>
      <c r="LFL169"/>
      <c r="LFM169"/>
      <c r="LFN169"/>
      <c r="LFO169"/>
      <c r="LFP169"/>
      <c r="LFQ169"/>
      <c r="LFR169"/>
      <c r="LFS169"/>
      <c r="LFT169"/>
      <c r="LFU169"/>
      <c r="LFV169"/>
      <c r="LFW169"/>
      <c r="LFX169"/>
      <c r="LFY169"/>
      <c r="LFZ169"/>
      <c r="LGA169"/>
      <c r="LGB169"/>
      <c r="LGC169"/>
      <c r="LGD169"/>
      <c r="LGE169"/>
      <c r="LGF169"/>
      <c r="LGG169"/>
      <c r="LGH169"/>
      <c r="LGI169"/>
      <c r="LGJ169"/>
      <c r="LGK169"/>
      <c r="LGL169"/>
      <c r="LGM169"/>
      <c r="LGN169"/>
      <c r="LGO169"/>
      <c r="LGP169"/>
      <c r="LGQ169"/>
      <c r="LGR169"/>
      <c r="LGS169"/>
      <c r="LGT169"/>
      <c r="LGU169"/>
      <c r="LGV169"/>
      <c r="LGW169"/>
      <c r="LGX169"/>
      <c r="LGY169"/>
      <c r="LGZ169"/>
      <c r="LHA169"/>
      <c r="LHB169"/>
      <c r="LHC169"/>
      <c r="LHD169"/>
      <c r="LHE169"/>
      <c r="LHF169"/>
      <c r="LHG169"/>
      <c r="LHH169"/>
      <c r="LHI169"/>
      <c r="LHJ169"/>
      <c r="LHK169"/>
      <c r="LHL169"/>
      <c r="LHM169"/>
      <c r="LHN169"/>
      <c r="LHO169"/>
      <c r="LHP169"/>
      <c r="LHQ169"/>
      <c r="LHR169"/>
      <c r="LHS169"/>
      <c r="LHT169"/>
      <c r="LHU169"/>
      <c r="LHV169"/>
      <c r="LHW169"/>
      <c r="LHX169"/>
      <c r="LHY169"/>
      <c r="LHZ169"/>
      <c r="LIA169"/>
      <c r="LIB169"/>
      <c r="LIC169"/>
      <c r="LID169"/>
      <c r="LIE169"/>
      <c r="LIF169"/>
      <c r="LIG169"/>
      <c r="LIH169"/>
      <c r="LII169"/>
      <c r="LIJ169"/>
      <c r="LIK169"/>
      <c r="LIL169"/>
      <c r="LIM169"/>
      <c r="LIN169"/>
      <c r="LIO169"/>
      <c r="LIP169"/>
      <c r="LIQ169"/>
      <c r="LIR169"/>
      <c r="LIS169"/>
      <c r="LIT169"/>
      <c r="LIU169"/>
      <c r="LIV169"/>
      <c r="LIW169"/>
      <c r="LIX169"/>
      <c r="LIY169"/>
      <c r="LIZ169"/>
      <c r="LJA169"/>
      <c r="LJB169"/>
      <c r="LJC169"/>
      <c r="LJD169"/>
      <c r="LJE169"/>
      <c r="LJF169"/>
      <c r="LJG169"/>
      <c r="LJH169"/>
      <c r="LJI169"/>
      <c r="LJJ169"/>
      <c r="LJK169"/>
      <c r="LJL169"/>
      <c r="LJM169"/>
      <c r="LJN169"/>
      <c r="LJO169"/>
      <c r="LJP169"/>
      <c r="LJQ169"/>
      <c r="LJR169"/>
      <c r="LJS169"/>
      <c r="LJT169"/>
      <c r="LJU169"/>
      <c r="LJV169"/>
      <c r="LJW169"/>
      <c r="LJX169"/>
      <c r="LJY169"/>
      <c r="LJZ169"/>
      <c r="LKA169"/>
      <c r="LKB169"/>
      <c r="LKC169"/>
      <c r="LKD169"/>
      <c r="LKE169"/>
      <c r="LKF169"/>
      <c r="LKG169"/>
      <c r="LKH169"/>
      <c r="LKI169"/>
      <c r="LKJ169"/>
      <c r="LKK169"/>
      <c r="LKL169"/>
      <c r="LKM169"/>
      <c r="LKN169"/>
      <c r="LKO169"/>
      <c r="LKP169"/>
      <c r="LKQ169"/>
      <c r="LKR169"/>
      <c r="LKS169"/>
      <c r="LKT169"/>
      <c r="LKU169"/>
      <c r="LKV169"/>
      <c r="LKW169"/>
      <c r="LKX169"/>
      <c r="LKY169"/>
      <c r="LKZ169"/>
      <c r="LLA169"/>
      <c r="LLB169"/>
      <c r="LLC169"/>
      <c r="LLD169"/>
      <c r="LLE169"/>
      <c r="LLF169"/>
      <c r="LLG169"/>
      <c r="LLH169"/>
      <c r="LLI169"/>
      <c r="LLJ169"/>
      <c r="LLK169"/>
      <c r="LLL169"/>
      <c r="LLM169"/>
      <c r="LLN169"/>
      <c r="LLO169"/>
      <c r="LLP169"/>
      <c r="LLQ169"/>
      <c r="LLR169"/>
      <c r="LLS169"/>
      <c r="LLT169"/>
      <c r="LLU169"/>
      <c r="LLV169"/>
      <c r="LLW169"/>
      <c r="LLX169"/>
      <c r="LLY169"/>
      <c r="LLZ169"/>
      <c r="LMA169"/>
      <c r="LMB169"/>
      <c r="LMC169"/>
      <c r="LMD169"/>
      <c r="LME169"/>
      <c r="LMF169"/>
      <c r="LMG169"/>
      <c r="LMH169"/>
      <c r="LMI169"/>
      <c r="LMJ169"/>
      <c r="LMK169"/>
      <c r="LML169"/>
      <c r="LMM169"/>
      <c r="LMN169"/>
      <c r="LMO169"/>
      <c r="LMP169"/>
      <c r="LMQ169"/>
      <c r="LMR169"/>
      <c r="LMS169"/>
      <c r="LMT169"/>
      <c r="LMU169"/>
      <c r="LMV169"/>
      <c r="LMW169"/>
      <c r="LMX169"/>
      <c r="LMY169"/>
      <c r="LMZ169"/>
      <c r="LNA169"/>
      <c r="LNB169"/>
      <c r="LNC169"/>
      <c r="LND169"/>
      <c r="LNE169"/>
      <c r="LNF169"/>
      <c r="LNG169"/>
      <c r="LNH169"/>
      <c r="LNI169"/>
      <c r="LNJ169"/>
      <c r="LNK169"/>
      <c r="LNL169"/>
      <c r="LNM169"/>
      <c r="LNN169"/>
      <c r="LNO169"/>
      <c r="LNP169"/>
      <c r="LNQ169"/>
      <c r="LNR169"/>
      <c r="LNS169"/>
      <c r="LNT169"/>
      <c r="LNU169"/>
      <c r="LNV169"/>
      <c r="LNW169"/>
      <c r="LNX169"/>
      <c r="LNY169"/>
      <c r="LNZ169"/>
      <c r="LOA169"/>
      <c r="LOB169"/>
      <c r="LOC169"/>
      <c r="LOD169"/>
      <c r="LOE169"/>
      <c r="LOF169"/>
      <c r="LOG169"/>
      <c r="LOH169"/>
      <c r="LOI169"/>
      <c r="LOJ169"/>
      <c r="LOK169"/>
      <c r="LOL169"/>
      <c r="LOM169"/>
      <c r="LON169"/>
      <c r="LOO169"/>
      <c r="LOP169"/>
      <c r="LOQ169"/>
      <c r="LOR169"/>
      <c r="LOS169"/>
      <c r="LOT169"/>
      <c r="LOU169"/>
      <c r="LOV169"/>
      <c r="LOW169"/>
      <c r="LOX169"/>
      <c r="LOY169"/>
      <c r="LOZ169"/>
      <c r="LPA169"/>
      <c r="LPB169"/>
      <c r="LPC169"/>
      <c r="LPD169"/>
      <c r="LPE169"/>
      <c r="LPF169"/>
      <c r="LPG169"/>
      <c r="LPH169"/>
      <c r="LPI169"/>
      <c r="LPJ169"/>
      <c r="LPK169"/>
      <c r="LPL169"/>
      <c r="LPM169"/>
      <c r="LPN169"/>
      <c r="LPO169"/>
      <c r="LPP169"/>
      <c r="LPQ169"/>
      <c r="LPR169"/>
      <c r="LPS169"/>
      <c r="LPT169"/>
      <c r="LPU169"/>
      <c r="LPV169"/>
      <c r="LPW169"/>
      <c r="LPX169"/>
      <c r="LPY169"/>
      <c r="LPZ169"/>
      <c r="LQA169"/>
      <c r="LQB169"/>
      <c r="LQC169"/>
      <c r="LQD169"/>
      <c r="LQE169"/>
      <c r="LQF169"/>
      <c r="LQG169"/>
      <c r="LQH169"/>
      <c r="LQI169"/>
      <c r="LQJ169"/>
      <c r="LQK169"/>
      <c r="LQL169"/>
      <c r="LQM169"/>
      <c r="LQN169"/>
      <c r="LQO169"/>
      <c r="LQP169"/>
      <c r="LQQ169"/>
      <c r="LQR169"/>
      <c r="LQS169"/>
      <c r="LQT169"/>
      <c r="LQU169"/>
      <c r="LQV169"/>
      <c r="LQW169"/>
      <c r="LQX169"/>
      <c r="LQY169"/>
      <c r="LQZ169"/>
      <c r="LRA169"/>
      <c r="LRB169"/>
      <c r="LRC169"/>
      <c r="LRD169"/>
      <c r="LRE169"/>
      <c r="LRF169"/>
      <c r="LRG169"/>
      <c r="LRH169"/>
      <c r="LRI169"/>
      <c r="LRJ169"/>
      <c r="LRK169"/>
      <c r="LRL169"/>
      <c r="LRM169"/>
      <c r="LRN169"/>
      <c r="LRO169"/>
      <c r="LRP169"/>
      <c r="LRQ169"/>
      <c r="LRR169"/>
      <c r="LRS169"/>
      <c r="LRT169"/>
      <c r="LRU169"/>
      <c r="LRV169"/>
      <c r="LRW169"/>
      <c r="LRX169"/>
      <c r="LRY169"/>
      <c r="LRZ169"/>
      <c r="LSA169"/>
      <c r="LSB169"/>
      <c r="LSC169"/>
      <c r="LSD169"/>
      <c r="LSE169"/>
      <c r="LSF169"/>
      <c r="LSG169"/>
      <c r="LSH169"/>
      <c r="LSI169"/>
      <c r="LSJ169"/>
      <c r="LSK169"/>
      <c r="LSL169"/>
      <c r="LSM169"/>
      <c r="LSN169"/>
      <c r="LSO169"/>
      <c r="LSP169"/>
      <c r="LSQ169"/>
      <c r="LSR169"/>
      <c r="LSS169"/>
      <c r="LST169"/>
      <c r="LSU169"/>
      <c r="LSV169"/>
      <c r="LSW169"/>
      <c r="LSX169"/>
      <c r="LSY169"/>
      <c r="LSZ169"/>
      <c r="LTA169"/>
      <c r="LTB169"/>
      <c r="LTC169"/>
      <c r="LTD169"/>
      <c r="LTE169"/>
      <c r="LTF169"/>
      <c r="LTG169"/>
      <c r="LTH169"/>
      <c r="LTI169"/>
      <c r="LTJ169"/>
      <c r="LTK169"/>
      <c r="LTL169"/>
      <c r="LTM169"/>
      <c r="LTN169"/>
      <c r="LTO169"/>
      <c r="LTP169"/>
      <c r="LTQ169"/>
      <c r="LTR169"/>
      <c r="LTS169"/>
      <c r="LTT169"/>
      <c r="LTU169"/>
      <c r="LTV169"/>
      <c r="LTW169"/>
      <c r="LTX169"/>
      <c r="LTY169"/>
      <c r="LTZ169"/>
      <c r="LUA169"/>
      <c r="LUB169"/>
      <c r="LUC169"/>
      <c r="LUD169"/>
      <c r="LUE169"/>
      <c r="LUF169"/>
      <c r="LUG169"/>
      <c r="LUH169"/>
      <c r="LUI169"/>
      <c r="LUJ169"/>
      <c r="LUK169"/>
      <c r="LUL169"/>
      <c r="LUM169"/>
      <c r="LUN169"/>
      <c r="LUO169"/>
      <c r="LUP169"/>
      <c r="LUQ169"/>
      <c r="LUR169"/>
      <c r="LUS169"/>
      <c r="LUT169"/>
      <c r="LUU169"/>
      <c r="LUV169"/>
      <c r="LUW169"/>
      <c r="LUX169"/>
      <c r="LUY169"/>
      <c r="LUZ169"/>
      <c r="LVA169"/>
      <c r="LVB169"/>
      <c r="LVC169"/>
      <c r="LVD169"/>
      <c r="LVE169"/>
      <c r="LVF169"/>
      <c r="LVG169"/>
      <c r="LVH169"/>
      <c r="LVI169"/>
      <c r="LVJ169"/>
      <c r="LVK169"/>
      <c r="LVL169"/>
      <c r="LVM169"/>
      <c r="LVN169"/>
      <c r="LVO169"/>
      <c r="LVP169"/>
      <c r="LVQ169"/>
      <c r="LVR169"/>
      <c r="LVS169"/>
      <c r="LVT169"/>
      <c r="LVU169"/>
      <c r="LVV169"/>
      <c r="LVW169"/>
      <c r="LVX169"/>
      <c r="LVY169"/>
      <c r="LVZ169"/>
      <c r="LWA169"/>
      <c r="LWB169"/>
      <c r="LWC169"/>
      <c r="LWD169"/>
      <c r="LWE169"/>
      <c r="LWF169"/>
      <c r="LWG169"/>
      <c r="LWH169"/>
      <c r="LWI169"/>
      <c r="LWJ169"/>
      <c r="LWK169"/>
      <c r="LWL169"/>
      <c r="LWM169"/>
      <c r="LWN169"/>
      <c r="LWO169"/>
      <c r="LWP169"/>
      <c r="LWQ169"/>
      <c r="LWR169"/>
      <c r="LWS169"/>
      <c r="LWT169"/>
      <c r="LWU169"/>
      <c r="LWV169"/>
      <c r="LWW169"/>
      <c r="LWX169"/>
      <c r="LWY169"/>
      <c r="LWZ169"/>
      <c r="LXA169"/>
      <c r="LXB169"/>
      <c r="LXC169"/>
      <c r="LXD169"/>
      <c r="LXE169"/>
      <c r="LXF169"/>
      <c r="LXG169"/>
      <c r="LXH169"/>
      <c r="LXI169"/>
      <c r="LXJ169"/>
      <c r="LXK169"/>
      <c r="LXL169"/>
      <c r="LXM169"/>
      <c r="LXN169"/>
      <c r="LXO169"/>
      <c r="LXP169"/>
      <c r="LXQ169"/>
      <c r="LXR169"/>
      <c r="LXS169"/>
      <c r="LXT169"/>
      <c r="LXU169"/>
      <c r="LXV169"/>
      <c r="LXW169"/>
      <c r="LXX169"/>
      <c r="LXY169"/>
      <c r="LXZ169"/>
      <c r="LYA169"/>
      <c r="LYB169"/>
      <c r="LYC169"/>
      <c r="LYD169"/>
      <c r="LYE169"/>
      <c r="LYF169"/>
      <c r="LYG169"/>
      <c r="LYH169"/>
      <c r="LYI169"/>
      <c r="LYJ169"/>
      <c r="LYK169"/>
      <c r="LYL169"/>
      <c r="LYM169"/>
      <c r="LYN169"/>
      <c r="LYO169"/>
      <c r="LYP169"/>
      <c r="LYQ169"/>
      <c r="LYR169"/>
      <c r="LYS169"/>
      <c r="LYT169"/>
      <c r="LYU169"/>
      <c r="LYV169"/>
      <c r="LYW169"/>
      <c r="LYX169"/>
      <c r="LYY169"/>
      <c r="LYZ169"/>
      <c r="LZA169"/>
      <c r="LZB169"/>
      <c r="LZC169"/>
      <c r="LZD169"/>
      <c r="LZE169"/>
      <c r="LZF169"/>
      <c r="LZG169"/>
      <c r="LZH169"/>
      <c r="LZI169"/>
      <c r="LZJ169"/>
      <c r="LZK169"/>
      <c r="LZL169"/>
      <c r="LZM169"/>
      <c r="LZN169"/>
      <c r="LZO169"/>
      <c r="LZP169"/>
      <c r="LZQ169"/>
      <c r="LZR169"/>
      <c r="LZS169"/>
      <c r="LZT169"/>
      <c r="LZU169"/>
      <c r="LZV169"/>
      <c r="LZW169"/>
      <c r="LZX169"/>
      <c r="LZY169"/>
      <c r="LZZ169"/>
      <c r="MAA169"/>
      <c r="MAB169"/>
      <c r="MAC169"/>
      <c r="MAD169"/>
      <c r="MAE169"/>
      <c r="MAF169"/>
      <c r="MAG169"/>
      <c r="MAH169"/>
      <c r="MAI169"/>
      <c r="MAJ169"/>
      <c r="MAK169"/>
      <c r="MAL169"/>
      <c r="MAM169"/>
      <c r="MAN169"/>
      <c r="MAO169"/>
      <c r="MAP169"/>
      <c r="MAQ169"/>
      <c r="MAR169"/>
      <c r="MAS169"/>
      <c r="MAT169"/>
      <c r="MAU169"/>
      <c r="MAV169"/>
      <c r="MAW169"/>
      <c r="MAX169"/>
      <c r="MAY169"/>
      <c r="MAZ169"/>
      <c r="MBA169"/>
      <c r="MBB169"/>
      <c r="MBC169"/>
      <c r="MBD169"/>
      <c r="MBE169"/>
      <c r="MBF169"/>
      <c r="MBG169"/>
      <c r="MBH169"/>
      <c r="MBI169"/>
      <c r="MBJ169"/>
      <c r="MBK169"/>
      <c r="MBL169"/>
      <c r="MBM169"/>
      <c r="MBN169"/>
      <c r="MBO169"/>
      <c r="MBP169"/>
      <c r="MBQ169"/>
      <c r="MBR169"/>
      <c r="MBS169"/>
      <c r="MBT169"/>
      <c r="MBU169"/>
      <c r="MBV169"/>
      <c r="MBW169"/>
      <c r="MBX169"/>
      <c r="MBY169"/>
      <c r="MBZ169"/>
      <c r="MCA169"/>
      <c r="MCB169"/>
      <c r="MCC169"/>
      <c r="MCD169"/>
      <c r="MCE169"/>
      <c r="MCF169"/>
      <c r="MCG169"/>
      <c r="MCH169"/>
      <c r="MCI169"/>
      <c r="MCJ169"/>
      <c r="MCK169"/>
      <c r="MCL169"/>
      <c r="MCM169"/>
      <c r="MCN169"/>
      <c r="MCO169"/>
      <c r="MCP169"/>
      <c r="MCQ169"/>
      <c r="MCR169"/>
      <c r="MCS169"/>
      <c r="MCT169"/>
      <c r="MCU169"/>
      <c r="MCV169"/>
      <c r="MCW169"/>
      <c r="MCX169"/>
      <c r="MCY169"/>
      <c r="MCZ169"/>
      <c r="MDA169"/>
      <c r="MDB169"/>
      <c r="MDC169"/>
      <c r="MDD169"/>
      <c r="MDE169"/>
      <c r="MDF169"/>
      <c r="MDG169"/>
      <c r="MDH169"/>
      <c r="MDI169"/>
      <c r="MDJ169"/>
      <c r="MDK169"/>
      <c r="MDL169"/>
      <c r="MDM169"/>
      <c r="MDN169"/>
      <c r="MDO169"/>
      <c r="MDP169"/>
      <c r="MDQ169"/>
      <c r="MDR169"/>
      <c r="MDS169"/>
      <c r="MDT169"/>
      <c r="MDU169"/>
      <c r="MDV169"/>
      <c r="MDW169"/>
      <c r="MDX169"/>
      <c r="MDY169"/>
      <c r="MDZ169"/>
      <c r="MEA169"/>
      <c r="MEB169"/>
      <c r="MEC169"/>
      <c r="MED169"/>
      <c r="MEE169"/>
      <c r="MEF169"/>
      <c r="MEG169"/>
      <c r="MEH169"/>
      <c r="MEI169"/>
      <c r="MEJ169"/>
      <c r="MEK169"/>
      <c r="MEL169"/>
      <c r="MEM169"/>
      <c r="MEN169"/>
      <c r="MEO169"/>
      <c r="MEP169"/>
      <c r="MEQ169"/>
      <c r="MER169"/>
      <c r="MES169"/>
      <c r="MET169"/>
      <c r="MEU169"/>
      <c r="MEV169"/>
      <c r="MEW169"/>
      <c r="MEX169"/>
      <c r="MEY169"/>
      <c r="MEZ169"/>
      <c r="MFA169"/>
      <c r="MFB169"/>
      <c r="MFC169"/>
      <c r="MFD169"/>
      <c r="MFE169"/>
      <c r="MFF169"/>
      <c r="MFG169"/>
      <c r="MFH169"/>
      <c r="MFI169"/>
      <c r="MFJ169"/>
      <c r="MFK169"/>
      <c r="MFL169"/>
      <c r="MFM169"/>
      <c r="MFN169"/>
      <c r="MFO169"/>
      <c r="MFP169"/>
      <c r="MFQ169"/>
      <c r="MFR169"/>
      <c r="MFS169"/>
      <c r="MFT169"/>
      <c r="MFU169"/>
      <c r="MFV169"/>
      <c r="MFW169"/>
      <c r="MFX169"/>
      <c r="MFY169"/>
      <c r="MFZ169"/>
      <c r="MGA169"/>
      <c r="MGB169"/>
      <c r="MGC169"/>
      <c r="MGD169"/>
      <c r="MGE169"/>
      <c r="MGF169"/>
      <c r="MGG169"/>
      <c r="MGH169"/>
      <c r="MGI169"/>
      <c r="MGJ169"/>
      <c r="MGK169"/>
      <c r="MGL169"/>
      <c r="MGM169"/>
      <c r="MGN169"/>
      <c r="MGO169"/>
      <c r="MGP169"/>
      <c r="MGQ169"/>
      <c r="MGR169"/>
      <c r="MGS169"/>
      <c r="MGT169"/>
      <c r="MGU169"/>
      <c r="MGV169"/>
      <c r="MGW169"/>
      <c r="MGX169"/>
      <c r="MGY169"/>
      <c r="MGZ169"/>
      <c r="MHA169"/>
      <c r="MHB169"/>
      <c r="MHC169"/>
      <c r="MHD169"/>
      <c r="MHE169"/>
      <c r="MHF169"/>
      <c r="MHG169"/>
      <c r="MHH169"/>
      <c r="MHI169"/>
      <c r="MHJ169"/>
      <c r="MHK169"/>
      <c r="MHL169"/>
      <c r="MHM169"/>
      <c r="MHN169"/>
      <c r="MHO169"/>
      <c r="MHP169"/>
      <c r="MHQ169"/>
      <c r="MHR169"/>
      <c r="MHS169"/>
      <c r="MHT169"/>
      <c r="MHU169"/>
      <c r="MHV169"/>
      <c r="MHW169"/>
      <c r="MHX169"/>
      <c r="MHY169"/>
      <c r="MHZ169"/>
      <c r="MIA169"/>
      <c r="MIB169"/>
      <c r="MIC169"/>
      <c r="MID169"/>
      <c r="MIE169"/>
      <c r="MIF169"/>
      <c r="MIG169"/>
      <c r="MIH169"/>
      <c r="MII169"/>
      <c r="MIJ169"/>
      <c r="MIK169"/>
      <c r="MIL169"/>
      <c r="MIM169"/>
      <c r="MIN169"/>
      <c r="MIO169"/>
      <c r="MIP169"/>
      <c r="MIQ169"/>
      <c r="MIR169"/>
      <c r="MIS169"/>
      <c r="MIT169"/>
      <c r="MIU169"/>
      <c r="MIV169"/>
      <c r="MIW169"/>
      <c r="MIX169"/>
      <c r="MIY169"/>
      <c r="MIZ169"/>
      <c r="MJA169"/>
      <c r="MJB169"/>
      <c r="MJC169"/>
      <c r="MJD169"/>
      <c r="MJE169"/>
      <c r="MJF169"/>
      <c r="MJG169"/>
      <c r="MJH169"/>
      <c r="MJI169"/>
      <c r="MJJ169"/>
      <c r="MJK169"/>
      <c r="MJL169"/>
      <c r="MJM169"/>
      <c r="MJN169"/>
      <c r="MJO169"/>
      <c r="MJP169"/>
      <c r="MJQ169"/>
      <c r="MJR169"/>
      <c r="MJS169"/>
      <c r="MJT169"/>
      <c r="MJU169"/>
      <c r="MJV169"/>
      <c r="MJW169"/>
      <c r="MJX169"/>
      <c r="MJY169"/>
      <c r="MJZ169"/>
      <c r="MKA169"/>
      <c r="MKB169"/>
      <c r="MKC169"/>
      <c r="MKD169"/>
      <c r="MKE169"/>
      <c r="MKF169"/>
      <c r="MKG169"/>
      <c r="MKH169"/>
      <c r="MKI169"/>
      <c r="MKJ169"/>
      <c r="MKK169"/>
      <c r="MKL169"/>
      <c r="MKM169"/>
      <c r="MKN169"/>
      <c r="MKO169"/>
      <c r="MKP169"/>
      <c r="MKQ169"/>
      <c r="MKR169"/>
      <c r="MKS169"/>
      <c r="MKT169"/>
      <c r="MKU169"/>
      <c r="MKV169"/>
      <c r="MKW169"/>
      <c r="MKX169"/>
      <c r="MKY169"/>
      <c r="MKZ169"/>
      <c r="MLA169"/>
      <c r="MLB169"/>
      <c r="MLC169"/>
      <c r="MLD169"/>
      <c r="MLE169"/>
      <c r="MLF169"/>
      <c r="MLG169"/>
      <c r="MLH169"/>
      <c r="MLI169"/>
      <c r="MLJ169"/>
      <c r="MLK169"/>
      <c r="MLL169"/>
      <c r="MLM169"/>
      <c r="MLN169"/>
      <c r="MLO169"/>
      <c r="MLP169"/>
      <c r="MLQ169"/>
      <c r="MLR169"/>
      <c r="MLS169"/>
      <c r="MLT169"/>
      <c r="MLU169"/>
      <c r="MLV169"/>
      <c r="MLW169"/>
      <c r="MLX169"/>
      <c r="MLY169"/>
      <c r="MLZ169"/>
      <c r="MMA169"/>
      <c r="MMB169"/>
      <c r="MMC169"/>
      <c r="MMD169"/>
      <c r="MME169"/>
      <c r="MMF169"/>
      <c r="MMG169"/>
      <c r="MMH169"/>
      <c r="MMI169"/>
      <c r="MMJ169"/>
      <c r="MMK169"/>
      <c r="MML169"/>
      <c r="MMM169"/>
      <c r="MMN169"/>
      <c r="MMO169"/>
      <c r="MMP169"/>
      <c r="MMQ169"/>
      <c r="MMR169"/>
      <c r="MMS169"/>
      <c r="MMT169"/>
      <c r="MMU169"/>
      <c r="MMV169"/>
      <c r="MMW169"/>
      <c r="MMX169"/>
      <c r="MMY169"/>
      <c r="MMZ169"/>
      <c r="MNA169"/>
      <c r="MNB169"/>
      <c r="MNC169"/>
      <c r="MND169"/>
      <c r="MNE169"/>
      <c r="MNF169"/>
      <c r="MNG169"/>
      <c r="MNH169"/>
      <c r="MNI169"/>
      <c r="MNJ169"/>
      <c r="MNK169"/>
      <c r="MNL169"/>
      <c r="MNM169"/>
      <c r="MNN169"/>
      <c r="MNO169"/>
      <c r="MNP169"/>
      <c r="MNQ169"/>
      <c r="MNR169"/>
      <c r="MNS169"/>
      <c r="MNT169"/>
      <c r="MNU169"/>
      <c r="MNV169"/>
      <c r="MNW169"/>
      <c r="MNX169"/>
      <c r="MNY169"/>
      <c r="MNZ169"/>
      <c r="MOA169"/>
      <c r="MOB169"/>
      <c r="MOC169"/>
      <c r="MOD169"/>
      <c r="MOE169"/>
      <c r="MOF169"/>
      <c r="MOG169"/>
      <c r="MOH169"/>
      <c r="MOI169"/>
      <c r="MOJ169"/>
      <c r="MOK169"/>
      <c r="MOL169"/>
      <c r="MOM169"/>
      <c r="MON169"/>
      <c r="MOO169"/>
      <c r="MOP169"/>
      <c r="MOQ169"/>
      <c r="MOR169"/>
      <c r="MOS169"/>
      <c r="MOT169"/>
      <c r="MOU169"/>
      <c r="MOV169"/>
      <c r="MOW169"/>
      <c r="MOX169"/>
      <c r="MOY169"/>
      <c r="MOZ169"/>
      <c r="MPA169"/>
      <c r="MPB169"/>
      <c r="MPC169"/>
      <c r="MPD169"/>
      <c r="MPE169"/>
      <c r="MPF169"/>
      <c r="MPG169"/>
      <c r="MPH169"/>
      <c r="MPI169"/>
      <c r="MPJ169"/>
      <c r="MPK169"/>
      <c r="MPL169"/>
      <c r="MPM169"/>
      <c r="MPN169"/>
      <c r="MPO169"/>
      <c r="MPP169"/>
      <c r="MPQ169"/>
      <c r="MPR169"/>
      <c r="MPS169"/>
      <c r="MPT169"/>
      <c r="MPU169"/>
      <c r="MPV169"/>
      <c r="MPW169"/>
      <c r="MPX169"/>
      <c r="MPY169"/>
      <c r="MPZ169"/>
      <c r="MQA169"/>
      <c r="MQB169"/>
      <c r="MQC169"/>
      <c r="MQD169"/>
      <c r="MQE169"/>
      <c r="MQF169"/>
      <c r="MQG169"/>
      <c r="MQH169"/>
      <c r="MQI169"/>
      <c r="MQJ169"/>
      <c r="MQK169"/>
      <c r="MQL169"/>
      <c r="MQM169"/>
      <c r="MQN169"/>
      <c r="MQO169"/>
      <c r="MQP169"/>
      <c r="MQQ169"/>
      <c r="MQR169"/>
      <c r="MQS169"/>
      <c r="MQT169"/>
      <c r="MQU169"/>
      <c r="MQV169"/>
      <c r="MQW169"/>
      <c r="MQX169"/>
      <c r="MQY169"/>
      <c r="MQZ169"/>
      <c r="MRA169"/>
      <c r="MRB169"/>
      <c r="MRC169"/>
      <c r="MRD169"/>
      <c r="MRE169"/>
      <c r="MRF169"/>
      <c r="MRG169"/>
      <c r="MRH169"/>
      <c r="MRI169"/>
      <c r="MRJ169"/>
      <c r="MRK169"/>
      <c r="MRL169"/>
      <c r="MRM169"/>
      <c r="MRN169"/>
      <c r="MRO169"/>
      <c r="MRP169"/>
      <c r="MRQ169"/>
      <c r="MRR169"/>
      <c r="MRS169"/>
      <c r="MRT169"/>
      <c r="MRU169"/>
      <c r="MRV169"/>
      <c r="MRW169"/>
      <c r="MRX169"/>
      <c r="MRY169"/>
      <c r="MRZ169"/>
      <c r="MSA169"/>
      <c r="MSB169"/>
      <c r="MSC169"/>
      <c r="MSD169"/>
      <c r="MSE169"/>
      <c r="MSF169"/>
      <c r="MSG169"/>
      <c r="MSH169"/>
      <c r="MSI169"/>
      <c r="MSJ169"/>
      <c r="MSK169"/>
      <c r="MSL169"/>
      <c r="MSM169"/>
      <c r="MSN169"/>
      <c r="MSO169"/>
      <c r="MSP169"/>
      <c r="MSQ169"/>
      <c r="MSR169"/>
      <c r="MSS169"/>
      <c r="MST169"/>
      <c r="MSU169"/>
      <c r="MSV169"/>
      <c r="MSW169"/>
      <c r="MSX169"/>
      <c r="MSY169"/>
      <c r="MSZ169"/>
      <c r="MTA169"/>
      <c r="MTB169"/>
      <c r="MTC169"/>
      <c r="MTD169"/>
      <c r="MTE169"/>
      <c r="MTF169"/>
      <c r="MTG169"/>
      <c r="MTH169"/>
      <c r="MTI169"/>
      <c r="MTJ169"/>
      <c r="MTK169"/>
      <c r="MTL169"/>
      <c r="MTM169"/>
      <c r="MTN169"/>
      <c r="MTO169"/>
      <c r="MTP169"/>
      <c r="MTQ169"/>
      <c r="MTR169"/>
      <c r="MTS169"/>
      <c r="MTT169"/>
      <c r="MTU169"/>
      <c r="MTV169"/>
      <c r="MTW169"/>
      <c r="MTX169"/>
      <c r="MTY169"/>
      <c r="MTZ169"/>
      <c r="MUA169"/>
      <c r="MUB169"/>
      <c r="MUC169"/>
      <c r="MUD169"/>
      <c r="MUE169"/>
      <c r="MUF169"/>
      <c r="MUG169"/>
      <c r="MUH169"/>
      <c r="MUI169"/>
      <c r="MUJ169"/>
      <c r="MUK169"/>
      <c r="MUL169"/>
      <c r="MUM169"/>
      <c r="MUN169"/>
      <c r="MUO169"/>
      <c r="MUP169"/>
      <c r="MUQ169"/>
      <c r="MUR169"/>
      <c r="MUS169"/>
      <c r="MUT169"/>
      <c r="MUU169"/>
      <c r="MUV169"/>
      <c r="MUW169"/>
      <c r="MUX169"/>
      <c r="MUY169"/>
      <c r="MUZ169"/>
      <c r="MVA169"/>
      <c r="MVB169"/>
      <c r="MVC169"/>
      <c r="MVD169"/>
      <c r="MVE169"/>
      <c r="MVF169"/>
      <c r="MVG169"/>
      <c r="MVH169"/>
      <c r="MVI169"/>
      <c r="MVJ169"/>
      <c r="MVK169"/>
      <c r="MVL169"/>
      <c r="MVM169"/>
      <c r="MVN169"/>
      <c r="MVO169"/>
      <c r="MVP169"/>
      <c r="MVQ169"/>
      <c r="MVR169"/>
      <c r="MVS169"/>
      <c r="MVT169"/>
      <c r="MVU169"/>
      <c r="MVV169"/>
      <c r="MVW169"/>
      <c r="MVX169"/>
      <c r="MVY169"/>
      <c r="MVZ169"/>
      <c r="MWA169"/>
      <c r="MWB169"/>
      <c r="MWC169"/>
      <c r="MWD169"/>
      <c r="MWE169"/>
      <c r="MWF169"/>
      <c r="MWG169"/>
      <c r="MWH169"/>
      <c r="MWI169"/>
      <c r="MWJ169"/>
      <c r="MWK169"/>
      <c r="MWL169"/>
      <c r="MWM169"/>
      <c r="MWN169"/>
      <c r="MWO169"/>
      <c r="MWP169"/>
      <c r="MWQ169"/>
      <c r="MWR169"/>
      <c r="MWS169"/>
      <c r="MWT169"/>
      <c r="MWU169"/>
      <c r="MWV169"/>
      <c r="MWW169"/>
      <c r="MWX169"/>
      <c r="MWY169"/>
      <c r="MWZ169"/>
      <c r="MXA169"/>
      <c r="MXB169"/>
      <c r="MXC169"/>
      <c r="MXD169"/>
      <c r="MXE169"/>
      <c r="MXF169"/>
      <c r="MXG169"/>
      <c r="MXH169"/>
      <c r="MXI169"/>
      <c r="MXJ169"/>
      <c r="MXK169"/>
      <c r="MXL169"/>
      <c r="MXM169"/>
      <c r="MXN169"/>
      <c r="MXO169"/>
      <c r="MXP169"/>
      <c r="MXQ169"/>
      <c r="MXR169"/>
      <c r="MXS169"/>
      <c r="MXT169"/>
      <c r="MXU169"/>
      <c r="MXV169"/>
      <c r="MXW169"/>
      <c r="MXX169"/>
      <c r="MXY169"/>
      <c r="MXZ169"/>
      <c r="MYA169"/>
      <c r="MYB169"/>
      <c r="MYC169"/>
      <c r="MYD169"/>
      <c r="MYE169"/>
      <c r="MYF169"/>
      <c r="MYG169"/>
      <c r="MYH169"/>
      <c r="MYI169"/>
      <c r="MYJ169"/>
      <c r="MYK169"/>
      <c r="MYL169"/>
      <c r="MYM169"/>
      <c r="MYN169"/>
      <c r="MYO169"/>
      <c r="MYP169"/>
      <c r="MYQ169"/>
      <c r="MYR169"/>
      <c r="MYS169"/>
      <c r="MYT169"/>
      <c r="MYU169"/>
      <c r="MYV169"/>
      <c r="MYW169"/>
      <c r="MYX169"/>
      <c r="MYY169"/>
      <c r="MYZ169"/>
      <c r="MZA169"/>
      <c r="MZB169"/>
      <c r="MZC169"/>
      <c r="MZD169"/>
      <c r="MZE169"/>
      <c r="MZF169"/>
      <c r="MZG169"/>
      <c r="MZH169"/>
      <c r="MZI169"/>
      <c r="MZJ169"/>
      <c r="MZK169"/>
      <c r="MZL169"/>
      <c r="MZM169"/>
      <c r="MZN169"/>
      <c r="MZO169"/>
      <c r="MZP169"/>
      <c r="MZQ169"/>
      <c r="MZR169"/>
      <c r="MZS169"/>
      <c r="MZT169"/>
      <c r="MZU169"/>
      <c r="MZV169"/>
      <c r="MZW169"/>
      <c r="MZX169"/>
      <c r="MZY169"/>
      <c r="MZZ169"/>
      <c r="NAA169"/>
      <c r="NAB169"/>
      <c r="NAC169"/>
      <c r="NAD169"/>
      <c r="NAE169"/>
      <c r="NAF169"/>
      <c r="NAG169"/>
      <c r="NAH169"/>
      <c r="NAI169"/>
      <c r="NAJ169"/>
      <c r="NAK169"/>
      <c r="NAL169"/>
      <c r="NAM169"/>
      <c r="NAN169"/>
      <c r="NAO169"/>
      <c r="NAP169"/>
      <c r="NAQ169"/>
      <c r="NAR169"/>
      <c r="NAS169"/>
      <c r="NAT169"/>
      <c r="NAU169"/>
      <c r="NAV169"/>
      <c r="NAW169"/>
      <c r="NAX169"/>
      <c r="NAY169"/>
      <c r="NAZ169"/>
      <c r="NBA169"/>
      <c r="NBB169"/>
      <c r="NBC169"/>
      <c r="NBD169"/>
      <c r="NBE169"/>
      <c r="NBF169"/>
      <c r="NBG169"/>
      <c r="NBH169"/>
      <c r="NBI169"/>
      <c r="NBJ169"/>
      <c r="NBK169"/>
      <c r="NBL169"/>
      <c r="NBM169"/>
      <c r="NBN169"/>
      <c r="NBO169"/>
      <c r="NBP169"/>
      <c r="NBQ169"/>
      <c r="NBR169"/>
      <c r="NBS169"/>
      <c r="NBT169"/>
      <c r="NBU169"/>
      <c r="NBV169"/>
      <c r="NBW169"/>
      <c r="NBX169"/>
      <c r="NBY169"/>
      <c r="NBZ169"/>
      <c r="NCA169"/>
      <c r="NCB169"/>
      <c r="NCC169"/>
      <c r="NCD169"/>
      <c r="NCE169"/>
      <c r="NCF169"/>
      <c r="NCG169"/>
      <c r="NCH169"/>
      <c r="NCI169"/>
      <c r="NCJ169"/>
      <c r="NCK169"/>
      <c r="NCL169"/>
      <c r="NCM169"/>
      <c r="NCN169"/>
      <c r="NCO169"/>
      <c r="NCP169"/>
      <c r="NCQ169"/>
      <c r="NCR169"/>
      <c r="NCS169"/>
      <c r="NCT169"/>
      <c r="NCU169"/>
      <c r="NCV169"/>
      <c r="NCW169"/>
      <c r="NCX169"/>
      <c r="NCY169"/>
      <c r="NCZ169"/>
      <c r="NDA169"/>
      <c r="NDB169"/>
      <c r="NDC169"/>
      <c r="NDD169"/>
      <c r="NDE169"/>
      <c r="NDF169"/>
      <c r="NDG169"/>
      <c r="NDH169"/>
      <c r="NDI169"/>
      <c r="NDJ169"/>
      <c r="NDK169"/>
      <c r="NDL169"/>
      <c r="NDM169"/>
      <c r="NDN169"/>
      <c r="NDO169"/>
      <c r="NDP169"/>
      <c r="NDQ169"/>
      <c r="NDR169"/>
      <c r="NDS169"/>
      <c r="NDT169"/>
      <c r="NDU169"/>
      <c r="NDV169"/>
      <c r="NDW169"/>
      <c r="NDX169"/>
      <c r="NDY169"/>
      <c r="NDZ169"/>
      <c r="NEA169"/>
      <c r="NEB169"/>
      <c r="NEC169"/>
      <c r="NED169"/>
      <c r="NEE169"/>
      <c r="NEF169"/>
      <c r="NEG169"/>
      <c r="NEH169"/>
      <c r="NEI169"/>
      <c r="NEJ169"/>
      <c r="NEK169"/>
      <c r="NEL169"/>
      <c r="NEM169"/>
      <c r="NEN169"/>
      <c r="NEO169"/>
      <c r="NEP169"/>
      <c r="NEQ169"/>
      <c r="NER169"/>
      <c r="NES169"/>
      <c r="NET169"/>
      <c r="NEU169"/>
      <c r="NEV169"/>
      <c r="NEW169"/>
      <c r="NEX169"/>
      <c r="NEY169"/>
      <c r="NEZ169"/>
      <c r="NFA169"/>
      <c r="NFB169"/>
      <c r="NFC169"/>
      <c r="NFD169"/>
      <c r="NFE169"/>
      <c r="NFF169"/>
      <c r="NFG169"/>
      <c r="NFH169"/>
      <c r="NFI169"/>
      <c r="NFJ169"/>
      <c r="NFK169"/>
      <c r="NFL169"/>
      <c r="NFM169"/>
      <c r="NFN169"/>
      <c r="NFO169"/>
      <c r="NFP169"/>
      <c r="NFQ169"/>
      <c r="NFR169"/>
      <c r="NFS169"/>
      <c r="NFT169"/>
      <c r="NFU169"/>
      <c r="NFV169"/>
      <c r="NFW169"/>
      <c r="NFX169"/>
      <c r="NFY169"/>
      <c r="NFZ169"/>
      <c r="NGA169"/>
      <c r="NGB169"/>
      <c r="NGC169"/>
      <c r="NGD169"/>
      <c r="NGE169"/>
      <c r="NGF169"/>
      <c r="NGG169"/>
      <c r="NGH169"/>
      <c r="NGI169"/>
      <c r="NGJ169"/>
      <c r="NGK169"/>
      <c r="NGL169"/>
      <c r="NGM169"/>
      <c r="NGN169"/>
      <c r="NGO169"/>
      <c r="NGP169"/>
      <c r="NGQ169"/>
      <c r="NGR169"/>
      <c r="NGS169"/>
      <c r="NGT169"/>
      <c r="NGU169"/>
      <c r="NGV169"/>
      <c r="NGW169"/>
      <c r="NGX169"/>
      <c r="NGY169"/>
      <c r="NGZ169"/>
      <c r="NHA169"/>
      <c r="NHB169"/>
      <c r="NHC169"/>
      <c r="NHD169"/>
      <c r="NHE169"/>
      <c r="NHF169"/>
      <c r="NHG169"/>
      <c r="NHH169"/>
      <c r="NHI169"/>
      <c r="NHJ169"/>
      <c r="NHK169"/>
      <c r="NHL169"/>
      <c r="NHM169"/>
      <c r="NHN169"/>
      <c r="NHO169"/>
      <c r="NHP169"/>
      <c r="NHQ169"/>
      <c r="NHR169"/>
      <c r="NHS169"/>
      <c r="NHT169"/>
      <c r="NHU169"/>
      <c r="NHV169"/>
      <c r="NHW169"/>
      <c r="NHX169"/>
      <c r="NHY169"/>
      <c r="NHZ169"/>
      <c r="NIA169"/>
      <c r="NIB169"/>
      <c r="NIC169"/>
      <c r="NID169"/>
      <c r="NIE169"/>
      <c r="NIF169"/>
      <c r="NIG169"/>
      <c r="NIH169"/>
      <c r="NII169"/>
      <c r="NIJ169"/>
      <c r="NIK169"/>
      <c r="NIL169"/>
      <c r="NIM169"/>
      <c r="NIN169"/>
      <c r="NIO169"/>
      <c r="NIP169"/>
      <c r="NIQ169"/>
      <c r="NIR169"/>
      <c r="NIS169"/>
      <c r="NIT169"/>
      <c r="NIU169"/>
      <c r="NIV169"/>
      <c r="NIW169"/>
      <c r="NIX169"/>
      <c r="NIY169"/>
      <c r="NIZ169"/>
      <c r="NJA169"/>
      <c r="NJB169"/>
      <c r="NJC169"/>
      <c r="NJD169"/>
      <c r="NJE169"/>
      <c r="NJF169"/>
      <c r="NJG169"/>
      <c r="NJH169"/>
      <c r="NJI169"/>
      <c r="NJJ169"/>
      <c r="NJK169"/>
      <c r="NJL169"/>
      <c r="NJM169"/>
      <c r="NJN169"/>
      <c r="NJO169"/>
      <c r="NJP169"/>
      <c r="NJQ169"/>
      <c r="NJR169"/>
      <c r="NJS169"/>
      <c r="NJT169"/>
      <c r="NJU169"/>
      <c r="NJV169"/>
      <c r="NJW169"/>
      <c r="NJX169"/>
      <c r="NJY169"/>
      <c r="NJZ169"/>
      <c r="NKA169"/>
      <c r="NKB169"/>
      <c r="NKC169"/>
      <c r="NKD169"/>
      <c r="NKE169"/>
      <c r="NKF169"/>
      <c r="NKG169"/>
      <c r="NKH169"/>
      <c r="NKI169"/>
      <c r="NKJ169"/>
      <c r="NKK169"/>
      <c r="NKL169"/>
      <c r="NKM169"/>
      <c r="NKN169"/>
      <c r="NKO169"/>
      <c r="NKP169"/>
      <c r="NKQ169"/>
      <c r="NKR169"/>
      <c r="NKS169"/>
      <c r="NKT169"/>
      <c r="NKU169"/>
      <c r="NKV169"/>
      <c r="NKW169"/>
      <c r="NKX169"/>
      <c r="NKY169"/>
      <c r="NKZ169"/>
      <c r="NLA169"/>
      <c r="NLB169"/>
      <c r="NLC169"/>
      <c r="NLD169"/>
      <c r="NLE169"/>
      <c r="NLF169"/>
      <c r="NLG169"/>
      <c r="NLH169"/>
      <c r="NLI169"/>
      <c r="NLJ169"/>
      <c r="NLK169"/>
      <c r="NLL169"/>
      <c r="NLM169"/>
      <c r="NLN169"/>
      <c r="NLO169"/>
      <c r="NLP169"/>
      <c r="NLQ169"/>
      <c r="NLR169"/>
      <c r="NLS169"/>
      <c r="NLT169"/>
      <c r="NLU169"/>
      <c r="NLV169"/>
      <c r="NLW169"/>
      <c r="NLX169"/>
      <c r="NLY169"/>
      <c r="NLZ169"/>
      <c r="NMA169"/>
      <c r="NMB169"/>
      <c r="NMC169"/>
      <c r="NMD169"/>
      <c r="NME169"/>
      <c r="NMF169"/>
      <c r="NMG169"/>
      <c r="NMH169"/>
      <c r="NMI169"/>
      <c r="NMJ169"/>
      <c r="NMK169"/>
      <c r="NML169"/>
      <c r="NMM169"/>
      <c r="NMN169"/>
      <c r="NMO169"/>
      <c r="NMP169"/>
      <c r="NMQ169"/>
      <c r="NMR169"/>
      <c r="NMS169"/>
      <c r="NMT169"/>
      <c r="NMU169"/>
      <c r="NMV169"/>
      <c r="NMW169"/>
      <c r="NMX169"/>
      <c r="NMY169"/>
      <c r="NMZ169"/>
      <c r="NNA169"/>
      <c r="NNB169"/>
      <c r="NNC169"/>
      <c r="NND169"/>
      <c r="NNE169"/>
      <c r="NNF169"/>
      <c r="NNG169"/>
      <c r="NNH169"/>
      <c r="NNI169"/>
      <c r="NNJ169"/>
      <c r="NNK169"/>
      <c r="NNL169"/>
      <c r="NNM169"/>
      <c r="NNN169"/>
      <c r="NNO169"/>
      <c r="NNP169"/>
      <c r="NNQ169"/>
      <c r="NNR169"/>
      <c r="NNS169"/>
      <c r="NNT169"/>
      <c r="NNU169"/>
      <c r="NNV169"/>
      <c r="NNW169"/>
      <c r="NNX169"/>
      <c r="NNY169"/>
      <c r="NNZ169"/>
      <c r="NOA169"/>
      <c r="NOB169"/>
      <c r="NOC169"/>
      <c r="NOD169"/>
      <c r="NOE169"/>
      <c r="NOF169"/>
      <c r="NOG169"/>
      <c r="NOH169"/>
      <c r="NOI169"/>
      <c r="NOJ169"/>
      <c r="NOK169"/>
      <c r="NOL169"/>
      <c r="NOM169"/>
      <c r="NON169"/>
      <c r="NOO169"/>
      <c r="NOP169"/>
      <c r="NOQ169"/>
      <c r="NOR169"/>
      <c r="NOS169"/>
      <c r="NOT169"/>
      <c r="NOU169"/>
      <c r="NOV169"/>
      <c r="NOW169"/>
      <c r="NOX169"/>
      <c r="NOY169"/>
      <c r="NOZ169"/>
      <c r="NPA169"/>
      <c r="NPB169"/>
      <c r="NPC169"/>
      <c r="NPD169"/>
      <c r="NPE169"/>
      <c r="NPF169"/>
      <c r="NPG169"/>
      <c r="NPH169"/>
      <c r="NPI169"/>
      <c r="NPJ169"/>
      <c r="NPK169"/>
      <c r="NPL169"/>
      <c r="NPM169"/>
      <c r="NPN169"/>
      <c r="NPO169"/>
      <c r="NPP169"/>
      <c r="NPQ169"/>
      <c r="NPR169"/>
      <c r="NPS169"/>
      <c r="NPT169"/>
      <c r="NPU169"/>
      <c r="NPV169"/>
      <c r="NPW169"/>
      <c r="NPX169"/>
      <c r="NPY169"/>
      <c r="NPZ169"/>
      <c r="NQA169"/>
      <c r="NQB169"/>
      <c r="NQC169"/>
      <c r="NQD169"/>
      <c r="NQE169"/>
      <c r="NQF169"/>
      <c r="NQG169"/>
      <c r="NQH169"/>
      <c r="NQI169"/>
      <c r="NQJ169"/>
      <c r="NQK169"/>
      <c r="NQL169"/>
      <c r="NQM169"/>
      <c r="NQN169"/>
      <c r="NQO169"/>
      <c r="NQP169"/>
      <c r="NQQ169"/>
      <c r="NQR169"/>
      <c r="NQS169"/>
      <c r="NQT169"/>
      <c r="NQU169"/>
      <c r="NQV169"/>
      <c r="NQW169"/>
      <c r="NQX169"/>
      <c r="NQY169"/>
      <c r="NQZ169"/>
      <c r="NRA169"/>
      <c r="NRB169"/>
      <c r="NRC169"/>
      <c r="NRD169"/>
      <c r="NRE169"/>
      <c r="NRF169"/>
      <c r="NRG169"/>
      <c r="NRH169"/>
      <c r="NRI169"/>
      <c r="NRJ169"/>
      <c r="NRK169"/>
      <c r="NRL169"/>
      <c r="NRM169"/>
      <c r="NRN169"/>
      <c r="NRO169"/>
      <c r="NRP169"/>
      <c r="NRQ169"/>
      <c r="NRR169"/>
      <c r="NRS169"/>
      <c r="NRT169"/>
      <c r="NRU169"/>
      <c r="NRV169"/>
      <c r="NRW169"/>
      <c r="NRX169"/>
      <c r="NRY169"/>
      <c r="NRZ169"/>
      <c r="NSA169"/>
      <c r="NSB169"/>
      <c r="NSC169"/>
      <c r="NSD169"/>
      <c r="NSE169"/>
      <c r="NSF169"/>
      <c r="NSG169"/>
      <c r="NSH169"/>
      <c r="NSI169"/>
      <c r="NSJ169"/>
      <c r="NSK169"/>
      <c r="NSL169"/>
      <c r="NSM169"/>
      <c r="NSN169"/>
      <c r="NSO169"/>
      <c r="NSP169"/>
      <c r="NSQ169"/>
      <c r="NSR169"/>
      <c r="NSS169"/>
      <c r="NST169"/>
      <c r="NSU169"/>
      <c r="NSV169"/>
      <c r="NSW169"/>
      <c r="NSX169"/>
      <c r="NSY169"/>
      <c r="NSZ169"/>
      <c r="NTA169"/>
      <c r="NTB169"/>
      <c r="NTC169"/>
      <c r="NTD169"/>
      <c r="NTE169"/>
      <c r="NTF169"/>
      <c r="NTG169"/>
      <c r="NTH169"/>
      <c r="NTI169"/>
      <c r="NTJ169"/>
      <c r="NTK169"/>
      <c r="NTL169"/>
      <c r="NTM169"/>
      <c r="NTN169"/>
      <c r="NTO169"/>
      <c r="NTP169"/>
      <c r="NTQ169"/>
      <c r="NTR169"/>
      <c r="NTS169"/>
      <c r="NTT169"/>
      <c r="NTU169"/>
      <c r="NTV169"/>
      <c r="NTW169"/>
      <c r="NTX169"/>
      <c r="NTY169"/>
      <c r="NTZ169"/>
      <c r="NUA169"/>
      <c r="NUB169"/>
      <c r="NUC169"/>
      <c r="NUD169"/>
      <c r="NUE169"/>
      <c r="NUF169"/>
      <c r="NUG169"/>
      <c r="NUH169"/>
      <c r="NUI169"/>
      <c r="NUJ169"/>
      <c r="NUK169"/>
      <c r="NUL169"/>
      <c r="NUM169"/>
      <c r="NUN169"/>
      <c r="NUO169"/>
      <c r="NUP169"/>
      <c r="NUQ169"/>
      <c r="NUR169"/>
      <c r="NUS169"/>
      <c r="NUT169"/>
      <c r="NUU169"/>
      <c r="NUV169"/>
      <c r="NUW169"/>
      <c r="NUX169"/>
      <c r="NUY169"/>
      <c r="NUZ169"/>
      <c r="NVA169"/>
      <c r="NVB169"/>
      <c r="NVC169"/>
      <c r="NVD169"/>
      <c r="NVE169"/>
      <c r="NVF169"/>
      <c r="NVG169"/>
      <c r="NVH169"/>
      <c r="NVI169"/>
      <c r="NVJ169"/>
      <c r="NVK169"/>
      <c r="NVL169"/>
      <c r="NVM169"/>
      <c r="NVN169"/>
      <c r="NVO169"/>
      <c r="NVP169"/>
      <c r="NVQ169"/>
      <c r="NVR169"/>
      <c r="NVS169"/>
      <c r="NVT169"/>
      <c r="NVU169"/>
      <c r="NVV169"/>
      <c r="NVW169"/>
      <c r="NVX169"/>
      <c r="NVY169"/>
      <c r="NVZ169"/>
      <c r="NWA169"/>
      <c r="NWB169"/>
      <c r="NWC169"/>
      <c r="NWD169"/>
      <c r="NWE169"/>
      <c r="NWF169"/>
      <c r="NWG169"/>
      <c r="NWH169"/>
      <c r="NWI169"/>
      <c r="NWJ169"/>
      <c r="NWK169"/>
      <c r="NWL169"/>
      <c r="NWM169"/>
      <c r="NWN169"/>
      <c r="NWO169"/>
      <c r="NWP169"/>
      <c r="NWQ169"/>
      <c r="NWR169"/>
      <c r="NWS169"/>
      <c r="NWT169"/>
      <c r="NWU169"/>
      <c r="NWV169"/>
      <c r="NWW169"/>
      <c r="NWX169"/>
      <c r="NWY169"/>
      <c r="NWZ169"/>
      <c r="NXA169"/>
      <c r="NXB169"/>
      <c r="NXC169"/>
      <c r="NXD169"/>
      <c r="NXE169"/>
      <c r="NXF169"/>
      <c r="NXG169"/>
      <c r="NXH169"/>
      <c r="NXI169"/>
      <c r="NXJ169"/>
      <c r="NXK169"/>
      <c r="NXL169"/>
      <c r="NXM169"/>
      <c r="NXN169"/>
      <c r="NXO169"/>
      <c r="NXP169"/>
      <c r="NXQ169"/>
      <c r="NXR169"/>
      <c r="NXS169"/>
      <c r="NXT169"/>
      <c r="NXU169"/>
      <c r="NXV169"/>
      <c r="NXW169"/>
      <c r="NXX169"/>
      <c r="NXY169"/>
      <c r="NXZ169"/>
      <c r="NYA169"/>
      <c r="NYB169"/>
      <c r="NYC169"/>
      <c r="NYD169"/>
      <c r="NYE169"/>
      <c r="NYF169"/>
      <c r="NYG169"/>
      <c r="NYH169"/>
      <c r="NYI169"/>
      <c r="NYJ169"/>
      <c r="NYK169"/>
      <c r="NYL169"/>
      <c r="NYM169"/>
      <c r="NYN169"/>
      <c r="NYO169"/>
      <c r="NYP169"/>
      <c r="NYQ169"/>
      <c r="NYR169"/>
      <c r="NYS169"/>
      <c r="NYT169"/>
      <c r="NYU169"/>
      <c r="NYV169"/>
      <c r="NYW169"/>
      <c r="NYX169"/>
      <c r="NYY169"/>
      <c r="NYZ169"/>
      <c r="NZA169"/>
      <c r="NZB169"/>
      <c r="NZC169"/>
      <c r="NZD169"/>
      <c r="NZE169"/>
      <c r="NZF169"/>
      <c r="NZG169"/>
      <c r="NZH169"/>
      <c r="NZI169"/>
      <c r="NZJ169"/>
      <c r="NZK169"/>
      <c r="NZL169"/>
      <c r="NZM169"/>
      <c r="NZN169"/>
      <c r="NZO169"/>
      <c r="NZP169"/>
      <c r="NZQ169"/>
      <c r="NZR169"/>
      <c r="NZS169"/>
      <c r="NZT169"/>
      <c r="NZU169"/>
      <c r="NZV169"/>
      <c r="NZW169"/>
      <c r="NZX169"/>
      <c r="NZY169"/>
      <c r="NZZ169"/>
      <c r="OAA169"/>
      <c r="OAB169"/>
      <c r="OAC169"/>
      <c r="OAD169"/>
      <c r="OAE169"/>
      <c r="OAF169"/>
      <c r="OAG169"/>
      <c r="OAH169"/>
      <c r="OAI169"/>
      <c r="OAJ169"/>
      <c r="OAK169"/>
      <c r="OAL169"/>
      <c r="OAM169"/>
      <c r="OAN169"/>
      <c r="OAO169"/>
      <c r="OAP169"/>
      <c r="OAQ169"/>
      <c r="OAR169"/>
      <c r="OAS169"/>
      <c r="OAT169"/>
      <c r="OAU169"/>
      <c r="OAV169"/>
      <c r="OAW169"/>
      <c r="OAX169"/>
      <c r="OAY169"/>
      <c r="OAZ169"/>
      <c r="OBA169"/>
      <c r="OBB169"/>
      <c r="OBC169"/>
      <c r="OBD169"/>
      <c r="OBE169"/>
      <c r="OBF169"/>
      <c r="OBG169"/>
      <c r="OBH169"/>
      <c r="OBI169"/>
      <c r="OBJ169"/>
      <c r="OBK169"/>
      <c r="OBL169"/>
      <c r="OBM169"/>
      <c r="OBN169"/>
      <c r="OBO169"/>
      <c r="OBP169"/>
      <c r="OBQ169"/>
      <c r="OBR169"/>
      <c r="OBS169"/>
      <c r="OBT169"/>
      <c r="OBU169"/>
      <c r="OBV169"/>
      <c r="OBW169"/>
      <c r="OBX169"/>
      <c r="OBY169"/>
      <c r="OBZ169"/>
      <c r="OCA169"/>
      <c r="OCB169"/>
      <c r="OCC169"/>
      <c r="OCD169"/>
      <c r="OCE169"/>
      <c r="OCF169"/>
      <c r="OCG169"/>
      <c r="OCH169"/>
      <c r="OCI169"/>
      <c r="OCJ169"/>
      <c r="OCK169"/>
      <c r="OCL169"/>
      <c r="OCM169"/>
      <c r="OCN169"/>
      <c r="OCO169"/>
      <c r="OCP169"/>
      <c r="OCQ169"/>
      <c r="OCR169"/>
      <c r="OCS169"/>
      <c r="OCT169"/>
      <c r="OCU169"/>
      <c r="OCV169"/>
      <c r="OCW169"/>
      <c r="OCX169"/>
      <c r="OCY169"/>
      <c r="OCZ169"/>
      <c r="ODA169"/>
      <c r="ODB169"/>
      <c r="ODC169"/>
      <c r="ODD169"/>
      <c r="ODE169"/>
      <c r="ODF169"/>
      <c r="ODG169"/>
      <c r="ODH169"/>
      <c r="ODI169"/>
      <c r="ODJ169"/>
      <c r="ODK169"/>
      <c r="ODL169"/>
      <c r="ODM169"/>
      <c r="ODN169"/>
      <c r="ODO169"/>
      <c r="ODP169"/>
      <c r="ODQ169"/>
      <c r="ODR169"/>
      <c r="ODS169"/>
      <c r="ODT169"/>
      <c r="ODU169"/>
      <c r="ODV169"/>
      <c r="ODW169"/>
      <c r="ODX169"/>
      <c r="ODY169"/>
      <c r="ODZ169"/>
      <c r="OEA169"/>
      <c r="OEB169"/>
      <c r="OEC169"/>
      <c r="OED169"/>
      <c r="OEE169"/>
      <c r="OEF169"/>
      <c r="OEG169"/>
      <c r="OEH169"/>
      <c r="OEI169"/>
      <c r="OEJ169"/>
      <c r="OEK169"/>
      <c r="OEL169"/>
      <c r="OEM169"/>
      <c r="OEN169"/>
      <c r="OEO169"/>
      <c r="OEP169"/>
      <c r="OEQ169"/>
      <c r="OER169"/>
      <c r="OES169"/>
      <c r="OET169"/>
      <c r="OEU169"/>
      <c r="OEV169"/>
      <c r="OEW169"/>
      <c r="OEX169"/>
      <c r="OEY169"/>
      <c r="OEZ169"/>
      <c r="OFA169"/>
      <c r="OFB169"/>
      <c r="OFC169"/>
      <c r="OFD169"/>
      <c r="OFE169"/>
      <c r="OFF169"/>
      <c r="OFG169"/>
      <c r="OFH169"/>
      <c r="OFI169"/>
      <c r="OFJ169"/>
      <c r="OFK169"/>
      <c r="OFL169"/>
      <c r="OFM169"/>
      <c r="OFN169"/>
      <c r="OFO169"/>
      <c r="OFP169"/>
      <c r="OFQ169"/>
      <c r="OFR169"/>
      <c r="OFS169"/>
      <c r="OFT169"/>
      <c r="OFU169"/>
      <c r="OFV169"/>
      <c r="OFW169"/>
      <c r="OFX169"/>
      <c r="OFY169"/>
      <c r="OFZ169"/>
      <c r="OGA169"/>
      <c r="OGB169"/>
      <c r="OGC169"/>
      <c r="OGD169"/>
      <c r="OGE169"/>
      <c r="OGF169"/>
      <c r="OGG169"/>
      <c r="OGH169"/>
      <c r="OGI169"/>
      <c r="OGJ169"/>
      <c r="OGK169"/>
      <c r="OGL169"/>
      <c r="OGM169"/>
      <c r="OGN169"/>
      <c r="OGO169"/>
      <c r="OGP169"/>
      <c r="OGQ169"/>
      <c r="OGR169"/>
      <c r="OGS169"/>
      <c r="OGT169"/>
      <c r="OGU169"/>
      <c r="OGV169"/>
      <c r="OGW169"/>
      <c r="OGX169"/>
      <c r="OGY169"/>
      <c r="OGZ169"/>
      <c r="OHA169"/>
      <c r="OHB169"/>
      <c r="OHC169"/>
      <c r="OHD169"/>
      <c r="OHE169"/>
      <c r="OHF169"/>
      <c r="OHG169"/>
      <c r="OHH169"/>
      <c r="OHI169"/>
      <c r="OHJ169"/>
      <c r="OHK169"/>
      <c r="OHL169"/>
      <c r="OHM169"/>
      <c r="OHN169"/>
      <c r="OHO169"/>
      <c r="OHP169"/>
      <c r="OHQ169"/>
      <c r="OHR169"/>
      <c r="OHS169"/>
      <c r="OHT169"/>
      <c r="OHU169"/>
      <c r="OHV169"/>
      <c r="OHW169"/>
      <c r="OHX169"/>
      <c r="OHY169"/>
      <c r="OHZ169"/>
      <c r="OIA169"/>
      <c r="OIB169"/>
      <c r="OIC169"/>
      <c r="OID169"/>
      <c r="OIE169"/>
      <c r="OIF169"/>
      <c r="OIG169"/>
      <c r="OIH169"/>
      <c r="OII169"/>
      <c r="OIJ169"/>
      <c r="OIK169"/>
      <c r="OIL169"/>
      <c r="OIM169"/>
      <c r="OIN169"/>
      <c r="OIO169"/>
      <c r="OIP169"/>
      <c r="OIQ169"/>
      <c r="OIR169"/>
      <c r="OIS169"/>
      <c r="OIT169"/>
      <c r="OIU169"/>
      <c r="OIV169"/>
      <c r="OIW169"/>
      <c r="OIX169"/>
      <c r="OIY169"/>
      <c r="OIZ169"/>
      <c r="OJA169"/>
      <c r="OJB169"/>
      <c r="OJC169"/>
      <c r="OJD169"/>
      <c r="OJE169"/>
      <c r="OJF169"/>
      <c r="OJG169"/>
      <c r="OJH169"/>
      <c r="OJI169"/>
      <c r="OJJ169"/>
      <c r="OJK169"/>
      <c r="OJL169"/>
      <c r="OJM169"/>
      <c r="OJN169"/>
      <c r="OJO169"/>
      <c r="OJP169"/>
      <c r="OJQ169"/>
      <c r="OJR169"/>
      <c r="OJS169"/>
      <c r="OJT169"/>
      <c r="OJU169"/>
      <c r="OJV169"/>
      <c r="OJW169"/>
      <c r="OJX169"/>
      <c r="OJY169"/>
      <c r="OJZ169"/>
      <c r="OKA169"/>
      <c r="OKB169"/>
      <c r="OKC169"/>
      <c r="OKD169"/>
      <c r="OKE169"/>
      <c r="OKF169"/>
      <c r="OKG169"/>
      <c r="OKH169"/>
      <c r="OKI169"/>
      <c r="OKJ169"/>
      <c r="OKK169"/>
      <c r="OKL169"/>
      <c r="OKM169"/>
      <c r="OKN169"/>
      <c r="OKO169"/>
      <c r="OKP169"/>
      <c r="OKQ169"/>
      <c r="OKR169"/>
      <c r="OKS169"/>
      <c r="OKT169"/>
      <c r="OKU169"/>
      <c r="OKV169"/>
      <c r="OKW169"/>
      <c r="OKX169"/>
      <c r="OKY169"/>
      <c r="OKZ169"/>
      <c r="OLA169"/>
      <c r="OLB169"/>
      <c r="OLC169"/>
      <c r="OLD169"/>
      <c r="OLE169"/>
      <c r="OLF169"/>
      <c r="OLG169"/>
      <c r="OLH169"/>
      <c r="OLI169"/>
      <c r="OLJ169"/>
      <c r="OLK169"/>
      <c r="OLL169"/>
      <c r="OLM169"/>
      <c r="OLN169"/>
      <c r="OLO169"/>
      <c r="OLP169"/>
      <c r="OLQ169"/>
      <c r="OLR169"/>
      <c r="OLS169"/>
      <c r="OLT169"/>
      <c r="OLU169"/>
      <c r="OLV169"/>
      <c r="OLW169"/>
      <c r="OLX169"/>
      <c r="OLY169"/>
      <c r="OLZ169"/>
      <c r="OMA169"/>
      <c r="OMB169"/>
      <c r="OMC169"/>
      <c r="OMD169"/>
      <c r="OME169"/>
      <c r="OMF169"/>
      <c r="OMG169"/>
      <c r="OMH169"/>
      <c r="OMI169"/>
      <c r="OMJ169"/>
      <c r="OMK169"/>
      <c r="OML169"/>
      <c r="OMM169"/>
      <c r="OMN169"/>
      <c r="OMO169"/>
      <c r="OMP169"/>
      <c r="OMQ169"/>
      <c r="OMR169"/>
      <c r="OMS169"/>
      <c r="OMT169"/>
      <c r="OMU169"/>
      <c r="OMV169"/>
      <c r="OMW169"/>
      <c r="OMX169"/>
      <c r="OMY169"/>
      <c r="OMZ169"/>
      <c r="ONA169"/>
      <c r="ONB169"/>
      <c r="ONC169"/>
      <c r="OND169"/>
      <c r="ONE169"/>
      <c r="ONF169"/>
      <c r="ONG169"/>
      <c r="ONH169"/>
      <c r="ONI169"/>
      <c r="ONJ169"/>
      <c r="ONK169"/>
      <c r="ONL169"/>
      <c r="ONM169"/>
      <c r="ONN169"/>
      <c r="ONO169"/>
      <c r="ONP169"/>
      <c r="ONQ169"/>
      <c r="ONR169"/>
      <c r="ONS169"/>
      <c r="ONT169"/>
      <c r="ONU169"/>
      <c r="ONV169"/>
      <c r="ONW169"/>
      <c r="ONX169"/>
      <c r="ONY169"/>
      <c r="ONZ169"/>
      <c r="OOA169"/>
      <c r="OOB169"/>
      <c r="OOC169"/>
      <c r="OOD169"/>
      <c r="OOE169"/>
      <c r="OOF169"/>
      <c r="OOG169"/>
      <c r="OOH169"/>
      <c r="OOI169"/>
      <c r="OOJ169"/>
      <c r="OOK169"/>
      <c r="OOL169"/>
      <c r="OOM169"/>
      <c r="OON169"/>
      <c r="OOO169"/>
      <c r="OOP169"/>
      <c r="OOQ169"/>
      <c r="OOR169"/>
      <c r="OOS169"/>
      <c r="OOT169"/>
      <c r="OOU169"/>
      <c r="OOV169"/>
      <c r="OOW169"/>
      <c r="OOX169"/>
      <c r="OOY169"/>
      <c r="OOZ169"/>
      <c r="OPA169"/>
      <c r="OPB169"/>
      <c r="OPC169"/>
      <c r="OPD169"/>
      <c r="OPE169"/>
      <c r="OPF169"/>
      <c r="OPG169"/>
      <c r="OPH169"/>
      <c r="OPI169"/>
      <c r="OPJ169"/>
      <c r="OPK169"/>
      <c r="OPL169"/>
      <c r="OPM169"/>
      <c r="OPN169"/>
      <c r="OPO169"/>
      <c r="OPP169"/>
      <c r="OPQ169"/>
      <c r="OPR169"/>
      <c r="OPS169"/>
      <c r="OPT169"/>
      <c r="OPU169"/>
      <c r="OPV169"/>
      <c r="OPW169"/>
      <c r="OPX169"/>
      <c r="OPY169"/>
      <c r="OPZ169"/>
      <c r="OQA169"/>
      <c r="OQB169"/>
      <c r="OQC169"/>
      <c r="OQD169"/>
      <c r="OQE169"/>
      <c r="OQF169"/>
      <c r="OQG169"/>
      <c r="OQH169"/>
      <c r="OQI169"/>
      <c r="OQJ169"/>
      <c r="OQK169"/>
      <c r="OQL169"/>
      <c r="OQM169"/>
      <c r="OQN169"/>
      <c r="OQO169"/>
      <c r="OQP169"/>
      <c r="OQQ169"/>
      <c r="OQR169"/>
      <c r="OQS169"/>
      <c r="OQT169"/>
      <c r="OQU169"/>
      <c r="OQV169"/>
      <c r="OQW169"/>
      <c r="OQX169"/>
      <c r="OQY169"/>
      <c r="OQZ169"/>
      <c r="ORA169"/>
      <c r="ORB169"/>
      <c r="ORC169"/>
      <c r="ORD169"/>
      <c r="ORE169"/>
      <c r="ORF169"/>
      <c r="ORG169"/>
      <c r="ORH169"/>
      <c r="ORI169"/>
      <c r="ORJ169"/>
      <c r="ORK169"/>
      <c r="ORL169"/>
      <c r="ORM169"/>
      <c r="ORN169"/>
      <c r="ORO169"/>
      <c r="ORP169"/>
      <c r="ORQ169"/>
      <c r="ORR169"/>
      <c r="ORS169"/>
      <c r="ORT169"/>
      <c r="ORU169"/>
      <c r="ORV169"/>
      <c r="ORW169"/>
      <c r="ORX169"/>
      <c r="ORY169"/>
      <c r="ORZ169"/>
      <c r="OSA169"/>
      <c r="OSB169"/>
      <c r="OSC169"/>
      <c r="OSD169"/>
      <c r="OSE169"/>
      <c r="OSF169"/>
      <c r="OSG169"/>
      <c r="OSH169"/>
      <c r="OSI169"/>
      <c r="OSJ169"/>
      <c r="OSK169"/>
      <c r="OSL169"/>
      <c r="OSM169"/>
      <c r="OSN169"/>
      <c r="OSO169"/>
      <c r="OSP169"/>
      <c r="OSQ169"/>
      <c r="OSR169"/>
      <c r="OSS169"/>
      <c r="OST169"/>
      <c r="OSU169"/>
      <c r="OSV169"/>
      <c r="OSW169"/>
      <c r="OSX169"/>
      <c r="OSY169"/>
      <c r="OSZ169"/>
      <c r="OTA169"/>
      <c r="OTB169"/>
      <c r="OTC169"/>
      <c r="OTD169"/>
      <c r="OTE169"/>
      <c r="OTF169"/>
      <c r="OTG169"/>
      <c r="OTH169"/>
      <c r="OTI169"/>
      <c r="OTJ169"/>
      <c r="OTK169"/>
      <c r="OTL169"/>
      <c r="OTM169"/>
      <c r="OTN169"/>
      <c r="OTO169"/>
      <c r="OTP169"/>
      <c r="OTQ169"/>
      <c r="OTR169"/>
      <c r="OTS169"/>
      <c r="OTT169"/>
      <c r="OTU169"/>
      <c r="OTV169"/>
      <c r="OTW169"/>
      <c r="OTX169"/>
      <c r="OTY169"/>
      <c r="OTZ169"/>
      <c r="OUA169"/>
      <c r="OUB169"/>
      <c r="OUC169"/>
      <c r="OUD169"/>
      <c r="OUE169"/>
      <c r="OUF169"/>
      <c r="OUG169"/>
      <c r="OUH169"/>
      <c r="OUI169"/>
      <c r="OUJ169"/>
      <c r="OUK169"/>
      <c r="OUL169"/>
      <c r="OUM169"/>
      <c r="OUN169"/>
      <c r="OUO169"/>
      <c r="OUP169"/>
      <c r="OUQ169"/>
      <c r="OUR169"/>
      <c r="OUS169"/>
      <c r="OUT169"/>
      <c r="OUU169"/>
      <c r="OUV169"/>
      <c r="OUW169"/>
      <c r="OUX169"/>
      <c r="OUY169"/>
      <c r="OUZ169"/>
      <c r="OVA169"/>
      <c r="OVB169"/>
      <c r="OVC169"/>
      <c r="OVD169"/>
      <c r="OVE169"/>
      <c r="OVF169"/>
      <c r="OVG169"/>
      <c r="OVH169"/>
      <c r="OVI169"/>
      <c r="OVJ169"/>
      <c r="OVK169"/>
      <c r="OVL169"/>
      <c r="OVM169"/>
      <c r="OVN169"/>
      <c r="OVO169"/>
      <c r="OVP169"/>
      <c r="OVQ169"/>
      <c r="OVR169"/>
      <c r="OVS169"/>
      <c r="OVT169"/>
      <c r="OVU169"/>
      <c r="OVV169"/>
      <c r="OVW169"/>
      <c r="OVX169"/>
      <c r="OVY169"/>
      <c r="OVZ169"/>
      <c r="OWA169"/>
      <c r="OWB169"/>
      <c r="OWC169"/>
      <c r="OWD169"/>
      <c r="OWE169"/>
      <c r="OWF169"/>
      <c r="OWG169"/>
      <c r="OWH169"/>
      <c r="OWI169"/>
      <c r="OWJ169"/>
      <c r="OWK169"/>
      <c r="OWL169"/>
      <c r="OWM169"/>
      <c r="OWN169"/>
      <c r="OWO169"/>
      <c r="OWP169"/>
      <c r="OWQ169"/>
      <c r="OWR169"/>
      <c r="OWS169"/>
      <c r="OWT169"/>
      <c r="OWU169"/>
      <c r="OWV169"/>
      <c r="OWW169"/>
      <c r="OWX169"/>
      <c r="OWY169"/>
      <c r="OWZ169"/>
      <c r="OXA169"/>
      <c r="OXB169"/>
      <c r="OXC169"/>
      <c r="OXD169"/>
      <c r="OXE169"/>
      <c r="OXF169"/>
      <c r="OXG169"/>
      <c r="OXH169"/>
      <c r="OXI169"/>
      <c r="OXJ169"/>
      <c r="OXK169"/>
      <c r="OXL169"/>
      <c r="OXM169"/>
      <c r="OXN169"/>
      <c r="OXO169"/>
      <c r="OXP169"/>
      <c r="OXQ169"/>
      <c r="OXR169"/>
      <c r="OXS169"/>
      <c r="OXT169"/>
      <c r="OXU169"/>
      <c r="OXV169"/>
      <c r="OXW169"/>
      <c r="OXX169"/>
      <c r="OXY169"/>
      <c r="OXZ169"/>
      <c r="OYA169"/>
      <c r="OYB169"/>
      <c r="OYC169"/>
      <c r="OYD169"/>
      <c r="OYE169"/>
      <c r="OYF169"/>
      <c r="OYG169"/>
      <c r="OYH169"/>
      <c r="OYI169"/>
      <c r="OYJ169"/>
      <c r="OYK169"/>
      <c r="OYL169"/>
      <c r="OYM169"/>
      <c r="OYN169"/>
      <c r="OYO169"/>
      <c r="OYP169"/>
      <c r="OYQ169"/>
      <c r="OYR169"/>
      <c r="OYS169"/>
      <c r="OYT169"/>
      <c r="OYU169"/>
      <c r="OYV169"/>
      <c r="OYW169"/>
      <c r="OYX169"/>
      <c r="OYY169"/>
      <c r="OYZ169"/>
      <c r="OZA169"/>
      <c r="OZB169"/>
      <c r="OZC169"/>
      <c r="OZD169"/>
      <c r="OZE169"/>
      <c r="OZF169"/>
      <c r="OZG169"/>
      <c r="OZH169"/>
      <c r="OZI169"/>
      <c r="OZJ169"/>
      <c r="OZK169"/>
      <c r="OZL169"/>
      <c r="OZM169"/>
      <c r="OZN169"/>
      <c r="OZO169"/>
      <c r="OZP169"/>
      <c r="OZQ169"/>
      <c r="OZR169"/>
      <c r="OZS169"/>
      <c r="OZT169"/>
      <c r="OZU169"/>
      <c r="OZV169"/>
      <c r="OZW169"/>
      <c r="OZX169"/>
      <c r="OZY169"/>
      <c r="OZZ169"/>
      <c r="PAA169"/>
      <c r="PAB169"/>
      <c r="PAC169"/>
      <c r="PAD169"/>
      <c r="PAE169"/>
      <c r="PAF169"/>
      <c r="PAG169"/>
      <c r="PAH169"/>
      <c r="PAI169"/>
      <c r="PAJ169"/>
      <c r="PAK169"/>
      <c r="PAL169"/>
      <c r="PAM169"/>
      <c r="PAN169"/>
      <c r="PAO169"/>
      <c r="PAP169"/>
      <c r="PAQ169"/>
      <c r="PAR169"/>
      <c r="PAS169"/>
      <c r="PAT169"/>
      <c r="PAU169"/>
      <c r="PAV169"/>
      <c r="PAW169"/>
      <c r="PAX169"/>
      <c r="PAY169"/>
      <c r="PAZ169"/>
      <c r="PBA169"/>
      <c r="PBB169"/>
      <c r="PBC169"/>
      <c r="PBD169"/>
      <c r="PBE169"/>
      <c r="PBF169"/>
      <c r="PBG169"/>
      <c r="PBH169"/>
      <c r="PBI169"/>
      <c r="PBJ169"/>
      <c r="PBK169"/>
      <c r="PBL169"/>
      <c r="PBM169"/>
      <c r="PBN169"/>
      <c r="PBO169"/>
      <c r="PBP169"/>
      <c r="PBQ169"/>
      <c r="PBR169"/>
      <c r="PBS169"/>
      <c r="PBT169"/>
      <c r="PBU169"/>
      <c r="PBV169"/>
      <c r="PBW169"/>
      <c r="PBX169"/>
      <c r="PBY169"/>
      <c r="PBZ169"/>
      <c r="PCA169"/>
      <c r="PCB169"/>
      <c r="PCC169"/>
      <c r="PCD169"/>
      <c r="PCE169"/>
      <c r="PCF169"/>
      <c r="PCG169"/>
      <c r="PCH169"/>
      <c r="PCI169"/>
      <c r="PCJ169"/>
      <c r="PCK169"/>
      <c r="PCL169"/>
      <c r="PCM169"/>
      <c r="PCN169"/>
      <c r="PCO169"/>
      <c r="PCP169"/>
      <c r="PCQ169"/>
      <c r="PCR169"/>
      <c r="PCS169"/>
      <c r="PCT169"/>
      <c r="PCU169"/>
      <c r="PCV169"/>
      <c r="PCW169"/>
      <c r="PCX169"/>
      <c r="PCY169"/>
      <c r="PCZ169"/>
      <c r="PDA169"/>
      <c r="PDB169"/>
      <c r="PDC169"/>
      <c r="PDD169"/>
      <c r="PDE169"/>
      <c r="PDF169"/>
      <c r="PDG169"/>
      <c r="PDH169"/>
      <c r="PDI169"/>
      <c r="PDJ169"/>
      <c r="PDK169"/>
      <c r="PDL169"/>
      <c r="PDM169"/>
      <c r="PDN169"/>
      <c r="PDO169"/>
      <c r="PDP169"/>
      <c r="PDQ169"/>
      <c r="PDR169"/>
      <c r="PDS169"/>
      <c r="PDT169"/>
      <c r="PDU169"/>
      <c r="PDV169"/>
      <c r="PDW169"/>
      <c r="PDX169"/>
      <c r="PDY169"/>
      <c r="PDZ169"/>
      <c r="PEA169"/>
      <c r="PEB169"/>
      <c r="PEC169"/>
      <c r="PED169"/>
      <c r="PEE169"/>
      <c r="PEF169"/>
      <c r="PEG169"/>
      <c r="PEH169"/>
      <c r="PEI169"/>
      <c r="PEJ169"/>
      <c r="PEK169"/>
      <c r="PEL169"/>
      <c r="PEM169"/>
      <c r="PEN169"/>
      <c r="PEO169"/>
      <c r="PEP169"/>
      <c r="PEQ169"/>
      <c r="PER169"/>
      <c r="PES169"/>
      <c r="PET169"/>
      <c r="PEU169"/>
      <c r="PEV169"/>
      <c r="PEW169"/>
      <c r="PEX169"/>
      <c r="PEY169"/>
      <c r="PEZ169"/>
      <c r="PFA169"/>
      <c r="PFB169"/>
      <c r="PFC169"/>
      <c r="PFD169"/>
      <c r="PFE169"/>
      <c r="PFF169"/>
      <c r="PFG169"/>
      <c r="PFH169"/>
      <c r="PFI169"/>
      <c r="PFJ169"/>
      <c r="PFK169"/>
      <c r="PFL169"/>
      <c r="PFM169"/>
      <c r="PFN169"/>
      <c r="PFO169"/>
      <c r="PFP169"/>
      <c r="PFQ169"/>
      <c r="PFR169"/>
      <c r="PFS169"/>
      <c r="PFT169"/>
      <c r="PFU169"/>
      <c r="PFV169"/>
      <c r="PFW169"/>
      <c r="PFX169"/>
      <c r="PFY169"/>
      <c r="PFZ169"/>
      <c r="PGA169"/>
      <c r="PGB169"/>
      <c r="PGC169"/>
      <c r="PGD169"/>
      <c r="PGE169"/>
      <c r="PGF169"/>
      <c r="PGG169"/>
      <c r="PGH169"/>
      <c r="PGI169"/>
      <c r="PGJ169"/>
      <c r="PGK169"/>
      <c r="PGL169"/>
      <c r="PGM169"/>
      <c r="PGN169"/>
      <c r="PGO169"/>
      <c r="PGP169"/>
      <c r="PGQ169"/>
      <c r="PGR169"/>
      <c r="PGS169"/>
      <c r="PGT169"/>
      <c r="PGU169"/>
      <c r="PGV169"/>
      <c r="PGW169"/>
      <c r="PGX169"/>
      <c r="PGY169"/>
      <c r="PGZ169"/>
      <c r="PHA169"/>
      <c r="PHB169"/>
      <c r="PHC169"/>
      <c r="PHD169"/>
      <c r="PHE169"/>
      <c r="PHF169"/>
      <c r="PHG169"/>
      <c r="PHH169"/>
      <c r="PHI169"/>
      <c r="PHJ169"/>
      <c r="PHK169"/>
      <c r="PHL169"/>
      <c r="PHM169"/>
      <c r="PHN169"/>
      <c r="PHO169"/>
      <c r="PHP169"/>
      <c r="PHQ169"/>
      <c r="PHR169"/>
      <c r="PHS169"/>
      <c r="PHT169"/>
      <c r="PHU169"/>
      <c r="PHV169"/>
      <c r="PHW169"/>
      <c r="PHX169"/>
      <c r="PHY169"/>
      <c r="PHZ169"/>
      <c r="PIA169"/>
      <c r="PIB169"/>
      <c r="PIC169"/>
      <c r="PID169"/>
      <c r="PIE169"/>
      <c r="PIF169"/>
      <c r="PIG169"/>
      <c r="PIH169"/>
      <c r="PII169"/>
      <c r="PIJ169"/>
      <c r="PIK169"/>
      <c r="PIL169"/>
      <c r="PIM169"/>
      <c r="PIN169"/>
      <c r="PIO169"/>
      <c r="PIP169"/>
      <c r="PIQ169"/>
      <c r="PIR169"/>
      <c r="PIS169"/>
      <c r="PIT169"/>
      <c r="PIU169"/>
      <c r="PIV169"/>
      <c r="PIW169"/>
      <c r="PIX169"/>
      <c r="PIY169"/>
      <c r="PIZ169"/>
      <c r="PJA169"/>
      <c r="PJB169"/>
      <c r="PJC169"/>
      <c r="PJD169"/>
      <c r="PJE169"/>
      <c r="PJF169"/>
      <c r="PJG169"/>
      <c r="PJH169"/>
      <c r="PJI169"/>
      <c r="PJJ169"/>
      <c r="PJK169"/>
      <c r="PJL169"/>
      <c r="PJM169"/>
      <c r="PJN169"/>
      <c r="PJO169"/>
      <c r="PJP169"/>
      <c r="PJQ169"/>
      <c r="PJR169"/>
      <c r="PJS169"/>
      <c r="PJT169"/>
      <c r="PJU169"/>
      <c r="PJV169"/>
      <c r="PJW169"/>
      <c r="PJX169"/>
      <c r="PJY169"/>
      <c r="PJZ169"/>
      <c r="PKA169"/>
      <c r="PKB169"/>
      <c r="PKC169"/>
      <c r="PKD169"/>
      <c r="PKE169"/>
      <c r="PKF169"/>
      <c r="PKG169"/>
      <c r="PKH169"/>
      <c r="PKI169"/>
      <c r="PKJ169"/>
      <c r="PKK169"/>
      <c r="PKL169"/>
      <c r="PKM169"/>
      <c r="PKN169"/>
      <c r="PKO169"/>
      <c r="PKP169"/>
      <c r="PKQ169"/>
      <c r="PKR169"/>
      <c r="PKS169"/>
      <c r="PKT169"/>
      <c r="PKU169"/>
      <c r="PKV169"/>
      <c r="PKW169"/>
      <c r="PKX169"/>
      <c r="PKY169"/>
      <c r="PKZ169"/>
      <c r="PLA169"/>
      <c r="PLB169"/>
      <c r="PLC169"/>
      <c r="PLD169"/>
      <c r="PLE169"/>
      <c r="PLF169"/>
      <c r="PLG169"/>
      <c r="PLH169"/>
      <c r="PLI169"/>
      <c r="PLJ169"/>
      <c r="PLK169"/>
      <c r="PLL169"/>
      <c r="PLM169"/>
      <c r="PLN169"/>
      <c r="PLO169"/>
      <c r="PLP169"/>
      <c r="PLQ169"/>
      <c r="PLR169"/>
      <c r="PLS169"/>
      <c r="PLT169"/>
      <c r="PLU169"/>
      <c r="PLV169"/>
      <c r="PLW169"/>
      <c r="PLX169"/>
      <c r="PLY169"/>
      <c r="PLZ169"/>
      <c r="PMA169"/>
      <c r="PMB169"/>
      <c r="PMC169"/>
      <c r="PMD169"/>
      <c r="PME169"/>
      <c r="PMF169"/>
      <c r="PMG169"/>
      <c r="PMH169"/>
      <c r="PMI169"/>
      <c r="PMJ169"/>
      <c r="PMK169"/>
      <c r="PML169"/>
      <c r="PMM169"/>
      <c r="PMN169"/>
      <c r="PMO169"/>
      <c r="PMP169"/>
      <c r="PMQ169"/>
      <c r="PMR169"/>
      <c r="PMS169"/>
      <c r="PMT169"/>
      <c r="PMU169"/>
      <c r="PMV169"/>
      <c r="PMW169"/>
      <c r="PMX169"/>
      <c r="PMY169"/>
      <c r="PMZ169"/>
      <c r="PNA169"/>
      <c r="PNB169"/>
      <c r="PNC169"/>
      <c r="PND169"/>
      <c r="PNE169"/>
      <c r="PNF169"/>
      <c r="PNG169"/>
      <c r="PNH169"/>
      <c r="PNI169"/>
      <c r="PNJ169"/>
      <c r="PNK169"/>
      <c r="PNL169"/>
      <c r="PNM169"/>
      <c r="PNN169"/>
      <c r="PNO169"/>
      <c r="PNP169"/>
      <c r="PNQ169"/>
      <c r="PNR169"/>
      <c r="PNS169"/>
      <c r="PNT169"/>
      <c r="PNU169"/>
      <c r="PNV169"/>
      <c r="PNW169"/>
      <c r="PNX169"/>
      <c r="PNY169"/>
      <c r="PNZ169"/>
      <c r="POA169"/>
      <c r="POB169"/>
      <c r="POC169"/>
      <c r="POD169"/>
      <c r="POE169"/>
      <c r="POF169"/>
      <c r="POG169"/>
      <c r="POH169"/>
      <c r="POI169"/>
      <c r="POJ169"/>
      <c r="POK169"/>
      <c r="POL169"/>
      <c r="POM169"/>
      <c r="PON169"/>
      <c r="POO169"/>
      <c r="POP169"/>
      <c r="POQ169"/>
      <c r="POR169"/>
      <c r="POS169"/>
      <c r="POT169"/>
      <c r="POU169"/>
      <c r="POV169"/>
      <c r="POW169"/>
      <c r="POX169"/>
      <c r="POY169"/>
      <c r="POZ169"/>
      <c r="PPA169"/>
      <c r="PPB169"/>
      <c r="PPC169"/>
      <c r="PPD169"/>
      <c r="PPE169"/>
      <c r="PPF169"/>
      <c r="PPG169"/>
      <c r="PPH169"/>
      <c r="PPI169"/>
      <c r="PPJ169"/>
      <c r="PPK169"/>
      <c r="PPL169"/>
      <c r="PPM169"/>
      <c r="PPN169"/>
      <c r="PPO169"/>
      <c r="PPP169"/>
      <c r="PPQ169"/>
      <c r="PPR169"/>
      <c r="PPS169"/>
      <c r="PPT169"/>
      <c r="PPU169"/>
      <c r="PPV169"/>
      <c r="PPW169"/>
      <c r="PPX169"/>
      <c r="PPY169"/>
      <c r="PPZ169"/>
      <c r="PQA169"/>
      <c r="PQB169"/>
      <c r="PQC169"/>
      <c r="PQD169"/>
      <c r="PQE169"/>
      <c r="PQF169"/>
      <c r="PQG169"/>
      <c r="PQH169"/>
      <c r="PQI169"/>
      <c r="PQJ169"/>
      <c r="PQK169"/>
      <c r="PQL169"/>
      <c r="PQM169"/>
      <c r="PQN169"/>
      <c r="PQO169"/>
      <c r="PQP169"/>
      <c r="PQQ169"/>
      <c r="PQR169"/>
      <c r="PQS169"/>
      <c r="PQT169"/>
      <c r="PQU169"/>
      <c r="PQV169"/>
      <c r="PQW169"/>
      <c r="PQX169"/>
      <c r="PQY169"/>
      <c r="PQZ169"/>
      <c r="PRA169"/>
      <c r="PRB169"/>
      <c r="PRC169"/>
      <c r="PRD169"/>
      <c r="PRE169"/>
      <c r="PRF169"/>
      <c r="PRG169"/>
      <c r="PRH169"/>
      <c r="PRI169"/>
      <c r="PRJ169"/>
      <c r="PRK169"/>
      <c r="PRL169"/>
      <c r="PRM169"/>
      <c r="PRN169"/>
      <c r="PRO169"/>
      <c r="PRP169"/>
      <c r="PRQ169"/>
      <c r="PRR169"/>
      <c r="PRS169"/>
      <c r="PRT169"/>
      <c r="PRU169"/>
      <c r="PRV169"/>
      <c r="PRW169"/>
      <c r="PRX169"/>
      <c r="PRY169"/>
      <c r="PRZ169"/>
      <c r="PSA169"/>
      <c r="PSB169"/>
      <c r="PSC169"/>
      <c r="PSD169"/>
      <c r="PSE169"/>
      <c r="PSF169"/>
      <c r="PSG169"/>
      <c r="PSH169"/>
      <c r="PSI169"/>
      <c r="PSJ169"/>
      <c r="PSK169"/>
      <c r="PSL169"/>
      <c r="PSM169"/>
      <c r="PSN169"/>
      <c r="PSO169"/>
      <c r="PSP169"/>
      <c r="PSQ169"/>
      <c r="PSR169"/>
      <c r="PSS169"/>
      <c r="PST169"/>
      <c r="PSU169"/>
      <c r="PSV169"/>
      <c r="PSW169"/>
      <c r="PSX169"/>
      <c r="PSY169"/>
      <c r="PSZ169"/>
      <c r="PTA169"/>
      <c r="PTB169"/>
      <c r="PTC169"/>
      <c r="PTD169"/>
      <c r="PTE169"/>
      <c r="PTF169"/>
      <c r="PTG169"/>
      <c r="PTH169"/>
      <c r="PTI169"/>
      <c r="PTJ169"/>
      <c r="PTK169"/>
      <c r="PTL169"/>
      <c r="PTM169"/>
      <c r="PTN169"/>
      <c r="PTO169"/>
      <c r="PTP169"/>
      <c r="PTQ169"/>
      <c r="PTR169"/>
      <c r="PTS169"/>
      <c r="PTT169"/>
      <c r="PTU169"/>
      <c r="PTV169"/>
      <c r="PTW169"/>
      <c r="PTX169"/>
      <c r="PTY169"/>
      <c r="PTZ169"/>
      <c r="PUA169"/>
      <c r="PUB169"/>
      <c r="PUC169"/>
      <c r="PUD169"/>
      <c r="PUE169"/>
      <c r="PUF169"/>
      <c r="PUG169"/>
      <c r="PUH169"/>
      <c r="PUI169"/>
      <c r="PUJ169"/>
      <c r="PUK169"/>
      <c r="PUL169"/>
      <c r="PUM169"/>
      <c r="PUN169"/>
      <c r="PUO169"/>
      <c r="PUP169"/>
      <c r="PUQ169"/>
      <c r="PUR169"/>
      <c r="PUS169"/>
      <c r="PUT169"/>
      <c r="PUU169"/>
      <c r="PUV169"/>
      <c r="PUW169"/>
      <c r="PUX169"/>
      <c r="PUY169"/>
      <c r="PUZ169"/>
      <c r="PVA169"/>
      <c r="PVB169"/>
      <c r="PVC169"/>
      <c r="PVD169"/>
      <c r="PVE169"/>
      <c r="PVF169"/>
      <c r="PVG169"/>
      <c r="PVH169"/>
      <c r="PVI169"/>
      <c r="PVJ169"/>
      <c r="PVK169"/>
      <c r="PVL169"/>
      <c r="PVM169"/>
      <c r="PVN169"/>
      <c r="PVO169"/>
      <c r="PVP169"/>
      <c r="PVQ169"/>
      <c r="PVR169"/>
      <c r="PVS169"/>
      <c r="PVT169"/>
      <c r="PVU169"/>
      <c r="PVV169"/>
      <c r="PVW169"/>
      <c r="PVX169"/>
      <c r="PVY169"/>
      <c r="PVZ169"/>
      <c r="PWA169"/>
      <c r="PWB169"/>
      <c r="PWC169"/>
      <c r="PWD169"/>
      <c r="PWE169"/>
      <c r="PWF169"/>
      <c r="PWG169"/>
      <c r="PWH169"/>
      <c r="PWI169"/>
      <c r="PWJ169"/>
      <c r="PWK169"/>
      <c r="PWL169"/>
      <c r="PWM169"/>
      <c r="PWN169"/>
      <c r="PWO169"/>
      <c r="PWP169"/>
      <c r="PWQ169"/>
      <c r="PWR169"/>
      <c r="PWS169"/>
      <c r="PWT169"/>
      <c r="PWU169"/>
      <c r="PWV169"/>
      <c r="PWW169"/>
      <c r="PWX169"/>
      <c r="PWY169"/>
      <c r="PWZ169"/>
      <c r="PXA169"/>
      <c r="PXB169"/>
      <c r="PXC169"/>
      <c r="PXD169"/>
      <c r="PXE169"/>
      <c r="PXF169"/>
      <c r="PXG169"/>
      <c r="PXH169"/>
      <c r="PXI169"/>
      <c r="PXJ169"/>
      <c r="PXK169"/>
      <c r="PXL169"/>
      <c r="PXM169"/>
      <c r="PXN169"/>
      <c r="PXO169"/>
      <c r="PXP169"/>
      <c r="PXQ169"/>
      <c r="PXR169"/>
      <c r="PXS169"/>
      <c r="PXT169"/>
      <c r="PXU169"/>
      <c r="PXV169"/>
      <c r="PXW169"/>
      <c r="PXX169"/>
      <c r="PXY169"/>
      <c r="PXZ169"/>
      <c r="PYA169"/>
      <c r="PYB169"/>
      <c r="PYC169"/>
      <c r="PYD169"/>
      <c r="PYE169"/>
      <c r="PYF169"/>
      <c r="PYG169"/>
      <c r="PYH169"/>
      <c r="PYI169"/>
      <c r="PYJ169"/>
      <c r="PYK169"/>
      <c r="PYL169"/>
      <c r="PYM169"/>
      <c r="PYN169"/>
      <c r="PYO169"/>
      <c r="PYP169"/>
      <c r="PYQ169"/>
      <c r="PYR169"/>
      <c r="PYS169"/>
      <c r="PYT169"/>
      <c r="PYU169"/>
      <c r="PYV169"/>
      <c r="PYW169"/>
      <c r="PYX169"/>
      <c r="PYY169"/>
      <c r="PYZ169"/>
      <c r="PZA169"/>
      <c r="PZB169"/>
      <c r="PZC169"/>
      <c r="PZD169"/>
      <c r="PZE169"/>
      <c r="PZF169"/>
      <c r="PZG169"/>
      <c r="PZH169"/>
      <c r="PZI169"/>
      <c r="PZJ169"/>
      <c r="PZK169"/>
      <c r="PZL169"/>
      <c r="PZM169"/>
      <c r="PZN169"/>
      <c r="PZO169"/>
      <c r="PZP169"/>
      <c r="PZQ169"/>
      <c r="PZR169"/>
      <c r="PZS169"/>
      <c r="PZT169"/>
      <c r="PZU169"/>
      <c r="PZV169"/>
      <c r="PZW169"/>
      <c r="PZX169"/>
      <c r="PZY169"/>
      <c r="PZZ169"/>
      <c r="QAA169"/>
      <c r="QAB169"/>
      <c r="QAC169"/>
      <c r="QAD169"/>
      <c r="QAE169"/>
      <c r="QAF169"/>
      <c r="QAG169"/>
      <c r="QAH169"/>
      <c r="QAI169"/>
      <c r="QAJ169"/>
      <c r="QAK169"/>
      <c r="QAL169"/>
      <c r="QAM169"/>
      <c r="QAN169"/>
      <c r="QAO169"/>
      <c r="QAP169"/>
      <c r="QAQ169"/>
      <c r="QAR169"/>
      <c r="QAS169"/>
      <c r="QAT169"/>
      <c r="QAU169"/>
      <c r="QAV169"/>
      <c r="QAW169"/>
      <c r="QAX169"/>
      <c r="QAY169"/>
      <c r="QAZ169"/>
      <c r="QBA169"/>
      <c r="QBB169"/>
      <c r="QBC169"/>
      <c r="QBD169"/>
      <c r="QBE169"/>
      <c r="QBF169"/>
      <c r="QBG169"/>
      <c r="QBH169"/>
      <c r="QBI169"/>
      <c r="QBJ169"/>
      <c r="QBK169"/>
      <c r="QBL169"/>
      <c r="QBM169"/>
      <c r="QBN169"/>
      <c r="QBO169"/>
      <c r="QBP169"/>
      <c r="QBQ169"/>
      <c r="QBR169"/>
      <c r="QBS169"/>
      <c r="QBT169"/>
      <c r="QBU169"/>
      <c r="QBV169"/>
      <c r="QBW169"/>
      <c r="QBX169"/>
      <c r="QBY169"/>
      <c r="QBZ169"/>
      <c r="QCA169"/>
      <c r="QCB169"/>
      <c r="QCC169"/>
      <c r="QCD169"/>
      <c r="QCE169"/>
      <c r="QCF169"/>
      <c r="QCG169"/>
      <c r="QCH169"/>
      <c r="QCI169"/>
      <c r="QCJ169"/>
      <c r="QCK169"/>
      <c r="QCL169"/>
      <c r="QCM169"/>
      <c r="QCN169"/>
      <c r="QCO169"/>
      <c r="QCP169"/>
      <c r="QCQ169"/>
      <c r="QCR169"/>
      <c r="QCS169"/>
      <c r="QCT169"/>
      <c r="QCU169"/>
      <c r="QCV169"/>
      <c r="QCW169"/>
      <c r="QCX169"/>
      <c r="QCY169"/>
      <c r="QCZ169"/>
      <c r="QDA169"/>
      <c r="QDB169"/>
      <c r="QDC169"/>
      <c r="QDD169"/>
      <c r="QDE169"/>
      <c r="QDF169"/>
      <c r="QDG169"/>
      <c r="QDH169"/>
      <c r="QDI169"/>
      <c r="QDJ169"/>
      <c r="QDK169"/>
      <c r="QDL169"/>
      <c r="QDM169"/>
      <c r="QDN169"/>
      <c r="QDO169"/>
      <c r="QDP169"/>
      <c r="QDQ169"/>
      <c r="QDR169"/>
      <c r="QDS169"/>
      <c r="QDT169"/>
      <c r="QDU169"/>
      <c r="QDV169"/>
      <c r="QDW169"/>
      <c r="QDX169"/>
      <c r="QDY169"/>
      <c r="QDZ169"/>
      <c r="QEA169"/>
      <c r="QEB169"/>
      <c r="QEC169"/>
      <c r="QED169"/>
      <c r="QEE169"/>
      <c r="QEF169"/>
      <c r="QEG169"/>
      <c r="QEH169"/>
      <c r="QEI169"/>
      <c r="QEJ169"/>
      <c r="QEK169"/>
      <c r="QEL169"/>
      <c r="QEM169"/>
      <c r="QEN169"/>
      <c r="QEO169"/>
      <c r="QEP169"/>
      <c r="QEQ169"/>
      <c r="QER169"/>
      <c r="QES169"/>
      <c r="QET169"/>
      <c r="QEU169"/>
      <c r="QEV169"/>
      <c r="QEW169"/>
      <c r="QEX169"/>
      <c r="QEY169"/>
      <c r="QEZ169"/>
      <c r="QFA169"/>
      <c r="QFB169"/>
      <c r="QFC169"/>
      <c r="QFD169"/>
      <c r="QFE169"/>
      <c r="QFF169"/>
      <c r="QFG169"/>
      <c r="QFH169"/>
      <c r="QFI169"/>
      <c r="QFJ169"/>
      <c r="QFK169"/>
      <c r="QFL169"/>
      <c r="QFM169"/>
      <c r="QFN169"/>
      <c r="QFO169"/>
      <c r="QFP169"/>
      <c r="QFQ169"/>
      <c r="QFR169"/>
      <c r="QFS169"/>
      <c r="QFT169"/>
      <c r="QFU169"/>
      <c r="QFV169"/>
      <c r="QFW169"/>
      <c r="QFX169"/>
      <c r="QFY169"/>
      <c r="QFZ169"/>
      <c r="QGA169"/>
      <c r="QGB169"/>
      <c r="QGC169"/>
      <c r="QGD169"/>
      <c r="QGE169"/>
      <c r="QGF169"/>
      <c r="QGG169"/>
      <c r="QGH169"/>
      <c r="QGI169"/>
      <c r="QGJ169"/>
      <c r="QGK169"/>
      <c r="QGL169"/>
      <c r="QGM169"/>
      <c r="QGN169"/>
      <c r="QGO169"/>
      <c r="QGP169"/>
      <c r="QGQ169"/>
      <c r="QGR169"/>
      <c r="QGS169"/>
      <c r="QGT169"/>
      <c r="QGU169"/>
      <c r="QGV169"/>
      <c r="QGW169"/>
      <c r="QGX169"/>
      <c r="QGY169"/>
      <c r="QGZ169"/>
      <c r="QHA169"/>
      <c r="QHB169"/>
      <c r="QHC169"/>
      <c r="QHD169"/>
      <c r="QHE169"/>
      <c r="QHF169"/>
      <c r="QHG169"/>
      <c r="QHH169"/>
      <c r="QHI169"/>
      <c r="QHJ169"/>
      <c r="QHK169"/>
      <c r="QHL169"/>
      <c r="QHM169"/>
      <c r="QHN169"/>
      <c r="QHO169"/>
      <c r="QHP169"/>
      <c r="QHQ169"/>
      <c r="QHR169"/>
      <c r="QHS169"/>
      <c r="QHT169"/>
      <c r="QHU169"/>
      <c r="QHV169"/>
      <c r="QHW169"/>
      <c r="QHX169"/>
      <c r="QHY169"/>
      <c r="QHZ169"/>
      <c r="QIA169"/>
      <c r="QIB169"/>
      <c r="QIC169"/>
      <c r="QID169"/>
      <c r="QIE169"/>
      <c r="QIF169"/>
      <c r="QIG169"/>
      <c r="QIH169"/>
      <c r="QII169"/>
      <c r="QIJ169"/>
      <c r="QIK169"/>
      <c r="QIL169"/>
      <c r="QIM169"/>
      <c r="QIN169"/>
      <c r="QIO169"/>
      <c r="QIP169"/>
      <c r="QIQ169"/>
      <c r="QIR169"/>
      <c r="QIS169"/>
      <c r="QIT169"/>
      <c r="QIU169"/>
      <c r="QIV169"/>
      <c r="QIW169"/>
      <c r="QIX169"/>
      <c r="QIY169"/>
      <c r="QIZ169"/>
      <c r="QJA169"/>
      <c r="QJB169"/>
      <c r="QJC169"/>
      <c r="QJD169"/>
      <c r="QJE169"/>
      <c r="QJF169"/>
      <c r="QJG169"/>
      <c r="QJH169"/>
      <c r="QJI169"/>
      <c r="QJJ169"/>
      <c r="QJK169"/>
      <c r="QJL169"/>
      <c r="QJM169"/>
      <c r="QJN169"/>
      <c r="QJO169"/>
      <c r="QJP169"/>
      <c r="QJQ169"/>
      <c r="QJR169"/>
      <c r="QJS169"/>
      <c r="QJT169"/>
      <c r="QJU169"/>
      <c r="QJV169"/>
      <c r="QJW169"/>
      <c r="QJX169"/>
      <c r="QJY169"/>
      <c r="QJZ169"/>
      <c r="QKA169"/>
      <c r="QKB169"/>
      <c r="QKC169"/>
      <c r="QKD169"/>
      <c r="QKE169"/>
      <c r="QKF169"/>
      <c r="QKG169"/>
      <c r="QKH169"/>
      <c r="QKI169"/>
      <c r="QKJ169"/>
      <c r="QKK169"/>
      <c r="QKL169"/>
      <c r="QKM169"/>
      <c r="QKN169"/>
      <c r="QKO169"/>
      <c r="QKP169"/>
      <c r="QKQ169"/>
      <c r="QKR169"/>
      <c r="QKS169"/>
      <c r="QKT169"/>
      <c r="QKU169"/>
      <c r="QKV169"/>
      <c r="QKW169"/>
      <c r="QKX169"/>
      <c r="QKY169"/>
      <c r="QKZ169"/>
      <c r="QLA169"/>
      <c r="QLB169"/>
      <c r="QLC169"/>
      <c r="QLD169"/>
      <c r="QLE169"/>
      <c r="QLF169"/>
      <c r="QLG169"/>
      <c r="QLH169"/>
      <c r="QLI169"/>
      <c r="QLJ169"/>
      <c r="QLK169"/>
      <c r="QLL169"/>
      <c r="QLM169"/>
      <c r="QLN169"/>
      <c r="QLO169"/>
      <c r="QLP169"/>
      <c r="QLQ169"/>
      <c r="QLR169"/>
      <c r="QLS169"/>
      <c r="QLT169"/>
      <c r="QLU169"/>
      <c r="QLV169"/>
      <c r="QLW169"/>
      <c r="QLX169"/>
      <c r="QLY169"/>
      <c r="QLZ169"/>
      <c r="QMA169"/>
      <c r="QMB169"/>
      <c r="QMC169"/>
      <c r="QMD169"/>
      <c r="QME169"/>
      <c r="QMF169"/>
      <c r="QMG169"/>
      <c r="QMH169"/>
      <c r="QMI169"/>
      <c r="QMJ169"/>
      <c r="QMK169"/>
      <c r="QML169"/>
      <c r="QMM169"/>
      <c r="QMN169"/>
      <c r="QMO169"/>
      <c r="QMP169"/>
      <c r="QMQ169"/>
      <c r="QMR169"/>
      <c r="QMS169"/>
      <c r="QMT169"/>
      <c r="QMU169"/>
      <c r="QMV169"/>
      <c r="QMW169"/>
      <c r="QMX169"/>
      <c r="QMY169"/>
      <c r="QMZ169"/>
      <c r="QNA169"/>
      <c r="QNB169"/>
      <c r="QNC169"/>
      <c r="QND169"/>
      <c r="QNE169"/>
      <c r="QNF169"/>
      <c r="QNG169"/>
      <c r="QNH169"/>
      <c r="QNI169"/>
      <c r="QNJ169"/>
      <c r="QNK169"/>
      <c r="QNL169"/>
      <c r="QNM169"/>
      <c r="QNN169"/>
      <c r="QNO169"/>
      <c r="QNP169"/>
      <c r="QNQ169"/>
      <c r="QNR169"/>
      <c r="QNS169"/>
      <c r="QNT169"/>
      <c r="QNU169"/>
      <c r="QNV169"/>
      <c r="QNW169"/>
      <c r="QNX169"/>
      <c r="QNY169"/>
      <c r="QNZ169"/>
      <c r="QOA169"/>
      <c r="QOB169"/>
      <c r="QOC169"/>
      <c r="QOD169"/>
      <c r="QOE169"/>
      <c r="QOF169"/>
      <c r="QOG169"/>
      <c r="QOH169"/>
      <c r="QOI169"/>
      <c r="QOJ169"/>
      <c r="QOK169"/>
      <c r="QOL169"/>
      <c r="QOM169"/>
      <c r="QON169"/>
      <c r="QOO169"/>
      <c r="QOP169"/>
      <c r="QOQ169"/>
      <c r="QOR169"/>
      <c r="QOS169"/>
      <c r="QOT169"/>
      <c r="QOU169"/>
      <c r="QOV169"/>
      <c r="QOW169"/>
      <c r="QOX169"/>
      <c r="QOY169"/>
      <c r="QOZ169"/>
      <c r="QPA169"/>
      <c r="QPB169"/>
      <c r="QPC169"/>
      <c r="QPD169"/>
      <c r="QPE169"/>
      <c r="QPF169"/>
      <c r="QPG169"/>
      <c r="QPH169"/>
      <c r="QPI169"/>
      <c r="QPJ169"/>
      <c r="QPK169"/>
      <c r="QPL169"/>
      <c r="QPM169"/>
      <c r="QPN169"/>
      <c r="QPO169"/>
      <c r="QPP169"/>
      <c r="QPQ169"/>
      <c r="QPR169"/>
      <c r="QPS169"/>
      <c r="QPT169"/>
      <c r="QPU169"/>
      <c r="QPV169"/>
      <c r="QPW169"/>
      <c r="QPX169"/>
      <c r="QPY169"/>
      <c r="QPZ169"/>
      <c r="QQA169"/>
      <c r="QQB169"/>
      <c r="QQC169"/>
      <c r="QQD169"/>
      <c r="QQE169"/>
      <c r="QQF169"/>
      <c r="QQG169"/>
      <c r="QQH169"/>
      <c r="QQI169"/>
      <c r="QQJ169"/>
      <c r="QQK169"/>
      <c r="QQL169"/>
      <c r="QQM169"/>
      <c r="QQN169"/>
      <c r="QQO169"/>
      <c r="QQP169"/>
      <c r="QQQ169"/>
      <c r="QQR169"/>
      <c r="QQS169"/>
      <c r="QQT169"/>
      <c r="QQU169"/>
      <c r="QQV169"/>
      <c r="QQW169"/>
      <c r="QQX169"/>
      <c r="QQY169"/>
      <c r="QQZ169"/>
      <c r="QRA169"/>
      <c r="QRB169"/>
      <c r="QRC169"/>
      <c r="QRD169"/>
      <c r="QRE169"/>
      <c r="QRF169"/>
      <c r="QRG169"/>
      <c r="QRH169"/>
      <c r="QRI169"/>
      <c r="QRJ169"/>
      <c r="QRK169"/>
      <c r="QRL169"/>
      <c r="QRM169"/>
      <c r="QRN169"/>
      <c r="QRO169"/>
      <c r="QRP169"/>
      <c r="QRQ169"/>
      <c r="QRR169"/>
      <c r="QRS169"/>
      <c r="QRT169"/>
      <c r="QRU169"/>
      <c r="QRV169"/>
      <c r="QRW169"/>
      <c r="QRX169"/>
      <c r="QRY169"/>
      <c r="QRZ169"/>
      <c r="QSA169"/>
      <c r="QSB169"/>
      <c r="QSC169"/>
      <c r="QSD169"/>
      <c r="QSE169"/>
      <c r="QSF169"/>
      <c r="QSG169"/>
      <c r="QSH169"/>
      <c r="QSI169"/>
      <c r="QSJ169"/>
      <c r="QSK169"/>
      <c r="QSL169"/>
      <c r="QSM169"/>
      <c r="QSN169"/>
      <c r="QSO169"/>
      <c r="QSP169"/>
      <c r="QSQ169"/>
      <c r="QSR169"/>
      <c r="QSS169"/>
      <c r="QST169"/>
      <c r="QSU169"/>
      <c r="QSV169"/>
      <c r="QSW169"/>
      <c r="QSX169"/>
      <c r="QSY169"/>
      <c r="QSZ169"/>
      <c r="QTA169"/>
      <c r="QTB169"/>
      <c r="QTC169"/>
      <c r="QTD169"/>
      <c r="QTE169"/>
      <c r="QTF169"/>
      <c r="QTG169"/>
      <c r="QTH169"/>
      <c r="QTI169"/>
      <c r="QTJ169"/>
      <c r="QTK169"/>
      <c r="QTL169"/>
      <c r="QTM169"/>
      <c r="QTN169"/>
      <c r="QTO169"/>
      <c r="QTP169"/>
      <c r="QTQ169"/>
      <c r="QTR169"/>
      <c r="QTS169"/>
      <c r="QTT169"/>
      <c r="QTU169"/>
      <c r="QTV169"/>
      <c r="QTW169"/>
      <c r="QTX169"/>
      <c r="QTY169"/>
      <c r="QTZ169"/>
      <c r="QUA169"/>
      <c r="QUB169"/>
      <c r="QUC169"/>
      <c r="QUD169"/>
      <c r="QUE169"/>
      <c r="QUF169"/>
      <c r="QUG169"/>
      <c r="QUH169"/>
      <c r="QUI169"/>
      <c r="QUJ169"/>
      <c r="QUK169"/>
      <c r="QUL169"/>
      <c r="QUM169"/>
      <c r="QUN169"/>
      <c r="QUO169"/>
      <c r="QUP169"/>
      <c r="QUQ169"/>
      <c r="QUR169"/>
      <c r="QUS169"/>
      <c r="QUT169"/>
      <c r="QUU169"/>
      <c r="QUV169"/>
      <c r="QUW169"/>
      <c r="QUX169"/>
      <c r="QUY169"/>
      <c r="QUZ169"/>
      <c r="QVA169"/>
      <c r="QVB169"/>
      <c r="QVC169"/>
      <c r="QVD169"/>
      <c r="QVE169"/>
      <c r="QVF169"/>
      <c r="QVG169"/>
      <c r="QVH169"/>
      <c r="QVI169"/>
      <c r="QVJ169"/>
      <c r="QVK169"/>
      <c r="QVL169"/>
      <c r="QVM169"/>
      <c r="QVN169"/>
      <c r="QVO169"/>
      <c r="QVP169"/>
      <c r="QVQ169"/>
      <c r="QVR169"/>
      <c r="QVS169"/>
      <c r="QVT169"/>
      <c r="QVU169"/>
      <c r="QVV169"/>
      <c r="QVW169"/>
      <c r="QVX169"/>
      <c r="QVY169"/>
      <c r="QVZ169"/>
      <c r="QWA169"/>
      <c r="QWB169"/>
      <c r="QWC169"/>
      <c r="QWD169"/>
      <c r="QWE169"/>
      <c r="QWF169"/>
      <c r="QWG169"/>
      <c r="QWH169"/>
      <c r="QWI169"/>
      <c r="QWJ169"/>
      <c r="QWK169"/>
      <c r="QWL169"/>
      <c r="QWM169"/>
      <c r="QWN169"/>
      <c r="QWO169"/>
      <c r="QWP169"/>
      <c r="QWQ169"/>
      <c r="QWR169"/>
      <c r="QWS169"/>
      <c r="QWT169"/>
      <c r="QWU169"/>
      <c r="QWV169"/>
      <c r="QWW169"/>
      <c r="QWX169"/>
      <c r="QWY169"/>
      <c r="QWZ169"/>
      <c r="QXA169"/>
      <c r="QXB169"/>
      <c r="QXC169"/>
      <c r="QXD169"/>
      <c r="QXE169"/>
      <c r="QXF169"/>
      <c r="QXG169"/>
      <c r="QXH169"/>
      <c r="QXI169"/>
      <c r="QXJ169"/>
      <c r="QXK169"/>
      <c r="QXL169"/>
      <c r="QXM169"/>
      <c r="QXN169"/>
      <c r="QXO169"/>
      <c r="QXP169"/>
      <c r="QXQ169"/>
      <c r="QXR169"/>
      <c r="QXS169"/>
      <c r="QXT169"/>
      <c r="QXU169"/>
      <c r="QXV169"/>
      <c r="QXW169"/>
      <c r="QXX169"/>
      <c r="QXY169"/>
      <c r="QXZ169"/>
      <c r="QYA169"/>
      <c r="QYB169"/>
      <c r="QYC169"/>
      <c r="QYD169"/>
      <c r="QYE169"/>
      <c r="QYF169"/>
      <c r="QYG169"/>
      <c r="QYH169"/>
      <c r="QYI169"/>
      <c r="QYJ169"/>
      <c r="QYK169"/>
      <c r="QYL169"/>
      <c r="QYM169"/>
      <c r="QYN169"/>
      <c r="QYO169"/>
      <c r="QYP169"/>
      <c r="QYQ169"/>
      <c r="QYR169"/>
      <c r="QYS169"/>
      <c r="QYT169"/>
      <c r="QYU169"/>
      <c r="QYV169"/>
      <c r="QYW169"/>
      <c r="QYX169"/>
      <c r="QYY169"/>
      <c r="QYZ169"/>
      <c r="QZA169"/>
      <c r="QZB169"/>
      <c r="QZC169"/>
      <c r="QZD169"/>
      <c r="QZE169"/>
      <c r="QZF169"/>
      <c r="QZG169"/>
      <c r="QZH169"/>
      <c r="QZI169"/>
      <c r="QZJ169"/>
      <c r="QZK169"/>
      <c r="QZL169"/>
      <c r="QZM169"/>
      <c r="QZN169"/>
      <c r="QZO169"/>
      <c r="QZP169"/>
      <c r="QZQ169"/>
      <c r="QZR169"/>
      <c r="QZS169"/>
      <c r="QZT169"/>
      <c r="QZU169"/>
      <c r="QZV169"/>
      <c r="QZW169"/>
      <c r="QZX169"/>
      <c r="QZY169"/>
      <c r="QZZ169"/>
      <c r="RAA169"/>
      <c r="RAB169"/>
      <c r="RAC169"/>
      <c r="RAD169"/>
      <c r="RAE169"/>
      <c r="RAF169"/>
      <c r="RAG169"/>
      <c r="RAH169"/>
      <c r="RAI169"/>
      <c r="RAJ169"/>
      <c r="RAK169"/>
      <c r="RAL169"/>
      <c r="RAM169"/>
      <c r="RAN169"/>
      <c r="RAO169"/>
      <c r="RAP169"/>
      <c r="RAQ169"/>
      <c r="RAR169"/>
      <c r="RAS169"/>
      <c r="RAT169"/>
      <c r="RAU169"/>
      <c r="RAV169"/>
      <c r="RAW169"/>
      <c r="RAX169"/>
      <c r="RAY169"/>
      <c r="RAZ169"/>
      <c r="RBA169"/>
      <c r="RBB169"/>
      <c r="RBC169"/>
      <c r="RBD169"/>
      <c r="RBE169"/>
      <c r="RBF169"/>
      <c r="RBG169"/>
      <c r="RBH169"/>
      <c r="RBI169"/>
      <c r="RBJ169"/>
      <c r="RBK169"/>
      <c r="RBL169"/>
      <c r="RBM169"/>
      <c r="RBN169"/>
      <c r="RBO169"/>
      <c r="RBP169"/>
      <c r="RBQ169"/>
      <c r="RBR169"/>
      <c r="RBS169"/>
      <c r="RBT169"/>
      <c r="RBU169"/>
      <c r="RBV169"/>
      <c r="RBW169"/>
      <c r="RBX169"/>
      <c r="RBY169"/>
      <c r="RBZ169"/>
      <c r="RCA169"/>
      <c r="RCB169"/>
      <c r="RCC169"/>
      <c r="RCD169"/>
      <c r="RCE169"/>
      <c r="RCF169"/>
      <c r="RCG169"/>
      <c r="RCH169"/>
      <c r="RCI169"/>
      <c r="RCJ169"/>
      <c r="RCK169"/>
      <c r="RCL169"/>
      <c r="RCM169"/>
      <c r="RCN169"/>
      <c r="RCO169"/>
      <c r="RCP169"/>
      <c r="RCQ169"/>
      <c r="RCR169"/>
      <c r="RCS169"/>
      <c r="RCT169"/>
      <c r="RCU169"/>
      <c r="RCV169"/>
      <c r="RCW169"/>
      <c r="RCX169"/>
      <c r="RCY169"/>
      <c r="RCZ169"/>
      <c r="RDA169"/>
      <c r="RDB169"/>
      <c r="RDC169"/>
      <c r="RDD169"/>
      <c r="RDE169"/>
      <c r="RDF169"/>
      <c r="RDG169"/>
      <c r="RDH169"/>
      <c r="RDI169"/>
      <c r="RDJ169"/>
      <c r="RDK169"/>
      <c r="RDL169"/>
      <c r="RDM169"/>
      <c r="RDN169"/>
      <c r="RDO169"/>
      <c r="RDP169"/>
      <c r="RDQ169"/>
      <c r="RDR169"/>
      <c r="RDS169"/>
      <c r="RDT169"/>
      <c r="RDU169"/>
      <c r="RDV169"/>
      <c r="RDW169"/>
      <c r="RDX169"/>
      <c r="RDY169"/>
      <c r="RDZ169"/>
      <c r="REA169"/>
      <c r="REB169"/>
      <c r="REC169"/>
      <c r="RED169"/>
      <c r="REE169"/>
      <c r="REF169"/>
      <c r="REG169"/>
      <c r="REH169"/>
      <c r="REI169"/>
      <c r="REJ169"/>
      <c r="REK169"/>
      <c r="REL169"/>
      <c r="REM169"/>
      <c r="REN169"/>
      <c r="REO169"/>
      <c r="REP169"/>
      <c r="REQ169"/>
      <c r="RER169"/>
      <c r="RES169"/>
      <c r="RET169"/>
      <c r="REU169"/>
      <c r="REV169"/>
      <c r="REW169"/>
      <c r="REX169"/>
      <c r="REY169"/>
      <c r="REZ169"/>
      <c r="RFA169"/>
      <c r="RFB169"/>
      <c r="RFC169"/>
      <c r="RFD169"/>
      <c r="RFE169"/>
      <c r="RFF169"/>
      <c r="RFG169"/>
      <c r="RFH169"/>
      <c r="RFI169"/>
      <c r="RFJ169"/>
      <c r="RFK169"/>
      <c r="RFL169"/>
      <c r="RFM169"/>
      <c r="RFN169"/>
      <c r="RFO169"/>
      <c r="RFP169"/>
      <c r="RFQ169"/>
      <c r="RFR169"/>
      <c r="RFS169"/>
      <c r="RFT169"/>
      <c r="RFU169"/>
      <c r="RFV169"/>
      <c r="RFW169"/>
      <c r="RFX169"/>
      <c r="RFY169"/>
      <c r="RFZ169"/>
      <c r="RGA169"/>
      <c r="RGB169"/>
      <c r="RGC169"/>
      <c r="RGD169"/>
      <c r="RGE169"/>
      <c r="RGF169"/>
      <c r="RGG169"/>
      <c r="RGH169"/>
      <c r="RGI169"/>
      <c r="RGJ169"/>
      <c r="RGK169"/>
      <c r="RGL169"/>
      <c r="RGM169"/>
      <c r="RGN169"/>
      <c r="RGO169"/>
      <c r="RGP169"/>
      <c r="RGQ169"/>
      <c r="RGR169"/>
      <c r="RGS169"/>
      <c r="RGT169"/>
      <c r="RGU169"/>
      <c r="RGV169"/>
      <c r="RGW169"/>
      <c r="RGX169"/>
      <c r="RGY169"/>
      <c r="RGZ169"/>
      <c r="RHA169"/>
      <c r="RHB169"/>
      <c r="RHC169"/>
      <c r="RHD169"/>
      <c r="RHE169"/>
      <c r="RHF169"/>
      <c r="RHG169"/>
      <c r="RHH169"/>
      <c r="RHI169"/>
      <c r="RHJ169"/>
      <c r="RHK169"/>
      <c r="RHL169"/>
      <c r="RHM169"/>
      <c r="RHN169"/>
      <c r="RHO169"/>
      <c r="RHP169"/>
      <c r="RHQ169"/>
      <c r="RHR169"/>
      <c r="RHS169"/>
      <c r="RHT169"/>
      <c r="RHU169"/>
      <c r="RHV169"/>
      <c r="RHW169"/>
      <c r="RHX169"/>
      <c r="RHY169"/>
      <c r="RHZ169"/>
      <c r="RIA169"/>
      <c r="RIB169"/>
      <c r="RIC169"/>
      <c r="RID169"/>
      <c r="RIE169"/>
      <c r="RIF169"/>
      <c r="RIG169"/>
      <c r="RIH169"/>
      <c r="RII169"/>
      <c r="RIJ169"/>
      <c r="RIK169"/>
      <c r="RIL169"/>
      <c r="RIM169"/>
      <c r="RIN169"/>
      <c r="RIO169"/>
      <c r="RIP169"/>
      <c r="RIQ169"/>
      <c r="RIR169"/>
      <c r="RIS169"/>
      <c r="RIT169"/>
      <c r="RIU169"/>
      <c r="RIV169"/>
      <c r="RIW169"/>
      <c r="RIX169"/>
      <c r="RIY169"/>
      <c r="RIZ169"/>
      <c r="RJA169"/>
      <c r="RJB169"/>
      <c r="RJC169"/>
      <c r="RJD169"/>
      <c r="RJE169"/>
      <c r="RJF169"/>
      <c r="RJG169"/>
      <c r="RJH169"/>
      <c r="RJI169"/>
      <c r="RJJ169"/>
      <c r="RJK169"/>
      <c r="RJL169"/>
      <c r="RJM169"/>
      <c r="RJN169"/>
      <c r="RJO169"/>
      <c r="RJP169"/>
      <c r="RJQ169"/>
      <c r="RJR169"/>
      <c r="RJS169"/>
      <c r="RJT169"/>
      <c r="RJU169"/>
      <c r="RJV169"/>
      <c r="RJW169"/>
      <c r="RJX169"/>
      <c r="RJY169"/>
      <c r="RJZ169"/>
      <c r="RKA169"/>
      <c r="RKB169"/>
      <c r="RKC169"/>
      <c r="RKD169"/>
      <c r="RKE169"/>
      <c r="RKF169"/>
      <c r="RKG169"/>
      <c r="RKH169"/>
      <c r="RKI169"/>
      <c r="RKJ169"/>
      <c r="RKK169"/>
      <c r="RKL169"/>
      <c r="RKM169"/>
      <c r="RKN169"/>
      <c r="RKO169"/>
      <c r="RKP169"/>
      <c r="RKQ169"/>
      <c r="RKR169"/>
      <c r="RKS169"/>
      <c r="RKT169"/>
      <c r="RKU169"/>
      <c r="RKV169"/>
      <c r="RKW169"/>
      <c r="RKX169"/>
      <c r="RKY169"/>
      <c r="RKZ169"/>
      <c r="RLA169"/>
      <c r="RLB169"/>
      <c r="RLC169"/>
      <c r="RLD169"/>
      <c r="RLE169"/>
      <c r="RLF169"/>
      <c r="RLG169"/>
      <c r="RLH169"/>
      <c r="RLI169"/>
      <c r="RLJ169"/>
      <c r="RLK169"/>
      <c r="RLL169"/>
      <c r="RLM169"/>
      <c r="RLN169"/>
      <c r="RLO169"/>
      <c r="RLP169"/>
      <c r="RLQ169"/>
      <c r="RLR169"/>
      <c r="RLS169"/>
      <c r="RLT169"/>
      <c r="RLU169"/>
      <c r="RLV169"/>
      <c r="RLW169"/>
      <c r="RLX169"/>
      <c r="RLY169"/>
      <c r="RLZ169"/>
      <c r="RMA169"/>
      <c r="RMB169"/>
      <c r="RMC169"/>
      <c r="RMD169"/>
      <c r="RME169"/>
      <c r="RMF169"/>
      <c r="RMG169"/>
      <c r="RMH169"/>
      <c r="RMI169"/>
      <c r="RMJ169"/>
      <c r="RMK169"/>
      <c r="RML169"/>
      <c r="RMM169"/>
      <c r="RMN169"/>
      <c r="RMO169"/>
      <c r="RMP169"/>
      <c r="RMQ169"/>
      <c r="RMR169"/>
      <c r="RMS169"/>
      <c r="RMT169"/>
      <c r="RMU169"/>
      <c r="RMV169"/>
      <c r="RMW169"/>
      <c r="RMX169"/>
      <c r="RMY169"/>
      <c r="RMZ169"/>
      <c r="RNA169"/>
      <c r="RNB169"/>
      <c r="RNC169"/>
      <c r="RND169"/>
      <c r="RNE169"/>
      <c r="RNF169"/>
      <c r="RNG169"/>
      <c r="RNH169"/>
      <c r="RNI169"/>
      <c r="RNJ169"/>
      <c r="RNK169"/>
      <c r="RNL169"/>
      <c r="RNM169"/>
      <c r="RNN169"/>
      <c r="RNO169"/>
      <c r="RNP169"/>
      <c r="RNQ169"/>
      <c r="RNR169"/>
      <c r="RNS169"/>
      <c r="RNT169"/>
      <c r="RNU169"/>
      <c r="RNV169"/>
      <c r="RNW169"/>
      <c r="RNX169"/>
      <c r="RNY169"/>
      <c r="RNZ169"/>
      <c r="ROA169"/>
      <c r="ROB169"/>
      <c r="ROC169"/>
      <c r="ROD169"/>
      <c r="ROE169"/>
      <c r="ROF169"/>
      <c r="ROG169"/>
      <c r="ROH169"/>
      <c r="ROI169"/>
      <c r="ROJ169"/>
      <c r="ROK169"/>
      <c r="ROL169"/>
      <c r="ROM169"/>
      <c r="RON169"/>
      <c r="ROO169"/>
      <c r="ROP169"/>
      <c r="ROQ169"/>
      <c r="ROR169"/>
      <c r="ROS169"/>
      <c r="ROT169"/>
      <c r="ROU169"/>
      <c r="ROV169"/>
      <c r="ROW169"/>
      <c r="ROX169"/>
      <c r="ROY169"/>
      <c r="ROZ169"/>
      <c r="RPA169"/>
      <c r="RPB169"/>
      <c r="RPC169"/>
      <c r="RPD169"/>
      <c r="RPE169"/>
      <c r="RPF169"/>
      <c r="RPG169"/>
      <c r="RPH169"/>
      <c r="RPI169"/>
      <c r="RPJ169"/>
      <c r="RPK169"/>
      <c r="RPL169"/>
      <c r="RPM169"/>
      <c r="RPN169"/>
      <c r="RPO169"/>
      <c r="RPP169"/>
      <c r="RPQ169"/>
      <c r="RPR169"/>
      <c r="RPS169"/>
      <c r="RPT169"/>
      <c r="RPU169"/>
      <c r="RPV169"/>
      <c r="RPW169"/>
      <c r="RPX169"/>
      <c r="RPY169"/>
      <c r="RPZ169"/>
      <c r="RQA169"/>
      <c r="RQB169"/>
      <c r="RQC169"/>
      <c r="RQD169"/>
      <c r="RQE169"/>
      <c r="RQF169"/>
      <c r="RQG169"/>
      <c r="RQH169"/>
      <c r="RQI169"/>
      <c r="RQJ169"/>
      <c r="RQK169"/>
      <c r="RQL169"/>
      <c r="RQM169"/>
      <c r="RQN169"/>
      <c r="RQO169"/>
      <c r="RQP169"/>
      <c r="RQQ169"/>
      <c r="RQR169"/>
      <c r="RQS169"/>
      <c r="RQT169"/>
      <c r="RQU169"/>
      <c r="RQV169"/>
      <c r="RQW169"/>
      <c r="RQX169"/>
      <c r="RQY169"/>
      <c r="RQZ169"/>
      <c r="RRA169"/>
      <c r="RRB169"/>
      <c r="RRC169"/>
      <c r="RRD169"/>
      <c r="RRE169"/>
      <c r="RRF169"/>
      <c r="RRG169"/>
      <c r="RRH169"/>
      <c r="RRI169"/>
      <c r="RRJ169"/>
      <c r="RRK169"/>
      <c r="RRL169"/>
      <c r="RRM169"/>
      <c r="RRN169"/>
      <c r="RRO169"/>
      <c r="RRP169"/>
      <c r="RRQ169"/>
      <c r="RRR169"/>
      <c r="RRS169"/>
      <c r="RRT169"/>
      <c r="RRU169"/>
      <c r="RRV169"/>
      <c r="RRW169"/>
      <c r="RRX169"/>
      <c r="RRY169"/>
      <c r="RRZ169"/>
      <c r="RSA169"/>
      <c r="RSB169"/>
      <c r="RSC169"/>
      <c r="RSD169"/>
      <c r="RSE169"/>
      <c r="RSF169"/>
      <c r="RSG169"/>
      <c r="RSH169"/>
      <c r="RSI169"/>
      <c r="RSJ169"/>
      <c r="RSK169"/>
      <c r="RSL169"/>
      <c r="RSM169"/>
      <c r="RSN169"/>
      <c r="RSO169"/>
      <c r="RSP169"/>
      <c r="RSQ169"/>
      <c r="RSR169"/>
      <c r="RSS169"/>
      <c r="RST169"/>
      <c r="RSU169"/>
      <c r="RSV169"/>
      <c r="RSW169"/>
      <c r="RSX169"/>
      <c r="RSY169"/>
      <c r="RSZ169"/>
      <c r="RTA169"/>
      <c r="RTB169"/>
      <c r="RTC169"/>
      <c r="RTD169"/>
      <c r="RTE169"/>
      <c r="RTF169"/>
      <c r="RTG169"/>
      <c r="RTH169"/>
      <c r="RTI169"/>
      <c r="RTJ169"/>
      <c r="RTK169"/>
      <c r="RTL169"/>
      <c r="RTM169"/>
      <c r="RTN169"/>
      <c r="RTO169"/>
      <c r="RTP169"/>
      <c r="RTQ169"/>
      <c r="RTR169"/>
      <c r="RTS169"/>
      <c r="RTT169"/>
      <c r="RTU169"/>
      <c r="RTV169"/>
      <c r="RTW169"/>
      <c r="RTX169"/>
      <c r="RTY169"/>
      <c r="RTZ169"/>
      <c r="RUA169"/>
      <c r="RUB169"/>
      <c r="RUC169"/>
      <c r="RUD169"/>
      <c r="RUE169"/>
      <c r="RUF169"/>
      <c r="RUG169"/>
      <c r="RUH169"/>
      <c r="RUI169"/>
      <c r="RUJ169"/>
      <c r="RUK169"/>
      <c r="RUL169"/>
      <c r="RUM169"/>
      <c r="RUN169"/>
      <c r="RUO169"/>
      <c r="RUP169"/>
      <c r="RUQ169"/>
      <c r="RUR169"/>
      <c r="RUS169"/>
      <c r="RUT169"/>
      <c r="RUU169"/>
      <c r="RUV169"/>
      <c r="RUW169"/>
      <c r="RUX169"/>
      <c r="RUY169"/>
      <c r="RUZ169"/>
      <c r="RVA169"/>
      <c r="RVB169"/>
      <c r="RVC169"/>
      <c r="RVD169"/>
      <c r="RVE169"/>
      <c r="RVF169"/>
      <c r="RVG169"/>
      <c r="RVH169"/>
      <c r="RVI169"/>
      <c r="RVJ169"/>
      <c r="RVK169"/>
      <c r="RVL169"/>
      <c r="RVM169"/>
      <c r="RVN169"/>
      <c r="RVO169"/>
      <c r="RVP169"/>
      <c r="RVQ169"/>
      <c r="RVR169"/>
      <c r="RVS169"/>
      <c r="RVT169"/>
      <c r="RVU169"/>
      <c r="RVV169"/>
      <c r="RVW169"/>
      <c r="RVX169"/>
      <c r="RVY169"/>
      <c r="RVZ169"/>
      <c r="RWA169"/>
      <c r="RWB169"/>
      <c r="RWC169"/>
      <c r="RWD169"/>
      <c r="RWE169"/>
      <c r="RWF169"/>
      <c r="RWG169"/>
      <c r="RWH169"/>
      <c r="RWI169"/>
      <c r="RWJ169"/>
      <c r="RWK169"/>
      <c r="RWL169"/>
      <c r="RWM169"/>
      <c r="RWN169"/>
      <c r="RWO169"/>
      <c r="RWP169"/>
      <c r="RWQ169"/>
      <c r="RWR169"/>
      <c r="RWS169"/>
      <c r="RWT169"/>
      <c r="RWU169"/>
      <c r="RWV169"/>
      <c r="RWW169"/>
      <c r="RWX169"/>
      <c r="RWY169"/>
      <c r="RWZ169"/>
      <c r="RXA169"/>
      <c r="RXB169"/>
      <c r="RXC169"/>
      <c r="RXD169"/>
      <c r="RXE169"/>
      <c r="RXF169"/>
      <c r="RXG169"/>
      <c r="RXH169"/>
      <c r="RXI169"/>
      <c r="RXJ169"/>
      <c r="RXK169"/>
      <c r="RXL169"/>
      <c r="RXM169"/>
      <c r="RXN169"/>
      <c r="RXO169"/>
      <c r="RXP169"/>
      <c r="RXQ169"/>
      <c r="RXR169"/>
      <c r="RXS169"/>
      <c r="RXT169"/>
      <c r="RXU169"/>
      <c r="RXV169"/>
      <c r="RXW169"/>
      <c r="RXX169"/>
      <c r="RXY169"/>
      <c r="RXZ169"/>
      <c r="RYA169"/>
      <c r="RYB169"/>
      <c r="RYC169"/>
      <c r="RYD169"/>
      <c r="RYE169"/>
      <c r="RYF169"/>
      <c r="RYG169"/>
      <c r="RYH169"/>
      <c r="RYI169"/>
      <c r="RYJ169"/>
      <c r="RYK169"/>
      <c r="RYL169"/>
      <c r="RYM169"/>
      <c r="RYN169"/>
      <c r="RYO169"/>
      <c r="RYP169"/>
      <c r="RYQ169"/>
      <c r="RYR169"/>
      <c r="RYS169"/>
      <c r="RYT169"/>
      <c r="RYU169"/>
      <c r="RYV169"/>
      <c r="RYW169"/>
      <c r="RYX169"/>
      <c r="RYY169"/>
      <c r="RYZ169"/>
      <c r="RZA169"/>
      <c r="RZB169"/>
      <c r="RZC169"/>
      <c r="RZD169"/>
      <c r="RZE169"/>
      <c r="RZF169"/>
      <c r="RZG169"/>
      <c r="RZH169"/>
      <c r="RZI169"/>
      <c r="RZJ169"/>
      <c r="RZK169"/>
      <c r="RZL169"/>
      <c r="RZM169"/>
      <c r="RZN169"/>
      <c r="RZO169"/>
      <c r="RZP169"/>
      <c r="RZQ169"/>
      <c r="RZR169"/>
      <c r="RZS169"/>
      <c r="RZT169"/>
      <c r="RZU169"/>
      <c r="RZV169"/>
      <c r="RZW169"/>
      <c r="RZX169"/>
      <c r="RZY169"/>
      <c r="RZZ169"/>
      <c r="SAA169"/>
      <c r="SAB169"/>
      <c r="SAC169"/>
      <c r="SAD169"/>
      <c r="SAE169"/>
      <c r="SAF169"/>
      <c r="SAG169"/>
      <c r="SAH169"/>
      <c r="SAI169"/>
      <c r="SAJ169"/>
      <c r="SAK169"/>
      <c r="SAL169"/>
      <c r="SAM169"/>
      <c r="SAN169"/>
      <c r="SAO169"/>
      <c r="SAP169"/>
      <c r="SAQ169"/>
      <c r="SAR169"/>
      <c r="SAS169"/>
      <c r="SAT169"/>
      <c r="SAU169"/>
      <c r="SAV169"/>
      <c r="SAW169"/>
      <c r="SAX169"/>
      <c r="SAY169"/>
      <c r="SAZ169"/>
      <c r="SBA169"/>
      <c r="SBB169"/>
      <c r="SBC169"/>
      <c r="SBD169"/>
      <c r="SBE169"/>
      <c r="SBF169"/>
      <c r="SBG169"/>
      <c r="SBH169"/>
      <c r="SBI169"/>
      <c r="SBJ169"/>
      <c r="SBK169"/>
      <c r="SBL169"/>
      <c r="SBM169"/>
      <c r="SBN169"/>
      <c r="SBO169"/>
      <c r="SBP169"/>
      <c r="SBQ169"/>
      <c r="SBR169"/>
      <c r="SBS169"/>
      <c r="SBT169"/>
      <c r="SBU169"/>
      <c r="SBV169"/>
      <c r="SBW169"/>
      <c r="SBX169"/>
      <c r="SBY169"/>
      <c r="SBZ169"/>
      <c r="SCA169"/>
      <c r="SCB169"/>
      <c r="SCC169"/>
      <c r="SCD169"/>
      <c r="SCE169"/>
      <c r="SCF169"/>
      <c r="SCG169"/>
      <c r="SCH169"/>
      <c r="SCI169"/>
      <c r="SCJ169"/>
      <c r="SCK169"/>
      <c r="SCL169"/>
      <c r="SCM169"/>
      <c r="SCN169"/>
      <c r="SCO169"/>
      <c r="SCP169"/>
      <c r="SCQ169"/>
      <c r="SCR169"/>
      <c r="SCS169"/>
      <c r="SCT169"/>
      <c r="SCU169"/>
      <c r="SCV169"/>
      <c r="SCW169"/>
      <c r="SCX169"/>
      <c r="SCY169"/>
      <c r="SCZ169"/>
      <c r="SDA169"/>
      <c r="SDB169"/>
      <c r="SDC169"/>
      <c r="SDD169"/>
      <c r="SDE169"/>
      <c r="SDF169"/>
      <c r="SDG169"/>
      <c r="SDH169"/>
      <c r="SDI169"/>
      <c r="SDJ169"/>
      <c r="SDK169"/>
      <c r="SDL169"/>
      <c r="SDM169"/>
      <c r="SDN169"/>
      <c r="SDO169"/>
      <c r="SDP169"/>
      <c r="SDQ169"/>
      <c r="SDR169"/>
      <c r="SDS169"/>
      <c r="SDT169"/>
      <c r="SDU169"/>
      <c r="SDV169"/>
      <c r="SDW169"/>
      <c r="SDX169"/>
      <c r="SDY169"/>
      <c r="SDZ169"/>
      <c r="SEA169"/>
      <c r="SEB169"/>
      <c r="SEC169"/>
      <c r="SED169"/>
      <c r="SEE169"/>
      <c r="SEF169"/>
      <c r="SEG169"/>
      <c r="SEH169"/>
      <c r="SEI169"/>
      <c r="SEJ169"/>
      <c r="SEK169"/>
      <c r="SEL169"/>
      <c r="SEM169"/>
      <c r="SEN169"/>
      <c r="SEO169"/>
      <c r="SEP169"/>
      <c r="SEQ169"/>
      <c r="SER169"/>
      <c r="SES169"/>
      <c r="SET169"/>
      <c r="SEU169"/>
      <c r="SEV169"/>
      <c r="SEW169"/>
      <c r="SEX169"/>
      <c r="SEY169"/>
      <c r="SEZ169"/>
      <c r="SFA169"/>
      <c r="SFB169"/>
      <c r="SFC169"/>
      <c r="SFD169"/>
      <c r="SFE169"/>
      <c r="SFF169"/>
      <c r="SFG169"/>
      <c r="SFH169"/>
      <c r="SFI169"/>
      <c r="SFJ169"/>
      <c r="SFK169"/>
      <c r="SFL169"/>
      <c r="SFM169"/>
      <c r="SFN169"/>
      <c r="SFO169"/>
      <c r="SFP169"/>
      <c r="SFQ169"/>
      <c r="SFR169"/>
      <c r="SFS169"/>
      <c r="SFT169"/>
      <c r="SFU169"/>
      <c r="SFV169"/>
      <c r="SFW169"/>
      <c r="SFX169"/>
      <c r="SFY169"/>
      <c r="SFZ169"/>
      <c r="SGA169"/>
      <c r="SGB169"/>
      <c r="SGC169"/>
      <c r="SGD169"/>
      <c r="SGE169"/>
      <c r="SGF169"/>
      <c r="SGG169"/>
      <c r="SGH169"/>
      <c r="SGI169"/>
      <c r="SGJ169"/>
      <c r="SGK169"/>
      <c r="SGL169"/>
      <c r="SGM169"/>
      <c r="SGN169"/>
      <c r="SGO169"/>
      <c r="SGP169"/>
      <c r="SGQ169"/>
      <c r="SGR169"/>
      <c r="SGS169"/>
      <c r="SGT169"/>
      <c r="SGU169"/>
      <c r="SGV169"/>
      <c r="SGW169"/>
      <c r="SGX169"/>
      <c r="SGY169"/>
      <c r="SGZ169"/>
      <c r="SHA169"/>
      <c r="SHB169"/>
      <c r="SHC169"/>
      <c r="SHD169"/>
      <c r="SHE169"/>
      <c r="SHF169"/>
      <c r="SHG169"/>
      <c r="SHH169"/>
      <c r="SHI169"/>
      <c r="SHJ169"/>
      <c r="SHK169"/>
      <c r="SHL169"/>
      <c r="SHM169"/>
      <c r="SHN169"/>
      <c r="SHO169"/>
      <c r="SHP169"/>
      <c r="SHQ169"/>
      <c r="SHR169"/>
      <c r="SHS169"/>
      <c r="SHT169"/>
      <c r="SHU169"/>
      <c r="SHV169"/>
      <c r="SHW169"/>
      <c r="SHX169"/>
      <c r="SHY169"/>
      <c r="SHZ169"/>
      <c r="SIA169"/>
      <c r="SIB169"/>
      <c r="SIC169"/>
      <c r="SID169"/>
      <c r="SIE169"/>
      <c r="SIF169"/>
      <c r="SIG169"/>
      <c r="SIH169"/>
      <c r="SII169"/>
      <c r="SIJ169"/>
      <c r="SIK169"/>
      <c r="SIL169"/>
      <c r="SIM169"/>
      <c r="SIN169"/>
      <c r="SIO169"/>
      <c r="SIP169"/>
      <c r="SIQ169"/>
      <c r="SIR169"/>
      <c r="SIS169"/>
      <c r="SIT169"/>
      <c r="SIU169"/>
      <c r="SIV169"/>
      <c r="SIW169"/>
      <c r="SIX169"/>
      <c r="SIY169"/>
      <c r="SIZ169"/>
      <c r="SJA169"/>
      <c r="SJB169"/>
      <c r="SJC169"/>
      <c r="SJD169"/>
      <c r="SJE169"/>
      <c r="SJF169"/>
      <c r="SJG169"/>
      <c r="SJH169"/>
      <c r="SJI169"/>
      <c r="SJJ169"/>
      <c r="SJK169"/>
      <c r="SJL169"/>
      <c r="SJM169"/>
      <c r="SJN169"/>
      <c r="SJO169"/>
      <c r="SJP169"/>
      <c r="SJQ169"/>
      <c r="SJR169"/>
      <c r="SJS169"/>
      <c r="SJT169"/>
      <c r="SJU169"/>
      <c r="SJV169"/>
      <c r="SJW169"/>
      <c r="SJX169"/>
      <c r="SJY169"/>
      <c r="SJZ169"/>
      <c r="SKA169"/>
      <c r="SKB169"/>
      <c r="SKC169"/>
      <c r="SKD169"/>
      <c r="SKE169"/>
      <c r="SKF169"/>
      <c r="SKG169"/>
      <c r="SKH169"/>
      <c r="SKI169"/>
      <c r="SKJ169"/>
      <c r="SKK169"/>
      <c r="SKL169"/>
      <c r="SKM169"/>
      <c r="SKN169"/>
      <c r="SKO169"/>
      <c r="SKP169"/>
      <c r="SKQ169"/>
      <c r="SKR169"/>
      <c r="SKS169"/>
      <c r="SKT169"/>
      <c r="SKU169"/>
      <c r="SKV169"/>
      <c r="SKW169"/>
      <c r="SKX169"/>
      <c r="SKY169"/>
      <c r="SKZ169"/>
      <c r="SLA169"/>
      <c r="SLB169"/>
      <c r="SLC169"/>
      <c r="SLD169"/>
      <c r="SLE169"/>
      <c r="SLF169"/>
      <c r="SLG169"/>
      <c r="SLH169"/>
      <c r="SLI169"/>
      <c r="SLJ169"/>
      <c r="SLK169"/>
      <c r="SLL169"/>
      <c r="SLM169"/>
      <c r="SLN169"/>
      <c r="SLO169"/>
      <c r="SLP169"/>
      <c r="SLQ169"/>
      <c r="SLR169"/>
      <c r="SLS169"/>
      <c r="SLT169"/>
      <c r="SLU169"/>
      <c r="SLV169"/>
      <c r="SLW169"/>
      <c r="SLX169"/>
      <c r="SLY169"/>
      <c r="SLZ169"/>
      <c r="SMA169"/>
      <c r="SMB169"/>
      <c r="SMC169"/>
      <c r="SMD169"/>
      <c r="SME169"/>
      <c r="SMF169"/>
      <c r="SMG169"/>
      <c r="SMH169"/>
      <c r="SMI169"/>
      <c r="SMJ169"/>
      <c r="SMK169"/>
      <c r="SML169"/>
      <c r="SMM169"/>
      <c r="SMN169"/>
      <c r="SMO169"/>
      <c r="SMP169"/>
      <c r="SMQ169"/>
      <c r="SMR169"/>
      <c r="SMS169"/>
      <c r="SMT169"/>
      <c r="SMU169"/>
      <c r="SMV169"/>
      <c r="SMW169"/>
      <c r="SMX169"/>
      <c r="SMY169"/>
      <c r="SMZ169"/>
      <c r="SNA169"/>
      <c r="SNB169"/>
      <c r="SNC169"/>
      <c r="SND169"/>
      <c r="SNE169"/>
      <c r="SNF169"/>
      <c r="SNG169"/>
      <c r="SNH169"/>
      <c r="SNI169"/>
      <c r="SNJ169"/>
      <c r="SNK169"/>
      <c r="SNL169"/>
      <c r="SNM169"/>
      <c r="SNN169"/>
      <c r="SNO169"/>
      <c r="SNP169"/>
      <c r="SNQ169"/>
      <c r="SNR169"/>
      <c r="SNS169"/>
      <c r="SNT169"/>
      <c r="SNU169"/>
      <c r="SNV169"/>
      <c r="SNW169"/>
      <c r="SNX169"/>
      <c r="SNY169"/>
      <c r="SNZ169"/>
      <c r="SOA169"/>
      <c r="SOB169"/>
      <c r="SOC169"/>
      <c r="SOD169"/>
      <c r="SOE169"/>
      <c r="SOF169"/>
      <c r="SOG169"/>
      <c r="SOH169"/>
      <c r="SOI169"/>
      <c r="SOJ169"/>
      <c r="SOK169"/>
      <c r="SOL169"/>
      <c r="SOM169"/>
      <c r="SON169"/>
      <c r="SOO169"/>
      <c r="SOP169"/>
      <c r="SOQ169"/>
      <c r="SOR169"/>
      <c r="SOS169"/>
      <c r="SOT169"/>
      <c r="SOU169"/>
      <c r="SOV169"/>
      <c r="SOW169"/>
      <c r="SOX169"/>
      <c r="SOY169"/>
      <c r="SOZ169"/>
      <c r="SPA169"/>
      <c r="SPB169"/>
      <c r="SPC169"/>
      <c r="SPD169"/>
      <c r="SPE169"/>
      <c r="SPF169"/>
      <c r="SPG169"/>
      <c r="SPH169"/>
      <c r="SPI169"/>
      <c r="SPJ169"/>
      <c r="SPK169"/>
      <c r="SPL169"/>
      <c r="SPM169"/>
      <c r="SPN169"/>
      <c r="SPO169"/>
      <c r="SPP169"/>
      <c r="SPQ169"/>
      <c r="SPR169"/>
      <c r="SPS169"/>
      <c r="SPT169"/>
      <c r="SPU169"/>
      <c r="SPV169"/>
      <c r="SPW169"/>
      <c r="SPX169"/>
      <c r="SPY169"/>
      <c r="SPZ169"/>
      <c r="SQA169"/>
      <c r="SQB169"/>
      <c r="SQC169"/>
      <c r="SQD169"/>
      <c r="SQE169"/>
      <c r="SQF169"/>
      <c r="SQG169"/>
      <c r="SQH169"/>
      <c r="SQI169"/>
      <c r="SQJ169"/>
      <c r="SQK169"/>
      <c r="SQL169"/>
      <c r="SQM169"/>
      <c r="SQN169"/>
      <c r="SQO169"/>
      <c r="SQP169"/>
      <c r="SQQ169"/>
      <c r="SQR169"/>
      <c r="SQS169"/>
      <c r="SQT169"/>
      <c r="SQU169"/>
      <c r="SQV169"/>
      <c r="SQW169"/>
      <c r="SQX169"/>
      <c r="SQY169"/>
      <c r="SQZ169"/>
      <c r="SRA169"/>
      <c r="SRB169"/>
      <c r="SRC169"/>
      <c r="SRD169"/>
      <c r="SRE169"/>
      <c r="SRF169"/>
      <c r="SRG169"/>
      <c r="SRH169"/>
      <c r="SRI169"/>
      <c r="SRJ169"/>
      <c r="SRK169"/>
      <c r="SRL169"/>
      <c r="SRM169"/>
      <c r="SRN169"/>
      <c r="SRO169"/>
      <c r="SRP169"/>
      <c r="SRQ169"/>
      <c r="SRR169"/>
      <c r="SRS169"/>
      <c r="SRT169"/>
      <c r="SRU169"/>
      <c r="SRV169"/>
      <c r="SRW169"/>
      <c r="SRX169"/>
      <c r="SRY169"/>
      <c r="SRZ169"/>
      <c r="SSA169"/>
      <c r="SSB169"/>
      <c r="SSC169"/>
      <c r="SSD169"/>
      <c r="SSE169"/>
      <c r="SSF169"/>
      <c r="SSG169"/>
      <c r="SSH169"/>
      <c r="SSI169"/>
      <c r="SSJ169"/>
      <c r="SSK169"/>
      <c r="SSL169"/>
      <c r="SSM169"/>
      <c r="SSN169"/>
      <c r="SSO169"/>
      <c r="SSP169"/>
      <c r="SSQ169"/>
      <c r="SSR169"/>
      <c r="SSS169"/>
      <c r="SST169"/>
      <c r="SSU169"/>
      <c r="SSV169"/>
      <c r="SSW169"/>
      <c r="SSX169"/>
      <c r="SSY169"/>
      <c r="SSZ169"/>
      <c r="STA169"/>
      <c r="STB169"/>
      <c r="STC169"/>
      <c r="STD169"/>
      <c r="STE169"/>
      <c r="STF169"/>
      <c r="STG169"/>
      <c r="STH169"/>
      <c r="STI169"/>
      <c r="STJ169"/>
      <c r="STK169"/>
      <c r="STL169"/>
      <c r="STM169"/>
      <c r="STN169"/>
      <c r="STO169"/>
      <c r="STP169"/>
      <c r="STQ169"/>
      <c r="STR169"/>
      <c r="STS169"/>
      <c r="STT169"/>
      <c r="STU169"/>
      <c r="STV169"/>
      <c r="STW169"/>
      <c r="STX169"/>
      <c r="STY169"/>
      <c r="STZ169"/>
      <c r="SUA169"/>
      <c r="SUB169"/>
      <c r="SUC169"/>
      <c r="SUD169"/>
      <c r="SUE169"/>
      <c r="SUF169"/>
      <c r="SUG169"/>
      <c r="SUH169"/>
      <c r="SUI169"/>
      <c r="SUJ169"/>
      <c r="SUK169"/>
      <c r="SUL169"/>
      <c r="SUM169"/>
      <c r="SUN169"/>
      <c r="SUO169"/>
      <c r="SUP169"/>
      <c r="SUQ169"/>
      <c r="SUR169"/>
      <c r="SUS169"/>
      <c r="SUT169"/>
      <c r="SUU169"/>
      <c r="SUV169"/>
      <c r="SUW169"/>
      <c r="SUX169"/>
      <c r="SUY169"/>
      <c r="SUZ169"/>
      <c r="SVA169"/>
      <c r="SVB169"/>
      <c r="SVC169"/>
      <c r="SVD169"/>
      <c r="SVE169"/>
      <c r="SVF169"/>
      <c r="SVG169"/>
      <c r="SVH169"/>
      <c r="SVI169"/>
      <c r="SVJ169"/>
      <c r="SVK169"/>
      <c r="SVL169"/>
      <c r="SVM169"/>
      <c r="SVN169"/>
      <c r="SVO169"/>
      <c r="SVP169"/>
      <c r="SVQ169"/>
      <c r="SVR169"/>
      <c r="SVS169"/>
      <c r="SVT169"/>
      <c r="SVU169"/>
      <c r="SVV169"/>
      <c r="SVW169"/>
      <c r="SVX169"/>
      <c r="SVY169"/>
      <c r="SVZ169"/>
      <c r="SWA169"/>
      <c r="SWB169"/>
      <c r="SWC169"/>
      <c r="SWD169"/>
      <c r="SWE169"/>
      <c r="SWF169"/>
      <c r="SWG169"/>
      <c r="SWH169"/>
      <c r="SWI169"/>
      <c r="SWJ169"/>
      <c r="SWK169"/>
      <c r="SWL169"/>
      <c r="SWM169"/>
      <c r="SWN169"/>
      <c r="SWO169"/>
      <c r="SWP169"/>
      <c r="SWQ169"/>
      <c r="SWR169"/>
      <c r="SWS169"/>
      <c r="SWT169"/>
      <c r="SWU169"/>
      <c r="SWV169"/>
      <c r="SWW169"/>
      <c r="SWX169"/>
      <c r="SWY169"/>
      <c r="SWZ169"/>
      <c r="SXA169"/>
      <c r="SXB169"/>
      <c r="SXC169"/>
      <c r="SXD169"/>
      <c r="SXE169"/>
      <c r="SXF169"/>
      <c r="SXG169"/>
      <c r="SXH169"/>
      <c r="SXI169"/>
      <c r="SXJ169"/>
      <c r="SXK169"/>
      <c r="SXL169"/>
      <c r="SXM169"/>
      <c r="SXN169"/>
      <c r="SXO169"/>
      <c r="SXP169"/>
      <c r="SXQ169"/>
      <c r="SXR169"/>
      <c r="SXS169"/>
      <c r="SXT169"/>
      <c r="SXU169"/>
      <c r="SXV169"/>
      <c r="SXW169"/>
      <c r="SXX169"/>
      <c r="SXY169"/>
      <c r="SXZ169"/>
      <c r="SYA169"/>
      <c r="SYB169"/>
      <c r="SYC169"/>
      <c r="SYD169"/>
      <c r="SYE169"/>
      <c r="SYF169"/>
      <c r="SYG169"/>
      <c r="SYH169"/>
      <c r="SYI169"/>
      <c r="SYJ169"/>
      <c r="SYK169"/>
      <c r="SYL169"/>
      <c r="SYM169"/>
      <c r="SYN169"/>
      <c r="SYO169"/>
      <c r="SYP169"/>
      <c r="SYQ169"/>
      <c r="SYR169"/>
      <c r="SYS169"/>
      <c r="SYT169"/>
      <c r="SYU169"/>
      <c r="SYV169"/>
      <c r="SYW169"/>
      <c r="SYX169"/>
      <c r="SYY169"/>
      <c r="SYZ169"/>
      <c r="SZA169"/>
      <c r="SZB169"/>
      <c r="SZC169"/>
      <c r="SZD169"/>
      <c r="SZE169"/>
      <c r="SZF169"/>
      <c r="SZG169"/>
      <c r="SZH169"/>
      <c r="SZI169"/>
      <c r="SZJ169"/>
      <c r="SZK169"/>
      <c r="SZL169"/>
      <c r="SZM169"/>
      <c r="SZN169"/>
      <c r="SZO169"/>
      <c r="SZP169"/>
      <c r="SZQ169"/>
      <c r="SZR169"/>
      <c r="SZS169"/>
      <c r="SZT169"/>
      <c r="SZU169"/>
      <c r="SZV169"/>
      <c r="SZW169"/>
      <c r="SZX169"/>
      <c r="SZY169"/>
      <c r="SZZ169"/>
      <c r="TAA169"/>
      <c r="TAB169"/>
      <c r="TAC169"/>
      <c r="TAD169"/>
      <c r="TAE169"/>
      <c r="TAF169"/>
      <c r="TAG169"/>
      <c r="TAH169"/>
      <c r="TAI169"/>
      <c r="TAJ169"/>
      <c r="TAK169"/>
      <c r="TAL169"/>
      <c r="TAM169"/>
      <c r="TAN169"/>
      <c r="TAO169"/>
      <c r="TAP169"/>
      <c r="TAQ169"/>
      <c r="TAR169"/>
      <c r="TAS169"/>
      <c r="TAT169"/>
      <c r="TAU169"/>
      <c r="TAV169"/>
      <c r="TAW169"/>
      <c r="TAX169"/>
      <c r="TAY169"/>
      <c r="TAZ169"/>
      <c r="TBA169"/>
      <c r="TBB169"/>
      <c r="TBC169"/>
      <c r="TBD169"/>
      <c r="TBE169"/>
      <c r="TBF169"/>
      <c r="TBG169"/>
      <c r="TBH169"/>
      <c r="TBI169"/>
      <c r="TBJ169"/>
      <c r="TBK169"/>
      <c r="TBL169"/>
      <c r="TBM169"/>
      <c r="TBN169"/>
      <c r="TBO169"/>
      <c r="TBP169"/>
      <c r="TBQ169"/>
      <c r="TBR169"/>
      <c r="TBS169"/>
      <c r="TBT169"/>
      <c r="TBU169"/>
      <c r="TBV169"/>
      <c r="TBW169"/>
      <c r="TBX169"/>
      <c r="TBY169"/>
      <c r="TBZ169"/>
      <c r="TCA169"/>
      <c r="TCB169"/>
      <c r="TCC169"/>
      <c r="TCD169"/>
      <c r="TCE169"/>
      <c r="TCF169"/>
      <c r="TCG169"/>
      <c r="TCH169"/>
      <c r="TCI169"/>
      <c r="TCJ169"/>
      <c r="TCK169"/>
      <c r="TCL169"/>
      <c r="TCM169"/>
      <c r="TCN169"/>
      <c r="TCO169"/>
      <c r="TCP169"/>
      <c r="TCQ169"/>
      <c r="TCR169"/>
      <c r="TCS169"/>
      <c r="TCT169"/>
      <c r="TCU169"/>
      <c r="TCV169"/>
      <c r="TCW169"/>
      <c r="TCX169"/>
      <c r="TCY169"/>
      <c r="TCZ169"/>
      <c r="TDA169"/>
      <c r="TDB169"/>
      <c r="TDC169"/>
      <c r="TDD169"/>
      <c r="TDE169"/>
      <c r="TDF169"/>
      <c r="TDG169"/>
      <c r="TDH169"/>
      <c r="TDI169"/>
      <c r="TDJ169"/>
      <c r="TDK169"/>
      <c r="TDL169"/>
      <c r="TDM169"/>
      <c r="TDN169"/>
      <c r="TDO169"/>
      <c r="TDP169"/>
      <c r="TDQ169"/>
      <c r="TDR169"/>
      <c r="TDS169"/>
      <c r="TDT169"/>
      <c r="TDU169"/>
      <c r="TDV169"/>
      <c r="TDW169"/>
      <c r="TDX169"/>
      <c r="TDY169"/>
      <c r="TDZ169"/>
      <c r="TEA169"/>
      <c r="TEB169"/>
      <c r="TEC169"/>
      <c r="TED169"/>
      <c r="TEE169"/>
      <c r="TEF169"/>
      <c r="TEG169"/>
      <c r="TEH169"/>
      <c r="TEI169"/>
      <c r="TEJ169"/>
      <c r="TEK169"/>
      <c r="TEL169"/>
      <c r="TEM169"/>
      <c r="TEN169"/>
      <c r="TEO169"/>
      <c r="TEP169"/>
      <c r="TEQ169"/>
      <c r="TER169"/>
      <c r="TES169"/>
      <c r="TET169"/>
      <c r="TEU169"/>
      <c r="TEV169"/>
      <c r="TEW169"/>
      <c r="TEX169"/>
      <c r="TEY169"/>
      <c r="TEZ169"/>
      <c r="TFA169"/>
      <c r="TFB169"/>
      <c r="TFC169"/>
      <c r="TFD169"/>
      <c r="TFE169"/>
      <c r="TFF169"/>
      <c r="TFG169"/>
      <c r="TFH169"/>
      <c r="TFI169"/>
      <c r="TFJ169"/>
      <c r="TFK169"/>
      <c r="TFL169"/>
      <c r="TFM169"/>
      <c r="TFN169"/>
      <c r="TFO169"/>
      <c r="TFP169"/>
      <c r="TFQ169"/>
      <c r="TFR169"/>
      <c r="TFS169"/>
      <c r="TFT169"/>
      <c r="TFU169"/>
      <c r="TFV169"/>
      <c r="TFW169"/>
      <c r="TFX169"/>
      <c r="TFY169"/>
      <c r="TFZ169"/>
      <c r="TGA169"/>
      <c r="TGB169"/>
      <c r="TGC169"/>
      <c r="TGD169"/>
      <c r="TGE169"/>
      <c r="TGF169"/>
      <c r="TGG169"/>
      <c r="TGH169"/>
      <c r="TGI169"/>
      <c r="TGJ169"/>
      <c r="TGK169"/>
      <c r="TGL169"/>
      <c r="TGM169"/>
      <c r="TGN169"/>
      <c r="TGO169"/>
      <c r="TGP169"/>
      <c r="TGQ169"/>
      <c r="TGR169"/>
      <c r="TGS169"/>
      <c r="TGT169"/>
      <c r="TGU169"/>
      <c r="TGV169"/>
      <c r="TGW169"/>
      <c r="TGX169"/>
      <c r="TGY169"/>
      <c r="TGZ169"/>
      <c r="THA169"/>
      <c r="THB169"/>
      <c r="THC169"/>
      <c r="THD169"/>
      <c r="THE169"/>
      <c r="THF169"/>
      <c r="THG169"/>
      <c r="THH169"/>
      <c r="THI169"/>
      <c r="THJ169"/>
      <c r="THK169"/>
      <c r="THL169"/>
      <c r="THM169"/>
      <c r="THN169"/>
      <c r="THO169"/>
      <c r="THP169"/>
      <c r="THQ169"/>
      <c r="THR169"/>
      <c r="THS169"/>
      <c r="THT169"/>
      <c r="THU169"/>
      <c r="THV169"/>
      <c r="THW169"/>
      <c r="THX169"/>
      <c r="THY169"/>
      <c r="THZ169"/>
      <c r="TIA169"/>
      <c r="TIB169"/>
      <c r="TIC169"/>
      <c r="TID169"/>
      <c r="TIE169"/>
      <c r="TIF169"/>
      <c r="TIG169"/>
      <c r="TIH169"/>
      <c r="TII169"/>
      <c r="TIJ169"/>
      <c r="TIK169"/>
      <c r="TIL169"/>
      <c r="TIM169"/>
      <c r="TIN169"/>
      <c r="TIO169"/>
      <c r="TIP169"/>
      <c r="TIQ169"/>
      <c r="TIR169"/>
      <c r="TIS169"/>
      <c r="TIT169"/>
      <c r="TIU169"/>
      <c r="TIV169"/>
      <c r="TIW169"/>
      <c r="TIX169"/>
      <c r="TIY169"/>
      <c r="TIZ169"/>
      <c r="TJA169"/>
      <c r="TJB169"/>
      <c r="TJC169"/>
      <c r="TJD169"/>
      <c r="TJE169"/>
      <c r="TJF169"/>
      <c r="TJG169"/>
      <c r="TJH169"/>
      <c r="TJI169"/>
      <c r="TJJ169"/>
      <c r="TJK169"/>
      <c r="TJL169"/>
      <c r="TJM169"/>
      <c r="TJN169"/>
      <c r="TJO169"/>
      <c r="TJP169"/>
      <c r="TJQ169"/>
      <c r="TJR169"/>
      <c r="TJS169"/>
      <c r="TJT169"/>
      <c r="TJU169"/>
      <c r="TJV169"/>
      <c r="TJW169"/>
      <c r="TJX169"/>
      <c r="TJY169"/>
      <c r="TJZ169"/>
      <c r="TKA169"/>
      <c r="TKB169"/>
      <c r="TKC169"/>
      <c r="TKD169"/>
      <c r="TKE169"/>
      <c r="TKF169"/>
      <c r="TKG169"/>
      <c r="TKH169"/>
      <c r="TKI169"/>
      <c r="TKJ169"/>
      <c r="TKK169"/>
      <c r="TKL169"/>
      <c r="TKM169"/>
      <c r="TKN169"/>
      <c r="TKO169"/>
      <c r="TKP169"/>
      <c r="TKQ169"/>
      <c r="TKR169"/>
      <c r="TKS169"/>
      <c r="TKT169"/>
      <c r="TKU169"/>
      <c r="TKV169"/>
      <c r="TKW169"/>
      <c r="TKX169"/>
      <c r="TKY169"/>
      <c r="TKZ169"/>
      <c r="TLA169"/>
      <c r="TLB169"/>
      <c r="TLC169"/>
      <c r="TLD169"/>
      <c r="TLE169"/>
      <c r="TLF169"/>
      <c r="TLG169"/>
      <c r="TLH169"/>
      <c r="TLI169"/>
      <c r="TLJ169"/>
      <c r="TLK169"/>
      <c r="TLL169"/>
      <c r="TLM169"/>
      <c r="TLN169"/>
      <c r="TLO169"/>
      <c r="TLP169"/>
      <c r="TLQ169"/>
      <c r="TLR169"/>
      <c r="TLS169"/>
      <c r="TLT169"/>
      <c r="TLU169"/>
      <c r="TLV169"/>
      <c r="TLW169"/>
      <c r="TLX169"/>
      <c r="TLY169"/>
      <c r="TLZ169"/>
      <c r="TMA169"/>
      <c r="TMB169"/>
      <c r="TMC169"/>
      <c r="TMD169"/>
      <c r="TME169"/>
      <c r="TMF169"/>
      <c r="TMG169"/>
      <c r="TMH169"/>
      <c r="TMI169"/>
      <c r="TMJ169"/>
      <c r="TMK169"/>
      <c r="TML169"/>
      <c r="TMM169"/>
      <c r="TMN169"/>
      <c r="TMO169"/>
      <c r="TMP169"/>
      <c r="TMQ169"/>
      <c r="TMR169"/>
      <c r="TMS169"/>
      <c r="TMT169"/>
      <c r="TMU169"/>
      <c r="TMV169"/>
      <c r="TMW169"/>
      <c r="TMX169"/>
      <c r="TMY169"/>
      <c r="TMZ169"/>
      <c r="TNA169"/>
      <c r="TNB169"/>
      <c r="TNC169"/>
      <c r="TND169"/>
      <c r="TNE169"/>
      <c r="TNF169"/>
      <c r="TNG169"/>
      <c r="TNH169"/>
      <c r="TNI169"/>
      <c r="TNJ169"/>
      <c r="TNK169"/>
      <c r="TNL169"/>
      <c r="TNM169"/>
      <c r="TNN169"/>
      <c r="TNO169"/>
      <c r="TNP169"/>
      <c r="TNQ169"/>
      <c r="TNR169"/>
      <c r="TNS169"/>
      <c r="TNT169"/>
      <c r="TNU169"/>
      <c r="TNV169"/>
      <c r="TNW169"/>
      <c r="TNX169"/>
      <c r="TNY169"/>
      <c r="TNZ169"/>
      <c r="TOA169"/>
      <c r="TOB169"/>
      <c r="TOC169"/>
      <c r="TOD169"/>
      <c r="TOE169"/>
      <c r="TOF169"/>
      <c r="TOG169"/>
      <c r="TOH169"/>
      <c r="TOI169"/>
      <c r="TOJ169"/>
      <c r="TOK169"/>
      <c r="TOL169"/>
      <c r="TOM169"/>
      <c r="TON169"/>
      <c r="TOO169"/>
      <c r="TOP169"/>
      <c r="TOQ169"/>
      <c r="TOR169"/>
      <c r="TOS169"/>
      <c r="TOT169"/>
      <c r="TOU169"/>
      <c r="TOV169"/>
      <c r="TOW169"/>
      <c r="TOX169"/>
      <c r="TOY169"/>
      <c r="TOZ169"/>
      <c r="TPA169"/>
      <c r="TPB169"/>
      <c r="TPC169"/>
      <c r="TPD169"/>
      <c r="TPE169"/>
      <c r="TPF169"/>
      <c r="TPG169"/>
      <c r="TPH169"/>
      <c r="TPI169"/>
      <c r="TPJ169"/>
      <c r="TPK169"/>
      <c r="TPL169"/>
      <c r="TPM169"/>
      <c r="TPN169"/>
      <c r="TPO169"/>
      <c r="TPP169"/>
      <c r="TPQ169"/>
      <c r="TPR169"/>
      <c r="TPS169"/>
      <c r="TPT169"/>
      <c r="TPU169"/>
      <c r="TPV169"/>
      <c r="TPW169"/>
      <c r="TPX169"/>
      <c r="TPY169"/>
      <c r="TPZ169"/>
      <c r="TQA169"/>
      <c r="TQB169"/>
      <c r="TQC169"/>
      <c r="TQD169"/>
      <c r="TQE169"/>
      <c r="TQF169"/>
      <c r="TQG169"/>
      <c r="TQH169"/>
      <c r="TQI169"/>
      <c r="TQJ169"/>
      <c r="TQK169"/>
      <c r="TQL169"/>
      <c r="TQM169"/>
      <c r="TQN169"/>
      <c r="TQO169"/>
      <c r="TQP169"/>
      <c r="TQQ169"/>
      <c r="TQR169"/>
      <c r="TQS169"/>
      <c r="TQT169"/>
      <c r="TQU169"/>
      <c r="TQV169"/>
      <c r="TQW169"/>
      <c r="TQX169"/>
      <c r="TQY169"/>
      <c r="TQZ169"/>
      <c r="TRA169"/>
      <c r="TRB169"/>
      <c r="TRC169"/>
      <c r="TRD169"/>
      <c r="TRE169"/>
      <c r="TRF169"/>
      <c r="TRG169"/>
      <c r="TRH169"/>
      <c r="TRI169"/>
      <c r="TRJ169"/>
      <c r="TRK169"/>
      <c r="TRL169"/>
      <c r="TRM169"/>
      <c r="TRN169"/>
      <c r="TRO169"/>
      <c r="TRP169"/>
      <c r="TRQ169"/>
      <c r="TRR169"/>
      <c r="TRS169"/>
      <c r="TRT169"/>
      <c r="TRU169"/>
      <c r="TRV169"/>
      <c r="TRW169"/>
      <c r="TRX169"/>
      <c r="TRY169"/>
      <c r="TRZ169"/>
      <c r="TSA169"/>
      <c r="TSB169"/>
      <c r="TSC169"/>
      <c r="TSD169"/>
      <c r="TSE169"/>
      <c r="TSF169"/>
      <c r="TSG169"/>
      <c r="TSH169"/>
      <c r="TSI169"/>
      <c r="TSJ169"/>
      <c r="TSK169"/>
      <c r="TSL169"/>
      <c r="TSM169"/>
      <c r="TSN169"/>
      <c r="TSO169"/>
      <c r="TSP169"/>
      <c r="TSQ169"/>
      <c r="TSR169"/>
      <c r="TSS169"/>
      <c r="TST169"/>
      <c r="TSU169"/>
      <c r="TSV169"/>
      <c r="TSW169"/>
      <c r="TSX169"/>
      <c r="TSY169"/>
      <c r="TSZ169"/>
      <c r="TTA169"/>
      <c r="TTB169"/>
      <c r="TTC169"/>
      <c r="TTD169"/>
      <c r="TTE169"/>
      <c r="TTF169"/>
      <c r="TTG169"/>
      <c r="TTH169"/>
      <c r="TTI169"/>
      <c r="TTJ169"/>
      <c r="TTK169"/>
      <c r="TTL169"/>
      <c r="TTM169"/>
      <c r="TTN169"/>
      <c r="TTO169"/>
      <c r="TTP169"/>
      <c r="TTQ169"/>
      <c r="TTR169"/>
      <c r="TTS169"/>
      <c r="TTT169"/>
      <c r="TTU169"/>
      <c r="TTV169"/>
      <c r="TTW169"/>
      <c r="TTX169"/>
      <c r="TTY169"/>
      <c r="TTZ169"/>
      <c r="TUA169"/>
      <c r="TUB169"/>
      <c r="TUC169"/>
      <c r="TUD169"/>
      <c r="TUE169"/>
      <c r="TUF169"/>
      <c r="TUG169"/>
      <c r="TUH169"/>
      <c r="TUI169"/>
      <c r="TUJ169"/>
      <c r="TUK169"/>
      <c r="TUL169"/>
      <c r="TUM169"/>
      <c r="TUN169"/>
      <c r="TUO169"/>
      <c r="TUP169"/>
      <c r="TUQ169"/>
      <c r="TUR169"/>
      <c r="TUS169"/>
      <c r="TUT169"/>
      <c r="TUU169"/>
      <c r="TUV169"/>
      <c r="TUW169"/>
      <c r="TUX169"/>
      <c r="TUY169"/>
      <c r="TUZ169"/>
      <c r="TVA169"/>
      <c r="TVB169"/>
      <c r="TVC169"/>
      <c r="TVD169"/>
      <c r="TVE169"/>
      <c r="TVF169"/>
      <c r="TVG169"/>
      <c r="TVH169"/>
      <c r="TVI169"/>
      <c r="TVJ169"/>
      <c r="TVK169"/>
      <c r="TVL169"/>
      <c r="TVM169"/>
      <c r="TVN169"/>
      <c r="TVO169"/>
      <c r="TVP169"/>
      <c r="TVQ169"/>
      <c r="TVR169"/>
      <c r="TVS169"/>
      <c r="TVT169"/>
      <c r="TVU169"/>
      <c r="TVV169"/>
      <c r="TVW169"/>
      <c r="TVX169"/>
      <c r="TVY169"/>
      <c r="TVZ169"/>
      <c r="TWA169"/>
      <c r="TWB169"/>
      <c r="TWC169"/>
      <c r="TWD169"/>
      <c r="TWE169"/>
      <c r="TWF169"/>
      <c r="TWG169"/>
      <c r="TWH169"/>
      <c r="TWI169"/>
      <c r="TWJ169"/>
      <c r="TWK169"/>
      <c r="TWL169"/>
      <c r="TWM169"/>
      <c r="TWN169"/>
      <c r="TWO169"/>
      <c r="TWP169"/>
      <c r="TWQ169"/>
      <c r="TWR169"/>
      <c r="TWS169"/>
      <c r="TWT169"/>
      <c r="TWU169"/>
      <c r="TWV169"/>
      <c r="TWW169"/>
      <c r="TWX169"/>
      <c r="TWY169"/>
      <c r="TWZ169"/>
      <c r="TXA169"/>
      <c r="TXB169"/>
      <c r="TXC169"/>
      <c r="TXD169"/>
      <c r="TXE169"/>
      <c r="TXF169"/>
      <c r="TXG169"/>
      <c r="TXH169"/>
      <c r="TXI169"/>
      <c r="TXJ169"/>
      <c r="TXK169"/>
      <c r="TXL169"/>
      <c r="TXM169"/>
      <c r="TXN169"/>
      <c r="TXO169"/>
      <c r="TXP169"/>
      <c r="TXQ169"/>
      <c r="TXR169"/>
      <c r="TXS169"/>
      <c r="TXT169"/>
      <c r="TXU169"/>
      <c r="TXV169"/>
      <c r="TXW169"/>
      <c r="TXX169"/>
      <c r="TXY169"/>
      <c r="TXZ169"/>
      <c r="TYA169"/>
      <c r="TYB169"/>
      <c r="TYC169"/>
      <c r="TYD169"/>
      <c r="TYE169"/>
      <c r="TYF169"/>
      <c r="TYG169"/>
      <c r="TYH169"/>
      <c r="TYI169"/>
      <c r="TYJ169"/>
      <c r="TYK169"/>
      <c r="TYL169"/>
      <c r="TYM169"/>
      <c r="TYN169"/>
      <c r="TYO169"/>
      <c r="TYP169"/>
      <c r="TYQ169"/>
      <c r="TYR169"/>
      <c r="TYS169"/>
      <c r="TYT169"/>
      <c r="TYU169"/>
      <c r="TYV169"/>
      <c r="TYW169"/>
      <c r="TYX169"/>
      <c r="TYY169"/>
      <c r="TYZ169"/>
      <c r="TZA169"/>
      <c r="TZB169"/>
      <c r="TZC169"/>
      <c r="TZD169"/>
      <c r="TZE169"/>
      <c r="TZF169"/>
      <c r="TZG169"/>
      <c r="TZH169"/>
      <c r="TZI169"/>
      <c r="TZJ169"/>
      <c r="TZK169"/>
      <c r="TZL169"/>
      <c r="TZM169"/>
      <c r="TZN169"/>
      <c r="TZO169"/>
      <c r="TZP169"/>
      <c r="TZQ169"/>
      <c r="TZR169"/>
      <c r="TZS169"/>
      <c r="TZT169"/>
      <c r="TZU169"/>
      <c r="TZV169"/>
      <c r="TZW169"/>
      <c r="TZX169"/>
      <c r="TZY169"/>
      <c r="TZZ169"/>
      <c r="UAA169"/>
      <c r="UAB169"/>
      <c r="UAC169"/>
      <c r="UAD169"/>
      <c r="UAE169"/>
      <c r="UAF169"/>
      <c r="UAG169"/>
      <c r="UAH169"/>
      <c r="UAI169"/>
      <c r="UAJ169"/>
      <c r="UAK169"/>
      <c r="UAL169"/>
      <c r="UAM169"/>
      <c r="UAN169"/>
      <c r="UAO169"/>
      <c r="UAP169"/>
      <c r="UAQ169"/>
      <c r="UAR169"/>
      <c r="UAS169"/>
      <c r="UAT169"/>
      <c r="UAU169"/>
      <c r="UAV169"/>
      <c r="UAW169"/>
      <c r="UAX169"/>
      <c r="UAY169"/>
      <c r="UAZ169"/>
      <c r="UBA169"/>
      <c r="UBB169"/>
      <c r="UBC169"/>
      <c r="UBD169"/>
      <c r="UBE169"/>
      <c r="UBF169"/>
      <c r="UBG169"/>
      <c r="UBH169"/>
      <c r="UBI169"/>
      <c r="UBJ169"/>
      <c r="UBK169"/>
      <c r="UBL169"/>
      <c r="UBM169"/>
      <c r="UBN169"/>
      <c r="UBO169"/>
      <c r="UBP169"/>
      <c r="UBQ169"/>
      <c r="UBR169"/>
      <c r="UBS169"/>
      <c r="UBT169"/>
      <c r="UBU169"/>
      <c r="UBV169"/>
      <c r="UBW169"/>
      <c r="UBX169"/>
      <c r="UBY169"/>
      <c r="UBZ169"/>
      <c r="UCA169"/>
      <c r="UCB169"/>
      <c r="UCC169"/>
      <c r="UCD169"/>
      <c r="UCE169"/>
      <c r="UCF169"/>
      <c r="UCG169"/>
      <c r="UCH169"/>
      <c r="UCI169"/>
      <c r="UCJ169"/>
      <c r="UCK169"/>
      <c r="UCL169"/>
      <c r="UCM169"/>
      <c r="UCN169"/>
      <c r="UCO169"/>
      <c r="UCP169"/>
      <c r="UCQ169"/>
      <c r="UCR169"/>
      <c r="UCS169"/>
      <c r="UCT169"/>
      <c r="UCU169"/>
      <c r="UCV169"/>
      <c r="UCW169"/>
      <c r="UCX169"/>
      <c r="UCY169"/>
      <c r="UCZ169"/>
      <c r="UDA169"/>
      <c r="UDB169"/>
      <c r="UDC169"/>
      <c r="UDD169"/>
      <c r="UDE169"/>
      <c r="UDF169"/>
      <c r="UDG169"/>
      <c r="UDH169"/>
      <c r="UDI169"/>
      <c r="UDJ169"/>
      <c r="UDK169"/>
      <c r="UDL169"/>
      <c r="UDM169"/>
      <c r="UDN169"/>
      <c r="UDO169"/>
      <c r="UDP169"/>
      <c r="UDQ169"/>
      <c r="UDR169"/>
      <c r="UDS169"/>
      <c r="UDT169"/>
      <c r="UDU169"/>
      <c r="UDV169"/>
      <c r="UDW169"/>
      <c r="UDX169"/>
      <c r="UDY169"/>
      <c r="UDZ169"/>
      <c r="UEA169"/>
      <c r="UEB169"/>
      <c r="UEC169"/>
      <c r="UED169"/>
      <c r="UEE169"/>
      <c r="UEF169"/>
      <c r="UEG169"/>
      <c r="UEH169"/>
      <c r="UEI169"/>
      <c r="UEJ169"/>
      <c r="UEK169"/>
      <c r="UEL169"/>
      <c r="UEM169"/>
      <c r="UEN169"/>
      <c r="UEO169"/>
      <c r="UEP169"/>
      <c r="UEQ169"/>
      <c r="UER169"/>
      <c r="UES169"/>
      <c r="UET169"/>
      <c r="UEU169"/>
      <c r="UEV169"/>
      <c r="UEW169"/>
      <c r="UEX169"/>
      <c r="UEY169"/>
      <c r="UEZ169"/>
      <c r="UFA169"/>
      <c r="UFB169"/>
      <c r="UFC169"/>
      <c r="UFD169"/>
      <c r="UFE169"/>
      <c r="UFF169"/>
      <c r="UFG169"/>
      <c r="UFH169"/>
      <c r="UFI169"/>
      <c r="UFJ169"/>
      <c r="UFK169"/>
      <c r="UFL169"/>
      <c r="UFM169"/>
      <c r="UFN169"/>
      <c r="UFO169"/>
      <c r="UFP169"/>
      <c r="UFQ169"/>
      <c r="UFR169"/>
      <c r="UFS169"/>
      <c r="UFT169"/>
      <c r="UFU169"/>
      <c r="UFV169"/>
      <c r="UFW169"/>
      <c r="UFX169"/>
      <c r="UFY169"/>
      <c r="UFZ169"/>
      <c r="UGA169"/>
      <c r="UGB169"/>
      <c r="UGC169"/>
      <c r="UGD169"/>
      <c r="UGE169"/>
      <c r="UGF169"/>
      <c r="UGG169"/>
      <c r="UGH169"/>
      <c r="UGI169"/>
      <c r="UGJ169"/>
      <c r="UGK169"/>
      <c r="UGL169"/>
      <c r="UGM169"/>
      <c r="UGN169"/>
      <c r="UGO169"/>
      <c r="UGP169"/>
      <c r="UGQ169"/>
      <c r="UGR169"/>
      <c r="UGS169"/>
      <c r="UGT169"/>
      <c r="UGU169"/>
      <c r="UGV169"/>
      <c r="UGW169"/>
      <c r="UGX169"/>
      <c r="UGY169"/>
      <c r="UGZ169"/>
      <c r="UHA169"/>
      <c r="UHB169"/>
      <c r="UHC169"/>
      <c r="UHD169"/>
      <c r="UHE169"/>
      <c r="UHF169"/>
      <c r="UHG169"/>
      <c r="UHH169"/>
      <c r="UHI169"/>
      <c r="UHJ169"/>
      <c r="UHK169"/>
      <c r="UHL169"/>
      <c r="UHM169"/>
      <c r="UHN169"/>
      <c r="UHO169"/>
      <c r="UHP169"/>
      <c r="UHQ169"/>
      <c r="UHR169"/>
      <c r="UHS169"/>
      <c r="UHT169"/>
      <c r="UHU169"/>
      <c r="UHV169"/>
      <c r="UHW169"/>
      <c r="UHX169"/>
      <c r="UHY169"/>
      <c r="UHZ169"/>
      <c r="UIA169"/>
      <c r="UIB169"/>
      <c r="UIC169"/>
      <c r="UID169"/>
      <c r="UIE169"/>
      <c r="UIF169"/>
      <c r="UIG169"/>
      <c r="UIH169"/>
      <c r="UII169"/>
      <c r="UIJ169"/>
      <c r="UIK169"/>
      <c r="UIL169"/>
      <c r="UIM169"/>
      <c r="UIN169"/>
      <c r="UIO169"/>
      <c r="UIP169"/>
      <c r="UIQ169"/>
      <c r="UIR169"/>
      <c r="UIS169"/>
      <c r="UIT169"/>
      <c r="UIU169"/>
      <c r="UIV169"/>
      <c r="UIW169"/>
      <c r="UIX169"/>
      <c r="UIY169"/>
      <c r="UIZ169"/>
      <c r="UJA169"/>
      <c r="UJB169"/>
      <c r="UJC169"/>
      <c r="UJD169"/>
      <c r="UJE169"/>
      <c r="UJF169"/>
      <c r="UJG169"/>
      <c r="UJH169"/>
      <c r="UJI169"/>
      <c r="UJJ169"/>
      <c r="UJK169"/>
      <c r="UJL169"/>
      <c r="UJM169"/>
      <c r="UJN169"/>
      <c r="UJO169"/>
      <c r="UJP169"/>
      <c r="UJQ169"/>
      <c r="UJR169"/>
      <c r="UJS169"/>
      <c r="UJT169"/>
      <c r="UJU169"/>
      <c r="UJV169"/>
      <c r="UJW169"/>
      <c r="UJX169"/>
      <c r="UJY169"/>
      <c r="UJZ169"/>
      <c r="UKA169"/>
      <c r="UKB169"/>
      <c r="UKC169"/>
      <c r="UKD169"/>
      <c r="UKE169"/>
      <c r="UKF169"/>
      <c r="UKG169"/>
      <c r="UKH169"/>
      <c r="UKI169"/>
      <c r="UKJ169"/>
      <c r="UKK169"/>
      <c r="UKL169"/>
      <c r="UKM169"/>
      <c r="UKN169"/>
      <c r="UKO169"/>
      <c r="UKP169"/>
      <c r="UKQ169"/>
      <c r="UKR169"/>
      <c r="UKS169"/>
      <c r="UKT169"/>
      <c r="UKU169"/>
      <c r="UKV169"/>
      <c r="UKW169"/>
      <c r="UKX169"/>
      <c r="UKY169"/>
      <c r="UKZ169"/>
      <c r="ULA169"/>
      <c r="ULB169"/>
      <c r="ULC169"/>
      <c r="ULD169"/>
      <c r="ULE169"/>
      <c r="ULF169"/>
      <c r="ULG169"/>
      <c r="ULH169"/>
      <c r="ULI169"/>
      <c r="ULJ169"/>
      <c r="ULK169"/>
      <c r="ULL169"/>
      <c r="ULM169"/>
      <c r="ULN169"/>
      <c r="ULO169"/>
      <c r="ULP169"/>
      <c r="ULQ169"/>
      <c r="ULR169"/>
      <c r="ULS169"/>
      <c r="ULT169"/>
      <c r="ULU169"/>
      <c r="ULV169"/>
      <c r="ULW169"/>
      <c r="ULX169"/>
      <c r="ULY169"/>
      <c r="ULZ169"/>
      <c r="UMA169"/>
      <c r="UMB169"/>
      <c r="UMC169"/>
      <c r="UMD169"/>
      <c r="UME169"/>
      <c r="UMF169"/>
      <c r="UMG169"/>
      <c r="UMH169"/>
      <c r="UMI169"/>
      <c r="UMJ169"/>
      <c r="UMK169"/>
      <c r="UML169"/>
      <c r="UMM169"/>
      <c r="UMN169"/>
      <c r="UMO169"/>
      <c r="UMP169"/>
      <c r="UMQ169"/>
      <c r="UMR169"/>
      <c r="UMS169"/>
      <c r="UMT169"/>
      <c r="UMU169"/>
      <c r="UMV169"/>
      <c r="UMW169"/>
      <c r="UMX169"/>
      <c r="UMY169"/>
      <c r="UMZ169"/>
      <c r="UNA169"/>
      <c r="UNB169"/>
      <c r="UNC169"/>
      <c r="UND169"/>
      <c r="UNE169"/>
      <c r="UNF169"/>
      <c r="UNG169"/>
      <c r="UNH169"/>
      <c r="UNI169"/>
      <c r="UNJ169"/>
      <c r="UNK169"/>
      <c r="UNL169"/>
      <c r="UNM169"/>
      <c r="UNN169"/>
      <c r="UNO169"/>
      <c r="UNP169"/>
      <c r="UNQ169"/>
      <c r="UNR169"/>
      <c r="UNS169"/>
      <c r="UNT169"/>
      <c r="UNU169"/>
      <c r="UNV169"/>
      <c r="UNW169"/>
      <c r="UNX169"/>
      <c r="UNY169"/>
      <c r="UNZ169"/>
      <c r="UOA169"/>
      <c r="UOB169"/>
      <c r="UOC169"/>
      <c r="UOD169"/>
      <c r="UOE169"/>
      <c r="UOF169"/>
      <c r="UOG169"/>
      <c r="UOH169"/>
      <c r="UOI169"/>
      <c r="UOJ169"/>
      <c r="UOK169"/>
      <c r="UOL169"/>
      <c r="UOM169"/>
      <c r="UON169"/>
      <c r="UOO169"/>
      <c r="UOP169"/>
      <c r="UOQ169"/>
      <c r="UOR169"/>
      <c r="UOS169"/>
      <c r="UOT169"/>
      <c r="UOU169"/>
      <c r="UOV169"/>
      <c r="UOW169"/>
      <c r="UOX169"/>
      <c r="UOY169"/>
      <c r="UOZ169"/>
      <c r="UPA169"/>
      <c r="UPB169"/>
      <c r="UPC169"/>
      <c r="UPD169"/>
      <c r="UPE169"/>
      <c r="UPF169"/>
      <c r="UPG169"/>
      <c r="UPH169"/>
      <c r="UPI169"/>
      <c r="UPJ169"/>
      <c r="UPK169"/>
      <c r="UPL169"/>
      <c r="UPM169"/>
      <c r="UPN169"/>
      <c r="UPO169"/>
      <c r="UPP169"/>
      <c r="UPQ169"/>
      <c r="UPR169"/>
      <c r="UPS169"/>
      <c r="UPT169"/>
      <c r="UPU169"/>
      <c r="UPV169"/>
      <c r="UPW169"/>
      <c r="UPX169"/>
      <c r="UPY169"/>
      <c r="UPZ169"/>
      <c r="UQA169"/>
      <c r="UQB169"/>
      <c r="UQC169"/>
      <c r="UQD169"/>
      <c r="UQE169"/>
      <c r="UQF169"/>
      <c r="UQG169"/>
      <c r="UQH169"/>
      <c r="UQI169"/>
      <c r="UQJ169"/>
      <c r="UQK169"/>
      <c r="UQL169"/>
      <c r="UQM169"/>
      <c r="UQN169"/>
      <c r="UQO169"/>
      <c r="UQP169"/>
      <c r="UQQ169"/>
      <c r="UQR169"/>
      <c r="UQS169"/>
      <c r="UQT169"/>
      <c r="UQU169"/>
      <c r="UQV169"/>
      <c r="UQW169"/>
      <c r="UQX169"/>
      <c r="UQY169"/>
      <c r="UQZ169"/>
      <c r="URA169"/>
      <c r="URB169"/>
      <c r="URC169"/>
      <c r="URD169"/>
      <c r="URE169"/>
      <c r="URF169"/>
      <c r="URG169"/>
      <c r="URH169"/>
      <c r="URI169"/>
      <c r="URJ169"/>
      <c r="URK169"/>
      <c r="URL169"/>
      <c r="URM169"/>
      <c r="URN169"/>
      <c r="URO169"/>
      <c r="URP169"/>
      <c r="URQ169"/>
      <c r="URR169"/>
      <c r="URS169"/>
      <c r="URT169"/>
      <c r="URU169"/>
      <c r="URV169"/>
      <c r="URW169"/>
      <c r="URX169"/>
      <c r="URY169"/>
      <c r="URZ169"/>
      <c r="USA169"/>
      <c r="USB169"/>
      <c r="USC169"/>
      <c r="USD169"/>
      <c r="USE169"/>
      <c r="USF169"/>
      <c r="USG169"/>
      <c r="USH169"/>
      <c r="USI169"/>
      <c r="USJ169"/>
      <c r="USK169"/>
      <c r="USL169"/>
      <c r="USM169"/>
      <c r="USN169"/>
      <c r="USO169"/>
      <c r="USP169"/>
      <c r="USQ169"/>
      <c r="USR169"/>
      <c r="USS169"/>
      <c r="UST169"/>
      <c r="USU169"/>
      <c r="USV169"/>
      <c r="USW169"/>
      <c r="USX169"/>
      <c r="USY169"/>
      <c r="USZ169"/>
      <c r="UTA169"/>
      <c r="UTB169"/>
      <c r="UTC169"/>
      <c r="UTD169"/>
      <c r="UTE169"/>
      <c r="UTF169"/>
      <c r="UTG169"/>
      <c r="UTH169"/>
      <c r="UTI169"/>
      <c r="UTJ169"/>
      <c r="UTK169"/>
      <c r="UTL169"/>
      <c r="UTM169"/>
      <c r="UTN169"/>
      <c r="UTO169"/>
      <c r="UTP169"/>
      <c r="UTQ169"/>
      <c r="UTR169"/>
      <c r="UTS169"/>
      <c r="UTT169"/>
      <c r="UTU169"/>
      <c r="UTV169"/>
      <c r="UTW169"/>
      <c r="UTX169"/>
      <c r="UTY169"/>
      <c r="UTZ169"/>
      <c r="UUA169"/>
      <c r="UUB169"/>
      <c r="UUC169"/>
      <c r="UUD169"/>
      <c r="UUE169"/>
      <c r="UUF169"/>
      <c r="UUG169"/>
      <c r="UUH169"/>
      <c r="UUI169"/>
      <c r="UUJ169"/>
      <c r="UUK169"/>
      <c r="UUL169"/>
      <c r="UUM169"/>
      <c r="UUN169"/>
      <c r="UUO169"/>
      <c r="UUP169"/>
      <c r="UUQ169"/>
      <c r="UUR169"/>
      <c r="UUS169"/>
      <c r="UUT169"/>
      <c r="UUU169"/>
      <c r="UUV169"/>
      <c r="UUW169"/>
      <c r="UUX169"/>
      <c r="UUY169"/>
      <c r="UUZ169"/>
      <c r="UVA169"/>
      <c r="UVB169"/>
      <c r="UVC169"/>
      <c r="UVD169"/>
      <c r="UVE169"/>
      <c r="UVF169"/>
      <c r="UVG169"/>
      <c r="UVH169"/>
      <c r="UVI169"/>
      <c r="UVJ169"/>
      <c r="UVK169"/>
      <c r="UVL169"/>
      <c r="UVM169"/>
      <c r="UVN169"/>
      <c r="UVO169"/>
      <c r="UVP169"/>
      <c r="UVQ169"/>
      <c r="UVR169"/>
      <c r="UVS169"/>
      <c r="UVT169"/>
      <c r="UVU169"/>
      <c r="UVV169"/>
      <c r="UVW169"/>
      <c r="UVX169"/>
      <c r="UVY169"/>
      <c r="UVZ169"/>
      <c r="UWA169"/>
      <c r="UWB169"/>
      <c r="UWC169"/>
      <c r="UWD169"/>
      <c r="UWE169"/>
      <c r="UWF169"/>
      <c r="UWG169"/>
      <c r="UWH169"/>
      <c r="UWI169"/>
      <c r="UWJ169"/>
      <c r="UWK169"/>
      <c r="UWL169"/>
      <c r="UWM169"/>
      <c r="UWN169"/>
      <c r="UWO169"/>
      <c r="UWP169"/>
      <c r="UWQ169"/>
      <c r="UWR169"/>
      <c r="UWS169"/>
      <c r="UWT169"/>
      <c r="UWU169"/>
      <c r="UWV169"/>
      <c r="UWW169"/>
      <c r="UWX169"/>
      <c r="UWY169"/>
      <c r="UWZ169"/>
      <c r="UXA169"/>
      <c r="UXB169"/>
      <c r="UXC169"/>
      <c r="UXD169"/>
      <c r="UXE169"/>
      <c r="UXF169"/>
      <c r="UXG169"/>
      <c r="UXH169"/>
      <c r="UXI169"/>
      <c r="UXJ169"/>
      <c r="UXK169"/>
      <c r="UXL169"/>
      <c r="UXM169"/>
      <c r="UXN169"/>
      <c r="UXO169"/>
      <c r="UXP169"/>
      <c r="UXQ169"/>
      <c r="UXR169"/>
      <c r="UXS169"/>
      <c r="UXT169"/>
      <c r="UXU169"/>
      <c r="UXV169"/>
      <c r="UXW169"/>
      <c r="UXX169"/>
      <c r="UXY169"/>
      <c r="UXZ169"/>
      <c r="UYA169"/>
      <c r="UYB169"/>
      <c r="UYC169"/>
      <c r="UYD169"/>
      <c r="UYE169"/>
      <c r="UYF169"/>
      <c r="UYG169"/>
      <c r="UYH169"/>
      <c r="UYI169"/>
      <c r="UYJ169"/>
      <c r="UYK169"/>
      <c r="UYL169"/>
      <c r="UYM169"/>
      <c r="UYN169"/>
      <c r="UYO169"/>
      <c r="UYP169"/>
      <c r="UYQ169"/>
      <c r="UYR169"/>
      <c r="UYS169"/>
      <c r="UYT169"/>
      <c r="UYU169"/>
      <c r="UYV169"/>
      <c r="UYW169"/>
      <c r="UYX169"/>
      <c r="UYY169"/>
      <c r="UYZ169"/>
      <c r="UZA169"/>
      <c r="UZB169"/>
      <c r="UZC169"/>
      <c r="UZD169"/>
      <c r="UZE169"/>
      <c r="UZF169"/>
      <c r="UZG169"/>
      <c r="UZH169"/>
      <c r="UZI169"/>
      <c r="UZJ169"/>
      <c r="UZK169"/>
      <c r="UZL169"/>
      <c r="UZM169"/>
      <c r="UZN169"/>
      <c r="UZO169"/>
      <c r="UZP169"/>
      <c r="UZQ169"/>
      <c r="UZR169"/>
      <c r="UZS169"/>
      <c r="UZT169"/>
      <c r="UZU169"/>
      <c r="UZV169"/>
      <c r="UZW169"/>
      <c r="UZX169"/>
      <c r="UZY169"/>
      <c r="UZZ169"/>
      <c r="VAA169"/>
      <c r="VAB169"/>
      <c r="VAC169"/>
      <c r="VAD169"/>
      <c r="VAE169"/>
      <c r="VAF169"/>
      <c r="VAG169"/>
      <c r="VAH169"/>
      <c r="VAI169"/>
      <c r="VAJ169"/>
      <c r="VAK169"/>
      <c r="VAL169"/>
      <c r="VAM169"/>
      <c r="VAN169"/>
      <c r="VAO169"/>
      <c r="VAP169"/>
      <c r="VAQ169"/>
      <c r="VAR169"/>
      <c r="VAS169"/>
      <c r="VAT169"/>
      <c r="VAU169"/>
      <c r="VAV169"/>
      <c r="VAW169"/>
      <c r="VAX169"/>
      <c r="VAY169"/>
      <c r="VAZ169"/>
      <c r="VBA169"/>
      <c r="VBB169"/>
      <c r="VBC169"/>
      <c r="VBD169"/>
      <c r="VBE169"/>
      <c r="VBF169"/>
      <c r="VBG169"/>
      <c r="VBH169"/>
      <c r="VBI169"/>
      <c r="VBJ169"/>
      <c r="VBK169"/>
      <c r="VBL169"/>
      <c r="VBM169"/>
      <c r="VBN169"/>
      <c r="VBO169"/>
      <c r="VBP169"/>
      <c r="VBQ169"/>
      <c r="VBR169"/>
      <c r="VBS169"/>
      <c r="VBT169"/>
      <c r="VBU169"/>
      <c r="VBV169"/>
      <c r="VBW169"/>
      <c r="VBX169"/>
      <c r="VBY169"/>
      <c r="VBZ169"/>
      <c r="VCA169"/>
      <c r="VCB169"/>
      <c r="VCC169"/>
      <c r="VCD169"/>
      <c r="VCE169"/>
      <c r="VCF169"/>
      <c r="VCG169"/>
      <c r="VCH169"/>
      <c r="VCI169"/>
      <c r="VCJ169"/>
      <c r="VCK169"/>
      <c r="VCL169"/>
      <c r="VCM169"/>
      <c r="VCN169"/>
      <c r="VCO169"/>
      <c r="VCP169"/>
      <c r="VCQ169"/>
      <c r="VCR169"/>
      <c r="VCS169"/>
      <c r="VCT169"/>
      <c r="VCU169"/>
      <c r="VCV169"/>
      <c r="VCW169"/>
      <c r="VCX169"/>
      <c r="VCY169"/>
      <c r="VCZ169"/>
      <c r="VDA169"/>
      <c r="VDB169"/>
      <c r="VDC169"/>
      <c r="VDD169"/>
      <c r="VDE169"/>
      <c r="VDF169"/>
      <c r="VDG169"/>
      <c r="VDH169"/>
      <c r="VDI169"/>
      <c r="VDJ169"/>
      <c r="VDK169"/>
      <c r="VDL169"/>
      <c r="VDM169"/>
      <c r="VDN169"/>
      <c r="VDO169"/>
      <c r="VDP169"/>
      <c r="VDQ169"/>
      <c r="VDR169"/>
      <c r="VDS169"/>
      <c r="VDT169"/>
      <c r="VDU169"/>
      <c r="VDV169"/>
      <c r="VDW169"/>
      <c r="VDX169"/>
      <c r="VDY169"/>
      <c r="VDZ169"/>
      <c r="VEA169"/>
      <c r="VEB169"/>
      <c r="VEC169"/>
      <c r="VED169"/>
      <c r="VEE169"/>
      <c r="VEF169"/>
      <c r="VEG169"/>
      <c r="VEH169"/>
      <c r="VEI169"/>
      <c r="VEJ169"/>
      <c r="VEK169"/>
      <c r="VEL169"/>
      <c r="VEM169"/>
      <c r="VEN169"/>
      <c r="VEO169"/>
      <c r="VEP169"/>
      <c r="VEQ169"/>
      <c r="VER169"/>
      <c r="VES169"/>
      <c r="VET169"/>
      <c r="VEU169"/>
      <c r="VEV169"/>
      <c r="VEW169"/>
      <c r="VEX169"/>
      <c r="VEY169"/>
      <c r="VEZ169"/>
      <c r="VFA169"/>
      <c r="VFB169"/>
      <c r="VFC169"/>
      <c r="VFD169"/>
      <c r="VFE169"/>
      <c r="VFF169"/>
      <c r="VFG169"/>
      <c r="VFH169"/>
      <c r="VFI169"/>
      <c r="VFJ169"/>
      <c r="VFK169"/>
      <c r="VFL169"/>
      <c r="VFM169"/>
      <c r="VFN169"/>
      <c r="VFO169"/>
      <c r="VFP169"/>
      <c r="VFQ169"/>
      <c r="VFR169"/>
      <c r="VFS169"/>
      <c r="VFT169"/>
      <c r="VFU169"/>
      <c r="VFV169"/>
      <c r="VFW169"/>
      <c r="VFX169"/>
      <c r="VFY169"/>
      <c r="VFZ169"/>
      <c r="VGA169"/>
      <c r="VGB169"/>
      <c r="VGC169"/>
      <c r="VGD169"/>
      <c r="VGE169"/>
      <c r="VGF169"/>
      <c r="VGG169"/>
      <c r="VGH169"/>
      <c r="VGI169"/>
      <c r="VGJ169"/>
      <c r="VGK169"/>
      <c r="VGL169"/>
      <c r="VGM169"/>
      <c r="VGN169"/>
      <c r="VGO169"/>
      <c r="VGP169"/>
      <c r="VGQ169"/>
      <c r="VGR169"/>
      <c r="VGS169"/>
      <c r="VGT169"/>
      <c r="VGU169"/>
      <c r="VGV169"/>
      <c r="VGW169"/>
      <c r="VGX169"/>
      <c r="VGY169"/>
      <c r="VGZ169"/>
      <c r="VHA169"/>
      <c r="VHB169"/>
      <c r="VHC169"/>
      <c r="VHD169"/>
      <c r="VHE169"/>
      <c r="VHF169"/>
      <c r="VHG169"/>
      <c r="VHH169"/>
      <c r="VHI169"/>
      <c r="VHJ169"/>
      <c r="VHK169"/>
      <c r="VHL169"/>
      <c r="VHM169"/>
      <c r="VHN169"/>
      <c r="VHO169"/>
      <c r="VHP169"/>
      <c r="VHQ169"/>
      <c r="VHR169"/>
      <c r="VHS169"/>
      <c r="VHT169"/>
      <c r="VHU169"/>
      <c r="VHV169"/>
      <c r="VHW169"/>
      <c r="VHX169"/>
      <c r="VHY169"/>
      <c r="VHZ169"/>
      <c r="VIA169"/>
      <c r="VIB169"/>
      <c r="VIC169"/>
      <c r="VID169"/>
      <c r="VIE169"/>
      <c r="VIF169"/>
      <c r="VIG169"/>
      <c r="VIH169"/>
      <c r="VII169"/>
      <c r="VIJ169"/>
      <c r="VIK169"/>
      <c r="VIL169"/>
      <c r="VIM169"/>
      <c r="VIN169"/>
      <c r="VIO169"/>
      <c r="VIP169"/>
      <c r="VIQ169"/>
      <c r="VIR169"/>
      <c r="VIS169"/>
      <c r="VIT169"/>
      <c r="VIU169"/>
      <c r="VIV169"/>
      <c r="VIW169"/>
      <c r="VIX169"/>
      <c r="VIY169"/>
      <c r="VIZ169"/>
      <c r="VJA169"/>
      <c r="VJB169"/>
      <c r="VJC169"/>
      <c r="VJD169"/>
      <c r="VJE169"/>
      <c r="VJF169"/>
      <c r="VJG169"/>
      <c r="VJH169"/>
      <c r="VJI169"/>
      <c r="VJJ169"/>
      <c r="VJK169"/>
      <c r="VJL169"/>
      <c r="VJM169"/>
      <c r="VJN169"/>
      <c r="VJO169"/>
      <c r="VJP169"/>
      <c r="VJQ169"/>
      <c r="VJR169"/>
      <c r="VJS169"/>
      <c r="VJT169"/>
      <c r="VJU169"/>
      <c r="VJV169"/>
      <c r="VJW169"/>
      <c r="VJX169"/>
      <c r="VJY169"/>
      <c r="VJZ169"/>
      <c r="VKA169"/>
      <c r="VKB169"/>
      <c r="VKC169"/>
      <c r="VKD169"/>
      <c r="VKE169"/>
      <c r="VKF169"/>
      <c r="VKG169"/>
      <c r="VKH169"/>
      <c r="VKI169"/>
      <c r="VKJ169"/>
      <c r="VKK169"/>
      <c r="VKL169"/>
      <c r="VKM169"/>
      <c r="VKN169"/>
      <c r="VKO169"/>
      <c r="VKP169"/>
      <c r="VKQ169"/>
      <c r="VKR169"/>
      <c r="VKS169"/>
      <c r="VKT169"/>
      <c r="VKU169"/>
      <c r="VKV169"/>
      <c r="VKW169"/>
      <c r="VKX169"/>
      <c r="VKY169"/>
      <c r="VKZ169"/>
      <c r="VLA169"/>
      <c r="VLB169"/>
      <c r="VLC169"/>
      <c r="VLD169"/>
      <c r="VLE169"/>
      <c r="VLF169"/>
      <c r="VLG169"/>
      <c r="VLH169"/>
      <c r="VLI169"/>
      <c r="VLJ169"/>
      <c r="VLK169"/>
      <c r="VLL169"/>
      <c r="VLM169"/>
      <c r="VLN169"/>
      <c r="VLO169"/>
      <c r="VLP169"/>
      <c r="VLQ169"/>
      <c r="VLR169"/>
      <c r="VLS169"/>
      <c r="VLT169"/>
      <c r="VLU169"/>
      <c r="VLV169"/>
      <c r="VLW169"/>
      <c r="VLX169"/>
      <c r="VLY169"/>
      <c r="VLZ169"/>
      <c r="VMA169"/>
      <c r="VMB169"/>
      <c r="VMC169"/>
      <c r="VMD169"/>
      <c r="VME169"/>
      <c r="VMF169"/>
      <c r="VMG169"/>
      <c r="VMH169"/>
      <c r="VMI169"/>
      <c r="VMJ169"/>
      <c r="VMK169"/>
      <c r="VML169"/>
      <c r="VMM169"/>
      <c r="VMN169"/>
      <c r="VMO169"/>
      <c r="VMP169"/>
      <c r="VMQ169"/>
      <c r="VMR169"/>
      <c r="VMS169"/>
      <c r="VMT169"/>
      <c r="VMU169"/>
      <c r="VMV169"/>
      <c r="VMW169"/>
      <c r="VMX169"/>
      <c r="VMY169"/>
      <c r="VMZ169"/>
      <c r="VNA169"/>
      <c r="VNB169"/>
      <c r="VNC169"/>
      <c r="VND169"/>
      <c r="VNE169"/>
      <c r="VNF169"/>
      <c r="VNG169"/>
      <c r="VNH169"/>
      <c r="VNI169"/>
      <c r="VNJ169"/>
      <c r="VNK169"/>
      <c r="VNL169"/>
      <c r="VNM169"/>
      <c r="VNN169"/>
      <c r="VNO169"/>
      <c r="VNP169"/>
      <c r="VNQ169"/>
      <c r="VNR169"/>
      <c r="VNS169"/>
      <c r="VNT169"/>
      <c r="VNU169"/>
      <c r="VNV169"/>
      <c r="VNW169"/>
      <c r="VNX169"/>
      <c r="VNY169"/>
      <c r="VNZ169"/>
      <c r="VOA169"/>
      <c r="VOB169"/>
      <c r="VOC169"/>
      <c r="VOD169"/>
      <c r="VOE169"/>
      <c r="VOF169"/>
      <c r="VOG169"/>
      <c r="VOH169"/>
      <c r="VOI169"/>
      <c r="VOJ169"/>
      <c r="VOK169"/>
      <c r="VOL169"/>
      <c r="VOM169"/>
      <c r="VON169"/>
      <c r="VOO169"/>
      <c r="VOP169"/>
      <c r="VOQ169"/>
      <c r="VOR169"/>
      <c r="VOS169"/>
      <c r="VOT169"/>
      <c r="VOU169"/>
      <c r="VOV169"/>
      <c r="VOW169"/>
      <c r="VOX169"/>
      <c r="VOY169"/>
      <c r="VOZ169"/>
      <c r="VPA169"/>
      <c r="VPB169"/>
      <c r="VPC169"/>
      <c r="VPD169"/>
      <c r="VPE169"/>
      <c r="VPF169"/>
      <c r="VPG169"/>
      <c r="VPH169"/>
      <c r="VPI169"/>
      <c r="VPJ169"/>
      <c r="VPK169"/>
      <c r="VPL169"/>
      <c r="VPM169"/>
      <c r="VPN169"/>
      <c r="VPO169"/>
      <c r="VPP169"/>
      <c r="VPQ169"/>
      <c r="VPR169"/>
      <c r="VPS169"/>
      <c r="VPT169"/>
      <c r="VPU169"/>
      <c r="VPV169"/>
      <c r="VPW169"/>
      <c r="VPX169"/>
      <c r="VPY169"/>
      <c r="VPZ169"/>
      <c r="VQA169"/>
      <c r="VQB169"/>
      <c r="VQC169"/>
      <c r="VQD169"/>
      <c r="VQE169"/>
      <c r="VQF169"/>
      <c r="VQG169"/>
      <c r="VQH169"/>
      <c r="VQI169"/>
      <c r="VQJ169"/>
      <c r="VQK169"/>
      <c r="VQL169"/>
      <c r="VQM169"/>
      <c r="VQN169"/>
      <c r="VQO169"/>
      <c r="VQP169"/>
      <c r="VQQ169"/>
      <c r="VQR169"/>
      <c r="VQS169"/>
      <c r="VQT169"/>
      <c r="VQU169"/>
      <c r="VQV169"/>
      <c r="VQW169"/>
      <c r="VQX169"/>
      <c r="VQY169"/>
      <c r="VQZ169"/>
      <c r="VRA169"/>
      <c r="VRB169"/>
      <c r="VRC169"/>
      <c r="VRD169"/>
      <c r="VRE169"/>
      <c r="VRF169"/>
      <c r="VRG169"/>
      <c r="VRH169"/>
      <c r="VRI169"/>
      <c r="VRJ169"/>
      <c r="VRK169"/>
      <c r="VRL169"/>
      <c r="VRM169"/>
      <c r="VRN169"/>
      <c r="VRO169"/>
      <c r="VRP169"/>
      <c r="VRQ169"/>
      <c r="VRR169"/>
      <c r="VRS169"/>
      <c r="VRT169"/>
      <c r="VRU169"/>
      <c r="VRV169"/>
      <c r="VRW169"/>
      <c r="VRX169"/>
      <c r="VRY169"/>
      <c r="VRZ169"/>
      <c r="VSA169"/>
      <c r="VSB169"/>
      <c r="VSC169"/>
      <c r="VSD169"/>
      <c r="VSE169"/>
      <c r="VSF169"/>
      <c r="VSG169"/>
      <c r="VSH169"/>
      <c r="VSI169"/>
      <c r="VSJ169"/>
      <c r="VSK169"/>
      <c r="VSL169"/>
      <c r="VSM169"/>
      <c r="VSN169"/>
      <c r="VSO169"/>
      <c r="VSP169"/>
      <c r="VSQ169"/>
      <c r="VSR169"/>
      <c r="VSS169"/>
      <c r="VST169"/>
      <c r="VSU169"/>
      <c r="VSV169"/>
      <c r="VSW169"/>
      <c r="VSX169"/>
      <c r="VSY169"/>
      <c r="VSZ169"/>
      <c r="VTA169"/>
      <c r="VTB169"/>
      <c r="VTC169"/>
      <c r="VTD169"/>
      <c r="VTE169"/>
      <c r="VTF169"/>
      <c r="VTG169"/>
      <c r="VTH169"/>
      <c r="VTI169"/>
      <c r="VTJ169"/>
      <c r="VTK169"/>
      <c r="VTL169"/>
      <c r="VTM169"/>
      <c r="VTN169"/>
      <c r="VTO169"/>
      <c r="VTP169"/>
      <c r="VTQ169"/>
      <c r="VTR169"/>
      <c r="VTS169"/>
      <c r="VTT169"/>
      <c r="VTU169"/>
      <c r="VTV169"/>
      <c r="VTW169"/>
      <c r="VTX169"/>
      <c r="VTY169"/>
      <c r="VTZ169"/>
      <c r="VUA169"/>
      <c r="VUB169"/>
      <c r="VUC169"/>
      <c r="VUD169"/>
      <c r="VUE169"/>
      <c r="VUF169"/>
      <c r="VUG169"/>
      <c r="VUH169"/>
      <c r="VUI169"/>
      <c r="VUJ169"/>
      <c r="VUK169"/>
      <c r="VUL169"/>
      <c r="VUM169"/>
      <c r="VUN169"/>
      <c r="VUO169"/>
      <c r="VUP169"/>
      <c r="VUQ169"/>
      <c r="VUR169"/>
      <c r="VUS169"/>
      <c r="VUT169"/>
      <c r="VUU169"/>
      <c r="VUV169"/>
      <c r="VUW169"/>
      <c r="VUX169"/>
      <c r="VUY169"/>
      <c r="VUZ169"/>
      <c r="VVA169"/>
      <c r="VVB169"/>
      <c r="VVC169"/>
      <c r="VVD169"/>
      <c r="VVE169"/>
      <c r="VVF169"/>
      <c r="VVG169"/>
      <c r="VVH169"/>
      <c r="VVI169"/>
      <c r="VVJ169"/>
      <c r="VVK169"/>
      <c r="VVL169"/>
      <c r="VVM169"/>
      <c r="VVN169"/>
      <c r="VVO169"/>
      <c r="VVP169"/>
      <c r="VVQ169"/>
      <c r="VVR169"/>
      <c r="VVS169"/>
      <c r="VVT169"/>
      <c r="VVU169"/>
      <c r="VVV169"/>
      <c r="VVW169"/>
      <c r="VVX169"/>
      <c r="VVY169"/>
      <c r="VVZ169"/>
      <c r="VWA169"/>
      <c r="VWB169"/>
      <c r="VWC169"/>
      <c r="VWD169"/>
      <c r="VWE169"/>
      <c r="VWF169"/>
      <c r="VWG169"/>
      <c r="VWH169"/>
      <c r="VWI169"/>
      <c r="VWJ169"/>
      <c r="VWK169"/>
      <c r="VWL169"/>
      <c r="VWM169"/>
      <c r="VWN169"/>
      <c r="VWO169"/>
      <c r="VWP169"/>
      <c r="VWQ169"/>
      <c r="VWR169"/>
      <c r="VWS169"/>
      <c r="VWT169"/>
      <c r="VWU169"/>
      <c r="VWV169"/>
      <c r="VWW169"/>
      <c r="VWX169"/>
      <c r="VWY169"/>
      <c r="VWZ169"/>
      <c r="VXA169"/>
      <c r="VXB169"/>
      <c r="VXC169"/>
      <c r="VXD169"/>
      <c r="VXE169"/>
      <c r="VXF169"/>
      <c r="VXG169"/>
      <c r="VXH169"/>
      <c r="VXI169"/>
      <c r="VXJ169"/>
      <c r="VXK169"/>
      <c r="VXL169"/>
      <c r="VXM169"/>
      <c r="VXN169"/>
      <c r="VXO169"/>
      <c r="VXP169"/>
      <c r="VXQ169"/>
      <c r="VXR169"/>
      <c r="VXS169"/>
      <c r="VXT169"/>
      <c r="VXU169"/>
      <c r="VXV169"/>
      <c r="VXW169"/>
      <c r="VXX169"/>
      <c r="VXY169"/>
      <c r="VXZ169"/>
      <c r="VYA169"/>
      <c r="VYB169"/>
      <c r="VYC169"/>
      <c r="VYD169"/>
      <c r="VYE169"/>
      <c r="VYF169"/>
      <c r="VYG169"/>
      <c r="VYH169"/>
      <c r="VYI169"/>
      <c r="VYJ169"/>
      <c r="VYK169"/>
      <c r="VYL169"/>
      <c r="VYM169"/>
      <c r="VYN169"/>
      <c r="VYO169"/>
      <c r="VYP169"/>
      <c r="VYQ169"/>
      <c r="VYR169"/>
      <c r="VYS169"/>
      <c r="VYT169"/>
      <c r="VYU169"/>
      <c r="VYV169"/>
      <c r="VYW169"/>
      <c r="VYX169"/>
      <c r="VYY169"/>
      <c r="VYZ169"/>
      <c r="VZA169"/>
      <c r="VZB169"/>
      <c r="VZC169"/>
      <c r="VZD169"/>
      <c r="VZE169"/>
      <c r="VZF169"/>
      <c r="VZG169"/>
      <c r="VZH169"/>
      <c r="VZI169"/>
      <c r="VZJ169"/>
      <c r="VZK169"/>
      <c r="VZL169"/>
      <c r="VZM169"/>
      <c r="VZN169"/>
      <c r="VZO169"/>
      <c r="VZP169"/>
      <c r="VZQ169"/>
      <c r="VZR169"/>
      <c r="VZS169"/>
      <c r="VZT169"/>
      <c r="VZU169"/>
      <c r="VZV169"/>
      <c r="VZW169"/>
      <c r="VZX169"/>
      <c r="VZY169"/>
      <c r="VZZ169"/>
      <c r="WAA169"/>
      <c r="WAB169"/>
      <c r="WAC169"/>
      <c r="WAD169"/>
      <c r="WAE169"/>
      <c r="WAF169"/>
      <c r="WAG169"/>
      <c r="WAH169"/>
      <c r="WAI169"/>
      <c r="WAJ169"/>
      <c r="WAK169"/>
      <c r="WAL169"/>
      <c r="WAM169"/>
      <c r="WAN169"/>
      <c r="WAO169"/>
      <c r="WAP169"/>
      <c r="WAQ169"/>
      <c r="WAR169"/>
      <c r="WAS169"/>
      <c r="WAT169"/>
      <c r="WAU169"/>
      <c r="WAV169"/>
      <c r="WAW169"/>
      <c r="WAX169"/>
      <c r="WAY169"/>
      <c r="WAZ169"/>
      <c r="WBA169"/>
      <c r="WBB169"/>
      <c r="WBC169"/>
      <c r="WBD169"/>
      <c r="WBE169"/>
      <c r="WBF169"/>
      <c r="WBG169"/>
      <c r="WBH169"/>
      <c r="WBI169"/>
      <c r="WBJ169"/>
      <c r="WBK169"/>
      <c r="WBL169"/>
      <c r="WBM169"/>
      <c r="WBN169"/>
      <c r="WBO169"/>
      <c r="WBP169"/>
      <c r="WBQ169"/>
      <c r="WBR169"/>
      <c r="WBS169"/>
      <c r="WBT169"/>
      <c r="WBU169"/>
      <c r="WBV169"/>
      <c r="WBW169"/>
      <c r="WBX169"/>
      <c r="WBY169"/>
      <c r="WBZ169"/>
      <c r="WCA169"/>
      <c r="WCB169"/>
      <c r="WCC169"/>
      <c r="WCD169"/>
      <c r="WCE169"/>
      <c r="WCF169"/>
      <c r="WCG169"/>
      <c r="WCH169"/>
      <c r="WCI169"/>
      <c r="WCJ169"/>
      <c r="WCK169"/>
      <c r="WCL169"/>
      <c r="WCM169"/>
      <c r="WCN169"/>
      <c r="WCO169"/>
      <c r="WCP169"/>
      <c r="WCQ169"/>
      <c r="WCR169"/>
      <c r="WCS169"/>
      <c r="WCT169"/>
      <c r="WCU169"/>
      <c r="WCV169"/>
      <c r="WCW169"/>
      <c r="WCX169"/>
      <c r="WCY169"/>
      <c r="WCZ169"/>
      <c r="WDA169"/>
      <c r="WDB169"/>
      <c r="WDC169"/>
      <c r="WDD169"/>
      <c r="WDE169"/>
      <c r="WDF169"/>
      <c r="WDG169"/>
      <c r="WDH169"/>
      <c r="WDI169"/>
      <c r="WDJ169"/>
      <c r="WDK169"/>
      <c r="WDL169"/>
      <c r="WDM169"/>
      <c r="WDN169"/>
      <c r="WDO169"/>
      <c r="WDP169"/>
      <c r="WDQ169"/>
      <c r="WDR169"/>
      <c r="WDS169"/>
      <c r="WDT169"/>
      <c r="WDU169"/>
      <c r="WDV169"/>
      <c r="WDW169"/>
      <c r="WDX169"/>
      <c r="WDY169"/>
      <c r="WDZ169"/>
      <c r="WEA169"/>
      <c r="WEB169"/>
      <c r="WEC169"/>
      <c r="WED169"/>
      <c r="WEE169"/>
      <c r="WEF169"/>
      <c r="WEG169"/>
      <c r="WEH169"/>
      <c r="WEI169"/>
      <c r="WEJ169"/>
      <c r="WEK169"/>
      <c r="WEL169"/>
      <c r="WEM169"/>
      <c r="WEN169"/>
      <c r="WEO169"/>
      <c r="WEP169"/>
      <c r="WEQ169"/>
      <c r="WER169"/>
      <c r="WES169"/>
      <c r="WET169"/>
      <c r="WEU169"/>
      <c r="WEV169"/>
      <c r="WEW169"/>
      <c r="WEX169"/>
      <c r="WEY169"/>
      <c r="WEZ169"/>
      <c r="WFA169"/>
      <c r="WFB169"/>
      <c r="WFC169"/>
      <c r="WFD169"/>
      <c r="WFE169"/>
      <c r="WFF169"/>
      <c r="WFG169"/>
      <c r="WFH169"/>
      <c r="WFI169"/>
      <c r="WFJ169"/>
      <c r="WFK169"/>
      <c r="WFL169"/>
      <c r="WFM169"/>
      <c r="WFN169"/>
      <c r="WFO169"/>
      <c r="WFP169"/>
      <c r="WFQ169"/>
      <c r="WFR169"/>
      <c r="WFS169"/>
      <c r="WFT169"/>
      <c r="WFU169"/>
      <c r="WFV169"/>
      <c r="WFW169"/>
      <c r="WFX169"/>
      <c r="WFY169"/>
      <c r="WFZ169"/>
      <c r="WGA169"/>
      <c r="WGB169"/>
      <c r="WGC169"/>
      <c r="WGD169"/>
      <c r="WGE169"/>
      <c r="WGF169"/>
      <c r="WGG169"/>
      <c r="WGH169"/>
      <c r="WGI169"/>
      <c r="WGJ169"/>
      <c r="WGK169"/>
      <c r="WGL169"/>
      <c r="WGM169"/>
      <c r="WGN169"/>
      <c r="WGO169"/>
      <c r="WGP169"/>
      <c r="WGQ169"/>
      <c r="WGR169"/>
      <c r="WGS169"/>
      <c r="WGT169"/>
      <c r="WGU169"/>
      <c r="WGV169"/>
      <c r="WGW169"/>
      <c r="WGX169"/>
      <c r="WGY169"/>
      <c r="WGZ169"/>
      <c r="WHA169"/>
      <c r="WHB169"/>
      <c r="WHC169"/>
      <c r="WHD169"/>
      <c r="WHE169"/>
      <c r="WHF169"/>
      <c r="WHG169"/>
      <c r="WHH169"/>
      <c r="WHI169"/>
      <c r="WHJ169"/>
      <c r="WHK169"/>
      <c r="WHL169"/>
      <c r="WHM169"/>
      <c r="WHN169"/>
      <c r="WHO169"/>
      <c r="WHP169"/>
      <c r="WHQ169"/>
      <c r="WHR169"/>
      <c r="WHS169"/>
      <c r="WHT169"/>
      <c r="WHU169"/>
      <c r="WHV169"/>
      <c r="WHW169"/>
      <c r="WHX169"/>
      <c r="WHY169"/>
      <c r="WHZ169"/>
      <c r="WIA169"/>
      <c r="WIB169"/>
      <c r="WIC169"/>
      <c r="WID169"/>
      <c r="WIE169"/>
      <c r="WIF169"/>
      <c r="WIG169"/>
      <c r="WIH169"/>
      <c r="WII169"/>
      <c r="WIJ169"/>
      <c r="WIK169"/>
      <c r="WIL169"/>
      <c r="WIM169"/>
      <c r="WIN169"/>
      <c r="WIO169"/>
      <c r="WIP169"/>
      <c r="WIQ169"/>
      <c r="WIR169"/>
      <c r="WIS169"/>
      <c r="WIT169"/>
      <c r="WIU169"/>
      <c r="WIV169"/>
      <c r="WIW169"/>
      <c r="WIX169"/>
      <c r="WIY169"/>
      <c r="WIZ169"/>
      <c r="WJA169"/>
      <c r="WJB169"/>
      <c r="WJC169"/>
      <c r="WJD169"/>
      <c r="WJE169"/>
      <c r="WJF169"/>
      <c r="WJG169"/>
      <c r="WJH169"/>
      <c r="WJI169"/>
      <c r="WJJ169"/>
      <c r="WJK169"/>
      <c r="WJL169"/>
      <c r="WJM169"/>
      <c r="WJN169"/>
      <c r="WJO169"/>
      <c r="WJP169"/>
      <c r="WJQ169"/>
      <c r="WJR169"/>
      <c r="WJS169"/>
      <c r="WJT169"/>
      <c r="WJU169"/>
      <c r="WJV169"/>
      <c r="WJW169"/>
      <c r="WJX169"/>
      <c r="WJY169"/>
      <c r="WJZ169"/>
      <c r="WKA169"/>
      <c r="WKB169"/>
      <c r="WKC169"/>
      <c r="WKD169"/>
      <c r="WKE169"/>
      <c r="WKF169"/>
      <c r="WKG169"/>
      <c r="WKH169"/>
      <c r="WKI169"/>
      <c r="WKJ169"/>
      <c r="WKK169"/>
      <c r="WKL169"/>
      <c r="WKM169"/>
      <c r="WKN169"/>
      <c r="WKO169"/>
      <c r="WKP169"/>
      <c r="WKQ169"/>
      <c r="WKR169"/>
      <c r="WKS169"/>
      <c r="WKT169"/>
      <c r="WKU169"/>
      <c r="WKV169"/>
      <c r="WKW169"/>
      <c r="WKX169"/>
      <c r="WKY169"/>
      <c r="WKZ169"/>
      <c r="WLA169"/>
      <c r="WLB169"/>
      <c r="WLC169"/>
      <c r="WLD169"/>
      <c r="WLE169"/>
      <c r="WLF169"/>
      <c r="WLG169"/>
      <c r="WLH169"/>
      <c r="WLI169"/>
      <c r="WLJ169"/>
      <c r="WLK169"/>
      <c r="WLL169"/>
      <c r="WLM169"/>
      <c r="WLN169"/>
      <c r="WLO169"/>
      <c r="WLP169"/>
      <c r="WLQ169"/>
      <c r="WLR169"/>
      <c r="WLS169"/>
      <c r="WLT169"/>
      <c r="WLU169"/>
      <c r="WLV169"/>
      <c r="WLW169"/>
      <c r="WLX169"/>
      <c r="WLY169"/>
      <c r="WLZ169"/>
      <c r="WMA169"/>
      <c r="WMB169"/>
      <c r="WMC169"/>
      <c r="WMD169"/>
      <c r="WME169"/>
      <c r="WMF169"/>
      <c r="WMG169"/>
      <c r="WMH169"/>
      <c r="WMI169"/>
      <c r="WMJ169"/>
      <c r="WMK169"/>
      <c r="WML169"/>
      <c r="WMM169"/>
      <c r="WMN169"/>
      <c r="WMO169"/>
      <c r="WMP169"/>
      <c r="WMQ169"/>
      <c r="WMR169"/>
      <c r="WMS169"/>
      <c r="WMT169"/>
      <c r="WMU169"/>
      <c r="WMV169"/>
      <c r="WMW169"/>
      <c r="WMX169"/>
      <c r="WMY169"/>
      <c r="WMZ169"/>
      <c r="WNA169"/>
      <c r="WNB169"/>
      <c r="WNC169"/>
      <c r="WND169"/>
      <c r="WNE169"/>
      <c r="WNF169"/>
      <c r="WNG169"/>
      <c r="WNH169"/>
      <c r="WNI169"/>
      <c r="WNJ169"/>
      <c r="WNK169"/>
      <c r="WNL169"/>
      <c r="WNM169"/>
      <c r="WNN169"/>
      <c r="WNO169"/>
      <c r="WNP169"/>
      <c r="WNQ169"/>
      <c r="WNR169"/>
      <c r="WNS169"/>
      <c r="WNT169"/>
      <c r="WNU169"/>
      <c r="WNV169"/>
      <c r="WNW169"/>
      <c r="WNX169"/>
      <c r="WNY169"/>
      <c r="WNZ169"/>
      <c r="WOA169"/>
      <c r="WOB169"/>
      <c r="WOC169"/>
      <c r="WOD169"/>
      <c r="WOE169"/>
      <c r="WOF169"/>
      <c r="WOG169"/>
      <c r="WOH169"/>
      <c r="WOI169"/>
      <c r="WOJ169"/>
      <c r="WOK169"/>
      <c r="WOL169"/>
      <c r="WOM169"/>
      <c r="WON169"/>
      <c r="WOO169"/>
      <c r="WOP169"/>
      <c r="WOQ169"/>
      <c r="WOR169"/>
      <c r="WOS169"/>
      <c r="WOT169"/>
      <c r="WOU169"/>
      <c r="WOV169"/>
      <c r="WOW169"/>
      <c r="WOX169"/>
      <c r="WOY169"/>
      <c r="WOZ169"/>
      <c r="WPA169"/>
      <c r="WPB169"/>
      <c r="WPC169"/>
      <c r="WPD169"/>
      <c r="WPE169"/>
      <c r="WPF169"/>
      <c r="WPG169"/>
      <c r="WPH169"/>
      <c r="WPI169"/>
      <c r="WPJ169"/>
      <c r="WPK169"/>
      <c r="WPL169"/>
      <c r="WPM169"/>
      <c r="WPN169"/>
      <c r="WPO169"/>
      <c r="WPP169"/>
      <c r="WPQ169"/>
      <c r="WPR169"/>
      <c r="WPS169"/>
      <c r="WPT169"/>
      <c r="WPU169"/>
      <c r="WPV169"/>
      <c r="WPW169"/>
      <c r="WPX169"/>
      <c r="WPY169"/>
      <c r="WPZ169"/>
      <c r="WQA169"/>
      <c r="WQB169"/>
      <c r="WQC169"/>
      <c r="WQD169"/>
      <c r="WQE169"/>
      <c r="WQF169"/>
      <c r="WQG169"/>
      <c r="WQH169"/>
      <c r="WQI169"/>
      <c r="WQJ169"/>
      <c r="WQK169"/>
      <c r="WQL169"/>
      <c r="WQM169"/>
      <c r="WQN169"/>
      <c r="WQO169"/>
      <c r="WQP169"/>
      <c r="WQQ169"/>
      <c r="WQR169"/>
      <c r="WQS169"/>
      <c r="WQT169"/>
      <c r="WQU169"/>
      <c r="WQV169"/>
      <c r="WQW169"/>
      <c r="WQX169"/>
      <c r="WQY169"/>
      <c r="WQZ169"/>
      <c r="WRA169"/>
      <c r="WRB169"/>
      <c r="WRC169"/>
      <c r="WRD169"/>
      <c r="WRE169"/>
      <c r="WRF169"/>
      <c r="WRG169"/>
      <c r="WRH169"/>
      <c r="WRI169"/>
      <c r="WRJ169"/>
      <c r="WRK169"/>
      <c r="WRL169"/>
      <c r="WRM169"/>
      <c r="WRN169"/>
      <c r="WRO169"/>
      <c r="WRP169"/>
      <c r="WRQ169"/>
      <c r="WRR169"/>
      <c r="WRS169"/>
      <c r="WRT169"/>
      <c r="WRU169"/>
      <c r="WRV169"/>
      <c r="WRW169"/>
      <c r="WRX169"/>
      <c r="WRY169"/>
      <c r="WRZ169"/>
      <c r="WSA169"/>
      <c r="WSB169"/>
      <c r="WSC169"/>
      <c r="WSD169"/>
      <c r="WSE169"/>
      <c r="WSF169"/>
      <c r="WSG169"/>
      <c r="WSH169"/>
      <c r="WSI169"/>
      <c r="WSJ169"/>
      <c r="WSK169"/>
      <c r="WSL169"/>
      <c r="WSM169"/>
      <c r="WSN169"/>
      <c r="WSO169"/>
      <c r="WSP169"/>
      <c r="WSQ169"/>
      <c r="WSR169"/>
      <c r="WSS169"/>
      <c r="WST169"/>
      <c r="WSU169"/>
      <c r="WSV169"/>
      <c r="WSW169"/>
      <c r="WSX169"/>
      <c r="WSY169"/>
      <c r="WSZ169"/>
      <c r="WTA169"/>
      <c r="WTB169"/>
      <c r="WTC169"/>
      <c r="WTD169"/>
      <c r="WTE169"/>
      <c r="WTF169"/>
      <c r="WTG169"/>
      <c r="WTH169"/>
      <c r="WTI169"/>
      <c r="WTJ169"/>
      <c r="WTK169"/>
      <c r="WTL169"/>
      <c r="WTM169"/>
      <c r="WTN169"/>
      <c r="WTO169"/>
      <c r="WTP169"/>
      <c r="WTQ169"/>
      <c r="WTR169"/>
      <c r="WTS169"/>
      <c r="WTT169"/>
      <c r="WTU169"/>
      <c r="WTV169"/>
      <c r="WTW169"/>
      <c r="WTX169"/>
      <c r="WTY169"/>
      <c r="WTZ169"/>
      <c r="WUA169"/>
      <c r="WUB169"/>
      <c r="WUC169"/>
      <c r="WUD169"/>
      <c r="WUE169"/>
      <c r="WUF169"/>
      <c r="WUG169"/>
      <c r="WUH169"/>
      <c r="WUI169"/>
      <c r="WUJ169"/>
      <c r="WUK169"/>
      <c r="WUL169"/>
      <c r="WUM169"/>
      <c r="WUN169"/>
      <c r="WUO169"/>
      <c r="WUP169"/>
      <c r="WUQ169"/>
      <c r="WUR169"/>
      <c r="WUS169"/>
      <c r="WUT169"/>
      <c r="WUU169"/>
      <c r="WUV169"/>
      <c r="WUW169"/>
      <c r="WUX169"/>
      <c r="WUY169"/>
      <c r="WUZ169"/>
      <c r="WVA169"/>
      <c r="WVB169"/>
      <c r="WVC169"/>
      <c r="WVD169"/>
      <c r="WVE169"/>
      <c r="WVF169"/>
      <c r="WVG169"/>
      <c r="WVH169"/>
      <c r="WVI169"/>
      <c r="WVJ169"/>
      <c r="WVK169"/>
      <c r="WVL169"/>
      <c r="WVM169"/>
      <c r="WVN169"/>
      <c r="WVO169"/>
      <c r="WVP169"/>
      <c r="WVQ169"/>
      <c r="WVR169"/>
      <c r="WVS169"/>
      <c r="WVT169"/>
      <c r="WVU169"/>
      <c r="WVV169"/>
      <c r="WVW169"/>
      <c r="WVX169"/>
      <c r="WVY169"/>
      <c r="WVZ169"/>
      <c r="WWA169"/>
      <c r="WWB169"/>
      <c r="WWC169"/>
      <c r="WWD169"/>
      <c r="WWE169"/>
      <c r="WWF169"/>
      <c r="WWG169"/>
      <c r="WWH169"/>
      <c r="WWI169"/>
      <c r="WWJ169"/>
      <c r="WWK169"/>
      <c r="WWL169"/>
      <c r="WWM169"/>
      <c r="WWN169"/>
      <c r="WWO169"/>
      <c r="WWP169"/>
      <c r="WWQ169"/>
      <c r="WWR169"/>
      <c r="WWS169"/>
      <c r="WWT169"/>
      <c r="WWU169"/>
      <c r="WWV169"/>
      <c r="WWW169"/>
      <c r="WWX169"/>
      <c r="WWY169"/>
      <c r="WWZ169"/>
      <c r="WXA169"/>
      <c r="WXB169"/>
      <c r="WXC169"/>
      <c r="WXD169"/>
      <c r="WXE169"/>
      <c r="WXF169"/>
      <c r="WXG169"/>
      <c r="WXH169"/>
      <c r="WXI169"/>
      <c r="WXJ169"/>
      <c r="WXK169"/>
      <c r="WXL169"/>
      <c r="WXM169"/>
      <c r="WXN169"/>
      <c r="WXO169"/>
      <c r="WXP169"/>
      <c r="WXQ169"/>
      <c r="WXR169"/>
      <c r="WXS169"/>
      <c r="WXT169"/>
      <c r="WXU169"/>
      <c r="WXV169"/>
      <c r="WXW169"/>
      <c r="WXX169"/>
      <c r="WXY169"/>
      <c r="WXZ169"/>
      <c r="WYA169"/>
      <c r="WYB169"/>
      <c r="WYC169"/>
      <c r="WYD169"/>
      <c r="WYE169"/>
      <c r="WYF169"/>
      <c r="WYG169"/>
      <c r="WYH169"/>
      <c r="WYI169"/>
      <c r="WYJ169"/>
      <c r="WYK169"/>
      <c r="WYL169"/>
      <c r="WYM169"/>
      <c r="WYN169"/>
      <c r="WYO169"/>
      <c r="WYP169"/>
      <c r="WYQ169"/>
      <c r="WYR169"/>
      <c r="WYS169"/>
      <c r="WYT169"/>
      <c r="WYU169"/>
      <c r="WYV169"/>
      <c r="WYW169"/>
      <c r="WYX169"/>
      <c r="WYY169"/>
      <c r="WYZ169"/>
      <c r="WZA169"/>
      <c r="WZB169"/>
      <c r="WZC169"/>
      <c r="WZD169"/>
      <c r="WZE169"/>
      <c r="WZF169"/>
      <c r="WZG169"/>
      <c r="WZH169"/>
      <c r="WZI169"/>
      <c r="WZJ169"/>
      <c r="WZK169"/>
      <c r="WZL169"/>
      <c r="WZM169"/>
      <c r="WZN169"/>
      <c r="WZO169"/>
      <c r="WZP169"/>
      <c r="WZQ169"/>
      <c r="WZR169"/>
      <c r="WZS169"/>
      <c r="WZT169"/>
      <c r="WZU169"/>
      <c r="WZV169"/>
      <c r="WZW169"/>
      <c r="WZX169"/>
      <c r="WZY169"/>
      <c r="WZZ169"/>
      <c r="XAA169"/>
      <c r="XAB169"/>
      <c r="XAC169"/>
      <c r="XAD169"/>
      <c r="XAE169"/>
      <c r="XAF169"/>
      <c r="XAG169"/>
      <c r="XAH169"/>
      <c r="XAI169"/>
      <c r="XAJ169"/>
      <c r="XAK169"/>
      <c r="XAL169"/>
      <c r="XAM169"/>
      <c r="XAN169"/>
      <c r="XAO169"/>
      <c r="XAP169"/>
      <c r="XAQ169"/>
      <c r="XAR169"/>
      <c r="XAS169"/>
      <c r="XAT169"/>
      <c r="XAU169"/>
      <c r="XAV169"/>
      <c r="XAW169"/>
      <c r="XAX169"/>
      <c r="XAY169"/>
      <c r="XAZ169"/>
      <c r="XBA169"/>
      <c r="XBB169"/>
      <c r="XBC169"/>
      <c r="XBD169"/>
      <c r="XBE169"/>
      <c r="XBF169"/>
      <c r="XBG169"/>
      <c r="XBH169"/>
      <c r="XBI169"/>
      <c r="XBJ169"/>
      <c r="XBK169"/>
      <c r="XBL169"/>
      <c r="XBM169"/>
      <c r="XBN169"/>
      <c r="XBO169"/>
      <c r="XBP169"/>
      <c r="XBQ169"/>
      <c r="XBR169"/>
      <c r="XBS169"/>
      <c r="XBT169"/>
      <c r="XBU169"/>
      <c r="XBV169"/>
      <c r="XBW169"/>
      <c r="XBX169"/>
      <c r="XBY169"/>
      <c r="XBZ169"/>
      <c r="XCA169"/>
      <c r="XCB169"/>
      <c r="XCC169"/>
      <c r="XCD169"/>
      <c r="XCE169"/>
      <c r="XCF169"/>
      <c r="XCG169"/>
      <c r="XCH169"/>
      <c r="XCI169"/>
      <c r="XCJ169"/>
      <c r="XCK169"/>
      <c r="XCL169"/>
      <c r="XCM169"/>
      <c r="XCN169"/>
      <c r="XCO169"/>
      <c r="XCP169"/>
      <c r="XCQ169"/>
      <c r="XCR169"/>
      <c r="XCS169"/>
      <c r="XCT169"/>
      <c r="XCU169"/>
      <c r="XCV169"/>
      <c r="XCW169"/>
      <c r="XCX169"/>
      <c r="XCY169"/>
      <c r="XCZ169"/>
      <c r="XDA169"/>
      <c r="XDB169"/>
      <c r="XDC169"/>
      <c r="XDD169"/>
      <c r="XDE169"/>
      <c r="XDF169"/>
      <c r="XDG169"/>
      <c r="XDH169"/>
      <c r="XDI169"/>
      <c r="XDJ169"/>
      <c r="XDK169"/>
      <c r="XDL169"/>
      <c r="XDM169"/>
      <c r="XDN169"/>
      <c r="XDO169"/>
      <c r="XDP169"/>
      <c r="XDQ169"/>
      <c r="XDR169"/>
      <c r="XDS169"/>
      <c r="XDT169"/>
      <c r="XDU169"/>
      <c r="XDV169"/>
      <c r="XDW169"/>
      <c r="XDX169"/>
      <c r="XDY169"/>
      <c r="XDZ169"/>
      <c r="XEA169"/>
      <c r="XEB169"/>
      <c r="XEC169"/>
      <c r="XED169"/>
      <c r="XEE169"/>
      <c r="XEF169"/>
      <c r="XEG169"/>
      <c r="XEH169"/>
      <c r="XEI169"/>
      <c r="XEJ169"/>
      <c r="XEK169"/>
      <c r="XEL169"/>
      <c r="XEM169"/>
      <c r="XEN169"/>
      <c r="XEO169"/>
      <c r="XEP169"/>
      <c r="XEQ169"/>
      <c r="XER169"/>
      <c r="XES169"/>
      <c r="XET169"/>
      <c r="XEU169"/>
      <c r="XEV169"/>
      <c r="XEW169"/>
      <c r="XEX169"/>
      <c r="XEY169"/>
      <c r="XEZ169"/>
      <c r="XFA169"/>
      <c r="XFB169"/>
      <c r="XFC169"/>
      <c r="XFD169"/>
    </row>
    <row r="170" spans="1:16384" ht="15" customHeight="1">
      <c r="A170" s="67" t="s">
        <v>290</v>
      </c>
      <c r="B170" s="63">
        <v>5034.0709999999999</v>
      </c>
      <c r="C170" s="68">
        <v>4797</v>
      </c>
      <c r="D170" s="68">
        <v>4530</v>
      </c>
      <c r="E170" s="68">
        <v>4483</v>
      </c>
      <c r="F170" s="68">
        <v>4356</v>
      </c>
      <c r="G170" s="63">
        <v>4356</v>
      </c>
      <c r="H170" s="68">
        <v>4531</v>
      </c>
      <c r="I170" s="68">
        <v>4168</v>
      </c>
      <c r="J170" s="68">
        <v>4166</v>
      </c>
      <c r="K170" s="68">
        <v>4136</v>
      </c>
      <c r="L170" s="63">
        <v>4136</v>
      </c>
      <c r="M170" s="68">
        <v>3880</v>
      </c>
      <c r="N170" s="68">
        <v>5229</v>
      </c>
      <c r="O170" s="68">
        <v>5727</v>
      </c>
      <c r="P170" s="68">
        <v>5717</v>
      </c>
      <c r="Q170" s="63">
        <v>5717</v>
      </c>
      <c r="R170" s="68">
        <v>5638</v>
      </c>
      <c r="S170" s="68">
        <v>6984</v>
      </c>
      <c r="T170" s="68">
        <v>9614</v>
      </c>
      <c r="U170" s="68">
        <v>9578</v>
      </c>
      <c r="V170" s="63">
        <v>9578</v>
      </c>
      <c r="W170" s="68">
        <v>9416</v>
      </c>
      <c r="X170" s="68">
        <v>9125</v>
      </c>
      <c r="Y170" s="68">
        <v>8939</v>
      </c>
      <c r="Z170" s="68">
        <v>9546</v>
      </c>
      <c r="AA170" s="63">
        <v>9546</v>
      </c>
      <c r="AB170" s="68">
        <v>9388</v>
      </c>
      <c r="AC170" s="68">
        <v>9939</v>
      </c>
      <c r="AD170" s="68">
        <v>9838</v>
      </c>
      <c r="AE170" s="68">
        <v>9827</v>
      </c>
      <c r="AF170" s="63">
        <v>9827</v>
      </c>
      <c r="AG170" s="68">
        <v>9717</v>
      </c>
      <c r="AH170" s="68">
        <v>9349</v>
      </c>
      <c r="AI170" s="68">
        <v>10363</v>
      </c>
      <c r="AJ170" s="68">
        <v>10087</v>
      </c>
      <c r="AK170" s="63">
        <v>10087</v>
      </c>
      <c r="AL170" s="68">
        <v>11912</v>
      </c>
      <c r="AM170" s="68">
        <v>11368</v>
      </c>
      <c r="AN170" s="68">
        <v>11077</v>
      </c>
      <c r="AO170" s="68">
        <v>10713</v>
      </c>
      <c r="AP170" s="63">
        <v>10713</v>
      </c>
      <c r="AQ170" s="68">
        <v>10605</v>
      </c>
      <c r="AR170" s="68">
        <v>11504</v>
      </c>
      <c r="AS170" s="68">
        <v>11246</v>
      </c>
      <c r="AT170" s="68">
        <v>10953</v>
      </c>
      <c r="AU170" s="63">
        <v>10953</v>
      </c>
      <c r="AV170" s="68">
        <v>10703</v>
      </c>
      <c r="AW170" s="68">
        <v>11519</v>
      </c>
      <c r="AX170" s="68">
        <v>11533</v>
      </c>
      <c r="AY170" s="68">
        <v>11861</v>
      </c>
      <c r="AZ170" s="63">
        <v>11861</v>
      </c>
      <c r="BA170" s="68">
        <v>12156</v>
      </c>
      <c r="BB170" s="68">
        <v>12000</v>
      </c>
      <c r="BC170" s="68">
        <v>11947</v>
      </c>
      <c r="BD170" s="68">
        <v>11179</v>
      </c>
      <c r="BE170" s="63">
        <v>11179</v>
      </c>
      <c r="BF170" s="143">
        <v>11156</v>
      </c>
      <c r="BG170" s="143">
        <v>11334</v>
      </c>
      <c r="BH170" s="143">
        <v>10519</v>
      </c>
    </row>
    <row r="171" spans="1:16384" ht="15" customHeight="1">
      <c r="A171" s="67" t="s">
        <v>289</v>
      </c>
      <c r="B171" s="63">
        <f>B170-B172</f>
        <v>1589</v>
      </c>
      <c r="C171" s="143">
        <f t="shared" ref="C171" si="65">C170-C172</f>
        <v>1597</v>
      </c>
      <c r="D171" s="143">
        <f t="shared" ref="D171" si="66">D170-D172</f>
        <v>803</v>
      </c>
      <c r="E171" s="143">
        <f t="shared" ref="E171" si="67">E170-E172</f>
        <v>1256</v>
      </c>
      <c r="F171" s="143">
        <f>F170-F172</f>
        <v>816</v>
      </c>
      <c r="G171" s="63">
        <f>G170-G172</f>
        <v>816</v>
      </c>
      <c r="H171" s="143">
        <f t="shared" ref="H171" si="68">H170-H172</f>
        <v>1736</v>
      </c>
      <c r="I171" s="143">
        <f t="shared" ref="I171" si="69">I170-I172</f>
        <v>882</v>
      </c>
      <c r="J171" s="143">
        <f t="shared" ref="J171" si="70">J170-J172</f>
        <v>1459</v>
      </c>
      <c r="K171" s="143">
        <f>K170-K172</f>
        <v>734</v>
      </c>
      <c r="L171" s="63">
        <f>L170-L172</f>
        <v>734</v>
      </c>
      <c r="M171" s="143">
        <f t="shared" ref="M171" si="71">M170-M172</f>
        <v>956</v>
      </c>
      <c r="N171" s="143">
        <f t="shared" ref="N171" si="72">N170-N172</f>
        <v>242</v>
      </c>
      <c r="O171" s="143">
        <f t="shared" ref="O171" si="73">O170-O172</f>
        <v>1412</v>
      </c>
      <c r="P171" s="143">
        <f>P170-P172</f>
        <v>372</v>
      </c>
      <c r="Q171" s="63">
        <f>Q170-Q172</f>
        <v>372</v>
      </c>
      <c r="R171" s="143">
        <f t="shared" ref="R171" si="74">R170-R172</f>
        <v>701</v>
      </c>
      <c r="S171" s="143">
        <f t="shared" ref="S171" si="75">S170-S172</f>
        <v>487</v>
      </c>
      <c r="T171" s="143">
        <f t="shared" ref="T171" si="76">T170-T172</f>
        <v>3620</v>
      </c>
      <c r="U171" s="143">
        <f>U170-U172</f>
        <v>2298</v>
      </c>
      <c r="V171" s="63">
        <f>V170-V172</f>
        <v>2298</v>
      </c>
      <c r="W171" s="143">
        <f t="shared" ref="W171" si="77">W170-W172</f>
        <v>2770</v>
      </c>
      <c r="X171" s="143">
        <f t="shared" ref="X171" si="78">X170-X172</f>
        <v>1229</v>
      </c>
      <c r="Y171" s="143">
        <f t="shared" ref="Y171" si="79">Y170-Y172</f>
        <v>1747</v>
      </c>
      <c r="Z171" s="143">
        <f>Z170-Z172</f>
        <v>1547</v>
      </c>
      <c r="AA171" s="63">
        <f>AA170-AA172</f>
        <v>1547</v>
      </c>
      <c r="AB171" s="143">
        <f t="shared" ref="AB171" si="80">AB170-AB172</f>
        <v>2085</v>
      </c>
      <c r="AC171" s="143">
        <f t="shared" ref="AC171" si="81">AC170-AC172</f>
        <v>2007</v>
      </c>
      <c r="AD171" s="143">
        <f t="shared" ref="AD171" si="82">AD170-AD172</f>
        <v>1256</v>
      </c>
      <c r="AE171" s="143">
        <f>AE170-AE172</f>
        <v>1742</v>
      </c>
      <c r="AF171" s="63">
        <f>AF170-AF172</f>
        <v>1742</v>
      </c>
      <c r="AG171" s="143">
        <f t="shared" ref="AG171" si="83">AG170-AG172</f>
        <v>2394</v>
      </c>
      <c r="AH171" s="143">
        <f t="shared" ref="AH171" si="84">AH170-AH172</f>
        <v>2398</v>
      </c>
      <c r="AI171" s="143">
        <f t="shared" ref="AI171" si="85">AI170-AI172</f>
        <v>4094</v>
      </c>
      <c r="AJ171" s="143">
        <f>AJ170-AJ172</f>
        <v>2883</v>
      </c>
      <c r="AK171" s="63">
        <v>2883</v>
      </c>
      <c r="AL171" s="143">
        <v>3709</v>
      </c>
      <c r="AM171" s="143">
        <v>1825</v>
      </c>
      <c r="AN171" s="143">
        <v>2156</v>
      </c>
      <c r="AO171" s="143">
        <v>1317</v>
      </c>
      <c r="AP171" s="63">
        <v>1317</v>
      </c>
      <c r="AQ171" s="143">
        <v>1777</v>
      </c>
      <c r="AR171" s="143">
        <v>2250</v>
      </c>
      <c r="AS171" s="143">
        <v>1846</v>
      </c>
      <c r="AT171" s="143">
        <v>1234</v>
      </c>
      <c r="AU171" s="63">
        <v>1234</v>
      </c>
      <c r="AV171" s="143">
        <v>1370</v>
      </c>
      <c r="AW171" s="143">
        <v>1873</v>
      </c>
      <c r="AX171" s="143">
        <v>2565</v>
      </c>
      <c r="AY171" s="143">
        <v>2470</v>
      </c>
      <c r="AZ171" s="63">
        <v>2470</v>
      </c>
      <c r="BA171" s="143">
        <v>3216</v>
      </c>
      <c r="BB171" s="143">
        <v>2599</v>
      </c>
      <c r="BC171" s="143">
        <v>2925</v>
      </c>
      <c r="BD171" s="143">
        <v>2294</v>
      </c>
      <c r="BE171" s="63">
        <v>2294</v>
      </c>
      <c r="BF171" s="143">
        <v>2612</v>
      </c>
      <c r="BG171" s="143">
        <v>2915</v>
      </c>
      <c r="BH171" s="143">
        <v>2389</v>
      </c>
    </row>
    <row r="172" spans="1:16384" ht="15" customHeight="1">
      <c r="A172" s="67" t="s">
        <v>14</v>
      </c>
      <c r="B172" s="63">
        <v>3445.0709999999999</v>
      </c>
      <c r="C172" s="68">
        <v>3200</v>
      </c>
      <c r="D172" s="68">
        <v>3727</v>
      </c>
      <c r="E172" s="68">
        <v>3227</v>
      </c>
      <c r="F172" s="68">
        <v>3540</v>
      </c>
      <c r="G172" s="63">
        <v>3540</v>
      </c>
      <c r="H172" s="68">
        <v>2795</v>
      </c>
      <c r="I172" s="68">
        <v>3286</v>
      </c>
      <c r="J172" s="68">
        <v>2707</v>
      </c>
      <c r="K172" s="68">
        <v>3402</v>
      </c>
      <c r="L172" s="63">
        <v>3402</v>
      </c>
      <c r="M172" s="68">
        <v>2924</v>
      </c>
      <c r="N172" s="68">
        <v>4987</v>
      </c>
      <c r="O172" s="68">
        <v>4315</v>
      </c>
      <c r="P172" s="68">
        <v>5345</v>
      </c>
      <c r="Q172" s="63">
        <v>5345</v>
      </c>
      <c r="R172" s="68">
        <v>4937</v>
      </c>
      <c r="S172" s="68">
        <v>6497</v>
      </c>
      <c r="T172" s="68">
        <v>5994</v>
      </c>
      <c r="U172" s="68">
        <v>7280</v>
      </c>
      <c r="V172" s="63">
        <v>7280</v>
      </c>
      <c r="W172" s="68">
        <v>6646</v>
      </c>
      <c r="X172" s="68">
        <v>7896</v>
      </c>
      <c r="Y172" s="68">
        <v>7192</v>
      </c>
      <c r="Z172" s="68">
        <v>7999</v>
      </c>
      <c r="AA172" s="63">
        <v>7999</v>
      </c>
      <c r="AB172" s="68">
        <v>7303</v>
      </c>
      <c r="AC172" s="68">
        <v>7932</v>
      </c>
      <c r="AD172" s="68">
        <v>8582</v>
      </c>
      <c r="AE172" s="68">
        <v>8085</v>
      </c>
      <c r="AF172" s="63">
        <v>8085</v>
      </c>
      <c r="AG172" s="68">
        <v>7323</v>
      </c>
      <c r="AH172" s="68">
        <v>6951</v>
      </c>
      <c r="AI172" s="68">
        <v>6269</v>
      </c>
      <c r="AJ172" s="68">
        <v>7204</v>
      </c>
      <c r="AK172" s="63">
        <v>7204</v>
      </c>
      <c r="AL172" s="68">
        <v>8203</v>
      </c>
      <c r="AM172" s="68">
        <v>9543</v>
      </c>
      <c r="AN172" s="68">
        <v>8921</v>
      </c>
      <c r="AO172" s="68">
        <v>9396</v>
      </c>
      <c r="AP172" s="63">
        <v>9396</v>
      </c>
      <c r="AQ172" s="68">
        <v>8828</v>
      </c>
      <c r="AR172" s="68">
        <v>9254</v>
      </c>
      <c r="AS172" s="68">
        <v>9400</v>
      </c>
      <c r="AT172" s="68">
        <v>9719</v>
      </c>
      <c r="AU172" s="63">
        <v>9719</v>
      </c>
      <c r="AV172" s="68">
        <v>9333</v>
      </c>
      <c r="AW172" s="68">
        <v>9646</v>
      </c>
      <c r="AX172" s="68">
        <v>8968</v>
      </c>
      <c r="AY172" s="68">
        <v>9391</v>
      </c>
      <c r="AZ172" s="63">
        <v>9391</v>
      </c>
      <c r="BA172" s="68">
        <v>8940</v>
      </c>
      <c r="BB172" s="68">
        <v>9401</v>
      </c>
      <c r="BC172" s="68">
        <v>9022</v>
      </c>
      <c r="BD172" s="68">
        <v>8885</v>
      </c>
      <c r="BE172" s="63">
        <v>8885</v>
      </c>
      <c r="BF172" s="143">
        <v>8544</v>
      </c>
      <c r="BG172" s="143">
        <v>8419</v>
      </c>
      <c r="BH172" s="143">
        <v>8130</v>
      </c>
    </row>
    <row r="173" spans="1:16384" ht="15" customHeight="1">
      <c r="A173" s="228" t="s">
        <v>266</v>
      </c>
      <c r="B173" s="229">
        <f>B172/B45</f>
        <v>0.89042930989919877</v>
      </c>
      <c r="C173" s="230"/>
      <c r="D173" s="230"/>
      <c r="E173" s="230"/>
      <c r="F173" s="230"/>
      <c r="G173" s="229">
        <f>G172/G45</f>
        <v>0.84406294706723894</v>
      </c>
      <c r="H173" s="230"/>
      <c r="I173" s="230"/>
      <c r="J173" s="230"/>
      <c r="K173" s="230"/>
      <c r="L173" s="229">
        <f>L172/L45</f>
        <v>0.73035637612709314</v>
      </c>
      <c r="M173" s="230"/>
      <c r="N173" s="230"/>
      <c r="O173" s="230"/>
      <c r="P173" s="230"/>
      <c r="Q173" s="229">
        <f>Q172/Q36</f>
        <v>1.0372598486318649</v>
      </c>
      <c r="R173" s="230"/>
      <c r="S173" s="230"/>
      <c r="T173" s="230"/>
      <c r="U173" s="230"/>
      <c r="V173" s="229">
        <f>V172/V45</f>
        <v>1.5201503445395699</v>
      </c>
      <c r="W173" s="230"/>
      <c r="X173" s="230"/>
      <c r="Y173" s="230"/>
      <c r="Z173" s="230"/>
      <c r="AA173" s="229">
        <f>AA172/AA45</f>
        <v>1.7922921801478826</v>
      </c>
      <c r="AB173" s="230"/>
      <c r="AC173" s="230"/>
      <c r="AD173" s="230"/>
      <c r="AE173" s="230"/>
      <c r="AF173" s="229">
        <f>AF172/AF45</f>
        <v>1.9647630619684082</v>
      </c>
      <c r="AG173" s="230">
        <f>AG172/(AG45+AE45+AD45+AC45)</f>
        <v>1.7895894428152492</v>
      </c>
      <c r="AH173" s="230">
        <f>AH172/(AH45+AG45+AE45+AD45)</f>
        <v>1.7269565217391305</v>
      </c>
      <c r="AI173" s="230">
        <f>AI172/(AI45+AH45+AG45+AE45)</f>
        <v>1.5854830551340415</v>
      </c>
      <c r="AJ173" s="230">
        <f>AJ172/(AJ45+AI45+AH45+AG45)</f>
        <v>1.8372864065289467</v>
      </c>
      <c r="AK173" s="229">
        <v>1.8372864065289467</v>
      </c>
      <c r="AL173" s="230">
        <v>2.1234791612736217</v>
      </c>
      <c r="AM173" s="230">
        <v>2.3965344048216974</v>
      </c>
      <c r="AN173" s="230">
        <v>2.1732034104750304</v>
      </c>
      <c r="AO173" s="230">
        <v>2.2591969223371002</v>
      </c>
      <c r="AP173" s="229">
        <v>2.2591969223371002</v>
      </c>
      <c r="AQ173" s="230">
        <v>2.0766878381557281</v>
      </c>
      <c r="AR173" s="230">
        <v>2.2080649009782869</v>
      </c>
      <c r="AS173" s="230">
        <v>2.2871046228710461</v>
      </c>
      <c r="AT173" s="230">
        <v>2.3938423645320195</v>
      </c>
      <c r="AU173" s="229">
        <v>2.3938423645320195</v>
      </c>
      <c r="AV173" s="230">
        <v>2.3204873197414222</v>
      </c>
      <c r="AW173" s="230">
        <v>2.4272773024660292</v>
      </c>
      <c r="AX173" s="230">
        <v>2.2900919305413687</v>
      </c>
      <c r="AY173" s="230">
        <v>2.412278448497303</v>
      </c>
      <c r="AZ173" s="229">
        <v>2.412278448497303</v>
      </c>
      <c r="BA173" s="230">
        <v>2.3458409866176857</v>
      </c>
      <c r="BB173" s="230">
        <v>2.5373819163292848</v>
      </c>
      <c r="BC173" s="230">
        <v>2.4888275862068965</v>
      </c>
      <c r="BD173" s="230">
        <v>2.5113058224985867</v>
      </c>
      <c r="BE173" s="229">
        <v>2.5113058224985867</v>
      </c>
      <c r="BF173" s="231">
        <v>2.4658008658008659</v>
      </c>
      <c r="BG173" s="231">
        <v>2.471814445096888</v>
      </c>
      <c r="BH173" s="231">
        <v>2.3946980854197348</v>
      </c>
    </row>
    <row r="174" spans="1:16384" ht="5.4" customHeight="1"/>
    <row r="175" spans="1:16384" ht="3" customHeight="1">
      <c r="A175" s="43"/>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row>
    <row r="176" spans="1:16384" ht="3" customHeight="1">
      <c r="A176" s="43"/>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row>
    <row r="177" spans="1:60" ht="19.2" customHeight="1">
      <c r="A177" s="34" t="s">
        <v>52</v>
      </c>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row>
    <row r="178" spans="1:60" ht="10.5" customHeight="1">
      <c r="A178" s="39" t="s">
        <v>78</v>
      </c>
      <c r="B178" s="40"/>
      <c r="C178" s="48"/>
      <c r="D178" s="48"/>
      <c r="E178" s="48"/>
      <c r="F178" s="48"/>
      <c r="G178" s="40"/>
      <c r="H178" s="48"/>
      <c r="I178" s="48"/>
      <c r="J178" s="48"/>
      <c r="K178" s="48"/>
      <c r="L178" s="40"/>
      <c r="M178" s="48"/>
      <c r="N178" s="48"/>
      <c r="O178" s="48"/>
      <c r="P178" s="48"/>
      <c r="Q178" s="40"/>
      <c r="R178" s="48"/>
      <c r="S178" s="48"/>
      <c r="T178" s="48"/>
      <c r="U178" s="48"/>
      <c r="V178" s="40"/>
      <c r="W178" s="48"/>
      <c r="X178" s="48"/>
      <c r="Y178" s="48"/>
      <c r="Z178" s="48"/>
      <c r="AA178" s="40"/>
      <c r="AB178" s="48"/>
      <c r="AC178" s="48"/>
      <c r="AD178" s="48"/>
      <c r="AE178" s="48"/>
      <c r="AF178" s="40"/>
      <c r="AG178" s="48"/>
      <c r="AH178" s="48"/>
      <c r="AI178" s="48"/>
      <c r="AJ178" s="48"/>
      <c r="AK178" s="40"/>
      <c r="AL178" s="48"/>
      <c r="AM178" s="48"/>
      <c r="AN178" s="48"/>
      <c r="AO178" s="48"/>
      <c r="AP178" s="40"/>
      <c r="AQ178" s="48"/>
      <c r="AR178" s="48"/>
      <c r="AS178" s="48"/>
      <c r="AT178" s="48"/>
      <c r="AU178" s="40"/>
      <c r="AV178" s="48"/>
      <c r="AW178" s="48"/>
      <c r="AX178" s="48"/>
      <c r="AY178" s="48"/>
      <c r="AZ178" s="40"/>
      <c r="BA178" s="48"/>
      <c r="BB178" s="48"/>
      <c r="BC178" s="48"/>
      <c r="BD178" s="48"/>
      <c r="BE178" s="40"/>
      <c r="BF178" s="48"/>
      <c r="BG178" s="48"/>
      <c r="BH178" s="48"/>
    </row>
    <row r="179" spans="1:60">
      <c r="A179" s="67" t="s">
        <v>59</v>
      </c>
      <c r="B179" s="36">
        <f>SUM(B185:B194)</f>
        <v>5001</v>
      </c>
      <c r="C179" s="68">
        <v>1408</v>
      </c>
      <c r="D179" s="68">
        <v>1354</v>
      </c>
      <c r="E179" s="68">
        <v>1388</v>
      </c>
      <c r="F179" s="68">
        <f>G179-E179-D179-C179</f>
        <v>557.99032152888321</v>
      </c>
      <c r="G179" s="36">
        <f>SUM(G185:G194)</f>
        <v>4707.9903215288832</v>
      </c>
      <c r="H179" s="68">
        <f>H194+H188+H182+H185</f>
        <v>1326</v>
      </c>
      <c r="I179" s="68">
        <f>I194+I188+I182+I185</f>
        <v>1318</v>
      </c>
      <c r="J179" s="68">
        <f>J194+J188+J182+J185</f>
        <v>1343</v>
      </c>
      <c r="K179" s="68">
        <f>L179-J179-I179-H179</f>
        <v>1316</v>
      </c>
      <c r="L179" s="36">
        <f>L194+L188+L182+L185</f>
        <v>5303</v>
      </c>
      <c r="M179" s="68">
        <f>M194+M188+M182+M185</f>
        <v>1304</v>
      </c>
      <c r="N179" s="68">
        <f>N194+N188+N182+N185</f>
        <v>1307</v>
      </c>
      <c r="O179" s="68">
        <f>O194+O188+O182+O185</f>
        <v>1323</v>
      </c>
      <c r="P179" s="68">
        <f>Q179-O179-N179-M179</f>
        <v>1329</v>
      </c>
      <c r="Q179" s="36">
        <v>5263</v>
      </c>
      <c r="R179" s="68">
        <f>R194+R188+R182+R185</f>
        <v>1178</v>
      </c>
      <c r="S179" s="68">
        <v>1170</v>
      </c>
      <c r="T179" s="68">
        <f>T185+T182+T188+T194</f>
        <v>1186</v>
      </c>
      <c r="U179" s="68">
        <f>V179-T179-S179-R179</f>
        <v>1114</v>
      </c>
      <c r="V179" s="36">
        <f>V185+V182+V188+V194</f>
        <v>4648</v>
      </c>
      <c r="W179" s="68">
        <f>W185+W182+W188+W194</f>
        <v>1199</v>
      </c>
      <c r="X179" s="68">
        <f>X185+X182+X188+X194</f>
        <v>1161</v>
      </c>
      <c r="Y179" s="68">
        <f>Y185+Y182+Y188+Y194</f>
        <v>1149</v>
      </c>
      <c r="Z179" s="68">
        <f>AA179-Y179-X179-W179</f>
        <v>1121</v>
      </c>
      <c r="AA179" s="36">
        <f>AA185+AA182+AA188+AA194</f>
        <v>4630</v>
      </c>
      <c r="AB179" s="68">
        <f>AB185+AB182+AB188+AB194</f>
        <v>1129</v>
      </c>
      <c r="AC179" s="68">
        <f>AC185+AC182+AC188+AC194</f>
        <v>1121</v>
      </c>
      <c r="AD179" s="68">
        <f>AD185+AD182+AD188+AD194</f>
        <v>1127</v>
      </c>
      <c r="AE179" s="68">
        <f>AF179-AD179-AC179-AB179</f>
        <v>1101</v>
      </c>
      <c r="AF179" s="36">
        <f>AF185+AF182+AF188+AF194</f>
        <v>4478</v>
      </c>
      <c r="AG179" s="68">
        <f>AG185+AG182+AG188+AG194</f>
        <v>1077</v>
      </c>
      <c r="AH179" s="68">
        <f>AH185+AH182+AH188+AH194</f>
        <v>1073</v>
      </c>
      <c r="AI179" s="68">
        <f>AI185+AI182+AI188+AI194</f>
        <v>1081</v>
      </c>
      <c r="AJ179" s="68">
        <f>AK179-AI179-AH179-AG179</f>
        <v>1086</v>
      </c>
      <c r="AK179" s="36">
        <v>4317</v>
      </c>
      <c r="AL179" s="68">
        <v>1113</v>
      </c>
      <c r="AM179" s="68">
        <v>1105</v>
      </c>
      <c r="AN179" s="68">
        <v>1101</v>
      </c>
      <c r="AO179" s="68">
        <v>1088</v>
      </c>
      <c r="AP179" s="36">
        <v>4407</v>
      </c>
      <c r="AQ179" s="68">
        <v>1112</v>
      </c>
      <c r="AR179" s="68">
        <v>1100</v>
      </c>
      <c r="AS179" s="68">
        <v>1089</v>
      </c>
      <c r="AT179" s="68">
        <v>1082</v>
      </c>
      <c r="AU179" s="36">
        <v>4383</v>
      </c>
      <c r="AV179" s="68">
        <v>1078</v>
      </c>
      <c r="AW179" s="68">
        <v>1058</v>
      </c>
      <c r="AX179" s="68">
        <v>1061</v>
      </c>
      <c r="AY179" s="68">
        <v>1047</v>
      </c>
      <c r="AZ179" s="36">
        <v>4244</v>
      </c>
      <c r="BA179" s="68">
        <v>1063</v>
      </c>
      <c r="BB179" s="68">
        <v>1064</v>
      </c>
      <c r="BC179" s="68">
        <v>1043</v>
      </c>
      <c r="BD179" s="68">
        <v>1026</v>
      </c>
      <c r="BE179" s="36">
        <v>4196</v>
      </c>
      <c r="BF179" s="68">
        <v>1043</v>
      </c>
      <c r="BG179" s="68">
        <v>1020</v>
      </c>
      <c r="BH179" s="68">
        <v>1025</v>
      </c>
    </row>
    <row r="180" spans="1:60" ht="11.4" customHeight="1">
      <c r="A180" s="69" t="s">
        <v>7</v>
      </c>
      <c r="B180" s="23"/>
      <c r="C180" s="70"/>
      <c r="D180" s="70">
        <f>D179/C179-1</f>
        <v>-3.8352272727272707E-2</v>
      </c>
      <c r="E180" s="70">
        <f>E179/D179-1</f>
        <v>2.5110782865583436E-2</v>
      </c>
      <c r="F180" s="70">
        <f>F179/E179-1</f>
        <v>-0.5979896818956173</v>
      </c>
      <c r="G180" s="23"/>
      <c r="H180" s="70">
        <f>H179/F179-1</f>
        <v>1.3763853042590135</v>
      </c>
      <c r="I180" s="70">
        <f>I179/H179-1</f>
        <v>-6.0331825037707176E-3</v>
      </c>
      <c r="J180" s="70">
        <f>J179/I179-1</f>
        <v>1.8968133535660181E-2</v>
      </c>
      <c r="K180" s="70">
        <f>K179/J179-1</f>
        <v>-2.010424422933732E-2</v>
      </c>
      <c r="L180" s="23"/>
      <c r="M180" s="70">
        <f>M179/K179-1</f>
        <v>-9.1185410334346795E-3</v>
      </c>
      <c r="N180" s="70">
        <f>N179/M179-1</f>
        <v>2.3006134969325576E-3</v>
      </c>
      <c r="O180" s="70">
        <f>O179/N179-1</f>
        <v>1.2241775057383331E-2</v>
      </c>
      <c r="P180" s="70">
        <f>P179/O179-1</f>
        <v>4.5351473922903285E-3</v>
      </c>
      <c r="Q180" s="23"/>
      <c r="R180" s="70">
        <f>R179/P179-1</f>
        <v>-0.11361926260346122</v>
      </c>
      <c r="S180" s="70">
        <f>S179/R179-1</f>
        <v>-6.7911714770797493E-3</v>
      </c>
      <c r="T180" s="70">
        <f>T179/S179-1</f>
        <v>1.3675213675213627E-2</v>
      </c>
      <c r="U180" s="70">
        <f>U179/T179-1</f>
        <v>-6.0708263069140012E-2</v>
      </c>
      <c r="V180" s="23"/>
      <c r="W180" s="70">
        <f>W179/U179-1</f>
        <v>7.6301615798922695E-2</v>
      </c>
      <c r="X180" s="70">
        <f>X179/W179-1</f>
        <v>-3.169307756463724E-2</v>
      </c>
      <c r="Y180" s="70">
        <f>Y179/X179-1</f>
        <v>-1.033591731266148E-2</v>
      </c>
      <c r="Z180" s="70">
        <f>Z179/Y179-1</f>
        <v>-2.4369016536118338E-2</v>
      </c>
      <c r="AA180" s="23"/>
      <c r="AB180" s="70">
        <f>AB179/Z179-1</f>
        <v>7.1364852809991941E-3</v>
      </c>
      <c r="AC180" s="70">
        <f>AC179/AB179-1</f>
        <v>-7.0859167404783152E-3</v>
      </c>
      <c r="AD180" s="70">
        <f>AD179/AC179-1</f>
        <v>5.3523639607493401E-3</v>
      </c>
      <c r="AE180" s="70">
        <f>AE179/AD179-1</f>
        <v>-2.3070097604259043E-2</v>
      </c>
      <c r="AF180" s="23"/>
      <c r="AG180" s="70">
        <f>AG179/AE179-1</f>
        <v>-2.1798365122615793E-2</v>
      </c>
      <c r="AH180" s="70">
        <f>AH179/AG179-1</f>
        <v>-3.71402042711233E-3</v>
      </c>
      <c r="AI180" s="70">
        <f>AI179/AH179-1</f>
        <v>7.455731593662529E-3</v>
      </c>
      <c r="AJ180" s="70">
        <f>AJ179/AI179-1</f>
        <v>4.6253469010175685E-3</v>
      </c>
      <c r="AK180" s="23"/>
      <c r="AL180" s="70">
        <v>2.4861878453038777E-2</v>
      </c>
      <c r="AM180" s="70">
        <v>-7.1877807726864473E-3</v>
      </c>
      <c r="AN180" s="70">
        <v>-3.6199095022624306E-3</v>
      </c>
      <c r="AO180" s="70">
        <v>-1.1807447774750179E-2</v>
      </c>
      <c r="AP180" s="23"/>
      <c r="AQ180" s="70">
        <v>2.2058823529411686E-2</v>
      </c>
      <c r="AR180" s="70">
        <v>-1.0791366906474864E-2</v>
      </c>
      <c r="AS180" s="70">
        <v>-1.0000000000000009E-2</v>
      </c>
      <c r="AT180" s="70">
        <v>-6.4279155188246007E-3</v>
      </c>
      <c r="AU180" s="23"/>
      <c r="AV180" s="70">
        <v>-3.6968576709797141E-3</v>
      </c>
      <c r="AW180" s="70">
        <v>-1.8552875695732829E-2</v>
      </c>
      <c r="AX180" s="70">
        <v>2.835538752362865E-3</v>
      </c>
      <c r="AY180" s="70">
        <v>-1.3195098963242224E-2</v>
      </c>
      <c r="AZ180" s="23"/>
      <c r="BA180" s="70">
        <v>1.5281757402101137E-2</v>
      </c>
      <c r="BB180" s="70">
        <v>9.4073377234238365E-4</v>
      </c>
      <c r="BC180" s="70">
        <v>-1.9736842105263164E-2</v>
      </c>
      <c r="BD180" s="70">
        <v>-1.6299137104506256E-2</v>
      </c>
      <c r="BE180" s="23"/>
      <c r="BF180" s="70">
        <v>1.6569200779727122E-2</v>
      </c>
      <c r="BG180" s="70">
        <v>-2.2051773729626079E-2</v>
      </c>
      <c r="BH180" s="70">
        <v>4.9019607843137081E-3</v>
      </c>
    </row>
    <row r="181" spans="1:60" ht="11.25" customHeight="1">
      <c r="A181" s="69" t="s">
        <v>8</v>
      </c>
      <c r="B181" s="23"/>
      <c r="C181" s="71"/>
      <c r="D181" s="71"/>
      <c r="E181" s="71"/>
      <c r="F181" s="71"/>
      <c r="G181" s="23">
        <f t="shared" ref="G181:R181" si="86">G179/B179-1</f>
        <v>-5.8590217650693166E-2</v>
      </c>
      <c r="H181" s="71">
        <f t="shared" si="86"/>
        <v>-5.8238636363636354E-2</v>
      </c>
      <c r="I181" s="71">
        <f t="shared" si="86"/>
        <v>-2.6587887740029514E-2</v>
      </c>
      <c r="J181" s="71">
        <f t="shared" si="86"/>
        <v>-3.2420749279538863E-2</v>
      </c>
      <c r="K181" s="71">
        <f t="shared" si="86"/>
        <v>1.3584638464591721</v>
      </c>
      <c r="L181" s="23">
        <f t="shared" si="86"/>
        <v>0.12638294427884289</v>
      </c>
      <c r="M181" s="71">
        <f t="shared" si="86"/>
        <v>-1.6591251885369585E-2</v>
      </c>
      <c r="N181" s="71">
        <f t="shared" si="86"/>
        <v>-8.3459787556904308E-3</v>
      </c>
      <c r="O181" s="71">
        <f t="shared" si="86"/>
        <v>-1.4892032762472085E-2</v>
      </c>
      <c r="P181" s="71">
        <f t="shared" si="86"/>
        <v>9.8784194528875879E-3</v>
      </c>
      <c r="Q181" s="23">
        <f t="shared" si="86"/>
        <v>-7.5429002451442573E-3</v>
      </c>
      <c r="R181" s="71">
        <f t="shared" si="86"/>
        <v>-9.6625766871165641E-2</v>
      </c>
      <c r="S181" s="71">
        <f t="shared" ref="S181:Y181" si="87">S179/N179-1</f>
        <v>-0.10482019892884464</v>
      </c>
      <c r="T181" s="71">
        <f t="shared" si="87"/>
        <v>-0.10355253212396065</v>
      </c>
      <c r="U181" s="71">
        <f t="shared" si="87"/>
        <v>-0.16177577125658393</v>
      </c>
      <c r="V181" s="23">
        <f t="shared" si="87"/>
        <v>-0.11685350560516816</v>
      </c>
      <c r="W181" s="71">
        <f t="shared" si="87"/>
        <v>1.7826825127334356E-2</v>
      </c>
      <c r="X181" s="71">
        <f t="shared" si="87"/>
        <v>-7.692307692307665E-3</v>
      </c>
      <c r="Y181" s="71">
        <f t="shared" si="87"/>
        <v>-3.1197301854974713E-2</v>
      </c>
      <c r="Z181" s="71">
        <f t="shared" ref="Z181:AI181" si="88">Z179/U179-1</f>
        <v>6.2836624775584049E-3</v>
      </c>
      <c r="AA181" s="23">
        <f t="shared" si="88"/>
        <v>-3.8726333907056487E-3</v>
      </c>
      <c r="AB181" s="71">
        <f t="shared" si="88"/>
        <v>-5.8381984987489588E-2</v>
      </c>
      <c r="AC181" s="71">
        <f t="shared" si="88"/>
        <v>-3.4453057708871637E-2</v>
      </c>
      <c r="AD181" s="71">
        <f t="shared" si="88"/>
        <v>-1.9147084421235805E-2</v>
      </c>
      <c r="AE181" s="71">
        <f t="shared" si="88"/>
        <v>-1.7841213202497763E-2</v>
      </c>
      <c r="AF181" s="23">
        <f t="shared" si="88"/>
        <v>-3.2829373650107962E-2</v>
      </c>
      <c r="AG181" s="71">
        <f t="shared" si="88"/>
        <v>-4.6058458813108993E-2</v>
      </c>
      <c r="AH181" s="71">
        <f t="shared" si="88"/>
        <v>-4.281891168599461E-2</v>
      </c>
      <c r="AI181" s="71">
        <f t="shared" si="88"/>
        <v>-4.081632653061229E-2</v>
      </c>
      <c r="AJ181" s="71">
        <f t="shared" ref="AJ181" si="89">AJ179/AE179-1</f>
        <v>-1.3623978201634857E-2</v>
      </c>
      <c r="AK181" s="23">
        <v>-3.5953550692273351E-2</v>
      </c>
      <c r="AL181" s="71">
        <v>3.3426183844011081E-2</v>
      </c>
      <c r="AM181" s="71">
        <v>2.982292637465056E-2</v>
      </c>
      <c r="AN181" s="71">
        <v>1.8501387604070274E-2</v>
      </c>
      <c r="AO181" s="71">
        <v>1.8416206261511192E-3</v>
      </c>
      <c r="AP181" s="23">
        <v>2.0847810979847115E-2</v>
      </c>
      <c r="AQ181" s="71">
        <v>-8.9847259658581979E-4</v>
      </c>
      <c r="AR181" s="71">
        <v>-4.5248868778280382E-3</v>
      </c>
      <c r="AS181" s="71">
        <v>-1.0899182561307952E-2</v>
      </c>
      <c r="AT181" s="71">
        <v>-5.5147058823529216E-3</v>
      </c>
      <c r="AU181" s="23">
        <v>-5.4458815520762593E-3</v>
      </c>
      <c r="AV181" s="71">
        <v>-3.0575539568345356E-2</v>
      </c>
      <c r="AW181" s="71">
        <v>-3.8181818181818206E-2</v>
      </c>
      <c r="AX181" s="71">
        <v>-2.5711662075298403E-2</v>
      </c>
      <c r="AY181" s="71">
        <v>-3.2347504621072054E-2</v>
      </c>
      <c r="AZ181" s="23">
        <v>-3.1713438284280193E-2</v>
      </c>
      <c r="BA181" s="71">
        <v>-1.3914656771799594E-2</v>
      </c>
      <c r="BB181" s="71">
        <v>5.6710775047259521E-3</v>
      </c>
      <c r="BC181" s="71">
        <v>-1.6965127238454336E-2</v>
      </c>
      <c r="BD181" s="71">
        <v>-2.005730659025784E-2</v>
      </c>
      <c r="BE181" s="23">
        <v>-1.1310084825636224E-2</v>
      </c>
      <c r="BF181" s="71">
        <v>-1.8814675446848561E-2</v>
      </c>
      <c r="BG181" s="71">
        <v>-4.1353383458646586E-2</v>
      </c>
      <c r="BH181" s="71">
        <v>-1.7257909875359578E-2</v>
      </c>
    </row>
    <row r="182" spans="1:60">
      <c r="A182" s="67" t="s">
        <v>238</v>
      </c>
      <c r="B182" s="36">
        <v>712</v>
      </c>
      <c r="C182" s="78" t="s">
        <v>49</v>
      </c>
      <c r="D182" s="78" t="s">
        <v>49</v>
      </c>
      <c r="E182" s="78" t="s">
        <v>49</v>
      </c>
      <c r="F182" s="78" t="s">
        <v>49</v>
      </c>
      <c r="G182" s="36">
        <v>790</v>
      </c>
      <c r="H182" s="68">
        <v>207</v>
      </c>
      <c r="I182" s="68">
        <v>210</v>
      </c>
      <c r="J182" s="68">
        <v>221</v>
      </c>
      <c r="K182" s="68">
        <f>L182-J182-I182-H182</f>
        <v>225</v>
      </c>
      <c r="L182" s="36">
        <v>863</v>
      </c>
      <c r="M182" s="68">
        <v>236</v>
      </c>
      <c r="N182" s="68">
        <v>235</v>
      </c>
      <c r="O182" s="68">
        <v>249</v>
      </c>
      <c r="P182" s="68">
        <f>Q182-O182-N182-M182</f>
        <v>257</v>
      </c>
      <c r="Q182" s="36">
        <v>977</v>
      </c>
      <c r="R182" s="68">
        <v>265</v>
      </c>
      <c r="S182" s="68">
        <v>269</v>
      </c>
      <c r="T182" s="68">
        <v>276</v>
      </c>
      <c r="U182" s="68">
        <f>V182-T182-S182-R182</f>
        <v>282</v>
      </c>
      <c r="V182" s="36">
        <v>1092</v>
      </c>
      <c r="W182" s="68">
        <v>296</v>
      </c>
      <c r="X182" s="68">
        <v>285</v>
      </c>
      <c r="Y182" s="68">
        <v>291</v>
      </c>
      <c r="Z182" s="68">
        <f>AA182-Y182-X182-W182</f>
        <v>294</v>
      </c>
      <c r="AA182" s="36">
        <v>1166</v>
      </c>
      <c r="AB182" s="68">
        <v>310</v>
      </c>
      <c r="AC182" s="68">
        <v>321</v>
      </c>
      <c r="AD182" s="68">
        <v>332</v>
      </c>
      <c r="AE182" s="68">
        <f>AF182-AD182-AC182-AB182</f>
        <v>324</v>
      </c>
      <c r="AF182" s="36">
        <v>1287</v>
      </c>
      <c r="AG182" s="68">
        <v>332</v>
      </c>
      <c r="AH182" s="68">
        <v>345</v>
      </c>
      <c r="AI182" s="68">
        <v>353</v>
      </c>
      <c r="AJ182" s="68">
        <f>AK182-AI182-AH182-AG182</f>
        <v>364</v>
      </c>
      <c r="AK182" s="36">
        <v>1394</v>
      </c>
      <c r="AL182" s="68">
        <v>358</v>
      </c>
      <c r="AM182" s="68">
        <v>366</v>
      </c>
      <c r="AN182" s="68">
        <v>363</v>
      </c>
      <c r="AO182" s="68">
        <v>363</v>
      </c>
      <c r="AP182" s="36">
        <v>1450</v>
      </c>
      <c r="AQ182" s="68">
        <v>371</v>
      </c>
      <c r="AR182" s="68">
        <v>374</v>
      </c>
      <c r="AS182" s="68">
        <v>374</v>
      </c>
      <c r="AT182" s="68">
        <v>381</v>
      </c>
      <c r="AU182" s="36">
        <v>1500</v>
      </c>
      <c r="AV182" s="68">
        <v>382</v>
      </c>
      <c r="AW182" s="68">
        <v>381</v>
      </c>
      <c r="AX182" s="68">
        <v>386</v>
      </c>
      <c r="AY182" s="68">
        <v>395</v>
      </c>
      <c r="AZ182" s="36">
        <v>1544</v>
      </c>
      <c r="BA182" s="68">
        <v>396</v>
      </c>
      <c r="BB182" s="68">
        <v>403</v>
      </c>
      <c r="BC182" s="68">
        <v>401</v>
      </c>
      <c r="BD182" s="68">
        <v>396</v>
      </c>
      <c r="BE182" s="36">
        <v>1596</v>
      </c>
      <c r="BF182" s="68">
        <v>397</v>
      </c>
      <c r="BG182" s="68">
        <v>396</v>
      </c>
      <c r="BH182" s="68">
        <v>393</v>
      </c>
    </row>
    <row r="183" spans="1:60" ht="10.199999999999999" customHeight="1">
      <c r="A183" s="69" t="s">
        <v>7</v>
      </c>
      <c r="B183" s="23"/>
      <c r="C183" s="70"/>
      <c r="D183" s="70"/>
      <c r="E183" s="70"/>
      <c r="F183" s="70"/>
      <c r="G183" s="23"/>
      <c r="H183" s="70"/>
      <c r="I183" s="70">
        <f>I182/H182-1</f>
        <v>1.449275362318847E-2</v>
      </c>
      <c r="J183" s="70">
        <f>J182/I182-1</f>
        <v>5.2380952380952417E-2</v>
      </c>
      <c r="K183" s="70">
        <f>K182/J182-1</f>
        <v>1.8099547511312153E-2</v>
      </c>
      <c r="L183" s="23"/>
      <c r="M183" s="70">
        <f>M182/K182-1</f>
        <v>4.8888888888888982E-2</v>
      </c>
      <c r="N183" s="70">
        <f>N182/M182-1</f>
        <v>-4.237288135593209E-3</v>
      </c>
      <c r="O183" s="70">
        <f>O182/N182-1</f>
        <v>5.9574468085106469E-2</v>
      </c>
      <c r="P183" s="70">
        <f>P182/O182-1</f>
        <v>3.2128514056224855E-2</v>
      </c>
      <c r="Q183" s="23"/>
      <c r="R183" s="70">
        <f>R182/P182-1</f>
        <v>3.112840466926059E-2</v>
      </c>
      <c r="S183" s="70">
        <f>S182/R182-1</f>
        <v>1.5094339622641506E-2</v>
      </c>
      <c r="T183" s="70">
        <f>T182/S182-1</f>
        <v>2.6022304832713727E-2</v>
      </c>
      <c r="U183" s="70">
        <f>U182/T182-1</f>
        <v>2.1739130434782705E-2</v>
      </c>
      <c r="V183" s="23"/>
      <c r="W183" s="70">
        <f>W182/U182-1</f>
        <v>4.9645390070921946E-2</v>
      </c>
      <c r="X183" s="70">
        <f>X182/W182-1</f>
        <v>-3.7162162162162171E-2</v>
      </c>
      <c r="Y183" s="70">
        <f>Y182/X182-1</f>
        <v>2.1052631578947434E-2</v>
      </c>
      <c r="Z183" s="70">
        <f>Z182/Y182-1</f>
        <v>1.0309278350515427E-2</v>
      </c>
      <c r="AA183" s="23"/>
      <c r="AB183" s="70">
        <f>AB182/Z182-1</f>
        <v>5.4421768707483054E-2</v>
      </c>
      <c r="AC183" s="70">
        <f>AC182/AB182-1</f>
        <v>3.548387096774186E-2</v>
      </c>
      <c r="AD183" s="70">
        <f>AD182/AC182-1</f>
        <v>3.4267912772585563E-2</v>
      </c>
      <c r="AE183" s="70">
        <f>AE182/AD182-1</f>
        <v>-2.4096385542168641E-2</v>
      </c>
      <c r="AF183" s="23"/>
      <c r="AG183" s="70">
        <f>AG182/AE182-1</f>
        <v>2.4691358024691468E-2</v>
      </c>
      <c r="AH183" s="70">
        <f>AH182/AG182-1</f>
        <v>3.9156626506024139E-2</v>
      </c>
      <c r="AI183" s="70">
        <f>AI182/AH182-1</f>
        <v>2.3188405797101463E-2</v>
      </c>
      <c r="AJ183" s="70">
        <f>AJ182/AI182-1</f>
        <v>3.1161473087818692E-2</v>
      </c>
      <c r="AK183" s="23"/>
      <c r="AL183" s="70">
        <v>-1.6483516483516536E-2</v>
      </c>
      <c r="AM183" s="70">
        <v>2.2346368715083775E-2</v>
      </c>
      <c r="AN183" s="70">
        <v>-8.1967213114754189E-3</v>
      </c>
      <c r="AO183" s="70">
        <v>0</v>
      </c>
      <c r="AP183" s="23"/>
      <c r="AQ183" s="70">
        <v>2.2038567493112948E-2</v>
      </c>
      <c r="AR183" s="70">
        <v>8.0862533692722671E-3</v>
      </c>
      <c r="AS183" s="70">
        <v>0</v>
      </c>
      <c r="AT183" s="70">
        <v>1.8716577540107027E-2</v>
      </c>
      <c r="AU183" s="23"/>
      <c r="AV183" s="70">
        <v>2.624671916010568E-3</v>
      </c>
      <c r="AW183" s="70">
        <v>-2.6178010471203939E-3</v>
      </c>
      <c r="AX183" s="70">
        <v>1.3123359580052396E-2</v>
      </c>
      <c r="AY183" s="70">
        <v>2.3316062176165886E-2</v>
      </c>
      <c r="AZ183" s="23"/>
      <c r="BA183" s="70">
        <v>2.5316455696202667E-3</v>
      </c>
      <c r="BB183" s="70">
        <v>1.7676767676767735E-2</v>
      </c>
      <c r="BC183" s="70">
        <v>-4.9627791563275903E-3</v>
      </c>
      <c r="BD183" s="70">
        <v>-1.2468827930174564E-2</v>
      </c>
      <c r="BE183" s="23"/>
      <c r="BF183" s="70">
        <v>2.525252525252597E-3</v>
      </c>
      <c r="BG183" s="70">
        <v>-2.5188916876573986E-3</v>
      </c>
      <c r="BH183" s="70">
        <v>-7.575757575757569E-3</v>
      </c>
    </row>
    <row r="184" spans="1:60" ht="9.75" customHeight="1">
      <c r="A184" s="69" t="s">
        <v>8</v>
      </c>
      <c r="B184" s="23"/>
      <c r="C184" s="71"/>
      <c r="D184" s="71"/>
      <c r="E184" s="71"/>
      <c r="F184" s="71"/>
      <c r="G184" s="23">
        <f>G182/B182-1</f>
        <v>0.1095505617977528</v>
      </c>
      <c r="H184" s="71"/>
      <c r="I184" s="71"/>
      <c r="J184" s="71"/>
      <c r="K184" s="71"/>
      <c r="L184" s="23">
        <f t="shared" ref="L184:R184" si="90">L182/G182-1</f>
        <v>9.2405063291139289E-2</v>
      </c>
      <c r="M184" s="71">
        <f t="shared" si="90"/>
        <v>0.14009661835748788</v>
      </c>
      <c r="N184" s="71">
        <f t="shared" si="90"/>
        <v>0.11904761904761907</v>
      </c>
      <c r="O184" s="71">
        <f t="shared" si="90"/>
        <v>0.12669683257918551</v>
      </c>
      <c r="P184" s="71">
        <f t="shared" si="90"/>
        <v>0.14222222222222225</v>
      </c>
      <c r="Q184" s="23">
        <f t="shared" si="90"/>
        <v>0.13209733487833142</v>
      </c>
      <c r="R184" s="71">
        <f t="shared" si="90"/>
        <v>0.12288135593220328</v>
      </c>
      <c r="S184" s="71">
        <f t="shared" ref="S184:Y184" si="91">S182/N182-1</f>
        <v>0.14468085106382977</v>
      </c>
      <c r="T184" s="71">
        <f t="shared" si="91"/>
        <v>0.10843373493975905</v>
      </c>
      <c r="U184" s="71">
        <f t="shared" si="91"/>
        <v>9.7276264591439787E-2</v>
      </c>
      <c r="V184" s="23">
        <f t="shared" si="91"/>
        <v>0.11770726714431934</v>
      </c>
      <c r="W184" s="71">
        <f t="shared" si="91"/>
        <v>0.11698113207547167</v>
      </c>
      <c r="X184" s="71">
        <f t="shared" si="91"/>
        <v>5.9479553903345694E-2</v>
      </c>
      <c r="Y184" s="71">
        <f t="shared" si="91"/>
        <v>5.4347826086956541E-2</v>
      </c>
      <c r="Z184" s="71">
        <f t="shared" ref="Z184:AI184" si="92">Z182/U182-1</f>
        <v>4.2553191489361764E-2</v>
      </c>
      <c r="AA184" s="23">
        <f t="shared" si="92"/>
        <v>6.7765567765567747E-2</v>
      </c>
      <c r="AB184" s="71">
        <f t="shared" si="92"/>
        <v>4.7297297297297369E-2</v>
      </c>
      <c r="AC184" s="71">
        <f t="shared" si="92"/>
        <v>0.12631578947368416</v>
      </c>
      <c r="AD184" s="71">
        <f t="shared" si="92"/>
        <v>0.14089347079037795</v>
      </c>
      <c r="AE184" s="71">
        <f t="shared" si="92"/>
        <v>0.1020408163265305</v>
      </c>
      <c r="AF184" s="23">
        <f t="shared" si="92"/>
        <v>0.10377358490566047</v>
      </c>
      <c r="AG184" s="71">
        <f t="shared" si="92"/>
        <v>7.0967741935483941E-2</v>
      </c>
      <c r="AH184" s="71">
        <f t="shared" si="92"/>
        <v>7.4766355140186924E-2</v>
      </c>
      <c r="AI184" s="71">
        <f t="shared" si="92"/>
        <v>6.3253012048192669E-2</v>
      </c>
      <c r="AJ184" s="71">
        <f t="shared" ref="AJ184" si="93">AJ182/AE182-1</f>
        <v>0.12345679012345689</v>
      </c>
      <c r="AK184" s="23">
        <v>8.3139083139083247E-2</v>
      </c>
      <c r="AL184" s="71">
        <v>7.8313253012048278E-2</v>
      </c>
      <c r="AM184" s="71">
        <v>6.0869565217391397E-2</v>
      </c>
      <c r="AN184" s="71">
        <v>2.8328611898017053E-2</v>
      </c>
      <c r="AO184" s="71">
        <v>-2.7472527472527375E-3</v>
      </c>
      <c r="AP184" s="23">
        <v>4.0172166427546729E-2</v>
      </c>
      <c r="AQ184" s="71">
        <v>3.6312849162011274E-2</v>
      </c>
      <c r="AR184" s="71">
        <v>2.1857923497267784E-2</v>
      </c>
      <c r="AS184" s="71">
        <v>3.0303030303030276E-2</v>
      </c>
      <c r="AT184" s="71">
        <v>4.9586776859504189E-2</v>
      </c>
      <c r="AU184" s="23">
        <v>3.4482758620689724E-2</v>
      </c>
      <c r="AV184" s="71">
        <v>2.9649595687331498E-2</v>
      </c>
      <c r="AW184" s="71">
        <v>1.8716577540107027E-2</v>
      </c>
      <c r="AX184" s="71">
        <v>3.2085561497326109E-2</v>
      </c>
      <c r="AY184" s="71">
        <v>3.6745406824147064E-2</v>
      </c>
      <c r="AZ184" s="23">
        <v>2.9333333333333433E-2</v>
      </c>
      <c r="BA184" s="71">
        <v>3.6649214659685958E-2</v>
      </c>
      <c r="BB184" s="71">
        <v>5.7742782152230943E-2</v>
      </c>
      <c r="BC184" s="71">
        <v>3.8860103626942921E-2</v>
      </c>
      <c r="BD184" s="71">
        <v>2.5316455696202667E-3</v>
      </c>
      <c r="BE184" s="23">
        <v>3.3678756476683835E-2</v>
      </c>
      <c r="BF184" s="71">
        <v>2.525252525252597E-3</v>
      </c>
      <c r="BG184" s="71">
        <v>-1.7369727047146455E-2</v>
      </c>
      <c r="BH184" s="71">
        <v>-1.995012468827928E-2</v>
      </c>
    </row>
    <row r="185" spans="1:60" s="35" customFormat="1">
      <c r="A185" s="67" t="s">
        <v>239</v>
      </c>
      <c r="B185" s="36">
        <v>3905</v>
      </c>
      <c r="C185" s="78" t="s">
        <v>49</v>
      </c>
      <c r="D185" s="78" t="s">
        <v>49</v>
      </c>
      <c r="E185" s="78" t="s">
        <v>49</v>
      </c>
      <c r="F185" s="78" t="s">
        <v>49</v>
      </c>
      <c r="G185" s="36">
        <v>3572</v>
      </c>
      <c r="H185" s="68">
        <v>839</v>
      </c>
      <c r="I185" s="68">
        <v>828</v>
      </c>
      <c r="J185" s="68">
        <v>843</v>
      </c>
      <c r="K185" s="68">
        <f>L185-J185-I185-H185</f>
        <v>823</v>
      </c>
      <c r="L185" s="36">
        <v>3333</v>
      </c>
      <c r="M185" s="68">
        <v>785</v>
      </c>
      <c r="N185" s="68">
        <v>795</v>
      </c>
      <c r="O185" s="68">
        <v>788</v>
      </c>
      <c r="P185" s="68">
        <f>Q185-O185-N185-M185</f>
        <v>792</v>
      </c>
      <c r="Q185" s="36">
        <v>3160</v>
      </c>
      <c r="R185" s="68">
        <v>617</v>
      </c>
      <c r="S185" s="68">
        <v>607</v>
      </c>
      <c r="T185" s="68">
        <v>612</v>
      </c>
      <c r="U185" s="68">
        <f>V185-T185-S185-R185</f>
        <v>557</v>
      </c>
      <c r="V185" s="36">
        <v>2393</v>
      </c>
      <c r="W185" s="68">
        <v>588</v>
      </c>
      <c r="X185" s="68">
        <v>572</v>
      </c>
      <c r="Y185" s="68">
        <v>557</v>
      </c>
      <c r="Z185" s="68">
        <f>AA185-Y185-X185-W185</f>
        <v>537</v>
      </c>
      <c r="AA185" s="36">
        <v>2254</v>
      </c>
      <c r="AB185" s="68">
        <v>510</v>
      </c>
      <c r="AC185" s="68">
        <v>503</v>
      </c>
      <c r="AD185" s="68">
        <v>490</v>
      </c>
      <c r="AE185" s="68">
        <f>AF185-AD185-AC185-AB185</f>
        <v>468</v>
      </c>
      <c r="AF185" s="36">
        <v>1971</v>
      </c>
      <c r="AG185" s="68">
        <v>426</v>
      </c>
      <c r="AH185" s="68">
        <v>415</v>
      </c>
      <c r="AI185" s="68">
        <v>418</v>
      </c>
      <c r="AJ185" s="68">
        <f>AK185-AI185-AH185-AG185</f>
        <v>409</v>
      </c>
      <c r="AK185" s="36">
        <v>1668</v>
      </c>
      <c r="AL185" s="68">
        <v>381</v>
      </c>
      <c r="AM185" s="68">
        <v>375</v>
      </c>
      <c r="AN185" s="68">
        <v>373</v>
      </c>
      <c r="AO185" s="68">
        <v>370</v>
      </c>
      <c r="AP185" s="36">
        <v>1499</v>
      </c>
      <c r="AQ185" s="68">
        <v>359</v>
      </c>
      <c r="AR185" s="68">
        <v>351</v>
      </c>
      <c r="AS185" s="68">
        <v>351</v>
      </c>
      <c r="AT185" s="68">
        <v>331</v>
      </c>
      <c r="AU185" s="36">
        <v>1392</v>
      </c>
      <c r="AV185" s="68">
        <v>334</v>
      </c>
      <c r="AW185" s="68">
        <v>320</v>
      </c>
      <c r="AX185" s="68">
        <v>318</v>
      </c>
      <c r="AY185" s="68">
        <v>309</v>
      </c>
      <c r="AZ185" s="36">
        <v>1281</v>
      </c>
      <c r="BA185" s="68">
        <v>302</v>
      </c>
      <c r="BB185" s="68">
        <v>291</v>
      </c>
      <c r="BC185" s="68">
        <v>282</v>
      </c>
      <c r="BD185" s="68">
        <v>281</v>
      </c>
      <c r="BE185" s="36">
        <v>1156</v>
      </c>
      <c r="BF185" s="68">
        <v>269</v>
      </c>
      <c r="BG185" s="68">
        <v>264</v>
      </c>
      <c r="BH185" s="68">
        <v>259</v>
      </c>
    </row>
    <row r="186" spans="1:60" ht="9" customHeight="1">
      <c r="A186" s="69" t="s">
        <v>7</v>
      </c>
      <c r="B186" s="23"/>
      <c r="C186" s="70"/>
      <c r="D186" s="70"/>
      <c r="E186" s="70"/>
      <c r="F186" s="70"/>
      <c r="G186" s="23"/>
      <c r="H186" s="70"/>
      <c r="I186" s="70">
        <f>I185/H185-1</f>
        <v>-1.3110846245530383E-2</v>
      </c>
      <c r="J186" s="70">
        <f>J185/I185-1</f>
        <v>1.8115942028985588E-2</v>
      </c>
      <c r="K186" s="70">
        <f>K185/J185-1</f>
        <v>-2.3724792408066464E-2</v>
      </c>
      <c r="L186" s="23"/>
      <c r="M186" s="70">
        <f>M185/K185-1</f>
        <v>-4.6172539489671927E-2</v>
      </c>
      <c r="N186" s="70">
        <f>N185/M185-1</f>
        <v>1.2738853503184711E-2</v>
      </c>
      <c r="O186" s="70">
        <f>O185/N185-1</f>
        <v>-8.8050314465408785E-3</v>
      </c>
      <c r="P186" s="70">
        <f>P185/O185-1</f>
        <v>5.0761421319795996E-3</v>
      </c>
      <c r="Q186" s="23"/>
      <c r="R186" s="70">
        <f>R185/P185-1</f>
        <v>-0.22095959595959591</v>
      </c>
      <c r="S186" s="70">
        <f>S185/R185-1</f>
        <v>-1.620745542949753E-2</v>
      </c>
      <c r="T186" s="70">
        <f>T185/S185-1</f>
        <v>8.2372322899506578E-3</v>
      </c>
      <c r="U186" s="70">
        <f>U185/T185-1</f>
        <v>-8.9869281045751648E-2</v>
      </c>
      <c r="V186" s="23"/>
      <c r="W186" s="70">
        <f>W185/U185-1</f>
        <v>5.5655296229802476E-2</v>
      </c>
      <c r="X186" s="70">
        <f>X185/W185-1</f>
        <v>-2.7210884353741527E-2</v>
      </c>
      <c r="Y186" s="70">
        <f>Y185/X185-1</f>
        <v>-2.6223776223776252E-2</v>
      </c>
      <c r="Z186" s="70">
        <f>Z185/Y185-1</f>
        <v>-3.590664272890487E-2</v>
      </c>
      <c r="AA186" s="23"/>
      <c r="AB186" s="70">
        <f>AB185/Z185-1</f>
        <v>-5.027932960893855E-2</v>
      </c>
      <c r="AC186" s="70">
        <f>AC185/AB185-1</f>
        <v>-1.3725490196078383E-2</v>
      </c>
      <c r="AD186" s="70">
        <f>AD185/AC185-1</f>
        <v>-2.5844930417495027E-2</v>
      </c>
      <c r="AE186" s="70">
        <f>AE185/AD185-1</f>
        <v>-4.4897959183673453E-2</v>
      </c>
      <c r="AF186" s="23"/>
      <c r="AG186" s="70">
        <f>AG185/AE185-1</f>
        <v>-8.9743589743589758E-2</v>
      </c>
      <c r="AH186" s="70">
        <f>AH185/AG185-1</f>
        <v>-2.5821596244131495E-2</v>
      </c>
      <c r="AI186" s="70">
        <f>AI185/AH185-1</f>
        <v>7.2289156626506035E-3</v>
      </c>
      <c r="AJ186" s="70">
        <f>AJ185/AI185-1</f>
        <v>-2.1531100478468845E-2</v>
      </c>
      <c r="AK186" s="23"/>
      <c r="AL186" s="70">
        <v>-6.8459657701711474E-2</v>
      </c>
      <c r="AM186" s="70">
        <v>-1.5748031496062964E-2</v>
      </c>
      <c r="AN186" s="70">
        <v>-5.3333333333333011E-3</v>
      </c>
      <c r="AO186" s="70">
        <v>-8.0428954423592547E-3</v>
      </c>
      <c r="AP186" s="23"/>
      <c r="AQ186" s="70">
        <v>-2.9729729729729759E-2</v>
      </c>
      <c r="AR186" s="70">
        <v>-2.2284122562674091E-2</v>
      </c>
      <c r="AS186" s="70">
        <v>0</v>
      </c>
      <c r="AT186" s="70">
        <v>-5.6980056980056926E-2</v>
      </c>
      <c r="AU186" s="23"/>
      <c r="AV186" s="70">
        <v>9.0634441087613649E-3</v>
      </c>
      <c r="AW186" s="70">
        <v>-4.1916167664670656E-2</v>
      </c>
      <c r="AX186" s="70">
        <v>-6.2499999999999778E-3</v>
      </c>
      <c r="AY186" s="70">
        <v>-2.8301886792452824E-2</v>
      </c>
      <c r="AZ186" s="23"/>
      <c r="BA186" s="70">
        <v>-2.2653721682847849E-2</v>
      </c>
      <c r="BB186" s="70">
        <v>-3.6423841059602613E-2</v>
      </c>
      <c r="BC186" s="70">
        <v>-3.0927835051546393E-2</v>
      </c>
      <c r="BD186" s="70">
        <v>-3.5460992907800915E-3</v>
      </c>
      <c r="BE186" s="23"/>
      <c r="BF186" s="70">
        <v>-4.2704626334519546E-2</v>
      </c>
      <c r="BG186" s="70">
        <v>-1.8587360594795488E-2</v>
      </c>
      <c r="BH186" s="70">
        <v>-1.8939393939393923E-2</v>
      </c>
    </row>
    <row r="187" spans="1:60" ht="9.75" customHeight="1">
      <c r="A187" s="69" t="s">
        <v>8</v>
      </c>
      <c r="B187" s="23"/>
      <c r="C187" s="71"/>
      <c r="D187" s="71"/>
      <c r="E187" s="71"/>
      <c r="F187" s="71"/>
      <c r="G187" s="23">
        <f t="shared" ref="G187:N187" si="94">G185/B185-1</f>
        <v>-8.5275288092189538E-2</v>
      </c>
      <c r="H187" s="71"/>
      <c r="I187" s="71"/>
      <c r="J187" s="71"/>
      <c r="K187" s="71"/>
      <c r="L187" s="23">
        <f t="shared" si="94"/>
        <v>-6.690929451287797E-2</v>
      </c>
      <c r="M187" s="71">
        <f t="shared" si="94"/>
        <v>-6.4362336114421881E-2</v>
      </c>
      <c r="N187" s="71">
        <f t="shared" si="94"/>
        <v>-3.9855072463768071E-2</v>
      </c>
      <c r="O187" s="71">
        <f t="shared" ref="O187:Y187" si="95">O185/J185-1</f>
        <v>-6.5243179122182693E-2</v>
      </c>
      <c r="P187" s="71">
        <f t="shared" si="95"/>
        <v>-3.7667071688942899E-2</v>
      </c>
      <c r="Q187" s="23">
        <f t="shared" si="95"/>
        <v>-5.1905190519051958E-2</v>
      </c>
      <c r="R187" s="71">
        <f t="shared" si="95"/>
        <v>-0.21401273885350314</v>
      </c>
      <c r="S187" s="71">
        <f t="shared" si="95"/>
        <v>-0.2364779874213836</v>
      </c>
      <c r="T187" s="71">
        <f t="shared" si="95"/>
        <v>-0.2233502538071066</v>
      </c>
      <c r="U187" s="71">
        <f t="shared" si="95"/>
        <v>-0.29671717171717171</v>
      </c>
      <c r="V187" s="23">
        <f t="shared" si="95"/>
        <v>-0.24272151898734173</v>
      </c>
      <c r="W187" s="71">
        <f t="shared" si="95"/>
        <v>-4.7001620745542927E-2</v>
      </c>
      <c r="X187" s="71">
        <f t="shared" si="95"/>
        <v>-5.766062602965405E-2</v>
      </c>
      <c r="Y187" s="71">
        <f t="shared" si="95"/>
        <v>-8.9869281045751648E-2</v>
      </c>
      <c r="Z187" s="71">
        <f t="shared" ref="Z187:AI187" si="96">Z185/U185-1</f>
        <v>-3.590664272890487E-2</v>
      </c>
      <c r="AA187" s="23">
        <f t="shared" si="96"/>
        <v>-5.8086084412870886E-2</v>
      </c>
      <c r="AB187" s="71">
        <f t="shared" si="96"/>
        <v>-0.13265306122448983</v>
      </c>
      <c r="AC187" s="71">
        <f t="shared" si="96"/>
        <v>-0.12062937062937062</v>
      </c>
      <c r="AD187" s="71">
        <f t="shared" si="96"/>
        <v>-0.1202872531418312</v>
      </c>
      <c r="AE187" s="71">
        <f t="shared" si="96"/>
        <v>-0.12849162011173187</v>
      </c>
      <c r="AF187" s="23">
        <f t="shared" si="96"/>
        <v>-0.12555456965394851</v>
      </c>
      <c r="AG187" s="71">
        <f t="shared" si="96"/>
        <v>-0.16470588235294115</v>
      </c>
      <c r="AH187" s="71">
        <f t="shared" si="96"/>
        <v>-0.1749502982107356</v>
      </c>
      <c r="AI187" s="71">
        <f t="shared" si="96"/>
        <v>-0.14693877551020407</v>
      </c>
      <c r="AJ187" s="71">
        <f t="shared" ref="AJ187" si="97">AJ185/AE185-1</f>
        <v>-0.12606837606837606</v>
      </c>
      <c r="AK187" s="23">
        <v>-0.15372907153729076</v>
      </c>
      <c r="AL187" s="71">
        <v>-0.10563380281690138</v>
      </c>
      <c r="AM187" s="71">
        <v>-9.6385542168674676E-2</v>
      </c>
      <c r="AN187" s="71">
        <v>-0.10765550239234445</v>
      </c>
      <c r="AO187" s="71">
        <v>-9.5354523227383914E-2</v>
      </c>
      <c r="AP187" s="23">
        <v>-0.10131894484412474</v>
      </c>
      <c r="AQ187" s="71">
        <v>-5.7742782152230943E-2</v>
      </c>
      <c r="AR187" s="71">
        <v>-6.3999999999999946E-2</v>
      </c>
      <c r="AS187" s="71">
        <v>-5.8981233243967868E-2</v>
      </c>
      <c r="AT187" s="71">
        <v>-0.10540540540540544</v>
      </c>
      <c r="AU187" s="23">
        <v>-7.138092061374246E-2</v>
      </c>
      <c r="AV187" s="71">
        <v>-6.9637883008356494E-2</v>
      </c>
      <c r="AW187" s="71">
        <v>-8.8319088319088301E-2</v>
      </c>
      <c r="AX187" s="71">
        <v>-9.4017094017094016E-2</v>
      </c>
      <c r="AY187" s="71">
        <v>-6.6465256797583083E-2</v>
      </c>
      <c r="AZ187" s="23">
        <v>-7.9741379310344862E-2</v>
      </c>
      <c r="BA187" s="71">
        <v>-9.5808383233532912E-2</v>
      </c>
      <c r="BB187" s="71">
        <v>-9.0624999999999956E-2</v>
      </c>
      <c r="BC187" s="71">
        <v>-0.1132075471698113</v>
      </c>
      <c r="BD187" s="71">
        <v>-9.061488673139162E-2</v>
      </c>
      <c r="BE187" s="23">
        <v>-9.7580015612802495E-2</v>
      </c>
      <c r="BF187" s="71">
        <v>-0.10927152317880795</v>
      </c>
      <c r="BG187" s="71">
        <v>-9.2783505154639179E-2</v>
      </c>
      <c r="BH187" s="71">
        <v>-8.1560283687943214E-2</v>
      </c>
    </row>
    <row r="188" spans="1:60">
      <c r="A188" s="67" t="s">
        <v>241</v>
      </c>
      <c r="B188" s="36">
        <v>754</v>
      </c>
      <c r="C188" s="78" t="s">
        <v>49</v>
      </c>
      <c r="D188" s="78" t="s">
        <v>49</v>
      </c>
      <c r="E188" s="78" t="s">
        <v>49</v>
      </c>
      <c r="F188" s="78" t="s">
        <v>49</v>
      </c>
      <c r="G188" s="36">
        <v>811</v>
      </c>
      <c r="H188" s="68">
        <v>207</v>
      </c>
      <c r="I188" s="68">
        <v>213</v>
      </c>
      <c r="J188" s="68">
        <v>217</v>
      </c>
      <c r="K188" s="68">
        <f>L188-J188-I188-H188</f>
        <v>214</v>
      </c>
      <c r="L188" s="36">
        <v>851</v>
      </c>
      <c r="M188" s="68">
        <v>223</v>
      </c>
      <c r="N188" s="68">
        <v>221</v>
      </c>
      <c r="O188" s="68">
        <v>219</v>
      </c>
      <c r="P188" s="68">
        <f>Q188-O188-N188-M188</f>
        <v>219</v>
      </c>
      <c r="Q188" s="36">
        <v>882</v>
      </c>
      <c r="R188" s="68">
        <v>228</v>
      </c>
      <c r="S188" s="68">
        <v>233</v>
      </c>
      <c r="T188" s="68">
        <v>239</v>
      </c>
      <c r="U188" s="68">
        <f>V188-T188-S188-R188</f>
        <v>231</v>
      </c>
      <c r="V188" s="36">
        <v>931</v>
      </c>
      <c r="W188" s="68">
        <v>245</v>
      </c>
      <c r="X188" s="68">
        <v>247</v>
      </c>
      <c r="Y188" s="68">
        <v>243</v>
      </c>
      <c r="Z188" s="68">
        <f>AA188-Y188-X188-W188</f>
        <v>241</v>
      </c>
      <c r="AA188" s="36">
        <v>976</v>
      </c>
      <c r="AB188" s="68">
        <v>247</v>
      </c>
      <c r="AC188" s="68">
        <v>241</v>
      </c>
      <c r="AD188" s="68">
        <v>252</v>
      </c>
      <c r="AE188" s="68">
        <f>AF188-AD188-AC188-AB188</f>
        <v>250</v>
      </c>
      <c r="AF188" s="36">
        <v>990</v>
      </c>
      <c r="AG188" s="68">
        <v>259</v>
      </c>
      <c r="AH188" s="68">
        <v>255</v>
      </c>
      <c r="AI188" s="68">
        <v>251</v>
      </c>
      <c r="AJ188" s="68">
        <f>AK188-AI188-AH188-AG188</f>
        <v>257</v>
      </c>
      <c r="AK188" s="36">
        <v>1022</v>
      </c>
      <c r="AL188" s="68">
        <v>265</v>
      </c>
      <c r="AM188" s="68">
        <v>263</v>
      </c>
      <c r="AN188" s="68">
        <v>265</v>
      </c>
      <c r="AO188" s="68">
        <v>260</v>
      </c>
      <c r="AP188" s="36">
        <v>1053</v>
      </c>
      <c r="AQ188" s="68">
        <v>271</v>
      </c>
      <c r="AR188" s="68">
        <v>268</v>
      </c>
      <c r="AS188" s="68">
        <v>258</v>
      </c>
      <c r="AT188" s="68">
        <v>272</v>
      </c>
      <c r="AU188" s="36">
        <v>1069</v>
      </c>
      <c r="AV188" s="68">
        <v>250</v>
      </c>
      <c r="AW188" s="68">
        <v>244</v>
      </c>
      <c r="AX188" s="68">
        <v>244</v>
      </c>
      <c r="AY188" s="68">
        <v>237</v>
      </c>
      <c r="AZ188" s="36">
        <v>975</v>
      </c>
      <c r="BA188" s="68">
        <v>247</v>
      </c>
      <c r="BB188" s="68">
        <v>244</v>
      </c>
      <c r="BC188" s="68">
        <v>243</v>
      </c>
      <c r="BD188" s="68">
        <v>243</v>
      </c>
      <c r="BE188" s="36">
        <v>977</v>
      </c>
      <c r="BF188" s="68">
        <v>246</v>
      </c>
      <c r="BG188" s="68">
        <v>238</v>
      </c>
      <c r="BH188" s="68">
        <v>245</v>
      </c>
    </row>
    <row r="189" spans="1:60" ht="9" customHeight="1">
      <c r="A189" s="69" t="s">
        <v>7</v>
      </c>
      <c r="B189" s="23"/>
      <c r="C189" s="70"/>
      <c r="D189" s="70"/>
      <c r="E189" s="70"/>
      <c r="F189" s="70"/>
      <c r="G189" s="23"/>
      <c r="H189" s="70"/>
      <c r="I189" s="70">
        <f>I188/H188-1</f>
        <v>2.8985507246376718E-2</v>
      </c>
      <c r="J189" s="70">
        <f>J188/I188-1</f>
        <v>1.8779342723004744E-2</v>
      </c>
      <c r="K189" s="70">
        <f>K188/J188-1</f>
        <v>-1.3824884792626779E-2</v>
      </c>
      <c r="L189" s="23"/>
      <c r="M189" s="70">
        <f>M188/K188-1</f>
        <v>4.20560747663552E-2</v>
      </c>
      <c r="N189" s="70">
        <f>N188/M188-1</f>
        <v>-8.9686098654708779E-3</v>
      </c>
      <c r="O189" s="70">
        <f>O188/N188-1</f>
        <v>-9.0497737556560764E-3</v>
      </c>
      <c r="P189" s="70">
        <f>P188/O188-1</f>
        <v>0</v>
      </c>
      <c r="Q189" s="23"/>
      <c r="R189" s="70">
        <f>R188/P188-1</f>
        <v>4.1095890410958846E-2</v>
      </c>
      <c r="S189" s="70">
        <f>S188/R188-1</f>
        <v>2.1929824561403466E-2</v>
      </c>
      <c r="T189" s="70">
        <f>T188/S188-1</f>
        <v>2.5751072961373467E-2</v>
      </c>
      <c r="U189" s="70">
        <f>U188/T188-1</f>
        <v>-3.3472803347280311E-2</v>
      </c>
      <c r="V189" s="23"/>
      <c r="W189" s="70">
        <f>W188/U188-1</f>
        <v>6.0606060606060552E-2</v>
      </c>
      <c r="X189" s="70">
        <f>X188/W188-1</f>
        <v>8.1632653061225469E-3</v>
      </c>
      <c r="Y189" s="70">
        <f>Y188/X188-1</f>
        <v>-1.619433198380571E-2</v>
      </c>
      <c r="Z189" s="70">
        <f>Z188/Y188-1</f>
        <v>-8.2304526748970819E-3</v>
      </c>
      <c r="AA189" s="23"/>
      <c r="AB189" s="70">
        <f>AB188/Z188-1</f>
        <v>2.4896265560165887E-2</v>
      </c>
      <c r="AC189" s="70">
        <f>AC188/AB188-1</f>
        <v>-2.4291497975708509E-2</v>
      </c>
      <c r="AD189" s="70">
        <f>AD188/AC188-1</f>
        <v>4.5643153526971014E-2</v>
      </c>
      <c r="AE189" s="70">
        <f>AE188/AD188-1</f>
        <v>-7.9365079365079083E-3</v>
      </c>
      <c r="AF189" s="23"/>
      <c r="AG189" s="70">
        <f>AG188/AE188-1</f>
        <v>3.6000000000000032E-2</v>
      </c>
      <c r="AH189" s="70">
        <f>AH188/AG188-1</f>
        <v>-1.5444015444015413E-2</v>
      </c>
      <c r="AI189" s="70">
        <f>AI188/AH188-1</f>
        <v>-1.5686274509803977E-2</v>
      </c>
      <c r="AJ189" s="70">
        <f>AJ188/AI188-1</f>
        <v>2.3904382470119501E-2</v>
      </c>
      <c r="AK189" s="23"/>
      <c r="AL189" s="70">
        <v>3.112840466926059E-2</v>
      </c>
      <c r="AM189" s="70">
        <v>-7.547169811320753E-3</v>
      </c>
      <c r="AN189" s="70">
        <v>7.6045627376426506E-3</v>
      </c>
      <c r="AO189" s="70">
        <v>-1.8867924528301883E-2</v>
      </c>
      <c r="AP189" s="23"/>
      <c r="AQ189" s="70">
        <v>4.2307692307692379E-2</v>
      </c>
      <c r="AR189" s="70">
        <v>-1.1070110701106972E-2</v>
      </c>
      <c r="AS189" s="70">
        <v>-3.7313432835820892E-2</v>
      </c>
      <c r="AT189" s="70">
        <v>5.4263565891472965E-2</v>
      </c>
      <c r="AU189" s="23"/>
      <c r="AV189" s="70">
        <v>-8.0882352941176516E-2</v>
      </c>
      <c r="AW189" s="70">
        <v>-2.4000000000000021E-2</v>
      </c>
      <c r="AX189" s="70">
        <v>0</v>
      </c>
      <c r="AY189" s="70">
        <v>-2.8688524590163911E-2</v>
      </c>
      <c r="AZ189" s="23"/>
      <c r="BA189" s="70">
        <v>4.2194092827004148E-2</v>
      </c>
      <c r="BB189" s="70">
        <v>-1.2145748987854255E-2</v>
      </c>
      <c r="BC189" s="70">
        <v>-4.098360655737654E-3</v>
      </c>
      <c r="BD189" s="70">
        <v>0</v>
      </c>
      <c r="BE189" s="23"/>
      <c r="BF189" s="70">
        <v>1.2345679012345734E-2</v>
      </c>
      <c r="BG189" s="70">
        <v>-3.2520325203251987E-2</v>
      </c>
      <c r="BH189" s="70">
        <v>2.9411764705882248E-2</v>
      </c>
    </row>
    <row r="190" spans="1:60" ht="9.6" customHeight="1">
      <c r="A190" s="69" t="s">
        <v>8</v>
      </c>
      <c r="B190" s="23"/>
      <c r="C190" s="71"/>
      <c r="D190" s="71"/>
      <c r="E190" s="71"/>
      <c r="F190" s="71"/>
      <c r="G190" s="23">
        <f>G188/B188-1</f>
        <v>7.5596816976127412E-2</v>
      </c>
      <c r="H190" s="71"/>
      <c r="I190" s="71"/>
      <c r="J190" s="71"/>
      <c r="K190" s="71"/>
      <c r="L190" s="23">
        <f t="shared" ref="L190:R190" si="98">L188/G188-1</f>
        <v>4.9321824907521572E-2</v>
      </c>
      <c r="M190" s="71">
        <f t="shared" si="98"/>
        <v>7.7294685990338063E-2</v>
      </c>
      <c r="N190" s="71">
        <f t="shared" si="98"/>
        <v>3.7558685446009488E-2</v>
      </c>
      <c r="O190" s="71">
        <f t="shared" si="98"/>
        <v>9.2165898617511122E-3</v>
      </c>
      <c r="P190" s="71">
        <f t="shared" si="98"/>
        <v>2.3364485981308469E-2</v>
      </c>
      <c r="Q190" s="23">
        <f t="shared" si="98"/>
        <v>3.6427732079906017E-2</v>
      </c>
      <c r="R190" s="71">
        <f t="shared" si="98"/>
        <v>2.2421524663677195E-2</v>
      </c>
      <c r="S190" s="71">
        <f t="shared" ref="S190:Y190" si="99">S188/N188-1</f>
        <v>5.4298642533936681E-2</v>
      </c>
      <c r="T190" s="71">
        <f t="shared" si="99"/>
        <v>9.1324200913242004E-2</v>
      </c>
      <c r="U190" s="71">
        <f t="shared" si="99"/>
        <v>5.4794520547945202E-2</v>
      </c>
      <c r="V190" s="23">
        <f t="shared" si="99"/>
        <v>5.555555555555558E-2</v>
      </c>
      <c r="W190" s="71">
        <f t="shared" si="99"/>
        <v>7.4561403508771829E-2</v>
      </c>
      <c r="X190" s="71">
        <f t="shared" si="99"/>
        <v>6.0085836909871349E-2</v>
      </c>
      <c r="Y190" s="71">
        <f t="shared" si="99"/>
        <v>1.6736401673640211E-2</v>
      </c>
      <c r="Z190" s="71">
        <f t="shared" ref="Z190:AI190" si="100">Z188/U188-1</f>
        <v>4.3290043290043378E-2</v>
      </c>
      <c r="AA190" s="23">
        <f t="shared" si="100"/>
        <v>4.8335123523093548E-2</v>
      </c>
      <c r="AB190" s="71">
        <f t="shared" si="100"/>
        <v>8.1632653061225469E-3</v>
      </c>
      <c r="AC190" s="71">
        <f t="shared" si="100"/>
        <v>-2.4291497975708509E-2</v>
      </c>
      <c r="AD190" s="71">
        <f t="shared" si="100"/>
        <v>3.7037037037036979E-2</v>
      </c>
      <c r="AE190" s="71">
        <f t="shared" si="100"/>
        <v>3.7344398340249052E-2</v>
      </c>
      <c r="AF190" s="23">
        <f t="shared" si="100"/>
        <v>1.4344262295082011E-2</v>
      </c>
      <c r="AG190" s="71">
        <f t="shared" si="100"/>
        <v>4.8582995951417018E-2</v>
      </c>
      <c r="AH190" s="71">
        <f t="shared" si="100"/>
        <v>5.8091286307053958E-2</v>
      </c>
      <c r="AI190" s="71">
        <f t="shared" si="100"/>
        <v>-3.9682539682539542E-3</v>
      </c>
      <c r="AJ190" s="71">
        <f t="shared" ref="AJ190" si="101">AJ188/AE188-1</f>
        <v>2.8000000000000025E-2</v>
      </c>
      <c r="AK190" s="23">
        <v>3.2323232323232309E-2</v>
      </c>
      <c r="AL190" s="71">
        <v>2.316602316602312E-2</v>
      </c>
      <c r="AM190" s="71">
        <v>3.1372549019607954E-2</v>
      </c>
      <c r="AN190" s="71">
        <v>5.5776892430278835E-2</v>
      </c>
      <c r="AO190" s="71">
        <v>1.1673151750972721E-2</v>
      </c>
      <c r="AP190" s="23">
        <v>3.0332681017612551E-2</v>
      </c>
      <c r="AQ190" s="71">
        <v>2.2641509433962259E-2</v>
      </c>
      <c r="AR190" s="71">
        <v>1.9011406844106515E-2</v>
      </c>
      <c r="AS190" s="71">
        <v>-2.6415094339622636E-2</v>
      </c>
      <c r="AT190" s="71">
        <v>4.6153846153846212E-2</v>
      </c>
      <c r="AU190" s="23">
        <v>1.5194681861348425E-2</v>
      </c>
      <c r="AV190" s="71">
        <v>-7.7490774907749027E-2</v>
      </c>
      <c r="AW190" s="71">
        <v>-8.9552238805970186E-2</v>
      </c>
      <c r="AX190" s="71">
        <v>-5.4263565891472854E-2</v>
      </c>
      <c r="AY190" s="71">
        <v>-0.12867647058823528</v>
      </c>
      <c r="AZ190" s="23">
        <v>-8.7932647333957004E-2</v>
      </c>
      <c r="BA190" s="71">
        <v>-1.2000000000000011E-2</v>
      </c>
      <c r="BB190" s="71">
        <v>0</v>
      </c>
      <c r="BC190" s="71">
        <v>-4.098360655737654E-3</v>
      </c>
      <c r="BD190" s="71">
        <v>2.5316455696202445E-2</v>
      </c>
      <c r="BE190" s="23">
        <v>2.0512820512821328E-3</v>
      </c>
      <c r="BF190" s="71">
        <v>-4.0485829959514552E-3</v>
      </c>
      <c r="BG190" s="71">
        <v>-2.4590163934426257E-2</v>
      </c>
      <c r="BH190" s="71">
        <v>8.2304526748970819E-3</v>
      </c>
    </row>
    <row r="191" spans="1:60" ht="11.25" customHeight="1">
      <c r="A191" s="67" t="s">
        <v>242</v>
      </c>
      <c r="B191" s="119" t="s">
        <v>41</v>
      </c>
      <c r="C191" s="78" t="s">
        <v>49</v>
      </c>
      <c r="D191" s="78" t="s">
        <v>49</v>
      </c>
      <c r="E191" s="78" t="s">
        <v>49</v>
      </c>
      <c r="F191" s="78" t="s">
        <v>49</v>
      </c>
      <c r="G191" s="119" t="s">
        <v>41</v>
      </c>
      <c r="H191" s="78" t="s">
        <v>49</v>
      </c>
      <c r="I191" s="78" t="s">
        <v>49</v>
      </c>
      <c r="J191" s="78" t="s">
        <v>49</v>
      </c>
      <c r="K191" s="78" t="s">
        <v>49</v>
      </c>
      <c r="L191" s="119" t="s">
        <v>41</v>
      </c>
      <c r="M191" s="78" t="s">
        <v>49</v>
      </c>
      <c r="N191" s="78" t="s">
        <v>49</v>
      </c>
      <c r="O191" s="78" t="s">
        <v>49</v>
      </c>
      <c r="P191" s="78" t="s">
        <v>49</v>
      </c>
      <c r="Q191" s="119" t="s">
        <v>41</v>
      </c>
      <c r="R191" s="78" t="s">
        <v>49</v>
      </c>
      <c r="S191" s="78" t="s">
        <v>49</v>
      </c>
      <c r="T191" s="78" t="s">
        <v>49</v>
      </c>
      <c r="U191" s="78" t="s">
        <v>49</v>
      </c>
      <c r="V191" s="119" t="s">
        <v>41</v>
      </c>
      <c r="W191" s="78" t="s">
        <v>49</v>
      </c>
      <c r="X191" s="78" t="s">
        <v>49</v>
      </c>
      <c r="Y191" s="78" t="s">
        <v>49</v>
      </c>
      <c r="Z191" s="78" t="s">
        <v>49</v>
      </c>
      <c r="AA191" s="119" t="s">
        <v>41</v>
      </c>
      <c r="AB191" s="78" t="s">
        <v>49</v>
      </c>
      <c r="AC191" s="78" t="s">
        <v>49</v>
      </c>
      <c r="AD191" s="78" t="s">
        <v>49</v>
      </c>
      <c r="AE191" s="78" t="s">
        <v>49</v>
      </c>
      <c r="AF191" s="119" t="s">
        <v>41</v>
      </c>
      <c r="AG191" s="78" t="s">
        <v>49</v>
      </c>
      <c r="AH191" s="78" t="s">
        <v>49</v>
      </c>
      <c r="AI191" s="78" t="s">
        <v>49</v>
      </c>
      <c r="AJ191" s="78" t="s">
        <v>49</v>
      </c>
      <c r="AK191" s="119" t="s">
        <v>41</v>
      </c>
      <c r="AL191" s="68">
        <v>48</v>
      </c>
      <c r="AM191" s="68">
        <v>43</v>
      </c>
      <c r="AN191" s="68">
        <v>46</v>
      </c>
      <c r="AO191" s="68">
        <v>46</v>
      </c>
      <c r="AP191" s="36">
        <v>184</v>
      </c>
      <c r="AQ191" s="68">
        <v>50</v>
      </c>
      <c r="AR191" s="68">
        <v>48</v>
      </c>
      <c r="AS191" s="68">
        <v>52</v>
      </c>
      <c r="AT191" s="68">
        <v>53</v>
      </c>
      <c r="AU191" s="36">
        <v>203</v>
      </c>
      <c r="AV191" s="68">
        <v>56</v>
      </c>
      <c r="AW191" s="68">
        <v>57</v>
      </c>
      <c r="AX191" s="68">
        <v>57</v>
      </c>
      <c r="AY191" s="68">
        <v>60</v>
      </c>
      <c r="AZ191" s="36">
        <v>230</v>
      </c>
      <c r="BA191" s="68">
        <v>62</v>
      </c>
      <c r="BB191" s="68">
        <v>66</v>
      </c>
      <c r="BC191" s="68">
        <v>69</v>
      </c>
      <c r="BD191" s="68">
        <v>63</v>
      </c>
      <c r="BE191" s="36">
        <v>260</v>
      </c>
      <c r="BF191" s="68">
        <v>71</v>
      </c>
      <c r="BG191" s="68">
        <v>68</v>
      </c>
      <c r="BH191" s="68">
        <v>69</v>
      </c>
    </row>
    <row r="192" spans="1:60" ht="10.199999999999999" customHeight="1">
      <c r="A192" s="69" t="s">
        <v>7</v>
      </c>
      <c r="B192" s="23"/>
      <c r="C192" s="71"/>
      <c r="D192" s="71"/>
      <c r="E192" s="71"/>
      <c r="F192" s="71"/>
      <c r="G192" s="23"/>
      <c r="H192" s="71"/>
      <c r="I192" s="71"/>
      <c r="J192" s="71"/>
      <c r="K192" s="71"/>
      <c r="L192" s="23"/>
      <c r="M192" s="71"/>
      <c r="N192" s="71"/>
      <c r="O192" s="71"/>
      <c r="P192" s="71"/>
      <c r="Q192" s="23"/>
      <c r="R192" s="71"/>
      <c r="S192" s="71"/>
      <c r="T192" s="71"/>
      <c r="U192" s="71"/>
      <c r="V192" s="23"/>
      <c r="W192" s="71"/>
      <c r="X192" s="71"/>
      <c r="Y192" s="71"/>
      <c r="Z192" s="71"/>
      <c r="AA192" s="23"/>
      <c r="AB192" s="71"/>
      <c r="AC192" s="71"/>
      <c r="AD192" s="71"/>
      <c r="AE192" s="71"/>
      <c r="AF192" s="23"/>
      <c r="AG192" s="71"/>
      <c r="AH192" s="71"/>
      <c r="AI192" s="71"/>
      <c r="AJ192" s="71"/>
      <c r="AK192" s="23"/>
      <c r="AL192" s="70"/>
      <c r="AM192" s="70">
        <v>-0.10416666666666663</v>
      </c>
      <c r="AN192" s="70">
        <v>6.9767441860465018E-2</v>
      </c>
      <c r="AO192" s="70">
        <v>0</v>
      </c>
      <c r="AP192" s="23"/>
      <c r="AQ192" s="70">
        <v>8.6956521739130377E-2</v>
      </c>
      <c r="AR192" s="70">
        <v>-4.0000000000000036E-2</v>
      </c>
      <c r="AS192" s="70">
        <v>8.3333333333333259E-2</v>
      </c>
      <c r="AT192" s="70">
        <v>1.9230769230769162E-2</v>
      </c>
      <c r="AU192" s="23"/>
      <c r="AV192" s="70">
        <v>5.6603773584905648E-2</v>
      </c>
      <c r="AW192" s="70">
        <v>1.7857142857142794E-2</v>
      </c>
      <c r="AX192" s="70">
        <v>0</v>
      </c>
      <c r="AY192" s="70">
        <v>5.2631578947368363E-2</v>
      </c>
      <c r="AZ192" s="23"/>
      <c r="BA192" s="70">
        <v>3.3333333333333437E-2</v>
      </c>
      <c r="BB192" s="70">
        <v>6.4516129032258007E-2</v>
      </c>
      <c r="BC192" s="70">
        <v>4.5454545454545414E-2</v>
      </c>
      <c r="BD192" s="70">
        <v>-8.6956521739130488E-2</v>
      </c>
      <c r="BE192" s="23"/>
      <c r="BF192" s="70">
        <v>0.12698412698412698</v>
      </c>
      <c r="BG192" s="70">
        <v>-4.2253521126760618E-2</v>
      </c>
      <c r="BH192" s="70">
        <v>1.4705882352941124E-2</v>
      </c>
    </row>
    <row r="193" spans="1:60" ht="12.6" customHeight="1">
      <c r="A193" s="69" t="s">
        <v>8</v>
      </c>
      <c r="B193" s="23"/>
      <c r="C193" s="71"/>
      <c r="D193" s="71"/>
      <c r="E193" s="71"/>
      <c r="F193" s="71"/>
      <c r="G193" s="23"/>
      <c r="H193" s="71"/>
      <c r="I193" s="71"/>
      <c r="J193" s="71"/>
      <c r="K193" s="71"/>
      <c r="L193" s="23"/>
      <c r="M193" s="71"/>
      <c r="N193" s="71"/>
      <c r="O193" s="71"/>
      <c r="P193" s="71"/>
      <c r="Q193" s="23"/>
      <c r="R193" s="71"/>
      <c r="S193" s="71"/>
      <c r="T193" s="71"/>
      <c r="U193" s="71"/>
      <c r="V193" s="23"/>
      <c r="W193" s="71"/>
      <c r="X193" s="71"/>
      <c r="Y193" s="71"/>
      <c r="Z193" s="71"/>
      <c r="AA193" s="23"/>
      <c r="AB193" s="71"/>
      <c r="AC193" s="71"/>
      <c r="AD193" s="71"/>
      <c r="AE193" s="71"/>
      <c r="AF193" s="23"/>
      <c r="AG193" s="71"/>
      <c r="AH193" s="71"/>
      <c r="AI193" s="71"/>
      <c r="AJ193" s="71"/>
      <c r="AK193" s="23"/>
      <c r="AL193" s="71"/>
      <c r="AM193" s="71"/>
      <c r="AN193" s="71"/>
      <c r="AO193" s="71"/>
      <c r="AP193" s="23"/>
      <c r="AQ193" s="71">
        <v>4.1666666666666741E-2</v>
      </c>
      <c r="AR193" s="71">
        <v>0.11627906976744184</v>
      </c>
      <c r="AS193" s="71">
        <v>0.13043478260869557</v>
      </c>
      <c r="AT193" s="71">
        <v>0.15217391304347827</v>
      </c>
      <c r="AU193" s="23">
        <v>0.10326086956521729</v>
      </c>
      <c r="AV193" s="71">
        <v>0.12000000000000011</v>
      </c>
      <c r="AW193" s="71">
        <v>0.1875</v>
      </c>
      <c r="AX193" s="71">
        <v>9.6153846153846256E-2</v>
      </c>
      <c r="AY193" s="71">
        <v>0.13207547169811318</v>
      </c>
      <c r="AZ193" s="23">
        <v>0.13300492610837433</v>
      </c>
      <c r="BA193" s="71">
        <v>0.10714285714285721</v>
      </c>
      <c r="BB193" s="71">
        <v>0.15789473684210531</v>
      </c>
      <c r="BC193" s="71">
        <v>0.21052631578947367</v>
      </c>
      <c r="BD193" s="71">
        <v>5.0000000000000044E-2</v>
      </c>
      <c r="BE193" s="23">
        <v>0.13043478260869557</v>
      </c>
      <c r="BF193" s="71">
        <v>0.14516129032258074</v>
      </c>
      <c r="BG193" s="71">
        <v>3.0303030303030276E-2</v>
      </c>
      <c r="BH193" s="71">
        <v>0</v>
      </c>
    </row>
    <row r="194" spans="1:60" ht="10.5" customHeight="1">
      <c r="A194" s="67" t="s">
        <v>240</v>
      </c>
      <c r="B194" s="36">
        <v>342</v>
      </c>
      <c r="C194" s="78" t="s">
        <v>49</v>
      </c>
      <c r="D194" s="78" t="s">
        <v>49</v>
      </c>
      <c r="E194" s="78" t="s">
        <v>49</v>
      </c>
      <c r="F194" s="78" t="s">
        <v>49</v>
      </c>
      <c r="G194" s="36">
        <v>325</v>
      </c>
      <c r="H194" s="68">
        <v>73</v>
      </c>
      <c r="I194" s="68">
        <v>67</v>
      </c>
      <c r="J194" s="68">
        <v>62</v>
      </c>
      <c r="K194" s="68">
        <f>L194-J194-I194-H194</f>
        <v>54</v>
      </c>
      <c r="L194" s="36">
        <v>256</v>
      </c>
      <c r="M194" s="68">
        <v>60</v>
      </c>
      <c r="N194" s="68">
        <v>56</v>
      </c>
      <c r="O194" s="68">
        <v>67</v>
      </c>
      <c r="P194" s="68">
        <f>Q194-O194-N194-M194</f>
        <v>61</v>
      </c>
      <c r="Q194" s="36">
        <v>244</v>
      </c>
      <c r="R194" s="68">
        <v>68</v>
      </c>
      <c r="S194" s="68">
        <v>61</v>
      </c>
      <c r="T194" s="68">
        <v>59</v>
      </c>
      <c r="U194" s="68">
        <f>V194-T194-S194-R194</f>
        <v>44</v>
      </c>
      <c r="V194" s="36">
        <v>232</v>
      </c>
      <c r="W194" s="68">
        <v>70</v>
      </c>
      <c r="X194" s="68">
        <v>57</v>
      </c>
      <c r="Y194" s="68">
        <v>58</v>
      </c>
      <c r="Z194" s="68">
        <f>AA194-Y194-X194-W194</f>
        <v>49</v>
      </c>
      <c r="AA194" s="36">
        <v>234</v>
      </c>
      <c r="AB194" s="68">
        <v>62</v>
      </c>
      <c r="AC194" s="68">
        <v>56</v>
      </c>
      <c r="AD194" s="68">
        <v>53</v>
      </c>
      <c r="AE194" s="68">
        <f>AF194-AD194-AC194-AB194</f>
        <v>59</v>
      </c>
      <c r="AF194" s="36">
        <v>230</v>
      </c>
      <c r="AG194" s="68">
        <v>60</v>
      </c>
      <c r="AH194" s="68">
        <v>58</v>
      </c>
      <c r="AI194" s="68">
        <v>59</v>
      </c>
      <c r="AJ194" s="68">
        <f>AK194-AI194-AH194-AG194</f>
        <v>56</v>
      </c>
      <c r="AK194" s="36">
        <v>233</v>
      </c>
      <c r="AL194" s="68">
        <v>61</v>
      </c>
      <c r="AM194" s="68">
        <v>58</v>
      </c>
      <c r="AN194" s="68">
        <v>54</v>
      </c>
      <c r="AO194" s="68">
        <v>48</v>
      </c>
      <c r="AP194" s="36">
        <v>221</v>
      </c>
      <c r="AQ194" s="68">
        <v>61</v>
      </c>
      <c r="AR194" s="68">
        <v>59</v>
      </c>
      <c r="AS194" s="68">
        <v>54</v>
      </c>
      <c r="AT194" s="68">
        <v>45</v>
      </c>
      <c r="AU194" s="36">
        <v>219</v>
      </c>
      <c r="AV194" s="68">
        <v>56</v>
      </c>
      <c r="AW194" s="68">
        <v>56</v>
      </c>
      <c r="AX194" s="68">
        <v>56</v>
      </c>
      <c r="AY194" s="68">
        <v>46</v>
      </c>
      <c r="AZ194" s="36">
        <v>214</v>
      </c>
      <c r="BA194" s="68">
        <v>56</v>
      </c>
      <c r="BB194" s="68">
        <v>60</v>
      </c>
      <c r="BC194" s="68">
        <v>48</v>
      </c>
      <c r="BD194" s="68">
        <v>43</v>
      </c>
      <c r="BE194" s="36">
        <v>207</v>
      </c>
      <c r="BF194" s="68">
        <v>60</v>
      </c>
      <c r="BG194" s="68">
        <v>54</v>
      </c>
      <c r="BH194" s="68">
        <v>59</v>
      </c>
    </row>
    <row r="195" spans="1:60" ht="10.199999999999999" customHeight="1">
      <c r="A195" s="69" t="s">
        <v>7</v>
      </c>
      <c r="B195" s="23"/>
      <c r="C195" s="70"/>
      <c r="D195" s="70"/>
      <c r="E195" s="70"/>
      <c r="F195" s="70"/>
      <c r="G195" s="23"/>
      <c r="H195" s="70"/>
      <c r="I195" s="70">
        <f>I194/H194-1</f>
        <v>-8.2191780821917804E-2</v>
      </c>
      <c r="J195" s="70">
        <f>J194/I194-1</f>
        <v>-7.4626865671641784E-2</v>
      </c>
      <c r="K195" s="70">
        <f>K194/J194-1</f>
        <v>-0.12903225806451613</v>
      </c>
      <c r="L195" s="23"/>
      <c r="M195" s="70">
        <f>M194/K194-1</f>
        <v>0.11111111111111116</v>
      </c>
      <c r="N195" s="70">
        <f>N194/M194-1</f>
        <v>-6.6666666666666652E-2</v>
      </c>
      <c r="O195" s="70">
        <f>O194/N194-1</f>
        <v>0.1964285714285714</v>
      </c>
      <c r="P195" s="70">
        <f>P194/O194-1</f>
        <v>-8.9552238805970186E-2</v>
      </c>
      <c r="Q195" s="23"/>
      <c r="R195" s="70">
        <f>R194/P194-1</f>
        <v>0.11475409836065564</v>
      </c>
      <c r="S195" s="70">
        <f>S194/R194-1</f>
        <v>-0.1029411764705882</v>
      </c>
      <c r="T195" s="70">
        <f>T194/S194-1</f>
        <v>-3.2786885245901676E-2</v>
      </c>
      <c r="U195" s="70">
        <f>U194/T194-1</f>
        <v>-0.25423728813559321</v>
      </c>
      <c r="V195" s="23"/>
      <c r="W195" s="70">
        <f>W194/U194-1</f>
        <v>0.59090909090909083</v>
      </c>
      <c r="X195" s="70">
        <f>X194/W194-1</f>
        <v>-0.18571428571428572</v>
      </c>
      <c r="Y195" s="70">
        <f>Y194/X194-1</f>
        <v>1.7543859649122862E-2</v>
      </c>
      <c r="Z195" s="70">
        <f>Z194/Y194-1</f>
        <v>-0.15517241379310343</v>
      </c>
      <c r="AA195" s="23"/>
      <c r="AB195" s="70">
        <f>AB194/Z194-1</f>
        <v>0.26530612244897966</v>
      </c>
      <c r="AC195" s="70">
        <f>AC194/AB194-1</f>
        <v>-9.6774193548387122E-2</v>
      </c>
      <c r="AD195" s="70">
        <f>AD194/AC194-1</f>
        <v>-5.3571428571428603E-2</v>
      </c>
      <c r="AE195" s="70">
        <f>AE194/AD194-1</f>
        <v>0.1132075471698113</v>
      </c>
      <c r="AF195" s="23"/>
      <c r="AG195" s="70">
        <f>AG194/AE194-1</f>
        <v>1.6949152542372836E-2</v>
      </c>
      <c r="AH195" s="70">
        <f>AH194/AG194-1</f>
        <v>-3.3333333333333326E-2</v>
      </c>
      <c r="AI195" s="70">
        <f>AI194/AH194-1</f>
        <v>1.7241379310344751E-2</v>
      </c>
      <c r="AJ195" s="70">
        <f>AJ194/AI194-1</f>
        <v>-5.084745762711862E-2</v>
      </c>
      <c r="AK195" s="23"/>
      <c r="AL195" s="70">
        <v>8.9285714285714191E-2</v>
      </c>
      <c r="AM195" s="70">
        <v>-4.9180327868852514E-2</v>
      </c>
      <c r="AN195" s="70">
        <v>-6.8965517241379337E-2</v>
      </c>
      <c r="AO195" s="70">
        <v>-0.11111111111111116</v>
      </c>
      <c r="AP195" s="23"/>
      <c r="AQ195" s="70">
        <v>0.27083333333333326</v>
      </c>
      <c r="AR195" s="70">
        <v>-3.2786885245901676E-2</v>
      </c>
      <c r="AS195" s="70">
        <v>-8.4745762711864403E-2</v>
      </c>
      <c r="AT195" s="70">
        <v>-0.16666666666666663</v>
      </c>
      <c r="AU195" s="23"/>
      <c r="AV195" s="70">
        <v>0.24444444444444446</v>
      </c>
      <c r="AW195" s="70">
        <v>0</v>
      </c>
      <c r="AX195" s="70">
        <v>0</v>
      </c>
      <c r="AY195" s="70">
        <v>-0.1785714285714286</v>
      </c>
      <c r="AZ195" s="23"/>
      <c r="BA195" s="70">
        <v>0.21739130434782616</v>
      </c>
      <c r="BB195" s="70">
        <v>7.1428571428571397E-2</v>
      </c>
      <c r="BC195" s="70">
        <v>-0.19999999999999996</v>
      </c>
      <c r="BD195" s="70">
        <v>-0.10416666666666663</v>
      </c>
      <c r="BE195" s="23"/>
      <c r="BF195" s="70">
        <v>0.39534883720930236</v>
      </c>
      <c r="BG195" s="70">
        <v>-9.9999999999999978E-2</v>
      </c>
      <c r="BH195" s="70">
        <v>9.259259259259256E-2</v>
      </c>
    </row>
    <row r="196" spans="1:60" ht="10.5" customHeight="1">
      <c r="A196" s="69" t="s">
        <v>8</v>
      </c>
      <c r="B196" s="23"/>
      <c r="C196" s="71"/>
      <c r="D196" s="71"/>
      <c r="E196" s="71"/>
      <c r="F196" s="71"/>
      <c r="G196" s="23">
        <f>G194/B194-1</f>
        <v>-4.9707602339181256E-2</v>
      </c>
      <c r="H196" s="71"/>
      <c r="I196" s="71"/>
      <c r="J196" s="71"/>
      <c r="K196" s="71"/>
      <c r="L196" s="23">
        <f t="shared" ref="L196:R196" si="102">L194/G194-1</f>
        <v>-0.21230769230769231</v>
      </c>
      <c r="M196" s="71">
        <f t="shared" si="102"/>
        <v>-0.17808219178082196</v>
      </c>
      <c r="N196" s="71">
        <f t="shared" si="102"/>
        <v>-0.16417910447761197</v>
      </c>
      <c r="O196" s="71">
        <f t="shared" si="102"/>
        <v>8.0645161290322509E-2</v>
      </c>
      <c r="P196" s="71">
        <f t="shared" si="102"/>
        <v>0.12962962962962954</v>
      </c>
      <c r="Q196" s="23">
        <f t="shared" si="102"/>
        <v>-4.6875E-2</v>
      </c>
      <c r="R196" s="71">
        <f t="shared" si="102"/>
        <v>0.1333333333333333</v>
      </c>
      <c r="S196" s="71">
        <f t="shared" ref="S196:Y196" si="103">S194/N194-1</f>
        <v>8.9285714285714191E-2</v>
      </c>
      <c r="T196" s="71">
        <f t="shared" si="103"/>
        <v>-0.11940298507462688</v>
      </c>
      <c r="U196" s="71">
        <f t="shared" si="103"/>
        <v>-0.27868852459016391</v>
      </c>
      <c r="V196" s="23">
        <f t="shared" si="103"/>
        <v>-4.9180327868852514E-2</v>
      </c>
      <c r="W196" s="71">
        <f t="shared" si="103"/>
        <v>2.9411764705882248E-2</v>
      </c>
      <c r="X196" s="71">
        <f t="shared" si="103"/>
        <v>-6.557377049180324E-2</v>
      </c>
      <c r="Y196" s="71">
        <f t="shared" si="103"/>
        <v>-1.6949152542372836E-2</v>
      </c>
      <c r="Z196" s="71">
        <f t="shared" ref="Z196:AI196" si="104">Z194/U194-1</f>
        <v>0.11363636363636354</v>
      </c>
      <c r="AA196" s="23">
        <f t="shared" si="104"/>
        <v>8.6206896551723755E-3</v>
      </c>
      <c r="AB196" s="71">
        <f t="shared" si="104"/>
        <v>-0.11428571428571432</v>
      </c>
      <c r="AC196" s="71">
        <f t="shared" si="104"/>
        <v>-1.7543859649122862E-2</v>
      </c>
      <c r="AD196" s="71">
        <f t="shared" si="104"/>
        <v>-8.6206896551724088E-2</v>
      </c>
      <c r="AE196" s="71">
        <f t="shared" si="104"/>
        <v>0.20408163265306123</v>
      </c>
      <c r="AF196" s="23">
        <f t="shared" si="104"/>
        <v>-1.7094017094017144E-2</v>
      </c>
      <c r="AG196" s="71">
        <f t="shared" si="104"/>
        <v>-3.2258064516129004E-2</v>
      </c>
      <c r="AH196" s="71">
        <f t="shared" si="104"/>
        <v>3.5714285714285809E-2</v>
      </c>
      <c r="AI196" s="71">
        <f t="shared" si="104"/>
        <v>0.1132075471698113</v>
      </c>
      <c r="AJ196" s="71">
        <f t="shared" ref="AJ196" si="105">AJ194/AE194-1</f>
        <v>-5.084745762711862E-2</v>
      </c>
      <c r="AK196" s="23">
        <v>1.304347826086949E-2</v>
      </c>
      <c r="AL196" s="71">
        <v>1.6666666666666607E-2</v>
      </c>
      <c r="AM196" s="71">
        <v>0</v>
      </c>
      <c r="AN196" s="71">
        <v>-8.4745762711864403E-2</v>
      </c>
      <c r="AO196" s="71">
        <v>-0.1428571428571429</v>
      </c>
      <c r="AP196" s="23">
        <v>-5.1502145922746823E-2</v>
      </c>
      <c r="AQ196" s="71">
        <v>0</v>
      </c>
      <c r="AR196" s="71">
        <v>1.7241379310344751E-2</v>
      </c>
      <c r="AS196" s="71">
        <v>0</v>
      </c>
      <c r="AT196" s="71">
        <v>-6.25E-2</v>
      </c>
      <c r="AU196" s="23">
        <v>-9.0497737556560764E-3</v>
      </c>
      <c r="AV196" s="71">
        <v>-8.1967213114754078E-2</v>
      </c>
      <c r="AW196" s="71">
        <v>-5.084745762711862E-2</v>
      </c>
      <c r="AX196" s="71">
        <v>3.7037037037036979E-2</v>
      </c>
      <c r="AY196" s="71">
        <v>2.2222222222222143E-2</v>
      </c>
      <c r="AZ196" s="23">
        <v>-2.2831050228310557E-2</v>
      </c>
      <c r="BA196" s="71">
        <v>0</v>
      </c>
      <c r="BB196" s="71">
        <v>7.1428571428571397E-2</v>
      </c>
      <c r="BC196" s="71">
        <v>-0.1428571428571429</v>
      </c>
      <c r="BD196" s="71">
        <v>-6.5217391304347783E-2</v>
      </c>
      <c r="BE196" s="23">
        <v>-3.2710280373831724E-2</v>
      </c>
      <c r="BF196" s="71">
        <v>7.1428571428571397E-2</v>
      </c>
      <c r="BG196" s="71">
        <v>-9.9999999999999978E-2</v>
      </c>
      <c r="BH196" s="71">
        <v>0.22916666666666674</v>
      </c>
    </row>
    <row r="197" spans="1:60" ht="3" customHeight="1">
      <c r="A197" s="39"/>
      <c r="B197" s="40"/>
      <c r="C197" s="41"/>
      <c r="D197" s="41"/>
      <c r="E197" s="41"/>
      <c r="F197" s="41"/>
      <c r="G197" s="40"/>
      <c r="H197" s="41"/>
      <c r="I197" s="41"/>
      <c r="J197" s="41"/>
      <c r="K197" s="41"/>
      <c r="L197" s="40"/>
      <c r="M197" s="41"/>
      <c r="N197" s="41"/>
      <c r="O197" s="41"/>
      <c r="P197" s="41"/>
      <c r="Q197" s="40"/>
      <c r="R197" s="41"/>
      <c r="S197" s="41"/>
      <c r="T197" s="41"/>
      <c r="U197" s="41"/>
      <c r="V197" s="40"/>
      <c r="W197" s="41"/>
      <c r="X197" s="41"/>
      <c r="Y197" s="41"/>
      <c r="Z197" s="41"/>
      <c r="AA197" s="40"/>
      <c r="AB197" s="41"/>
      <c r="AC197" s="41"/>
      <c r="AD197" s="41"/>
      <c r="AE197" s="41"/>
      <c r="AF197" s="40"/>
      <c r="AG197" s="41"/>
      <c r="AH197" s="41"/>
      <c r="AI197" s="41"/>
      <c r="AJ197" s="41"/>
      <c r="AK197" s="40"/>
      <c r="AL197" s="41"/>
      <c r="AM197" s="41"/>
      <c r="AN197" s="41"/>
      <c r="AO197" s="41"/>
      <c r="AP197" s="40"/>
      <c r="AQ197" s="41"/>
      <c r="AR197" s="41"/>
      <c r="AS197" s="41"/>
      <c r="AT197" s="41"/>
      <c r="AU197" s="40"/>
      <c r="AV197" s="41"/>
      <c r="AW197" s="41"/>
      <c r="AX197" s="41"/>
      <c r="AY197" s="41"/>
      <c r="AZ197" s="40"/>
      <c r="BA197" s="41"/>
      <c r="BB197" s="41"/>
      <c r="BC197" s="41"/>
      <c r="BD197" s="41"/>
      <c r="BE197" s="40"/>
      <c r="BF197" s="41"/>
      <c r="BG197" s="41"/>
      <c r="BH197" s="41"/>
    </row>
    <row r="198" spans="1:60">
      <c r="A198" s="67" t="s">
        <v>131</v>
      </c>
      <c r="B198" s="119" t="s">
        <v>41</v>
      </c>
      <c r="C198" s="78" t="s">
        <v>49</v>
      </c>
      <c r="D198" s="78" t="s">
        <v>49</v>
      </c>
      <c r="E198" s="78" t="s">
        <v>49</v>
      </c>
      <c r="F198" s="78" t="s">
        <v>49</v>
      </c>
      <c r="G198" s="36">
        <v>3303</v>
      </c>
      <c r="H198" s="78" t="s">
        <v>49</v>
      </c>
      <c r="I198" s="78" t="s">
        <v>49</v>
      </c>
      <c r="J198" s="78" t="s">
        <v>49</v>
      </c>
      <c r="K198" s="78" t="s">
        <v>49</v>
      </c>
      <c r="L198" s="36">
        <v>3165</v>
      </c>
      <c r="M198" s="78" t="s">
        <v>49</v>
      </c>
      <c r="N198" s="78" t="s">
        <v>49</v>
      </c>
      <c r="O198" s="78" t="s">
        <v>49</v>
      </c>
      <c r="P198" s="78" t="s">
        <v>49</v>
      </c>
      <c r="Q198" s="36">
        <v>3128</v>
      </c>
      <c r="R198" s="78" t="s">
        <v>49</v>
      </c>
      <c r="S198" s="78" t="s">
        <v>49</v>
      </c>
      <c r="T198" s="78" t="s">
        <v>49</v>
      </c>
      <c r="U198" s="78" t="s">
        <v>49</v>
      </c>
      <c r="V198" s="36">
        <v>2777</v>
      </c>
      <c r="W198" s="78" t="s">
        <v>49</v>
      </c>
      <c r="X198" s="78" t="s">
        <v>49</v>
      </c>
      <c r="Y198" s="78" t="s">
        <v>49</v>
      </c>
      <c r="Z198" s="78" t="s">
        <v>49</v>
      </c>
      <c r="AA198" s="36">
        <v>2716</v>
      </c>
      <c r="AB198" s="78" t="s">
        <v>49</v>
      </c>
      <c r="AC198" s="78" t="s">
        <v>49</v>
      </c>
      <c r="AD198" s="78" t="s">
        <v>49</v>
      </c>
      <c r="AE198" s="78" t="s">
        <v>49</v>
      </c>
      <c r="AF198" s="36">
        <v>2605</v>
      </c>
      <c r="AG198" s="78" t="s">
        <v>49</v>
      </c>
      <c r="AH198" s="78" t="s">
        <v>49</v>
      </c>
      <c r="AI198" s="78" t="s">
        <v>49</v>
      </c>
      <c r="AJ198" s="78" t="s">
        <v>49</v>
      </c>
      <c r="AK198" s="36">
        <v>2498</v>
      </c>
      <c r="AL198" s="78" t="s">
        <v>49</v>
      </c>
      <c r="AM198" s="78" t="s">
        <v>49</v>
      </c>
      <c r="AN198" s="78" t="s">
        <v>49</v>
      </c>
      <c r="AO198" s="78" t="s">
        <v>49</v>
      </c>
      <c r="AP198" s="36">
        <v>2507</v>
      </c>
      <c r="AQ198" s="78" t="s">
        <v>49</v>
      </c>
      <c r="AR198" s="78" t="s">
        <v>49</v>
      </c>
      <c r="AS198" s="78" t="s">
        <v>49</v>
      </c>
      <c r="AT198" s="78" t="s">
        <v>49</v>
      </c>
      <c r="AU198" s="36">
        <v>2329</v>
      </c>
      <c r="AV198" s="78" t="s">
        <v>49</v>
      </c>
      <c r="AW198" s="78" t="s">
        <v>49</v>
      </c>
      <c r="AX198" s="78" t="s">
        <v>49</v>
      </c>
      <c r="AY198" s="78" t="s">
        <v>49</v>
      </c>
      <c r="AZ198" s="36">
        <v>2232</v>
      </c>
      <c r="BA198" s="78" t="s">
        <v>49</v>
      </c>
      <c r="BB198" s="78" t="s">
        <v>49</v>
      </c>
      <c r="BC198" s="78" t="s">
        <v>49</v>
      </c>
      <c r="BD198" s="78" t="s">
        <v>49</v>
      </c>
      <c r="BE198" s="36">
        <v>2101</v>
      </c>
      <c r="BF198" s="78" t="s">
        <v>49</v>
      </c>
      <c r="BG198" s="78" t="s">
        <v>49</v>
      </c>
      <c r="BH198" s="78" t="s">
        <v>49</v>
      </c>
    </row>
    <row r="199" spans="1:60" ht="11.25" customHeight="1">
      <c r="A199" s="69" t="s">
        <v>133</v>
      </c>
      <c r="B199" s="23"/>
      <c r="C199" s="71"/>
      <c r="D199" s="71"/>
      <c r="E199" s="71"/>
      <c r="F199" s="71"/>
      <c r="G199" s="23">
        <f>G198/G179</f>
        <v>0.70157323495248314</v>
      </c>
      <c r="H199" s="71"/>
      <c r="I199" s="71"/>
      <c r="J199" s="71"/>
      <c r="K199" s="71"/>
      <c r="L199" s="23">
        <f>L198/L179</f>
        <v>0.59683198189703945</v>
      </c>
      <c r="M199" s="71"/>
      <c r="N199" s="71"/>
      <c r="O199" s="71"/>
      <c r="P199" s="71"/>
      <c r="Q199" s="23">
        <f>Q198/Q179</f>
        <v>0.59433783013490404</v>
      </c>
      <c r="R199" s="71"/>
      <c r="S199" s="71"/>
      <c r="T199" s="71"/>
      <c r="U199" s="71"/>
      <c r="V199" s="23">
        <f>V198/V179</f>
        <v>0.59746127366609292</v>
      </c>
      <c r="W199" s="71"/>
      <c r="X199" s="71"/>
      <c r="Y199" s="71"/>
      <c r="Z199" s="71"/>
      <c r="AA199" s="23">
        <f>AA198/AA179</f>
        <v>0.58660907127429807</v>
      </c>
      <c r="AB199" s="71"/>
      <c r="AC199" s="71"/>
      <c r="AD199" s="71"/>
      <c r="AE199" s="71"/>
      <c r="AF199" s="23">
        <f>AF198/AF179</f>
        <v>0.58173291648057168</v>
      </c>
      <c r="AG199" s="71"/>
      <c r="AH199" s="71"/>
      <c r="AI199" s="71"/>
      <c r="AJ199" s="71"/>
      <c r="AK199" s="23">
        <v>0.57864257586286771</v>
      </c>
      <c r="AL199" s="71"/>
      <c r="AM199" s="71"/>
      <c r="AN199" s="71"/>
      <c r="AO199" s="71"/>
      <c r="AP199" s="23">
        <v>0.56886771046063078</v>
      </c>
      <c r="AQ199" s="71"/>
      <c r="AR199" s="71"/>
      <c r="AS199" s="71"/>
      <c r="AT199" s="71"/>
      <c r="AU199" s="23">
        <v>0.53137120693588868</v>
      </c>
      <c r="AV199" s="71"/>
      <c r="AW199" s="71"/>
      <c r="AX199" s="71"/>
      <c r="AY199" s="71"/>
      <c r="AZ199" s="23">
        <v>0.52591894439208298</v>
      </c>
      <c r="BA199" s="71"/>
      <c r="BB199" s="71"/>
      <c r="BC199" s="71"/>
      <c r="BD199" s="71"/>
      <c r="BE199" s="23">
        <v>0.50071496663489035</v>
      </c>
      <c r="BF199" s="71"/>
      <c r="BG199" s="71"/>
      <c r="BH199" s="71"/>
    </row>
    <row r="200" spans="1:60">
      <c r="A200" s="67" t="s">
        <v>132</v>
      </c>
      <c r="B200" s="119" t="s">
        <v>41</v>
      </c>
      <c r="C200" s="78" t="s">
        <v>49</v>
      </c>
      <c r="D200" s="78" t="s">
        <v>49</v>
      </c>
      <c r="E200" s="78" t="s">
        <v>49</v>
      </c>
      <c r="F200" s="78" t="s">
        <v>49</v>
      </c>
      <c r="G200" s="36">
        <v>2195</v>
      </c>
      <c r="H200" s="78" t="s">
        <v>49</v>
      </c>
      <c r="I200" s="78" t="s">
        <v>49</v>
      </c>
      <c r="J200" s="78" t="s">
        <v>49</v>
      </c>
      <c r="K200" s="78" t="s">
        <v>49</v>
      </c>
      <c r="L200" s="36">
        <v>2138</v>
      </c>
      <c r="M200" s="78" t="s">
        <v>49</v>
      </c>
      <c r="N200" s="78" t="s">
        <v>49</v>
      </c>
      <c r="O200" s="78" t="s">
        <v>49</v>
      </c>
      <c r="P200" s="78" t="s">
        <v>49</v>
      </c>
      <c r="Q200" s="36">
        <v>2134</v>
      </c>
      <c r="R200" s="78" t="s">
        <v>49</v>
      </c>
      <c r="S200" s="78" t="s">
        <v>49</v>
      </c>
      <c r="T200" s="78" t="s">
        <v>49</v>
      </c>
      <c r="U200" s="78" t="s">
        <v>49</v>
      </c>
      <c r="V200" s="36">
        <v>1871</v>
      </c>
      <c r="W200" s="78" t="s">
        <v>49</v>
      </c>
      <c r="X200" s="78" t="s">
        <v>49</v>
      </c>
      <c r="Y200" s="78" t="s">
        <v>49</v>
      </c>
      <c r="Z200" s="78" t="s">
        <v>49</v>
      </c>
      <c r="AA200" s="36">
        <v>1914</v>
      </c>
      <c r="AB200" s="78" t="s">
        <v>49</v>
      </c>
      <c r="AC200" s="78" t="s">
        <v>49</v>
      </c>
      <c r="AD200" s="78" t="s">
        <v>49</v>
      </c>
      <c r="AE200" s="78" t="s">
        <v>49</v>
      </c>
      <c r="AF200" s="36">
        <v>1873</v>
      </c>
      <c r="AG200" s="78" t="s">
        <v>49</v>
      </c>
      <c r="AH200" s="78" t="s">
        <v>49</v>
      </c>
      <c r="AI200" s="78" t="s">
        <v>49</v>
      </c>
      <c r="AJ200" s="78" t="s">
        <v>49</v>
      </c>
      <c r="AK200" s="36">
        <v>1819</v>
      </c>
      <c r="AL200" s="78" t="s">
        <v>49</v>
      </c>
      <c r="AM200" s="78" t="s">
        <v>49</v>
      </c>
      <c r="AN200" s="78" t="s">
        <v>49</v>
      </c>
      <c r="AO200" s="78" t="s">
        <v>49</v>
      </c>
      <c r="AP200" s="36">
        <v>1900</v>
      </c>
      <c r="AQ200" s="78" t="s">
        <v>49</v>
      </c>
      <c r="AR200" s="78" t="s">
        <v>49</v>
      </c>
      <c r="AS200" s="78" t="s">
        <v>49</v>
      </c>
      <c r="AT200" s="78" t="s">
        <v>49</v>
      </c>
      <c r="AU200" s="36">
        <v>2054</v>
      </c>
      <c r="AV200" s="78" t="s">
        <v>49</v>
      </c>
      <c r="AW200" s="78" t="s">
        <v>49</v>
      </c>
      <c r="AX200" s="78" t="s">
        <v>49</v>
      </c>
      <c r="AY200" s="78" t="s">
        <v>49</v>
      </c>
      <c r="AZ200" s="36">
        <v>2012</v>
      </c>
      <c r="BA200" s="78" t="s">
        <v>49</v>
      </c>
      <c r="BB200" s="78" t="s">
        <v>49</v>
      </c>
      <c r="BC200" s="78" t="s">
        <v>49</v>
      </c>
      <c r="BD200" s="78" t="s">
        <v>49</v>
      </c>
      <c r="BE200" s="36">
        <v>2095</v>
      </c>
      <c r="BF200" s="78" t="s">
        <v>49</v>
      </c>
      <c r="BG200" s="78" t="s">
        <v>49</v>
      </c>
      <c r="BH200" s="78" t="s">
        <v>49</v>
      </c>
    </row>
    <row r="201" spans="1:60" ht="11.25" customHeight="1">
      <c r="A201" s="69" t="s">
        <v>133</v>
      </c>
      <c r="B201" s="23"/>
      <c r="C201" s="71"/>
      <c r="D201" s="71"/>
      <c r="E201" s="71"/>
      <c r="F201" s="71"/>
      <c r="G201" s="23">
        <f>G200/G179</f>
        <v>0.46622865598567986</v>
      </c>
      <c r="H201" s="71"/>
      <c r="I201" s="71"/>
      <c r="J201" s="71"/>
      <c r="K201" s="71"/>
      <c r="L201" s="23">
        <f>L200/L179</f>
        <v>0.4031680181029606</v>
      </c>
      <c r="M201" s="71"/>
      <c r="N201" s="71"/>
      <c r="O201" s="71"/>
      <c r="P201" s="71"/>
      <c r="Q201" s="23">
        <f>Q200/Q179</f>
        <v>0.40547216416492493</v>
      </c>
      <c r="R201" s="71"/>
      <c r="S201" s="71"/>
      <c r="T201" s="71"/>
      <c r="U201" s="71"/>
      <c r="V201" s="23">
        <f>V200/V179</f>
        <v>0.40253872633390708</v>
      </c>
      <c r="W201" s="71"/>
      <c r="X201" s="71"/>
      <c r="Y201" s="71"/>
      <c r="Z201" s="71"/>
      <c r="AA201" s="23">
        <f>AA200/AA179</f>
        <v>0.41339092872570193</v>
      </c>
      <c r="AB201" s="71"/>
      <c r="AC201" s="71"/>
      <c r="AD201" s="71"/>
      <c r="AE201" s="71"/>
      <c r="AF201" s="23">
        <f>AF200/AF179</f>
        <v>0.41826708351942832</v>
      </c>
      <c r="AG201" s="71"/>
      <c r="AH201" s="71"/>
      <c r="AI201" s="71"/>
      <c r="AJ201" s="71"/>
      <c r="AK201" s="23">
        <v>0.42135742413713229</v>
      </c>
      <c r="AL201" s="71"/>
      <c r="AM201" s="71"/>
      <c r="AN201" s="71"/>
      <c r="AO201" s="71"/>
      <c r="AP201" s="23">
        <v>0.43113228953936916</v>
      </c>
      <c r="AQ201" s="71"/>
      <c r="AR201" s="71"/>
      <c r="AS201" s="71"/>
      <c r="AT201" s="71"/>
      <c r="AU201" s="23">
        <v>0.46862879306411132</v>
      </c>
      <c r="AV201" s="71"/>
      <c r="AW201" s="71"/>
      <c r="AX201" s="71"/>
      <c r="AY201" s="71"/>
      <c r="AZ201" s="23">
        <v>0.47408105560791708</v>
      </c>
      <c r="BA201" s="71"/>
      <c r="BB201" s="71"/>
      <c r="BC201" s="71"/>
      <c r="BD201" s="71"/>
      <c r="BE201" s="23">
        <v>0.49928503336510965</v>
      </c>
      <c r="BF201" s="71"/>
      <c r="BG201" s="71"/>
      <c r="BH201" s="71"/>
    </row>
    <row r="202" spans="1:60" ht="11.25" customHeight="1">
      <c r="A202" s="39" t="s">
        <v>72</v>
      </c>
      <c r="B202" s="40"/>
      <c r="C202" s="41"/>
      <c r="D202" s="41"/>
      <c r="E202" s="41"/>
      <c r="F202" s="41"/>
      <c r="G202" s="40"/>
      <c r="H202" s="41"/>
      <c r="I202" s="41"/>
      <c r="J202" s="41"/>
      <c r="K202" s="41"/>
      <c r="L202" s="40"/>
      <c r="M202" s="41"/>
      <c r="N202" s="41"/>
      <c r="O202" s="41"/>
      <c r="P202" s="41"/>
      <c r="Q202" s="40"/>
      <c r="R202" s="41"/>
      <c r="S202" s="41"/>
      <c r="T202" s="41"/>
      <c r="U202" s="41"/>
      <c r="V202" s="40"/>
      <c r="W202" s="41"/>
      <c r="X202" s="41"/>
      <c r="Y202" s="41"/>
      <c r="Z202" s="41"/>
      <c r="AA202" s="40"/>
      <c r="AB202" s="41"/>
      <c r="AC202" s="41"/>
      <c r="AD202" s="41"/>
      <c r="AE202" s="41"/>
      <c r="AF202" s="40"/>
      <c r="AG202" s="41"/>
      <c r="AH202" s="41"/>
      <c r="AI202" s="41"/>
      <c r="AJ202" s="41"/>
      <c r="AK202" s="40"/>
      <c r="AL202" s="41"/>
      <c r="AM202" s="41"/>
      <c r="AN202" s="41"/>
      <c r="AO202" s="41"/>
      <c r="AP202" s="40"/>
      <c r="AQ202" s="41"/>
      <c r="AR202" s="41"/>
      <c r="AS202" s="41"/>
      <c r="AT202" s="41"/>
      <c r="AU202" s="40"/>
      <c r="AV202" s="41"/>
      <c r="AW202" s="41"/>
      <c r="AX202" s="41"/>
      <c r="AY202" s="41"/>
      <c r="AZ202" s="40"/>
      <c r="BA202" s="41"/>
      <c r="BB202" s="41"/>
      <c r="BC202" s="41"/>
      <c r="BD202" s="41"/>
      <c r="BE202" s="40"/>
      <c r="BF202" s="41"/>
      <c r="BG202" s="41"/>
      <c r="BH202" s="41"/>
    </row>
    <row r="203" spans="1:60" s="35" customFormat="1">
      <c r="A203" s="67" t="s">
        <v>11</v>
      </c>
      <c r="B203" s="36">
        <v>941</v>
      </c>
      <c r="C203" s="68">
        <v>218</v>
      </c>
      <c r="D203" s="68">
        <v>211</v>
      </c>
      <c r="E203" s="68">
        <v>214</v>
      </c>
      <c r="F203" s="68">
        <f>G203-E203-D203-C203</f>
        <v>209</v>
      </c>
      <c r="G203" s="36">
        <v>852</v>
      </c>
      <c r="H203" s="68">
        <v>211</v>
      </c>
      <c r="I203" s="68">
        <v>205</v>
      </c>
      <c r="J203" s="68">
        <v>184</v>
      </c>
      <c r="K203" s="68">
        <f>L203-J203-I203-H203</f>
        <v>194</v>
      </c>
      <c r="L203" s="36">
        <v>794</v>
      </c>
      <c r="M203" s="68">
        <v>170</v>
      </c>
      <c r="N203" s="68">
        <v>171</v>
      </c>
      <c r="O203" s="68">
        <v>171</v>
      </c>
      <c r="P203" s="68">
        <f>Q203-O203-N203-M203</f>
        <v>178</v>
      </c>
      <c r="Q203" s="36">
        <v>690</v>
      </c>
      <c r="R203" s="68">
        <v>162</v>
      </c>
      <c r="S203" s="68">
        <v>171</v>
      </c>
      <c r="T203" s="68">
        <v>180</v>
      </c>
      <c r="U203" s="68">
        <f>V203-T203-S203-R203</f>
        <v>175</v>
      </c>
      <c r="V203" s="36">
        <v>688</v>
      </c>
      <c r="W203" s="68">
        <v>178</v>
      </c>
      <c r="X203" s="68">
        <v>178</v>
      </c>
      <c r="Y203" s="68">
        <v>185</v>
      </c>
      <c r="Z203" s="68">
        <f>AA203-Y203-X203-W203</f>
        <v>189</v>
      </c>
      <c r="AA203" s="36">
        <v>730</v>
      </c>
      <c r="AB203" s="68">
        <v>167</v>
      </c>
      <c r="AC203" s="68">
        <v>168</v>
      </c>
      <c r="AD203" s="68">
        <v>174</v>
      </c>
      <c r="AE203" s="68">
        <f>AF203-AD203-AC203-AB203</f>
        <v>174</v>
      </c>
      <c r="AF203" s="36">
        <v>683</v>
      </c>
      <c r="AG203" s="68">
        <v>168</v>
      </c>
      <c r="AH203" s="68">
        <v>172</v>
      </c>
      <c r="AI203" s="68">
        <v>178</v>
      </c>
      <c r="AJ203" s="68">
        <f>AK203-AI203-AH203-AG203</f>
        <v>170</v>
      </c>
      <c r="AK203" s="36">
        <v>688</v>
      </c>
      <c r="AL203" s="68">
        <v>176</v>
      </c>
      <c r="AM203" s="68">
        <v>180</v>
      </c>
      <c r="AN203" s="68">
        <v>184</v>
      </c>
      <c r="AO203" s="68">
        <v>185</v>
      </c>
      <c r="AP203" s="36">
        <v>725</v>
      </c>
      <c r="AQ203" s="68">
        <v>183</v>
      </c>
      <c r="AR203" s="68">
        <v>185</v>
      </c>
      <c r="AS203" s="68">
        <v>188</v>
      </c>
      <c r="AT203" s="68">
        <v>161</v>
      </c>
      <c r="AU203" s="36">
        <v>717</v>
      </c>
      <c r="AV203" s="68">
        <v>180</v>
      </c>
      <c r="AW203" s="68">
        <v>177</v>
      </c>
      <c r="AX203" s="68">
        <v>186</v>
      </c>
      <c r="AY203" s="68">
        <v>185</v>
      </c>
      <c r="AZ203" s="36">
        <v>728</v>
      </c>
      <c r="BA203" s="68">
        <v>204</v>
      </c>
      <c r="BB203" s="68">
        <v>211</v>
      </c>
      <c r="BC203" s="68">
        <v>218</v>
      </c>
      <c r="BD203" s="68">
        <v>217</v>
      </c>
      <c r="BE203" s="36">
        <v>850</v>
      </c>
      <c r="BF203" s="68">
        <v>207</v>
      </c>
      <c r="BG203" s="68">
        <v>204</v>
      </c>
      <c r="BH203" s="68">
        <v>225</v>
      </c>
    </row>
    <row r="204" spans="1:60" ht="9.75" customHeight="1">
      <c r="A204" s="69" t="s">
        <v>7</v>
      </c>
      <c r="B204" s="23"/>
      <c r="C204" s="70"/>
      <c r="D204" s="70">
        <f>D203/C203-1</f>
        <v>-3.2110091743119296E-2</v>
      </c>
      <c r="E204" s="70">
        <f>E203/D203-1</f>
        <v>1.4218009478673022E-2</v>
      </c>
      <c r="F204" s="70">
        <f>F203/E203-1</f>
        <v>-2.3364485981308358E-2</v>
      </c>
      <c r="G204" s="23"/>
      <c r="H204" s="70">
        <f>H203/F203-1</f>
        <v>9.5693779904306719E-3</v>
      </c>
      <c r="I204" s="70">
        <f>I203/H203-1</f>
        <v>-2.8436018957345932E-2</v>
      </c>
      <c r="J204" s="70">
        <f>J203/I203-1</f>
        <v>-0.10243902439024388</v>
      </c>
      <c r="K204" s="70">
        <f>K203/J203-1</f>
        <v>5.4347826086956541E-2</v>
      </c>
      <c r="L204" s="23"/>
      <c r="M204" s="70">
        <f>M203/K203-1</f>
        <v>-0.12371134020618557</v>
      </c>
      <c r="N204" s="70">
        <f>N203/M203-1</f>
        <v>5.8823529411764497E-3</v>
      </c>
      <c r="O204" s="70">
        <f>O203/N203-1</f>
        <v>0</v>
      </c>
      <c r="P204" s="70">
        <f>P203/O203-1</f>
        <v>4.0935672514619936E-2</v>
      </c>
      <c r="Q204" s="23"/>
      <c r="R204" s="70">
        <f>R203/P203-1</f>
        <v>-8.98876404494382E-2</v>
      </c>
      <c r="S204" s="70">
        <f>S203/R203-1</f>
        <v>5.555555555555558E-2</v>
      </c>
      <c r="T204" s="70">
        <f>T203/S203-1</f>
        <v>5.2631578947368363E-2</v>
      </c>
      <c r="U204" s="70">
        <f>U203/T203-1</f>
        <v>-2.777777777777779E-2</v>
      </c>
      <c r="V204" s="23"/>
      <c r="W204" s="70">
        <f>W203/U203-1</f>
        <v>1.7142857142857126E-2</v>
      </c>
      <c r="X204" s="70">
        <f>X203/W203-1</f>
        <v>0</v>
      </c>
      <c r="Y204" s="70">
        <f>Y203/X203-1</f>
        <v>3.9325842696629199E-2</v>
      </c>
      <c r="Z204" s="70">
        <f>Z203/Y203-1</f>
        <v>2.1621621621621623E-2</v>
      </c>
      <c r="AA204" s="23"/>
      <c r="AB204" s="70">
        <f>AB203/Z203-1</f>
        <v>-0.1164021164021164</v>
      </c>
      <c r="AC204" s="70">
        <f>AC203/AB203-1</f>
        <v>5.9880239520957446E-3</v>
      </c>
      <c r="AD204" s="70">
        <f>AD203/AC203-1</f>
        <v>3.5714285714285809E-2</v>
      </c>
      <c r="AE204" s="70">
        <f>AE203/AD203-1</f>
        <v>0</v>
      </c>
      <c r="AF204" s="23"/>
      <c r="AG204" s="70">
        <f>AG203/AE203-1</f>
        <v>-3.4482758620689613E-2</v>
      </c>
      <c r="AH204" s="70">
        <f>AH203/AG203-1</f>
        <v>2.3809523809523725E-2</v>
      </c>
      <c r="AI204" s="70">
        <f>AI203/AH203-1</f>
        <v>3.488372093023262E-2</v>
      </c>
      <c r="AJ204" s="70">
        <f>AJ203/AI203-1</f>
        <v>-4.49438202247191E-2</v>
      </c>
      <c r="AK204" s="23"/>
      <c r="AL204" s="70">
        <v>3.529411764705892E-2</v>
      </c>
      <c r="AM204" s="70">
        <v>2.2727272727272707E-2</v>
      </c>
      <c r="AN204" s="70">
        <v>2.2222222222222143E-2</v>
      </c>
      <c r="AO204" s="70">
        <v>5.4347826086955653E-3</v>
      </c>
      <c r="AP204" s="23"/>
      <c r="AQ204" s="70">
        <v>-1.0810810810810811E-2</v>
      </c>
      <c r="AR204" s="70">
        <v>1.0928961748633892E-2</v>
      </c>
      <c r="AS204" s="70">
        <v>1.6216216216216273E-2</v>
      </c>
      <c r="AT204" s="70">
        <v>-0.1436170212765957</v>
      </c>
      <c r="AU204" s="23"/>
      <c r="AV204" s="70">
        <v>0.11801242236024834</v>
      </c>
      <c r="AW204" s="70">
        <v>-1.6666666666666718E-2</v>
      </c>
      <c r="AX204" s="70">
        <v>5.0847457627118731E-2</v>
      </c>
      <c r="AY204" s="70">
        <v>-5.3763440860215006E-3</v>
      </c>
      <c r="AZ204" s="23"/>
      <c r="BA204" s="70">
        <v>0.10270270270270276</v>
      </c>
      <c r="BB204" s="70">
        <v>3.4313725490196179E-2</v>
      </c>
      <c r="BC204" s="70">
        <v>3.3175355450236976E-2</v>
      </c>
      <c r="BD204" s="70">
        <v>-4.5871559633027248E-3</v>
      </c>
      <c r="BE204" s="23"/>
      <c r="BF204" s="70">
        <v>-4.6082949308755783E-2</v>
      </c>
      <c r="BG204" s="70">
        <v>-1.4492753623188359E-2</v>
      </c>
      <c r="BH204" s="70">
        <v>0.10294117647058831</v>
      </c>
    </row>
    <row r="205" spans="1:60" ht="10.5" customHeight="1">
      <c r="A205" s="69" t="s">
        <v>8</v>
      </c>
      <c r="B205" s="23"/>
      <c r="C205" s="71"/>
      <c r="D205" s="71"/>
      <c r="E205" s="71"/>
      <c r="F205" s="71"/>
      <c r="G205" s="23">
        <f t="shared" ref="G205:N205" si="106">G203/B203-1</f>
        <v>-9.4580233793836399E-2</v>
      </c>
      <c r="H205" s="71">
        <f t="shared" si="106"/>
        <v>-3.2110091743119296E-2</v>
      </c>
      <c r="I205" s="71">
        <f t="shared" si="106"/>
        <v>-2.8436018957345932E-2</v>
      </c>
      <c r="J205" s="71">
        <f t="shared" si="106"/>
        <v>-0.14018691588785048</v>
      </c>
      <c r="K205" s="71">
        <f t="shared" si="106"/>
        <v>-7.1770334928229707E-2</v>
      </c>
      <c r="L205" s="23">
        <f t="shared" si="106"/>
        <v>-6.8075117370892002E-2</v>
      </c>
      <c r="M205" s="71">
        <f t="shared" si="106"/>
        <v>-0.19431279620853081</v>
      </c>
      <c r="N205" s="71">
        <f t="shared" si="106"/>
        <v>-0.1658536585365854</v>
      </c>
      <c r="O205" s="71">
        <f t="shared" ref="O205:Y205" si="107">O203/J203-1</f>
        <v>-7.0652173913043459E-2</v>
      </c>
      <c r="P205" s="71">
        <f t="shared" si="107"/>
        <v>-8.2474226804123751E-2</v>
      </c>
      <c r="Q205" s="23">
        <f t="shared" si="107"/>
        <v>-0.13098236775818639</v>
      </c>
      <c r="R205" s="71">
        <f t="shared" si="107"/>
        <v>-4.705882352941182E-2</v>
      </c>
      <c r="S205" s="71">
        <f t="shared" si="107"/>
        <v>0</v>
      </c>
      <c r="T205" s="71">
        <f t="shared" si="107"/>
        <v>5.2631578947368363E-2</v>
      </c>
      <c r="U205" s="71">
        <f t="shared" si="107"/>
        <v>-1.6853932584269704E-2</v>
      </c>
      <c r="V205" s="23">
        <f t="shared" si="107"/>
        <v>-2.8985507246376274E-3</v>
      </c>
      <c r="W205" s="71">
        <f t="shared" si="107"/>
        <v>9.8765432098765427E-2</v>
      </c>
      <c r="X205" s="71">
        <f t="shared" si="107"/>
        <v>4.0935672514619936E-2</v>
      </c>
      <c r="Y205" s="71">
        <f t="shared" si="107"/>
        <v>2.7777777777777679E-2</v>
      </c>
      <c r="Z205" s="71">
        <f t="shared" ref="Z205:AI205" si="108">Z203/U203-1</f>
        <v>8.0000000000000071E-2</v>
      </c>
      <c r="AA205" s="23">
        <f t="shared" si="108"/>
        <v>6.1046511627907085E-2</v>
      </c>
      <c r="AB205" s="71">
        <f t="shared" si="108"/>
        <v>-6.1797752808988804E-2</v>
      </c>
      <c r="AC205" s="71">
        <f t="shared" si="108"/>
        <v>-5.6179775280898903E-2</v>
      </c>
      <c r="AD205" s="71">
        <f t="shared" si="108"/>
        <v>-5.9459459459459407E-2</v>
      </c>
      <c r="AE205" s="71">
        <f t="shared" si="108"/>
        <v>-7.9365079365079416E-2</v>
      </c>
      <c r="AF205" s="23">
        <f t="shared" si="108"/>
        <v>-6.438356164383563E-2</v>
      </c>
      <c r="AG205" s="71">
        <f t="shared" si="108"/>
        <v>5.9880239520957446E-3</v>
      </c>
      <c r="AH205" s="71">
        <f t="shared" si="108"/>
        <v>2.3809523809523725E-2</v>
      </c>
      <c r="AI205" s="71">
        <f t="shared" si="108"/>
        <v>2.2988505747126409E-2</v>
      </c>
      <c r="AJ205" s="71">
        <f t="shared" ref="AJ205" si="109">AJ203/AE203-1</f>
        <v>-2.2988505747126409E-2</v>
      </c>
      <c r="AK205" s="23">
        <v>7.3206442166910968E-3</v>
      </c>
      <c r="AL205" s="71">
        <v>4.7619047619047672E-2</v>
      </c>
      <c r="AM205" s="71">
        <v>4.6511627906976827E-2</v>
      </c>
      <c r="AN205" s="71">
        <v>3.3707865168539408E-2</v>
      </c>
      <c r="AO205" s="71">
        <v>8.8235294117646967E-2</v>
      </c>
      <c r="AP205" s="23">
        <v>5.3779069767441845E-2</v>
      </c>
      <c r="AQ205" s="71">
        <v>3.9772727272727293E-2</v>
      </c>
      <c r="AR205" s="71">
        <v>2.7777777777777679E-2</v>
      </c>
      <c r="AS205" s="71">
        <v>2.1739130434782705E-2</v>
      </c>
      <c r="AT205" s="71">
        <v>-0.12972972972972974</v>
      </c>
      <c r="AU205" s="23">
        <v>-1.1034482758620734E-2</v>
      </c>
      <c r="AV205" s="71">
        <v>-1.6393442622950838E-2</v>
      </c>
      <c r="AW205" s="71">
        <v>-4.3243243243243246E-2</v>
      </c>
      <c r="AX205" s="71">
        <v>-1.0638297872340385E-2</v>
      </c>
      <c r="AY205" s="71">
        <v>0.14906832298136652</v>
      </c>
      <c r="AZ205" s="23">
        <v>1.5341701534170138E-2</v>
      </c>
      <c r="BA205" s="71">
        <v>0.1333333333333333</v>
      </c>
      <c r="BB205" s="71">
        <v>0.19209039548022599</v>
      </c>
      <c r="BC205" s="71">
        <v>0.17204301075268824</v>
      </c>
      <c r="BD205" s="71">
        <v>0.17297297297297298</v>
      </c>
      <c r="BE205" s="23">
        <v>0.16758241758241765</v>
      </c>
      <c r="BF205" s="71">
        <v>1.4705882352941124E-2</v>
      </c>
      <c r="BG205" s="71">
        <v>-3.3175355450236976E-2</v>
      </c>
      <c r="BH205" s="71">
        <v>3.2110091743119185E-2</v>
      </c>
    </row>
    <row r="206" spans="1:60" ht="11.25" customHeight="1">
      <c r="A206" s="67" t="s">
        <v>92</v>
      </c>
      <c r="B206" s="36">
        <v>1293</v>
      </c>
      <c r="C206" s="78" t="s">
        <v>49</v>
      </c>
      <c r="D206" s="78" t="s">
        <v>49</v>
      </c>
      <c r="E206" s="78" t="s">
        <v>49</v>
      </c>
      <c r="F206" s="78" t="s">
        <v>49</v>
      </c>
      <c r="G206" s="36">
        <v>1202</v>
      </c>
      <c r="H206" s="68">
        <v>278</v>
      </c>
      <c r="I206" s="68">
        <v>264</v>
      </c>
      <c r="J206" s="68">
        <v>255</v>
      </c>
      <c r="K206" s="68">
        <f>L206-J206-I206-H206</f>
        <v>297</v>
      </c>
      <c r="L206" s="36">
        <v>1094</v>
      </c>
      <c r="M206" s="68">
        <v>277</v>
      </c>
      <c r="N206" s="68">
        <v>250</v>
      </c>
      <c r="O206" s="68">
        <v>256</v>
      </c>
      <c r="P206" s="68">
        <f>Q206-O206-N206-M206</f>
        <v>296</v>
      </c>
      <c r="Q206" s="36">
        <v>1079</v>
      </c>
      <c r="R206" s="68">
        <v>284</v>
      </c>
      <c r="S206" s="68">
        <v>291</v>
      </c>
      <c r="T206" s="68">
        <v>284</v>
      </c>
      <c r="U206" s="68">
        <f>V206-T206-S206-R206</f>
        <v>217</v>
      </c>
      <c r="V206" s="36">
        <v>1076</v>
      </c>
      <c r="W206" s="68">
        <v>267</v>
      </c>
      <c r="X206" s="68">
        <v>267</v>
      </c>
      <c r="Y206" s="68">
        <v>274</v>
      </c>
      <c r="Z206" s="68">
        <f>AA206-Y206-X206-W206</f>
        <v>228</v>
      </c>
      <c r="AA206" s="36">
        <v>1036</v>
      </c>
      <c r="AB206" s="68">
        <v>270</v>
      </c>
      <c r="AC206" s="68">
        <v>242</v>
      </c>
      <c r="AD206" s="68">
        <v>243</v>
      </c>
      <c r="AE206" s="68">
        <f>AF206-AD206-AC206-AB206</f>
        <v>225</v>
      </c>
      <c r="AF206" s="36">
        <v>980</v>
      </c>
      <c r="AG206" s="68">
        <v>223</v>
      </c>
      <c r="AH206" s="68">
        <v>228</v>
      </c>
      <c r="AI206" s="68">
        <v>227</v>
      </c>
      <c r="AJ206" s="68">
        <f>AK206-AI206-AH206-AG206</f>
        <v>217</v>
      </c>
      <c r="AK206" s="36">
        <v>895</v>
      </c>
      <c r="AL206" s="68">
        <v>227</v>
      </c>
      <c r="AM206" s="68">
        <v>226</v>
      </c>
      <c r="AN206" s="68">
        <v>232</v>
      </c>
      <c r="AO206" s="68">
        <v>227</v>
      </c>
      <c r="AP206" s="36">
        <v>912</v>
      </c>
      <c r="AQ206" s="68">
        <v>230</v>
      </c>
      <c r="AR206" s="68">
        <v>217</v>
      </c>
      <c r="AS206" s="68">
        <v>225</v>
      </c>
      <c r="AT206" s="68">
        <v>226</v>
      </c>
      <c r="AU206" s="36">
        <v>898</v>
      </c>
      <c r="AV206" s="68">
        <v>224</v>
      </c>
      <c r="AW206" s="68">
        <v>220</v>
      </c>
      <c r="AX206" s="68">
        <v>224</v>
      </c>
      <c r="AY206" s="68">
        <v>223</v>
      </c>
      <c r="AZ206" s="36">
        <v>891</v>
      </c>
      <c r="BA206" s="68">
        <v>228</v>
      </c>
      <c r="BB206" s="68">
        <v>232</v>
      </c>
      <c r="BC206" s="68">
        <v>233</v>
      </c>
      <c r="BD206" s="68">
        <v>219</v>
      </c>
      <c r="BE206" s="36">
        <v>912</v>
      </c>
      <c r="BF206" s="68">
        <v>233</v>
      </c>
      <c r="BG206" s="68">
        <v>231</v>
      </c>
      <c r="BH206" s="68">
        <v>224</v>
      </c>
    </row>
    <row r="207" spans="1:60" ht="11.25" customHeight="1">
      <c r="A207" s="69" t="s">
        <v>7</v>
      </c>
      <c r="B207" s="23"/>
      <c r="C207" s="71"/>
      <c r="D207" s="71"/>
      <c r="E207" s="71"/>
      <c r="F207" s="71"/>
      <c r="G207" s="23"/>
      <c r="H207" s="70"/>
      <c r="I207" s="70">
        <f>I206/H206-1</f>
        <v>-5.0359712230215847E-2</v>
      </c>
      <c r="J207" s="70">
        <f>J206/I206-1</f>
        <v>-3.4090909090909061E-2</v>
      </c>
      <c r="K207" s="70">
        <f>K206/J206-1</f>
        <v>0.16470588235294126</v>
      </c>
      <c r="L207" s="23"/>
      <c r="M207" s="70">
        <f>M206/K206-1</f>
        <v>-6.7340067340067367E-2</v>
      </c>
      <c r="N207" s="70">
        <f>N206/M206-1</f>
        <v>-9.7472924187725685E-2</v>
      </c>
      <c r="O207" s="70">
        <f>O206/N206-1</f>
        <v>2.4000000000000021E-2</v>
      </c>
      <c r="P207" s="70">
        <f>P206/O206-1</f>
        <v>0.15625</v>
      </c>
      <c r="Q207" s="23"/>
      <c r="R207" s="70">
        <f>R206/P206-1</f>
        <v>-4.0540540540540571E-2</v>
      </c>
      <c r="S207" s="70">
        <f>S206/R206-1</f>
        <v>2.464788732394374E-2</v>
      </c>
      <c r="T207" s="70">
        <f>T206/S206-1</f>
        <v>-2.4054982817869441E-2</v>
      </c>
      <c r="U207" s="70">
        <f>U206/T206-1</f>
        <v>-0.2359154929577465</v>
      </c>
      <c r="V207" s="23"/>
      <c r="W207" s="70">
        <f>W206/U206-1</f>
        <v>0.23041474654377869</v>
      </c>
      <c r="X207" s="70">
        <f>X206/W206-1</f>
        <v>0</v>
      </c>
      <c r="Y207" s="70">
        <f>Y206/X206-1</f>
        <v>2.621722846441954E-2</v>
      </c>
      <c r="Z207" s="70">
        <f>Z206/Y206-1</f>
        <v>-0.16788321167883213</v>
      </c>
      <c r="AA207" s="23"/>
      <c r="AB207" s="70">
        <f>AB206/Z206-1</f>
        <v>0.18421052631578938</v>
      </c>
      <c r="AC207" s="70">
        <f>AC206/AB206-1</f>
        <v>-0.10370370370370374</v>
      </c>
      <c r="AD207" s="70">
        <f>AD206/AC206-1</f>
        <v>4.1322314049587749E-3</v>
      </c>
      <c r="AE207" s="70">
        <f>AE206/AD206-1</f>
        <v>-7.407407407407407E-2</v>
      </c>
      <c r="AF207" s="23"/>
      <c r="AG207" s="70">
        <f>AG206/AE206-1</f>
        <v>-8.8888888888888351E-3</v>
      </c>
      <c r="AH207" s="70">
        <f>AH206/AG206-1</f>
        <v>2.2421524663677195E-2</v>
      </c>
      <c r="AI207" s="70">
        <f>AI206/AH206-1</f>
        <v>-4.3859649122807154E-3</v>
      </c>
      <c r="AJ207" s="70">
        <f>AJ206/AI206-1</f>
        <v>-4.4052863436123357E-2</v>
      </c>
      <c r="AK207" s="23"/>
      <c r="AL207" s="70">
        <v>4.6082949308755783E-2</v>
      </c>
      <c r="AM207" s="70">
        <v>-4.405286343612369E-3</v>
      </c>
      <c r="AN207" s="70">
        <v>2.6548672566371723E-2</v>
      </c>
      <c r="AO207" s="70">
        <v>-2.155172413793105E-2</v>
      </c>
      <c r="AP207" s="23"/>
      <c r="AQ207" s="70">
        <v>1.3215859030837107E-2</v>
      </c>
      <c r="AR207" s="70">
        <v>-5.6521739130434789E-2</v>
      </c>
      <c r="AS207" s="70">
        <v>3.6866359447004671E-2</v>
      </c>
      <c r="AT207" s="70">
        <v>4.4444444444444731E-3</v>
      </c>
      <c r="AU207" s="23"/>
      <c r="AV207" s="70">
        <v>-8.8495575221239076E-3</v>
      </c>
      <c r="AW207" s="70">
        <v>-1.7857142857142905E-2</v>
      </c>
      <c r="AX207" s="70">
        <v>1.8181818181818077E-2</v>
      </c>
      <c r="AY207" s="70">
        <v>-4.4642857142856984E-3</v>
      </c>
      <c r="AZ207" s="23"/>
      <c r="BA207" s="70">
        <v>2.2421524663677195E-2</v>
      </c>
      <c r="BB207" s="70">
        <v>1.7543859649122862E-2</v>
      </c>
      <c r="BC207" s="70">
        <v>4.3103448275862988E-3</v>
      </c>
      <c r="BD207" s="70">
        <v>-6.0085836909871237E-2</v>
      </c>
      <c r="BE207" s="23"/>
      <c r="BF207" s="70">
        <v>6.3926940639269514E-2</v>
      </c>
      <c r="BG207" s="70">
        <v>-8.5836909871244149E-3</v>
      </c>
      <c r="BH207" s="70">
        <v>-3.0303030303030276E-2</v>
      </c>
    </row>
    <row r="208" spans="1:60" ht="10.5" customHeight="1">
      <c r="A208" s="69" t="s">
        <v>8</v>
      </c>
      <c r="B208" s="23"/>
      <c r="C208" s="71"/>
      <c r="D208" s="71"/>
      <c r="E208" s="71"/>
      <c r="F208" s="71"/>
      <c r="G208" s="23">
        <f>G206/B206-1</f>
        <v>-7.0378963650425397E-2</v>
      </c>
      <c r="H208" s="68"/>
      <c r="I208" s="68"/>
      <c r="J208" s="68"/>
      <c r="K208" s="68"/>
      <c r="L208" s="23">
        <f t="shared" ref="L208:Y208" si="110">L206/G206-1</f>
        <v>-8.9850249584026654E-2</v>
      </c>
      <c r="M208" s="71">
        <f t="shared" si="110"/>
        <v>-3.597122302158251E-3</v>
      </c>
      <c r="N208" s="71">
        <f t="shared" si="110"/>
        <v>-5.3030303030302983E-2</v>
      </c>
      <c r="O208" s="71">
        <f t="shared" si="110"/>
        <v>3.9215686274509665E-3</v>
      </c>
      <c r="P208" s="71">
        <f t="shared" si="110"/>
        <v>-3.3670033670033517E-3</v>
      </c>
      <c r="Q208" s="23">
        <f t="shared" si="110"/>
        <v>-1.3711151736745864E-2</v>
      </c>
      <c r="R208" s="71">
        <f t="shared" si="110"/>
        <v>2.5270758122743597E-2</v>
      </c>
      <c r="S208" s="71">
        <f t="shared" si="110"/>
        <v>0.16399999999999992</v>
      </c>
      <c r="T208" s="71">
        <f t="shared" si="110"/>
        <v>0.109375</v>
      </c>
      <c r="U208" s="71">
        <f t="shared" si="110"/>
        <v>-0.26689189189189189</v>
      </c>
      <c r="V208" s="23">
        <f t="shared" si="110"/>
        <v>-2.780352177942591E-3</v>
      </c>
      <c r="W208" s="71">
        <f t="shared" si="110"/>
        <v>-5.9859154929577496E-2</v>
      </c>
      <c r="X208" s="71">
        <f t="shared" si="110"/>
        <v>-8.2474226804123751E-2</v>
      </c>
      <c r="Y208" s="71">
        <f t="shared" si="110"/>
        <v>-3.5211267605633756E-2</v>
      </c>
      <c r="Z208" s="71">
        <f t="shared" ref="Z208:AI208" si="111">Z206/U206-1</f>
        <v>5.0691244239631228E-2</v>
      </c>
      <c r="AA208" s="23">
        <f t="shared" si="111"/>
        <v>-3.7174721189591087E-2</v>
      </c>
      <c r="AB208" s="71">
        <f t="shared" si="111"/>
        <v>1.1235955056179803E-2</v>
      </c>
      <c r="AC208" s="71">
        <f t="shared" si="111"/>
        <v>-9.3632958801498134E-2</v>
      </c>
      <c r="AD208" s="71">
        <f t="shared" si="111"/>
        <v>-0.11313868613138689</v>
      </c>
      <c r="AE208" s="71">
        <f t="shared" si="111"/>
        <v>-1.3157894736842146E-2</v>
      </c>
      <c r="AF208" s="23">
        <f t="shared" si="111"/>
        <v>-5.4054054054054057E-2</v>
      </c>
      <c r="AG208" s="71">
        <f t="shared" si="111"/>
        <v>-0.17407407407407405</v>
      </c>
      <c r="AH208" s="71">
        <f t="shared" si="111"/>
        <v>-5.7851239669421517E-2</v>
      </c>
      <c r="AI208" s="71">
        <f t="shared" si="111"/>
        <v>-6.5843621399176988E-2</v>
      </c>
      <c r="AJ208" s="71">
        <f t="shared" ref="AJ208" si="112">AJ206/AE206-1</f>
        <v>-3.5555555555555562E-2</v>
      </c>
      <c r="AK208" s="23">
        <v>-8.6734693877551061E-2</v>
      </c>
      <c r="AL208" s="71">
        <v>1.7937219730941756E-2</v>
      </c>
      <c r="AM208" s="71">
        <v>-8.7719298245614308E-3</v>
      </c>
      <c r="AN208" s="71">
        <v>2.2026431718061623E-2</v>
      </c>
      <c r="AO208" s="71">
        <v>4.6082949308755783E-2</v>
      </c>
      <c r="AP208" s="23">
        <v>1.8994413407821265E-2</v>
      </c>
      <c r="AQ208" s="71">
        <v>1.3215859030837107E-2</v>
      </c>
      <c r="AR208" s="71">
        <v>-3.9823008849557473E-2</v>
      </c>
      <c r="AS208" s="71">
        <v>-3.0172413793103425E-2</v>
      </c>
      <c r="AT208" s="71">
        <v>-4.405286343612369E-3</v>
      </c>
      <c r="AU208" s="23">
        <v>-1.5350877192982448E-2</v>
      </c>
      <c r="AV208" s="71">
        <v>-2.6086956521739091E-2</v>
      </c>
      <c r="AW208" s="71">
        <v>1.3824884792626779E-2</v>
      </c>
      <c r="AX208" s="71">
        <v>-4.4444444444444731E-3</v>
      </c>
      <c r="AY208" s="71">
        <v>-1.3274336283185861E-2</v>
      </c>
      <c r="AZ208" s="23">
        <v>-7.7951002227171218E-3</v>
      </c>
      <c r="BA208" s="71">
        <v>1.7857142857142794E-2</v>
      </c>
      <c r="BB208" s="71">
        <v>5.4545454545454453E-2</v>
      </c>
      <c r="BC208" s="71">
        <v>4.0178571428571397E-2</v>
      </c>
      <c r="BD208" s="71">
        <v>-1.7937219730941756E-2</v>
      </c>
      <c r="BE208" s="23">
        <v>2.3569023569023573E-2</v>
      </c>
      <c r="BF208" s="71">
        <v>2.1929824561403466E-2</v>
      </c>
      <c r="BG208" s="71">
        <v>-4.3103448275861878E-3</v>
      </c>
      <c r="BH208" s="71">
        <v>-3.8626609442060089E-2</v>
      </c>
    </row>
    <row r="209" spans="1:60" ht="12.6" customHeight="1">
      <c r="A209" s="67" t="s">
        <v>265</v>
      </c>
      <c r="B209" s="36">
        <v>39</v>
      </c>
      <c r="C209" s="78" t="s">
        <v>49</v>
      </c>
      <c r="D209" s="78" t="s">
        <v>49</v>
      </c>
      <c r="E209" s="78" t="s">
        <v>49</v>
      </c>
      <c r="F209" s="78" t="s">
        <v>49</v>
      </c>
      <c r="G209" s="36">
        <v>96</v>
      </c>
      <c r="H209" s="182">
        <v>-20</v>
      </c>
      <c r="I209" s="182">
        <v>4</v>
      </c>
      <c r="J209" s="182">
        <v>-38</v>
      </c>
      <c r="K209" s="182">
        <f>L209-J209-I209-H209</f>
        <v>256</v>
      </c>
      <c r="L209" s="36">
        <v>202</v>
      </c>
      <c r="M209" s="182">
        <v>-25</v>
      </c>
      <c r="N209" s="182">
        <v>-13</v>
      </c>
      <c r="O209" s="182">
        <v>-59</v>
      </c>
      <c r="P209" s="182">
        <f>Q209-O209-N209-M209</f>
        <v>-61</v>
      </c>
      <c r="Q209" s="174">
        <v>-158</v>
      </c>
      <c r="R209" s="182">
        <v>250</v>
      </c>
      <c r="S209" s="182">
        <v>-62</v>
      </c>
      <c r="T209" s="182">
        <v>-106</v>
      </c>
      <c r="U209" s="182">
        <f>V209-T209-S209-R209</f>
        <v>57</v>
      </c>
      <c r="V209" s="36">
        <v>139</v>
      </c>
      <c r="W209" s="182">
        <v>-22</v>
      </c>
      <c r="X209" s="182">
        <v>16</v>
      </c>
      <c r="Y209" s="182">
        <v>-7</v>
      </c>
      <c r="Z209" s="182">
        <f>AA209-Y209-X209-W209</f>
        <v>-115</v>
      </c>
      <c r="AA209" s="174">
        <v>-128</v>
      </c>
      <c r="AB209" s="182">
        <v>-73</v>
      </c>
      <c r="AC209" s="182">
        <v>-17</v>
      </c>
      <c r="AD209" s="182">
        <v>-8</v>
      </c>
      <c r="AE209" s="182">
        <f>AF209-AD209-AC209-AB209</f>
        <v>20</v>
      </c>
      <c r="AF209" s="174">
        <v>-78</v>
      </c>
      <c r="AG209" s="182">
        <v>-8</v>
      </c>
      <c r="AH209" s="182">
        <v>14</v>
      </c>
      <c r="AI209" s="182">
        <v>-25</v>
      </c>
      <c r="AJ209" s="182">
        <f>AK209-AI209-AH209-AG209</f>
        <v>-4</v>
      </c>
      <c r="AK209" s="174">
        <v>-23</v>
      </c>
      <c r="AL209" s="182">
        <v>-17</v>
      </c>
      <c r="AM209" s="182">
        <v>-139</v>
      </c>
      <c r="AN209" s="182">
        <v>-13</v>
      </c>
      <c r="AO209" s="182">
        <v>70</v>
      </c>
      <c r="AP209" s="174">
        <v>-99</v>
      </c>
      <c r="AQ209" s="182">
        <v>-9</v>
      </c>
      <c r="AR209" s="182">
        <v>-12</v>
      </c>
      <c r="AS209" s="182">
        <v>-26</v>
      </c>
      <c r="AT209" s="182">
        <v>34</v>
      </c>
      <c r="AU209" s="174">
        <v>-13</v>
      </c>
      <c r="AV209" s="182">
        <v>-4</v>
      </c>
      <c r="AW209" s="182">
        <v>-1</v>
      </c>
      <c r="AX209" s="182">
        <v>-24</v>
      </c>
      <c r="AY209" s="182">
        <v>6</v>
      </c>
      <c r="AZ209" s="174">
        <v>-23</v>
      </c>
      <c r="BA209" s="182">
        <v>18</v>
      </c>
      <c r="BB209" s="182">
        <v>89</v>
      </c>
      <c r="BC209" s="182">
        <v>-2</v>
      </c>
      <c r="BD209" s="182">
        <v>509</v>
      </c>
      <c r="BE209" s="174">
        <v>614</v>
      </c>
      <c r="BF209" s="182">
        <v>-69</v>
      </c>
      <c r="BG209" s="182">
        <v>-423</v>
      </c>
      <c r="BH209" s="182">
        <v>-8</v>
      </c>
    </row>
    <row r="210" spans="1:60" s="35" customFormat="1" ht="15.6" customHeight="1">
      <c r="A210" s="67" t="s">
        <v>261</v>
      </c>
      <c r="B210" s="36">
        <v>1319</v>
      </c>
      <c r="C210" s="68">
        <v>373</v>
      </c>
      <c r="D210" s="68">
        <v>442</v>
      </c>
      <c r="E210" s="68">
        <v>428</v>
      </c>
      <c r="F210" s="68">
        <f>G210-E210-D210-C210</f>
        <v>232</v>
      </c>
      <c r="G210" s="36">
        <v>1475</v>
      </c>
      <c r="H210" s="68">
        <v>437</v>
      </c>
      <c r="I210" s="68">
        <v>434</v>
      </c>
      <c r="J210" s="68">
        <v>491</v>
      </c>
      <c r="K210" s="68">
        <f>L210-J210-I210-H210</f>
        <v>161</v>
      </c>
      <c r="L210" s="36">
        <v>1523</v>
      </c>
      <c r="M210" s="68">
        <v>490</v>
      </c>
      <c r="N210" s="68">
        <v>503</v>
      </c>
      <c r="O210" s="68">
        <v>556</v>
      </c>
      <c r="P210" s="68">
        <f>Q210-O210-N210-M210</f>
        <v>494</v>
      </c>
      <c r="Q210" s="36">
        <v>2043</v>
      </c>
      <c r="R210" s="68">
        <v>211</v>
      </c>
      <c r="S210" s="68">
        <v>517</v>
      </c>
      <c r="T210" s="68">
        <v>546</v>
      </c>
      <c r="U210" s="68">
        <f>V210-T210-S210-R210</f>
        <v>397</v>
      </c>
      <c r="V210" s="36">
        <v>1671</v>
      </c>
      <c r="W210" s="68">
        <v>539</v>
      </c>
      <c r="X210" s="68">
        <v>437</v>
      </c>
      <c r="Y210" s="68">
        <v>419</v>
      </c>
      <c r="Z210" s="68">
        <f>AA210-Y210-X210-W210</f>
        <v>564</v>
      </c>
      <c r="AA210" s="36">
        <v>1959</v>
      </c>
      <c r="AB210" s="68">
        <v>535</v>
      </c>
      <c r="AC210" s="68">
        <v>510</v>
      </c>
      <c r="AD210" s="68">
        <v>494</v>
      </c>
      <c r="AE210" s="68">
        <f>AF210-AD210-AC210-AB210</f>
        <v>459</v>
      </c>
      <c r="AF210" s="36">
        <v>1998</v>
      </c>
      <c r="AG210" s="68">
        <v>504</v>
      </c>
      <c r="AH210" s="68">
        <v>471</v>
      </c>
      <c r="AI210" s="68">
        <v>498</v>
      </c>
      <c r="AJ210" s="68">
        <f>AK210-AI210-AH210-AG210</f>
        <v>507</v>
      </c>
      <c r="AK210" s="36">
        <v>1980</v>
      </c>
      <c r="AL210" s="68">
        <v>547</v>
      </c>
      <c r="AM210" s="68">
        <v>662</v>
      </c>
      <c r="AN210" s="68">
        <v>512</v>
      </c>
      <c r="AO210" s="68">
        <v>427</v>
      </c>
      <c r="AP210" s="36">
        <v>2148</v>
      </c>
      <c r="AQ210" s="68">
        <v>536</v>
      </c>
      <c r="AR210" s="68">
        <v>540</v>
      </c>
      <c r="AS210" s="68">
        <v>519</v>
      </c>
      <c r="AT210" s="68">
        <v>481</v>
      </c>
      <c r="AU210" s="36">
        <v>2076</v>
      </c>
      <c r="AV210" s="68">
        <v>513</v>
      </c>
      <c r="AW210" s="68">
        <v>496</v>
      </c>
      <c r="AX210" s="68">
        <v>492</v>
      </c>
      <c r="AY210" s="68">
        <v>470</v>
      </c>
      <c r="AZ210" s="36">
        <v>1971</v>
      </c>
      <c r="BA210" s="68">
        <v>473</v>
      </c>
      <c r="BB210" s="68">
        <v>387</v>
      </c>
      <c r="BC210" s="68">
        <v>451</v>
      </c>
      <c r="BD210" s="182">
        <v>-87</v>
      </c>
      <c r="BE210" s="36">
        <v>1224</v>
      </c>
      <c r="BF210" s="68">
        <v>531</v>
      </c>
      <c r="BG210" s="68">
        <v>875</v>
      </c>
      <c r="BH210" s="68">
        <v>440</v>
      </c>
    </row>
    <row r="211" spans="1:60" ht="12" customHeight="1">
      <c r="A211" s="69" t="s">
        <v>7</v>
      </c>
      <c r="B211" s="23"/>
      <c r="C211" s="70"/>
      <c r="D211" s="70">
        <f>D210/C210-1</f>
        <v>0.18498659517426264</v>
      </c>
      <c r="E211" s="70">
        <f>E210/D210-1</f>
        <v>-3.1674208144796379E-2</v>
      </c>
      <c r="F211" s="70">
        <f>F210/E210-1</f>
        <v>-0.45794392523364491</v>
      </c>
      <c r="G211" s="23"/>
      <c r="H211" s="70">
        <f>H210/F210-1</f>
        <v>0.88362068965517238</v>
      </c>
      <c r="I211" s="70">
        <f>I210/H210-1</f>
        <v>-6.8649885583523806E-3</v>
      </c>
      <c r="J211" s="70">
        <f>J210/I210-1</f>
        <v>0.13133640552995396</v>
      </c>
      <c r="K211" s="70">
        <f>K210/J210-1</f>
        <v>-0.67209775967413443</v>
      </c>
      <c r="L211" s="23"/>
      <c r="M211" s="70">
        <f>M210/K210-1</f>
        <v>2.0434782608695654</v>
      </c>
      <c r="N211" s="70">
        <f>N210/M210-1</f>
        <v>2.6530612244898055E-2</v>
      </c>
      <c r="O211" s="70">
        <f>O210/N210-1</f>
        <v>0.10536779324055656</v>
      </c>
      <c r="P211" s="70">
        <f>P210/O210-1</f>
        <v>-0.11151079136690645</v>
      </c>
      <c r="Q211" s="23"/>
      <c r="R211" s="70">
        <f>R210/P210-1</f>
        <v>-0.57287449392712553</v>
      </c>
      <c r="S211" s="70">
        <f>S210/R210-1</f>
        <v>1.4502369668246446</v>
      </c>
      <c r="T211" s="70">
        <f>T210/S210-1</f>
        <v>5.6092843326885911E-2</v>
      </c>
      <c r="U211" s="70">
        <f>U210/T210-1</f>
        <v>-0.27289377289377292</v>
      </c>
      <c r="V211" s="23"/>
      <c r="W211" s="70">
        <f>W210/U210-1</f>
        <v>0.35768261964735526</v>
      </c>
      <c r="X211" s="70">
        <f>X210/W210-1</f>
        <v>-0.18923933209647492</v>
      </c>
      <c r="Y211" s="70">
        <f>Y210/X210-1</f>
        <v>-4.1189931350114395E-2</v>
      </c>
      <c r="Z211" s="70">
        <f>Z210/Y210-1</f>
        <v>0.34606205250596656</v>
      </c>
      <c r="AA211" s="23"/>
      <c r="AB211" s="70">
        <f>AB210/Z210-1</f>
        <v>-5.1418439716312103E-2</v>
      </c>
      <c r="AC211" s="70">
        <f>AC210/AB210-1</f>
        <v>-4.6728971962616828E-2</v>
      </c>
      <c r="AD211" s="70">
        <f>AD210/AC210-1</f>
        <v>-3.1372549019607843E-2</v>
      </c>
      <c r="AE211" s="70">
        <f>AE210/AD210-1</f>
        <v>-7.0850202429149745E-2</v>
      </c>
      <c r="AF211" s="23"/>
      <c r="AG211" s="70">
        <f>AG210/AE210-1</f>
        <v>9.8039215686274606E-2</v>
      </c>
      <c r="AH211" s="70">
        <f>AH210/AG210-1</f>
        <v>-6.5476190476190466E-2</v>
      </c>
      <c r="AI211" s="70">
        <f>AI210/AH210-1</f>
        <v>5.7324840764331197E-2</v>
      </c>
      <c r="AJ211" s="70">
        <f>AJ210/AI210-1</f>
        <v>1.8072289156626509E-2</v>
      </c>
      <c r="AK211" s="23"/>
      <c r="AL211" s="70">
        <v>7.8895463510848085E-2</v>
      </c>
      <c r="AM211" s="70">
        <v>0.21023765996343702</v>
      </c>
      <c r="AN211" s="70">
        <v>-0.22658610271903323</v>
      </c>
      <c r="AO211" s="70">
        <v>-0.166015625</v>
      </c>
      <c r="AP211" s="23"/>
      <c r="AQ211" s="70">
        <v>0.2552693208430914</v>
      </c>
      <c r="AR211" s="70">
        <v>7.4626865671640896E-3</v>
      </c>
      <c r="AS211" s="70">
        <v>-3.8888888888888862E-2</v>
      </c>
      <c r="AT211" s="70">
        <v>-7.3217726396917149E-2</v>
      </c>
      <c r="AU211" s="23"/>
      <c r="AV211" s="70">
        <v>6.6528066528066532E-2</v>
      </c>
      <c r="AW211" s="70">
        <v>-3.3138401559454245E-2</v>
      </c>
      <c r="AX211" s="70">
        <v>-8.0645161290322509E-3</v>
      </c>
      <c r="AY211" s="70">
        <v>-4.471544715447151E-2</v>
      </c>
      <c r="AZ211" s="23"/>
      <c r="BA211" s="70">
        <v>6.382978723404209E-3</v>
      </c>
      <c r="BB211" s="70">
        <v>-0.18181818181818177</v>
      </c>
      <c r="BC211" s="70">
        <v>0.1653746770025839</v>
      </c>
      <c r="BD211" s="83" t="s">
        <v>40</v>
      </c>
      <c r="BE211" s="23"/>
      <c r="BF211" s="83" t="s">
        <v>40</v>
      </c>
      <c r="BG211" s="70">
        <v>0.64783427495291912</v>
      </c>
      <c r="BH211" s="70">
        <v>-0.49714285714285711</v>
      </c>
    </row>
    <row r="212" spans="1:60" ht="9.75" customHeight="1">
      <c r="A212" s="69" t="s">
        <v>8</v>
      </c>
      <c r="B212" s="23"/>
      <c r="C212" s="71"/>
      <c r="D212" s="71"/>
      <c r="E212" s="71"/>
      <c r="F212" s="71"/>
      <c r="G212" s="23">
        <f t="shared" ref="G212:N212" si="113">G210/B210-1</f>
        <v>0.1182714177407127</v>
      </c>
      <c r="H212" s="71">
        <f t="shared" si="113"/>
        <v>0.17158176943699721</v>
      </c>
      <c r="I212" s="71">
        <f t="shared" si="113"/>
        <v>-1.8099547511312264E-2</v>
      </c>
      <c r="J212" s="71">
        <f t="shared" si="113"/>
        <v>0.14719626168224309</v>
      </c>
      <c r="K212" s="71">
        <f t="shared" si="113"/>
        <v>-0.30603448275862066</v>
      </c>
      <c r="L212" s="23">
        <f t="shared" si="113"/>
        <v>3.2542372881355863E-2</v>
      </c>
      <c r="M212" s="71">
        <f t="shared" si="113"/>
        <v>0.12128146453089239</v>
      </c>
      <c r="N212" s="71">
        <f t="shared" si="113"/>
        <v>0.1589861751152073</v>
      </c>
      <c r="O212" s="71">
        <f t="shared" ref="O212:Y212" si="114">O210/J210-1</f>
        <v>0.13238289205702647</v>
      </c>
      <c r="P212" s="71">
        <f t="shared" si="114"/>
        <v>2.0683229813664594</v>
      </c>
      <c r="Q212" s="23">
        <f t="shared" si="114"/>
        <v>0.34143138542350626</v>
      </c>
      <c r="R212" s="71">
        <f t="shared" si="114"/>
        <v>-0.56938775510204076</v>
      </c>
      <c r="S212" s="71">
        <f t="shared" si="114"/>
        <v>2.7833001988071482E-2</v>
      </c>
      <c r="T212" s="71">
        <f t="shared" si="114"/>
        <v>-1.7985611510791366E-2</v>
      </c>
      <c r="U212" s="71">
        <f t="shared" si="114"/>
        <v>-0.19635627530364375</v>
      </c>
      <c r="V212" s="23">
        <f t="shared" si="114"/>
        <v>-0.18208516886930981</v>
      </c>
      <c r="W212" s="71">
        <f t="shared" si="114"/>
        <v>1.5545023696682465</v>
      </c>
      <c r="X212" s="71">
        <f t="shared" si="114"/>
        <v>-0.15473887814313347</v>
      </c>
      <c r="Y212" s="71">
        <f t="shared" si="114"/>
        <v>-0.23260073260073255</v>
      </c>
      <c r="Z212" s="71">
        <f t="shared" ref="Z212:AI212" si="115">Z210/U210-1</f>
        <v>0.420654911838791</v>
      </c>
      <c r="AA212" s="23">
        <f t="shared" si="115"/>
        <v>0.17235188509874333</v>
      </c>
      <c r="AB212" s="71">
        <f t="shared" si="115"/>
        <v>-7.4211502782931538E-3</v>
      </c>
      <c r="AC212" s="71">
        <f t="shared" si="115"/>
        <v>0.16704805491990848</v>
      </c>
      <c r="AD212" s="71">
        <f t="shared" si="115"/>
        <v>0.17899761336515518</v>
      </c>
      <c r="AE212" s="71">
        <f t="shared" si="115"/>
        <v>-0.18617021276595747</v>
      </c>
      <c r="AF212" s="23">
        <f t="shared" si="115"/>
        <v>1.9908116385911168E-2</v>
      </c>
      <c r="AG212" s="71">
        <f t="shared" si="115"/>
        <v>-5.7943925233644888E-2</v>
      </c>
      <c r="AH212" s="71">
        <f t="shared" si="115"/>
        <v>-7.6470588235294068E-2</v>
      </c>
      <c r="AI212" s="71">
        <f t="shared" si="115"/>
        <v>8.0971659919029104E-3</v>
      </c>
      <c r="AJ212" s="71">
        <f t="shared" ref="AJ212" si="116">AJ210/AE210-1</f>
        <v>0.10457516339869288</v>
      </c>
      <c r="AK212" s="23">
        <v>-9.009009009009028E-3</v>
      </c>
      <c r="AL212" s="71">
        <v>8.5317460317460236E-2</v>
      </c>
      <c r="AM212" s="71">
        <v>0.40552016985137995</v>
      </c>
      <c r="AN212" s="71">
        <v>2.8112449799196693E-2</v>
      </c>
      <c r="AO212" s="71">
        <v>-0.15779092702169628</v>
      </c>
      <c r="AP212" s="23">
        <v>8.4848484848484951E-2</v>
      </c>
      <c r="AQ212" s="71">
        <v>-2.0109689213894E-2</v>
      </c>
      <c r="AR212" s="71">
        <v>-0.18429003021148038</v>
      </c>
      <c r="AS212" s="71">
        <v>1.3671875E-2</v>
      </c>
      <c r="AT212" s="71">
        <v>0.12646370023419196</v>
      </c>
      <c r="AU212" s="23">
        <v>-3.3519553072625663E-2</v>
      </c>
      <c r="AV212" s="71">
        <v>-4.2910447761194015E-2</v>
      </c>
      <c r="AW212" s="71">
        <v>-8.1481481481481488E-2</v>
      </c>
      <c r="AX212" s="71">
        <v>-5.2023121387283267E-2</v>
      </c>
      <c r="AY212" s="71">
        <v>-2.2869022869022815E-2</v>
      </c>
      <c r="AZ212" s="23">
        <v>-5.0578034682080886E-2</v>
      </c>
      <c r="BA212" s="71">
        <v>-7.7972709551656916E-2</v>
      </c>
      <c r="BB212" s="71">
        <v>-0.219758064516129</v>
      </c>
      <c r="BC212" s="71">
        <v>-8.333333333333337E-2</v>
      </c>
      <c r="BD212" s="83" t="s">
        <v>40</v>
      </c>
      <c r="BE212" s="23">
        <v>-0.37899543378995437</v>
      </c>
      <c r="BF212" s="71">
        <v>0.12262156448202965</v>
      </c>
      <c r="BG212" s="71">
        <v>1.260981912144703</v>
      </c>
      <c r="BH212" s="71">
        <v>-2.4390243902439046E-2</v>
      </c>
    </row>
    <row r="213" spans="1:60">
      <c r="A213" s="67" t="s">
        <v>89</v>
      </c>
      <c r="B213" s="36">
        <v>188</v>
      </c>
      <c r="C213" s="78" t="s">
        <v>49</v>
      </c>
      <c r="D213" s="78" t="s">
        <v>49</v>
      </c>
      <c r="E213" s="78" t="s">
        <v>49</v>
      </c>
      <c r="F213" s="78" t="s">
        <v>49</v>
      </c>
      <c r="G213" s="36">
        <v>125</v>
      </c>
      <c r="H213" s="182">
        <v>-21</v>
      </c>
      <c r="I213" s="182">
        <v>-4</v>
      </c>
      <c r="J213" s="182">
        <v>3</v>
      </c>
      <c r="K213" s="182">
        <f>L213-J213-I213-H213</f>
        <v>7</v>
      </c>
      <c r="L213" s="174">
        <v>-15</v>
      </c>
      <c r="M213" s="182">
        <v>-1</v>
      </c>
      <c r="N213" s="182">
        <v>29</v>
      </c>
      <c r="O213" s="182">
        <v>30</v>
      </c>
      <c r="P213" s="182">
        <f>Q213-O213-N213-M213</f>
        <v>32</v>
      </c>
      <c r="Q213" s="36">
        <v>90</v>
      </c>
      <c r="R213" s="68">
        <v>26</v>
      </c>
      <c r="S213" s="68">
        <v>73</v>
      </c>
      <c r="T213" s="68">
        <v>88</v>
      </c>
      <c r="U213" s="68">
        <f>V213-T213-S213-R213</f>
        <v>53</v>
      </c>
      <c r="V213" s="36">
        <v>240</v>
      </c>
      <c r="W213" s="68">
        <v>49</v>
      </c>
      <c r="X213" s="68">
        <v>76</v>
      </c>
      <c r="Y213" s="68">
        <v>63</v>
      </c>
      <c r="Z213" s="68">
        <f>AA213-Y213-X213-W213</f>
        <v>71</v>
      </c>
      <c r="AA213" s="36">
        <v>259</v>
      </c>
      <c r="AB213" s="68">
        <v>98</v>
      </c>
      <c r="AC213" s="68">
        <v>112</v>
      </c>
      <c r="AD213" s="68">
        <v>130</v>
      </c>
      <c r="AE213" s="68">
        <f>AF213-AD213-AC213-AB213</f>
        <v>102</v>
      </c>
      <c r="AF213" s="36">
        <v>442</v>
      </c>
      <c r="AG213" s="143">
        <v>93</v>
      </c>
      <c r="AH213" s="143">
        <v>110</v>
      </c>
      <c r="AI213" s="143">
        <v>116</v>
      </c>
      <c r="AJ213" s="143">
        <f>AK213-AI213-AH213-AG213</f>
        <v>81</v>
      </c>
      <c r="AK213" s="36">
        <v>400</v>
      </c>
      <c r="AL213" s="143">
        <v>75</v>
      </c>
      <c r="AM213" s="143">
        <v>100</v>
      </c>
      <c r="AN213" s="143">
        <v>138</v>
      </c>
      <c r="AO213" s="143">
        <v>19</v>
      </c>
      <c r="AP213" s="36">
        <v>332</v>
      </c>
      <c r="AQ213" s="143">
        <v>101</v>
      </c>
      <c r="AR213" s="143">
        <v>105</v>
      </c>
      <c r="AS213" s="143">
        <v>93</v>
      </c>
      <c r="AT213" s="143">
        <v>146</v>
      </c>
      <c r="AU213" s="36">
        <v>445</v>
      </c>
      <c r="AV213" s="143">
        <v>92</v>
      </c>
      <c r="AW213" s="143">
        <v>82</v>
      </c>
      <c r="AX213" s="143">
        <v>107</v>
      </c>
      <c r="AY213" s="143">
        <v>122</v>
      </c>
      <c r="AZ213" s="36">
        <v>403</v>
      </c>
      <c r="BA213" s="143">
        <v>121</v>
      </c>
      <c r="BB213" s="143">
        <v>119</v>
      </c>
      <c r="BC213" s="143">
        <v>113</v>
      </c>
      <c r="BD213" s="143">
        <v>117</v>
      </c>
      <c r="BE213" s="36">
        <v>470</v>
      </c>
      <c r="BF213" s="143">
        <v>106</v>
      </c>
      <c r="BG213" s="143">
        <v>141</v>
      </c>
      <c r="BH213" s="143">
        <v>207</v>
      </c>
    </row>
    <row r="214" spans="1:60" ht="9" customHeight="1">
      <c r="A214" s="69" t="s">
        <v>7</v>
      </c>
      <c r="B214" s="23"/>
      <c r="C214" s="71"/>
      <c r="D214" s="71"/>
      <c r="E214" s="71"/>
      <c r="F214" s="71"/>
      <c r="G214" s="23"/>
      <c r="H214" s="70"/>
      <c r="I214" s="70">
        <f>I213/H213-1</f>
        <v>-0.80952380952380953</v>
      </c>
      <c r="J214" s="81" t="s">
        <v>40</v>
      </c>
      <c r="K214" s="70">
        <f>K213/J213-1</f>
        <v>1.3333333333333335</v>
      </c>
      <c r="L214" s="23"/>
      <c r="M214" s="81" t="s">
        <v>40</v>
      </c>
      <c r="N214" s="81" t="s">
        <v>40</v>
      </c>
      <c r="O214" s="70">
        <f>O213/N213-1</f>
        <v>3.4482758620689724E-2</v>
      </c>
      <c r="P214" s="70">
        <f>P213/O213-1</f>
        <v>6.6666666666666652E-2</v>
      </c>
      <c r="Q214" s="23"/>
      <c r="R214" s="70">
        <f>R213/P213-1</f>
        <v>-0.1875</v>
      </c>
      <c r="S214" s="70">
        <f>S213/R213-1</f>
        <v>1.8076923076923075</v>
      </c>
      <c r="T214" s="70">
        <f>T213/S213-1</f>
        <v>0.20547945205479445</v>
      </c>
      <c r="U214" s="70">
        <f>U213/T213-1</f>
        <v>-0.39772727272727271</v>
      </c>
      <c r="V214" s="23"/>
      <c r="W214" s="70">
        <f>W213/U213-1</f>
        <v>-7.547169811320753E-2</v>
      </c>
      <c r="X214" s="70">
        <f>X213/W213-1</f>
        <v>0.55102040816326525</v>
      </c>
      <c r="Y214" s="70">
        <f>Y213/X213-1</f>
        <v>-0.17105263157894735</v>
      </c>
      <c r="Z214" s="70">
        <f>Z213/Y213-1</f>
        <v>0.12698412698412698</v>
      </c>
      <c r="AA214" s="23"/>
      <c r="AB214" s="70">
        <f>AB213/Z213-1</f>
        <v>0.38028169014084501</v>
      </c>
      <c r="AC214" s="70">
        <f>AC213/AB213-1</f>
        <v>0.14285714285714279</v>
      </c>
      <c r="AD214" s="70">
        <f>AD213/AC213-1</f>
        <v>0.16071428571428581</v>
      </c>
      <c r="AE214" s="70">
        <f>AE213/AD213-1</f>
        <v>-0.2153846153846154</v>
      </c>
      <c r="AF214" s="23"/>
      <c r="AG214" s="70">
        <f>AG213/AE213-1</f>
        <v>-8.8235294117647078E-2</v>
      </c>
      <c r="AH214" s="70">
        <f>AH213/AG213-1</f>
        <v>0.18279569892473124</v>
      </c>
      <c r="AI214" s="70">
        <f>AI213/AH213-1</f>
        <v>5.4545454545454453E-2</v>
      </c>
      <c r="AJ214" s="70">
        <f>AJ213/AI213-1</f>
        <v>-0.30172413793103448</v>
      </c>
      <c r="AK214" s="23"/>
      <c r="AL214" s="70">
        <v>-7.407407407407407E-2</v>
      </c>
      <c r="AM214" s="70">
        <v>0.33333333333333326</v>
      </c>
      <c r="AN214" s="70">
        <v>0.37999999999999989</v>
      </c>
      <c r="AO214" s="70">
        <v>-0.8623188405797102</v>
      </c>
      <c r="AP214" s="23"/>
      <c r="AQ214" s="70">
        <v>4.3157894736842106</v>
      </c>
      <c r="AR214" s="70">
        <v>3.9603960396039639E-2</v>
      </c>
      <c r="AS214" s="70">
        <v>-0.11428571428571432</v>
      </c>
      <c r="AT214" s="70">
        <v>0.56989247311827951</v>
      </c>
      <c r="AU214" s="23"/>
      <c r="AV214" s="70">
        <v>-0.36986301369863017</v>
      </c>
      <c r="AW214" s="70">
        <v>-0.10869565217391308</v>
      </c>
      <c r="AX214" s="70">
        <v>0.30487804878048785</v>
      </c>
      <c r="AY214" s="70">
        <v>0.14018691588785037</v>
      </c>
      <c r="AZ214" s="23"/>
      <c r="BA214" s="70">
        <v>-8.1967213114754189E-3</v>
      </c>
      <c r="BB214" s="70">
        <v>-1.6528925619834656E-2</v>
      </c>
      <c r="BC214" s="70">
        <v>-5.0420168067226934E-2</v>
      </c>
      <c r="BD214" s="70">
        <v>3.539823008849563E-2</v>
      </c>
      <c r="BE214" s="23"/>
      <c r="BF214" s="70">
        <v>-9.4017094017094016E-2</v>
      </c>
      <c r="BG214" s="70">
        <v>0.33018867924528306</v>
      </c>
      <c r="BH214" s="70">
        <v>0.46808510638297873</v>
      </c>
    </row>
    <row r="215" spans="1:60" ht="10.5" customHeight="1">
      <c r="A215" s="69" t="s">
        <v>8</v>
      </c>
      <c r="B215" s="23"/>
      <c r="C215" s="71"/>
      <c r="D215" s="71"/>
      <c r="E215" s="71"/>
      <c r="F215" s="71"/>
      <c r="G215" s="23">
        <f>G213/B213-1</f>
        <v>-0.33510638297872342</v>
      </c>
      <c r="H215" s="71"/>
      <c r="I215" s="71"/>
      <c r="J215" s="71"/>
      <c r="K215" s="71"/>
      <c r="L215" s="90" t="s">
        <v>40</v>
      </c>
      <c r="M215" s="71">
        <f>M213/H213-1</f>
        <v>-0.95238095238095233</v>
      </c>
      <c r="N215" s="71">
        <f>N213/I213-1</f>
        <v>-8.25</v>
      </c>
      <c r="O215" s="71">
        <f>O213/J213-1</f>
        <v>9</v>
      </c>
      <c r="P215" s="71">
        <f>P213/K213-1</f>
        <v>3.5714285714285712</v>
      </c>
      <c r="Q215" s="90" t="s">
        <v>40</v>
      </c>
      <c r="R215" s="81" t="s">
        <v>40</v>
      </c>
      <c r="S215" s="71">
        <f t="shared" ref="S215:AD215" si="117">S213/N213-1</f>
        <v>1.5172413793103448</v>
      </c>
      <c r="T215" s="71">
        <f t="shared" si="117"/>
        <v>1.9333333333333331</v>
      </c>
      <c r="U215" s="71">
        <f t="shared" si="117"/>
        <v>0.65625</v>
      </c>
      <c r="V215" s="23">
        <f t="shared" si="117"/>
        <v>1.6666666666666665</v>
      </c>
      <c r="W215" s="71">
        <f t="shared" si="117"/>
        <v>0.88461538461538458</v>
      </c>
      <c r="X215" s="71">
        <f t="shared" si="117"/>
        <v>4.1095890410958846E-2</v>
      </c>
      <c r="Y215" s="71">
        <f t="shared" si="117"/>
        <v>-0.28409090909090906</v>
      </c>
      <c r="Z215" s="71">
        <f t="shared" si="117"/>
        <v>0.33962264150943389</v>
      </c>
      <c r="AA215" s="23">
        <f t="shared" si="117"/>
        <v>7.9166666666666607E-2</v>
      </c>
      <c r="AB215" s="71">
        <f t="shared" si="117"/>
        <v>1</v>
      </c>
      <c r="AC215" s="71">
        <f t="shared" si="117"/>
        <v>0.47368421052631571</v>
      </c>
      <c r="AD215" s="71">
        <f t="shared" si="117"/>
        <v>1.0634920634920637</v>
      </c>
      <c r="AE215" s="71">
        <f t="shared" ref="AE215:AJ215" si="118">AE213/Z213-1</f>
        <v>0.43661971830985924</v>
      </c>
      <c r="AF215" s="23">
        <f t="shared" si="118"/>
        <v>0.70656370656370648</v>
      </c>
      <c r="AG215" s="71">
        <f t="shared" si="118"/>
        <v>-5.1020408163265252E-2</v>
      </c>
      <c r="AH215" s="71">
        <f t="shared" si="118"/>
        <v>-1.7857142857142905E-2</v>
      </c>
      <c r="AI215" s="71">
        <f t="shared" si="118"/>
        <v>-0.10769230769230764</v>
      </c>
      <c r="AJ215" s="71">
        <f t="shared" si="118"/>
        <v>-0.20588235294117652</v>
      </c>
      <c r="AK215" s="23">
        <v>-9.5022624434389136E-2</v>
      </c>
      <c r="AL215" s="71">
        <v>-0.19354838709677424</v>
      </c>
      <c r="AM215" s="71">
        <v>-9.0909090909090939E-2</v>
      </c>
      <c r="AN215" s="71">
        <v>0.18965517241379315</v>
      </c>
      <c r="AO215" s="71">
        <v>-0.76543209876543217</v>
      </c>
      <c r="AP215" s="23">
        <v>-0.17000000000000004</v>
      </c>
      <c r="AQ215" s="71">
        <v>0.34666666666666668</v>
      </c>
      <c r="AR215" s="71">
        <v>5.0000000000000044E-2</v>
      </c>
      <c r="AS215" s="71">
        <v>-0.32608695652173914</v>
      </c>
      <c r="AT215" s="71">
        <v>6.6842105263157894</v>
      </c>
      <c r="AU215" s="23">
        <v>0.34036144578313254</v>
      </c>
      <c r="AV215" s="71">
        <v>-8.9108910891089077E-2</v>
      </c>
      <c r="AW215" s="71">
        <v>-0.21904761904761905</v>
      </c>
      <c r="AX215" s="71">
        <v>0.15053763440860224</v>
      </c>
      <c r="AY215" s="71">
        <v>-0.16438356164383561</v>
      </c>
      <c r="AZ215" s="23">
        <v>-9.4382022471910076E-2</v>
      </c>
      <c r="BA215" s="71">
        <v>0.31521739130434789</v>
      </c>
      <c r="BB215" s="71">
        <v>0.45121951219512191</v>
      </c>
      <c r="BC215" s="71">
        <v>5.6074766355140193E-2</v>
      </c>
      <c r="BD215" s="71">
        <v>-4.0983606557377095E-2</v>
      </c>
      <c r="BE215" s="23">
        <v>0.16625310173697261</v>
      </c>
      <c r="BF215" s="71">
        <v>-0.12396694214876036</v>
      </c>
      <c r="BG215" s="71">
        <v>0.18487394957983194</v>
      </c>
      <c r="BH215" s="71">
        <v>0.83185840707964598</v>
      </c>
    </row>
    <row r="216" spans="1:60" ht="11.1" customHeight="1">
      <c r="A216" s="67" t="s">
        <v>193</v>
      </c>
      <c r="B216" s="36">
        <v>394</v>
      </c>
      <c r="C216" s="78" t="s">
        <v>49</v>
      </c>
      <c r="D216" s="78" t="s">
        <v>49</v>
      </c>
      <c r="E216" s="78" t="s">
        <v>49</v>
      </c>
      <c r="F216" s="78" t="s">
        <v>49</v>
      </c>
      <c r="G216" s="36">
        <v>400</v>
      </c>
      <c r="H216" s="78" t="s">
        <v>49</v>
      </c>
      <c r="I216" s="78" t="s">
        <v>49</v>
      </c>
      <c r="J216" s="78" t="s">
        <v>49</v>
      </c>
      <c r="K216" s="78" t="s">
        <v>49</v>
      </c>
      <c r="L216" s="174">
        <v>431</v>
      </c>
      <c r="M216" s="78" t="s">
        <v>49</v>
      </c>
      <c r="N216" s="78" t="s">
        <v>49</v>
      </c>
      <c r="O216" s="78" t="s">
        <v>49</v>
      </c>
      <c r="P216" s="78" t="s">
        <v>49</v>
      </c>
      <c r="Q216" s="36">
        <v>527</v>
      </c>
      <c r="R216" s="78" t="s">
        <v>49</v>
      </c>
      <c r="S216" s="78" t="s">
        <v>49</v>
      </c>
      <c r="T216" s="78" t="s">
        <v>49</v>
      </c>
      <c r="U216" s="78" t="s">
        <v>49</v>
      </c>
      <c r="V216" s="36">
        <v>356</v>
      </c>
      <c r="W216" s="78" t="s">
        <v>49</v>
      </c>
      <c r="X216" s="78" t="s">
        <v>49</v>
      </c>
      <c r="Y216" s="78" t="s">
        <v>49</v>
      </c>
      <c r="Z216" s="78" t="s">
        <v>49</v>
      </c>
      <c r="AA216" s="36">
        <v>493</v>
      </c>
      <c r="AB216" s="78" t="s">
        <v>49</v>
      </c>
      <c r="AC216" s="78" t="s">
        <v>49</v>
      </c>
      <c r="AD216" s="78" t="s">
        <v>49</v>
      </c>
      <c r="AE216" s="78" t="s">
        <v>49</v>
      </c>
      <c r="AF216" s="36">
        <v>410</v>
      </c>
      <c r="AG216" s="78" t="s">
        <v>49</v>
      </c>
      <c r="AH216" s="78" t="s">
        <v>49</v>
      </c>
      <c r="AI216" s="78" t="s">
        <v>49</v>
      </c>
      <c r="AJ216" s="78" t="s">
        <v>49</v>
      </c>
      <c r="AK216" s="36">
        <v>478</v>
      </c>
      <c r="AL216" s="78" t="s">
        <v>49</v>
      </c>
      <c r="AM216" s="78" t="s">
        <v>49</v>
      </c>
      <c r="AN216" s="78" t="s">
        <v>49</v>
      </c>
      <c r="AO216" s="78" t="s">
        <v>49</v>
      </c>
      <c r="AP216" s="36">
        <v>492</v>
      </c>
      <c r="AQ216" s="143">
        <v>107</v>
      </c>
      <c r="AR216" s="143">
        <v>109</v>
      </c>
      <c r="AS216" s="143">
        <v>83</v>
      </c>
      <c r="AT216" s="143">
        <v>100</v>
      </c>
      <c r="AU216" s="36">
        <v>399</v>
      </c>
      <c r="AV216" s="143">
        <v>102</v>
      </c>
      <c r="AW216" s="143">
        <v>97</v>
      </c>
      <c r="AX216" s="143">
        <v>109</v>
      </c>
      <c r="AY216" s="143">
        <v>88</v>
      </c>
      <c r="AZ216" s="36">
        <v>396</v>
      </c>
      <c r="BA216" s="143">
        <v>89</v>
      </c>
      <c r="BB216" s="143">
        <v>66</v>
      </c>
      <c r="BC216" s="143">
        <v>81</v>
      </c>
      <c r="BD216" s="182">
        <v>-49</v>
      </c>
      <c r="BE216" s="36">
        <v>187</v>
      </c>
      <c r="BF216" s="143">
        <v>100</v>
      </c>
      <c r="BG216" s="143">
        <v>172</v>
      </c>
      <c r="BH216" s="143">
        <v>58</v>
      </c>
    </row>
    <row r="217" spans="1:60" ht="10.199999999999999" customHeight="1">
      <c r="A217" s="69" t="s">
        <v>7</v>
      </c>
      <c r="B217" s="23"/>
      <c r="C217" s="70"/>
      <c r="D217" s="70"/>
      <c r="E217" s="70"/>
      <c r="F217" s="70"/>
      <c r="G217" s="23"/>
      <c r="H217" s="70"/>
      <c r="I217" s="70"/>
      <c r="J217" s="70"/>
      <c r="K217" s="70"/>
      <c r="L217" s="23"/>
      <c r="M217" s="70"/>
      <c r="N217" s="70"/>
      <c r="O217" s="70"/>
      <c r="P217" s="70"/>
      <c r="Q217" s="23"/>
      <c r="R217" s="70"/>
      <c r="S217" s="70"/>
      <c r="T217" s="70"/>
      <c r="U217" s="70"/>
      <c r="V217" s="23"/>
      <c r="W217" s="70"/>
      <c r="X217" s="70"/>
      <c r="Y217" s="70"/>
      <c r="Z217" s="70"/>
      <c r="AA217" s="23"/>
      <c r="AB217" s="70"/>
      <c r="AC217" s="70"/>
      <c r="AD217" s="70"/>
      <c r="AE217" s="70"/>
      <c r="AF217" s="23"/>
      <c r="AG217" s="70"/>
      <c r="AH217" s="70"/>
      <c r="AI217" s="70"/>
      <c r="AJ217" s="70"/>
      <c r="AK217" s="23"/>
      <c r="AL217" s="70"/>
      <c r="AM217" s="70"/>
      <c r="AN217" s="70"/>
      <c r="AO217" s="70"/>
      <c r="AP217" s="23"/>
      <c r="AQ217" s="70"/>
      <c r="AR217" s="70">
        <v>1.8691588785046731E-2</v>
      </c>
      <c r="AS217" s="70">
        <v>-0.23853211009174313</v>
      </c>
      <c r="AT217" s="70">
        <v>0.20481927710843384</v>
      </c>
      <c r="AU217" s="23"/>
      <c r="AV217" s="70">
        <v>2.0000000000000018E-2</v>
      </c>
      <c r="AW217" s="70">
        <v>-4.9019607843137303E-2</v>
      </c>
      <c r="AX217" s="70">
        <v>0.12371134020618557</v>
      </c>
      <c r="AY217" s="70">
        <v>-0.19266055045871555</v>
      </c>
      <c r="AZ217" s="23"/>
      <c r="BA217" s="70">
        <v>1.1363636363636465E-2</v>
      </c>
      <c r="BB217" s="70">
        <v>-0.2584269662921348</v>
      </c>
      <c r="BC217" s="70">
        <v>0.22727272727272729</v>
      </c>
      <c r="BD217" s="83" t="s">
        <v>40</v>
      </c>
      <c r="BE217" s="23"/>
      <c r="BF217" s="83" t="s">
        <v>40</v>
      </c>
      <c r="BG217" s="70">
        <v>0.72</v>
      </c>
      <c r="BH217" s="70">
        <v>-0.66279069767441867</v>
      </c>
    </row>
    <row r="218" spans="1:60" ht="10.5" customHeight="1">
      <c r="A218" s="69" t="s">
        <v>8</v>
      </c>
      <c r="B218" s="23"/>
      <c r="C218" s="71"/>
      <c r="D218" s="71"/>
      <c r="E218" s="71"/>
      <c r="F218" s="71"/>
      <c r="G218" s="23">
        <f t="shared" ref="G218" si="119">G216/B216-1</f>
        <v>1.5228426395939021E-2</v>
      </c>
      <c r="H218" s="71"/>
      <c r="I218" s="71"/>
      <c r="J218" s="71"/>
      <c r="K218" s="71"/>
      <c r="L218" s="23">
        <f t="shared" ref="L218" si="120">L216/G216-1</f>
        <v>7.7499999999999902E-2</v>
      </c>
      <c r="M218" s="71"/>
      <c r="N218" s="71"/>
      <c r="O218" s="71"/>
      <c r="P218" s="71"/>
      <c r="Q218" s="23">
        <f t="shared" ref="Q218" si="121">Q216/L216-1</f>
        <v>0.22273781902552203</v>
      </c>
      <c r="R218" s="71"/>
      <c r="S218" s="71"/>
      <c r="T218" s="71"/>
      <c r="U218" s="71"/>
      <c r="V218" s="23">
        <f t="shared" ref="V218" si="122">V216/Q216-1</f>
        <v>-0.32447817836812143</v>
      </c>
      <c r="W218" s="71"/>
      <c r="X218" s="71"/>
      <c r="Y218" s="71"/>
      <c r="Z218" s="71"/>
      <c r="AA218" s="23">
        <f t="shared" ref="AA218" si="123">AA216/V216-1</f>
        <v>0.38483146067415741</v>
      </c>
      <c r="AB218" s="71"/>
      <c r="AC218" s="71"/>
      <c r="AD218" s="71"/>
      <c r="AE218" s="71"/>
      <c r="AF218" s="23">
        <f t="shared" ref="AF218" si="124">AF216/AA216-1</f>
        <v>-0.16835699797160242</v>
      </c>
      <c r="AG218" s="71"/>
      <c r="AH218" s="71"/>
      <c r="AI218" s="71"/>
      <c r="AJ218" s="71"/>
      <c r="AK218" s="23">
        <v>0.16585365853658529</v>
      </c>
      <c r="AL218" s="71"/>
      <c r="AM218" s="71"/>
      <c r="AN218" s="71"/>
      <c r="AO218" s="71"/>
      <c r="AP218" s="23">
        <v>2.9288702928870203E-2</v>
      </c>
      <c r="AQ218" s="71"/>
      <c r="AR218" s="71"/>
      <c r="AS218" s="71"/>
      <c r="AT218" s="71"/>
      <c r="AU218" s="23">
        <v>-0.18902439024390238</v>
      </c>
      <c r="AV218" s="71">
        <v>-4.6728971962616828E-2</v>
      </c>
      <c r="AW218" s="71">
        <v>-0.11009174311926606</v>
      </c>
      <c r="AX218" s="71">
        <v>0.31325301204819267</v>
      </c>
      <c r="AY218" s="71">
        <v>-0.12</v>
      </c>
      <c r="AZ218" s="23">
        <v>-7.5187969924812581E-3</v>
      </c>
      <c r="BA218" s="71">
        <v>-0.12745098039215685</v>
      </c>
      <c r="BB218" s="71">
        <v>-0.31958762886597936</v>
      </c>
      <c r="BC218" s="71">
        <v>-0.25688073394495414</v>
      </c>
      <c r="BD218" s="83" t="s">
        <v>40</v>
      </c>
      <c r="BE218" s="23">
        <v>-0.52777777777777779</v>
      </c>
      <c r="BF218" s="71">
        <v>0.12359550561797761</v>
      </c>
      <c r="BG218" s="71">
        <v>1.606060606060606</v>
      </c>
      <c r="BH218" s="71">
        <v>-0.28395061728395066</v>
      </c>
    </row>
    <row r="219" spans="1:60" ht="12" customHeight="1">
      <c r="A219" s="67" t="s">
        <v>257</v>
      </c>
      <c r="B219" s="36">
        <f>1330-593</f>
        <v>737</v>
      </c>
      <c r="C219" s="68">
        <f>398-154</f>
        <v>244</v>
      </c>
      <c r="D219" s="68">
        <f>468-178</f>
        <v>290</v>
      </c>
      <c r="E219" s="68">
        <f>462-191</f>
        <v>271</v>
      </c>
      <c r="F219" s="68">
        <f>G219-E219-D219-C219</f>
        <v>145</v>
      </c>
      <c r="G219" s="36">
        <f>1627-677</f>
        <v>950</v>
      </c>
      <c r="H219" s="68">
        <f>608-272</f>
        <v>336</v>
      </c>
      <c r="I219" s="68">
        <f>541-225</f>
        <v>316</v>
      </c>
      <c r="J219" s="68">
        <v>319</v>
      </c>
      <c r="K219" s="68">
        <f>L219-J219-I219-H219</f>
        <v>136</v>
      </c>
      <c r="L219" s="36">
        <f>3603-958-1538</f>
        <v>1107</v>
      </c>
      <c r="M219" s="68">
        <f>642-282</f>
        <v>360</v>
      </c>
      <c r="N219" s="68">
        <f>638-289</f>
        <v>349</v>
      </c>
      <c r="O219" s="68">
        <f>588-211</f>
        <v>377</v>
      </c>
      <c r="P219" s="68">
        <f>Q219-O219-N219-M219</f>
        <v>340</v>
      </c>
      <c r="Q219" s="36">
        <f>2443-1017</f>
        <v>1426</v>
      </c>
      <c r="R219" s="68">
        <f>185-62</f>
        <v>123</v>
      </c>
      <c r="S219" s="68">
        <v>330</v>
      </c>
      <c r="T219" s="68">
        <f>458-147</f>
        <v>311</v>
      </c>
      <c r="U219" s="68">
        <f>V219-T219-S219-R219</f>
        <v>309</v>
      </c>
      <c r="V219" s="36">
        <v>1073</v>
      </c>
      <c r="W219" s="68">
        <f>490-162+20</f>
        <v>348</v>
      </c>
      <c r="X219" s="68">
        <f>361-98</f>
        <v>263</v>
      </c>
      <c r="Y219" s="68">
        <f>356-110</f>
        <v>246</v>
      </c>
      <c r="Z219" s="68">
        <f>AA219-Y219-X219-W219</f>
        <v>370</v>
      </c>
      <c r="AA219" s="36">
        <f>1700-493+20</f>
        <v>1227</v>
      </c>
      <c r="AB219" s="68">
        <v>303</v>
      </c>
      <c r="AC219" s="68">
        <v>292</v>
      </c>
      <c r="AD219" s="68">
        <v>288</v>
      </c>
      <c r="AE219" s="68">
        <f>AF219-AD219-AC219-AB219</f>
        <v>263</v>
      </c>
      <c r="AF219" s="36">
        <v>1146</v>
      </c>
      <c r="AG219" s="143">
        <v>295</v>
      </c>
      <c r="AH219" s="143">
        <v>251</v>
      </c>
      <c r="AI219" s="143">
        <v>263</v>
      </c>
      <c r="AJ219" s="143">
        <f>AK219-AI219-AH219-AG219</f>
        <v>293</v>
      </c>
      <c r="AK219" s="36">
        <v>1102</v>
      </c>
      <c r="AL219" s="68">
        <v>346</v>
      </c>
      <c r="AM219" s="68">
        <v>382</v>
      </c>
      <c r="AN219" s="68">
        <v>256</v>
      </c>
      <c r="AO219" s="143">
        <v>340</v>
      </c>
      <c r="AP219" s="36">
        <v>1324</v>
      </c>
      <c r="AQ219" s="68">
        <v>328</v>
      </c>
      <c r="AR219" s="68">
        <v>326</v>
      </c>
      <c r="AS219" s="68">
        <v>343</v>
      </c>
      <c r="AT219" s="143">
        <v>235</v>
      </c>
      <c r="AU219" s="36">
        <v>1232</v>
      </c>
      <c r="AV219" s="68">
        <v>319</v>
      </c>
      <c r="AW219" s="68">
        <v>317</v>
      </c>
      <c r="AX219" s="68">
        <v>276</v>
      </c>
      <c r="AY219" s="143">
        <v>260</v>
      </c>
      <c r="AZ219" s="36">
        <v>1172</v>
      </c>
      <c r="BA219" s="68">
        <v>263</v>
      </c>
      <c r="BB219" s="68">
        <v>202</v>
      </c>
      <c r="BC219" s="68">
        <v>257</v>
      </c>
      <c r="BD219" s="182">
        <v>-155</v>
      </c>
      <c r="BE219" s="36">
        <v>567</v>
      </c>
      <c r="BF219" s="68">
        <v>321</v>
      </c>
      <c r="BG219" s="68">
        <v>562</v>
      </c>
      <c r="BH219" s="68">
        <v>175</v>
      </c>
    </row>
    <row r="220" spans="1:60" ht="12" customHeight="1">
      <c r="A220" s="69" t="s">
        <v>7</v>
      </c>
      <c r="B220" s="23"/>
      <c r="C220" s="70"/>
      <c r="D220" s="70">
        <f>D219/C219-1</f>
        <v>0.18852459016393452</v>
      </c>
      <c r="E220" s="70">
        <f>E219/D219-1</f>
        <v>-6.5517241379310365E-2</v>
      </c>
      <c r="F220" s="70">
        <f>F219/E219-1</f>
        <v>-0.4649446494464945</v>
      </c>
      <c r="G220" s="23"/>
      <c r="H220" s="70">
        <f>H219/F219-1</f>
        <v>1.317241379310345</v>
      </c>
      <c r="I220" s="70">
        <f>I219/H219-1</f>
        <v>-5.9523809523809534E-2</v>
      </c>
      <c r="J220" s="70">
        <f>J219/I219-1</f>
        <v>9.493670886076E-3</v>
      </c>
      <c r="K220" s="70">
        <f>K219/J219-1</f>
        <v>-0.57366771159874608</v>
      </c>
      <c r="L220" s="23"/>
      <c r="M220" s="70">
        <f>M219/K219-1</f>
        <v>1.6470588235294117</v>
      </c>
      <c r="N220" s="70">
        <f>N219/M219-1</f>
        <v>-3.0555555555555558E-2</v>
      </c>
      <c r="O220" s="70">
        <f>O219/N219-1</f>
        <v>8.022922636103158E-2</v>
      </c>
      <c r="P220" s="70">
        <f>P219/O219-1</f>
        <v>-9.8143236074270557E-2</v>
      </c>
      <c r="Q220" s="23"/>
      <c r="R220" s="70">
        <f>R219/P219-1</f>
        <v>-0.63823529411764701</v>
      </c>
      <c r="S220" s="70">
        <f>S219/R219-1</f>
        <v>1.6829268292682928</v>
      </c>
      <c r="T220" s="70">
        <f>T219/S219-1</f>
        <v>-5.7575757575757613E-2</v>
      </c>
      <c r="U220" s="70">
        <f>U219/T219-1</f>
        <v>-6.4308681672026191E-3</v>
      </c>
      <c r="V220" s="23"/>
      <c r="W220" s="70">
        <f>W219/U219-1</f>
        <v>0.12621359223300965</v>
      </c>
      <c r="X220" s="70">
        <f>X219/W219-1</f>
        <v>-0.24425287356321834</v>
      </c>
      <c r="Y220" s="70">
        <f>Y219/X219-1</f>
        <v>-6.4638783269961975E-2</v>
      </c>
      <c r="Z220" s="70">
        <f>Z219/Y219-1</f>
        <v>0.50406504065040658</v>
      </c>
      <c r="AA220" s="23"/>
      <c r="AB220" s="70">
        <f>AB219/Z219-1</f>
        <v>-0.18108108108108112</v>
      </c>
      <c r="AC220" s="70">
        <f>AC219/AB219-1</f>
        <v>-3.6303630363036299E-2</v>
      </c>
      <c r="AD220" s="70">
        <f>AD219/AC219-1</f>
        <v>-1.3698630136986356E-2</v>
      </c>
      <c r="AE220" s="70">
        <f>AE219/AD219-1</f>
        <v>-8.680555555555558E-2</v>
      </c>
      <c r="AF220" s="23"/>
      <c r="AG220" s="70">
        <f>AG219/AE219-1</f>
        <v>0.1216730038022813</v>
      </c>
      <c r="AH220" s="70">
        <f>AH219/AG219-1</f>
        <v>-0.14915254237288134</v>
      </c>
      <c r="AI220" s="70">
        <f>AI219/AH219-1</f>
        <v>4.7808764940239001E-2</v>
      </c>
      <c r="AJ220" s="70">
        <f>AJ219/AI219-1</f>
        <v>0.11406844106463887</v>
      </c>
      <c r="AK220" s="23"/>
      <c r="AL220" s="70">
        <v>0.1808873720136519</v>
      </c>
      <c r="AM220" s="70">
        <v>0.10404624277456653</v>
      </c>
      <c r="AN220" s="70">
        <v>-0.32984293193717273</v>
      </c>
      <c r="AO220" s="70">
        <v>0.328125</v>
      </c>
      <c r="AP220" s="23"/>
      <c r="AQ220" s="70">
        <v>-3.5294117647058809E-2</v>
      </c>
      <c r="AR220" s="70">
        <v>-6.0975609756097615E-3</v>
      </c>
      <c r="AS220" s="70">
        <v>5.2147239263803602E-2</v>
      </c>
      <c r="AT220" s="70">
        <v>-0.314868804664723</v>
      </c>
      <c r="AU220" s="23"/>
      <c r="AV220" s="70">
        <v>0.35744680851063837</v>
      </c>
      <c r="AW220" s="70">
        <v>-6.2695924764890609E-3</v>
      </c>
      <c r="AX220" s="70">
        <v>-0.12933753943217663</v>
      </c>
      <c r="AY220" s="70">
        <v>-5.7971014492753659E-2</v>
      </c>
      <c r="AZ220" s="23"/>
      <c r="BA220" s="70">
        <v>1.1538461538461497E-2</v>
      </c>
      <c r="BB220" s="70">
        <v>-0.23193916349809884</v>
      </c>
      <c r="BC220" s="70">
        <v>0.2722772277227723</v>
      </c>
      <c r="BD220" s="83" t="s">
        <v>40</v>
      </c>
      <c r="BE220" s="23"/>
      <c r="BF220" s="83" t="s">
        <v>40</v>
      </c>
      <c r="BG220" s="70">
        <v>0.75077881619937692</v>
      </c>
      <c r="BH220" s="70">
        <v>-0.68861209964412806</v>
      </c>
    </row>
    <row r="221" spans="1:60" ht="11.4" customHeight="1">
      <c r="A221" s="69" t="s">
        <v>8</v>
      </c>
      <c r="B221" s="23"/>
      <c r="C221" s="71"/>
      <c r="D221" s="71"/>
      <c r="E221" s="71"/>
      <c r="F221" s="71"/>
      <c r="G221" s="23">
        <f t="shared" ref="G221:N221" si="125">G219/B219-1</f>
        <v>0.28900949796472175</v>
      </c>
      <c r="H221" s="71">
        <f t="shared" si="125"/>
        <v>0.37704918032786883</v>
      </c>
      <c r="I221" s="71">
        <f t="shared" si="125"/>
        <v>8.9655172413793061E-2</v>
      </c>
      <c r="J221" s="71">
        <f t="shared" si="125"/>
        <v>0.17712177121771222</v>
      </c>
      <c r="K221" s="71">
        <f t="shared" si="125"/>
        <v>-6.2068965517241392E-2</v>
      </c>
      <c r="L221" s="23">
        <f t="shared" si="125"/>
        <v>0.16526315789473678</v>
      </c>
      <c r="M221" s="71">
        <f t="shared" si="125"/>
        <v>7.1428571428571397E-2</v>
      </c>
      <c r="N221" s="71">
        <f t="shared" si="125"/>
        <v>0.10443037974683533</v>
      </c>
      <c r="O221" s="71">
        <f t="shared" ref="O221:Y221" si="126">O219/J219-1</f>
        <v>0.18181818181818188</v>
      </c>
      <c r="P221" s="71">
        <f t="shared" si="126"/>
        <v>1.5</v>
      </c>
      <c r="Q221" s="23">
        <f t="shared" si="126"/>
        <v>0.28816621499548334</v>
      </c>
      <c r="R221" s="71">
        <f t="shared" si="126"/>
        <v>-0.65833333333333333</v>
      </c>
      <c r="S221" s="71">
        <f t="shared" si="126"/>
        <v>-5.4441260744985676E-2</v>
      </c>
      <c r="T221" s="71">
        <f t="shared" si="126"/>
        <v>-0.17506631299734743</v>
      </c>
      <c r="U221" s="71">
        <f t="shared" si="126"/>
        <v>-9.1176470588235303E-2</v>
      </c>
      <c r="V221" s="23">
        <f t="shared" si="126"/>
        <v>-0.24754558204768584</v>
      </c>
      <c r="W221" s="71">
        <f t="shared" si="126"/>
        <v>1.8292682926829267</v>
      </c>
      <c r="X221" s="71">
        <f t="shared" si="126"/>
        <v>-0.20303030303030301</v>
      </c>
      <c r="Y221" s="71">
        <f t="shared" si="126"/>
        <v>-0.20900321543408362</v>
      </c>
      <c r="Z221" s="71">
        <f t="shared" ref="Z221:AI221" si="127">Z219/U219-1</f>
        <v>0.19741100323624594</v>
      </c>
      <c r="AA221" s="23">
        <f t="shared" si="127"/>
        <v>0.14352283317800563</v>
      </c>
      <c r="AB221" s="71">
        <f t="shared" si="127"/>
        <v>-0.12931034482758619</v>
      </c>
      <c r="AC221" s="71">
        <f t="shared" si="127"/>
        <v>0.11026615969581743</v>
      </c>
      <c r="AD221" s="71">
        <f t="shared" si="127"/>
        <v>0.1707317073170731</v>
      </c>
      <c r="AE221" s="71">
        <f t="shared" si="127"/>
        <v>-0.28918918918918923</v>
      </c>
      <c r="AF221" s="23">
        <f t="shared" si="127"/>
        <v>-6.6014669926650393E-2</v>
      </c>
      <c r="AG221" s="71">
        <f t="shared" si="127"/>
        <v>-2.6402640264026389E-2</v>
      </c>
      <c r="AH221" s="71">
        <f t="shared" si="127"/>
        <v>-0.1404109589041096</v>
      </c>
      <c r="AI221" s="71">
        <f t="shared" si="127"/>
        <v>-8.680555555555558E-2</v>
      </c>
      <c r="AJ221" s="71">
        <f t="shared" ref="AJ221" si="128">AJ219/AE219-1</f>
        <v>0.11406844106463887</v>
      </c>
      <c r="AK221" s="23">
        <v>-3.839441535776611E-2</v>
      </c>
      <c r="AL221" s="71">
        <v>0.17288135593220333</v>
      </c>
      <c r="AM221" s="71">
        <v>0.52191235059760954</v>
      </c>
      <c r="AN221" s="71">
        <v>-2.6615969581749055E-2</v>
      </c>
      <c r="AO221" s="71">
        <v>0.16040955631399312</v>
      </c>
      <c r="AP221" s="23">
        <v>0.20145190562613435</v>
      </c>
      <c r="AQ221" s="71">
        <v>-5.2023121387283267E-2</v>
      </c>
      <c r="AR221" s="71">
        <v>-0.1465968586387435</v>
      </c>
      <c r="AS221" s="71">
        <v>0.33984375</v>
      </c>
      <c r="AT221" s="71">
        <v>-0.30882352941176472</v>
      </c>
      <c r="AU221" s="23">
        <v>-6.9486404833836835E-2</v>
      </c>
      <c r="AV221" s="71">
        <v>-2.7439024390243927E-2</v>
      </c>
      <c r="AW221" s="71">
        <v>-2.7607361963190136E-2</v>
      </c>
      <c r="AX221" s="71">
        <v>-0.19533527696793007</v>
      </c>
      <c r="AY221" s="71">
        <v>0.1063829787234043</v>
      </c>
      <c r="AZ221" s="23">
        <v>-4.870129870129869E-2</v>
      </c>
      <c r="BA221" s="71">
        <v>-0.17554858934169282</v>
      </c>
      <c r="BB221" s="71">
        <v>-0.36277602523659302</v>
      </c>
      <c r="BC221" s="71">
        <v>-6.88405797101449E-2</v>
      </c>
      <c r="BD221" s="83" t="s">
        <v>40</v>
      </c>
      <c r="BE221" s="23">
        <v>-0.5162116040955631</v>
      </c>
      <c r="BF221" s="71">
        <v>0.22053231939163509</v>
      </c>
      <c r="BG221" s="71">
        <v>1.782178217821782</v>
      </c>
      <c r="BH221" s="71">
        <v>-0.31906614785992216</v>
      </c>
    </row>
    <row r="222" spans="1:60" ht="23.25" customHeight="1">
      <c r="A222" s="225" t="s">
        <v>260</v>
      </c>
      <c r="B222" s="23"/>
      <c r="C222" s="71"/>
      <c r="D222" s="71"/>
      <c r="E222" s="71"/>
      <c r="F222" s="71"/>
      <c r="G222" s="23"/>
      <c r="H222" s="71"/>
      <c r="I222" s="71"/>
      <c r="J222" s="71"/>
      <c r="K222" s="71"/>
      <c r="L222" s="23"/>
      <c r="M222" s="71"/>
      <c r="N222" s="71"/>
      <c r="O222" s="71"/>
      <c r="P222" s="71"/>
      <c r="Q222" s="23"/>
      <c r="R222" s="71"/>
      <c r="S222" s="71"/>
      <c r="T222" s="71"/>
      <c r="U222" s="71"/>
      <c r="V222" s="23"/>
      <c r="W222" s="71"/>
      <c r="X222" s="71"/>
      <c r="Y222" s="71"/>
      <c r="Z222" s="71"/>
      <c r="AA222" s="23"/>
      <c r="AB222" s="71"/>
      <c r="AC222" s="71"/>
      <c r="AD222" s="71"/>
      <c r="AE222" s="71"/>
      <c r="AF222" s="36">
        <f>AF219+(AF209*0.75)</f>
        <v>1087.5</v>
      </c>
      <c r="AG222" s="71"/>
      <c r="AH222" s="71"/>
      <c r="AI222" s="71"/>
      <c r="AJ222" s="71"/>
      <c r="AK222" s="36">
        <v>1084.75</v>
      </c>
      <c r="AL222" s="71"/>
      <c r="AM222" s="71"/>
      <c r="AN222" s="71"/>
      <c r="AO222" s="71"/>
      <c r="AP222" s="36">
        <v>1249.75</v>
      </c>
      <c r="AQ222" s="220">
        <v>321.25</v>
      </c>
      <c r="AR222" s="220">
        <v>317</v>
      </c>
      <c r="AS222" s="220">
        <v>323.5</v>
      </c>
      <c r="AT222" s="143">
        <v>260.5</v>
      </c>
      <c r="AU222" s="36">
        <v>1222.25</v>
      </c>
      <c r="AV222" s="220">
        <v>315.95999999999998</v>
      </c>
      <c r="AW222" s="220">
        <v>316.24</v>
      </c>
      <c r="AX222" s="220">
        <v>257.76</v>
      </c>
      <c r="AY222" s="143">
        <v>264.56</v>
      </c>
      <c r="AZ222" s="36">
        <v>1154.52</v>
      </c>
      <c r="BA222" s="220">
        <v>276.86</v>
      </c>
      <c r="BB222" s="220">
        <v>270.52999999999997</v>
      </c>
      <c r="BC222" s="220">
        <v>255.46</v>
      </c>
      <c r="BD222" s="143">
        <v>236.92999999999995</v>
      </c>
      <c r="BE222" s="36">
        <v>1039.78</v>
      </c>
      <c r="BF222" s="220">
        <v>267.87</v>
      </c>
      <c r="BG222" s="220">
        <v>236.29000000000002</v>
      </c>
      <c r="BH222" s="220">
        <v>168.84</v>
      </c>
    </row>
    <row r="223" spans="1:60" s="35" customFormat="1" ht="16.2" customHeight="1">
      <c r="A223" s="67" t="s">
        <v>199</v>
      </c>
      <c r="B223" s="36">
        <f>B203+B210</f>
        <v>2260</v>
      </c>
      <c r="C223" s="75">
        <f>C203+C210</f>
        <v>591</v>
      </c>
      <c r="D223" s="75">
        <f>D203+D210</f>
        <v>653</v>
      </c>
      <c r="E223" s="75">
        <f>E203+E210</f>
        <v>642</v>
      </c>
      <c r="F223" s="68">
        <f>G223-E223-D223-C223</f>
        <v>441</v>
      </c>
      <c r="G223" s="36">
        <f>G203+G210</f>
        <v>2327</v>
      </c>
      <c r="H223" s="75">
        <f>H203+H210</f>
        <v>648</v>
      </c>
      <c r="I223" s="75">
        <f>I203+I210</f>
        <v>639</v>
      </c>
      <c r="J223" s="75">
        <f>J203+J210</f>
        <v>675</v>
      </c>
      <c r="K223" s="68">
        <f>L223-J223-I223-H223</f>
        <v>355</v>
      </c>
      <c r="L223" s="36">
        <f>L203+L210</f>
        <v>2317</v>
      </c>
      <c r="M223" s="75">
        <f>M203+M210</f>
        <v>660</v>
      </c>
      <c r="N223" s="75">
        <f>N203+N210</f>
        <v>674</v>
      </c>
      <c r="O223" s="75">
        <f>O203+O210</f>
        <v>727</v>
      </c>
      <c r="P223" s="68">
        <f>Q223-O223-N223-M223</f>
        <v>672</v>
      </c>
      <c r="Q223" s="36">
        <f>Q203+Q210</f>
        <v>2733</v>
      </c>
      <c r="R223" s="75">
        <f>R203+R210</f>
        <v>373</v>
      </c>
      <c r="S223" s="75">
        <f>S203+S210</f>
        <v>688</v>
      </c>
      <c r="T223" s="75">
        <f>T203+T210</f>
        <v>726</v>
      </c>
      <c r="U223" s="68">
        <f>V223-T223-S223-R223</f>
        <v>572</v>
      </c>
      <c r="V223" s="36">
        <f>V203+V210</f>
        <v>2359</v>
      </c>
      <c r="W223" s="75">
        <f>W203+W210</f>
        <v>717</v>
      </c>
      <c r="X223" s="75">
        <f>X203+X210</f>
        <v>615</v>
      </c>
      <c r="Y223" s="75">
        <f>Y203+Y210</f>
        <v>604</v>
      </c>
      <c r="Z223" s="68">
        <f>AA223-Y223-X223-W223</f>
        <v>753</v>
      </c>
      <c r="AA223" s="36">
        <f>AA203+AA210</f>
        <v>2689</v>
      </c>
      <c r="AB223" s="75">
        <f>AB203+AB210</f>
        <v>702</v>
      </c>
      <c r="AC223" s="75">
        <f>AC203+AC210</f>
        <v>678</v>
      </c>
      <c r="AD223" s="75">
        <f>AD203+AD210</f>
        <v>668</v>
      </c>
      <c r="AE223" s="68">
        <f>AF223-AD223-AC223-AB223</f>
        <v>633</v>
      </c>
      <c r="AF223" s="36">
        <f>AF203+AF210</f>
        <v>2681</v>
      </c>
      <c r="AG223" s="75">
        <f>AG203+AG210</f>
        <v>672</v>
      </c>
      <c r="AH223" s="75">
        <f>AH203+AH210</f>
        <v>643</v>
      </c>
      <c r="AI223" s="75">
        <f>AI203+AI210</f>
        <v>676</v>
      </c>
      <c r="AJ223" s="68">
        <f>AK223-AI223-AH223-AG223</f>
        <v>677</v>
      </c>
      <c r="AK223" s="36">
        <v>2668</v>
      </c>
      <c r="AL223" s="75">
        <v>723</v>
      </c>
      <c r="AM223" s="75">
        <v>842</v>
      </c>
      <c r="AN223" s="75">
        <v>696</v>
      </c>
      <c r="AO223" s="68">
        <v>612</v>
      </c>
      <c r="AP223" s="36">
        <v>2873</v>
      </c>
      <c r="AQ223" s="75">
        <v>719</v>
      </c>
      <c r="AR223" s="75">
        <v>725</v>
      </c>
      <c r="AS223" s="75">
        <v>707</v>
      </c>
      <c r="AT223" s="68">
        <v>642</v>
      </c>
      <c r="AU223" s="36">
        <v>2793</v>
      </c>
      <c r="AV223" s="75">
        <v>693</v>
      </c>
      <c r="AW223" s="75">
        <v>673</v>
      </c>
      <c r="AX223" s="75">
        <v>678</v>
      </c>
      <c r="AY223" s="68">
        <v>655</v>
      </c>
      <c r="AZ223" s="36">
        <v>2699</v>
      </c>
      <c r="BA223" s="75">
        <v>677</v>
      </c>
      <c r="BB223" s="75">
        <v>598</v>
      </c>
      <c r="BC223" s="75">
        <v>669</v>
      </c>
      <c r="BD223" s="68">
        <v>130</v>
      </c>
      <c r="BE223" s="36">
        <v>2074</v>
      </c>
      <c r="BF223" s="75">
        <v>738</v>
      </c>
      <c r="BG223" s="75">
        <v>1079</v>
      </c>
      <c r="BH223" s="75">
        <v>665</v>
      </c>
    </row>
    <row r="224" spans="1:60" ht="10.199999999999999" customHeight="1">
      <c r="A224" s="69" t="s">
        <v>7</v>
      </c>
      <c r="B224" s="23"/>
      <c r="C224" s="70"/>
      <c r="D224" s="70">
        <f>D223/C223-1</f>
        <v>0.10490693739424706</v>
      </c>
      <c r="E224" s="70">
        <f>E223/D223-1</f>
        <v>-1.6845329249617125E-2</v>
      </c>
      <c r="F224" s="70">
        <f>F223/E223-1</f>
        <v>-0.31308411214953269</v>
      </c>
      <c r="G224" s="23"/>
      <c r="H224" s="70">
        <f>H223/F223-1</f>
        <v>0.46938775510204089</v>
      </c>
      <c r="I224" s="70">
        <f>I223/H223-1</f>
        <v>-1.388888888888884E-2</v>
      </c>
      <c r="J224" s="70">
        <f>J223/I223-1</f>
        <v>5.6338028169014009E-2</v>
      </c>
      <c r="K224" s="70">
        <f>K223/J223-1</f>
        <v>-0.47407407407407409</v>
      </c>
      <c r="L224" s="23"/>
      <c r="M224" s="70">
        <f>M223/K223-1</f>
        <v>0.85915492957746475</v>
      </c>
      <c r="N224" s="70">
        <f>N223/M223-1</f>
        <v>2.1212121212121238E-2</v>
      </c>
      <c r="O224" s="70">
        <f>O223/N223-1</f>
        <v>7.8635014836795358E-2</v>
      </c>
      <c r="P224" s="70">
        <f>P223/O223-1</f>
        <v>-7.5653370013755161E-2</v>
      </c>
      <c r="Q224" s="23"/>
      <c r="R224" s="70">
        <f>R223/P223-1</f>
        <v>-0.44494047619047616</v>
      </c>
      <c r="S224" s="70">
        <f>S223/R223-1</f>
        <v>0.84450402144772108</v>
      </c>
      <c r="T224" s="70">
        <f>T223/S223-1</f>
        <v>5.5232558139534982E-2</v>
      </c>
      <c r="U224" s="70">
        <f>U223/T223-1</f>
        <v>-0.21212121212121215</v>
      </c>
      <c r="V224" s="23"/>
      <c r="W224" s="70">
        <f>W223/U223-1</f>
        <v>0.25349650349650354</v>
      </c>
      <c r="X224" s="70">
        <f>X223/W223-1</f>
        <v>-0.14225941422594146</v>
      </c>
      <c r="Y224" s="70">
        <f>Y223/X223-1</f>
        <v>-1.7886178861788671E-2</v>
      </c>
      <c r="Z224" s="70">
        <f>Z223/Y223-1</f>
        <v>0.2466887417218544</v>
      </c>
      <c r="AA224" s="23"/>
      <c r="AB224" s="70">
        <f>AB223/Z223-1</f>
        <v>-6.7729083665338696E-2</v>
      </c>
      <c r="AC224" s="70">
        <f>AC223/AB223-1</f>
        <v>-3.4188034188034178E-2</v>
      </c>
      <c r="AD224" s="70">
        <f>AD223/AC223-1</f>
        <v>-1.4749262536873142E-2</v>
      </c>
      <c r="AE224" s="70">
        <f>AE223/AD223-1</f>
        <v>-5.239520958083832E-2</v>
      </c>
      <c r="AF224" s="23"/>
      <c r="AG224" s="70">
        <f>AG223/AE223-1</f>
        <v>6.1611374407583019E-2</v>
      </c>
      <c r="AH224" s="70">
        <f>AH223/AG223-1</f>
        <v>-4.3154761904761862E-2</v>
      </c>
      <c r="AI224" s="70">
        <f>AI223/AH223-1</f>
        <v>5.1321928460342114E-2</v>
      </c>
      <c r="AJ224" s="70">
        <f>AJ223/AI223-1</f>
        <v>1.4792899408284654E-3</v>
      </c>
      <c r="AK224" s="23"/>
      <c r="AL224" s="70">
        <v>6.794682422452003E-2</v>
      </c>
      <c r="AM224" s="70">
        <v>0.16459197786998625</v>
      </c>
      <c r="AN224" s="70">
        <v>-0.17339667458432306</v>
      </c>
      <c r="AO224" s="70">
        <v>-0.12068965517241381</v>
      </c>
      <c r="AP224" s="23"/>
      <c r="AQ224" s="70">
        <v>0.17483660130718959</v>
      </c>
      <c r="AR224" s="70">
        <v>8.3449235048678183E-3</v>
      </c>
      <c r="AS224" s="70">
        <v>-2.4827586206896513E-2</v>
      </c>
      <c r="AT224" s="70">
        <v>-9.1937765205091893E-2</v>
      </c>
      <c r="AU224" s="23"/>
      <c r="AV224" s="70">
        <v>7.9439252336448662E-2</v>
      </c>
      <c r="AW224" s="70">
        <v>-2.8860028860028808E-2</v>
      </c>
      <c r="AX224" s="70">
        <v>7.429420505200568E-3</v>
      </c>
      <c r="AY224" s="70">
        <v>-3.3923303834808238E-2</v>
      </c>
      <c r="AZ224" s="23"/>
      <c r="BA224" s="70">
        <v>3.3587786259541952E-2</v>
      </c>
      <c r="BB224" s="70">
        <v>-0.11669128508124071</v>
      </c>
      <c r="BC224" s="70">
        <v>0.11872909698996659</v>
      </c>
      <c r="BD224" s="70">
        <v>-0.8056801195814649</v>
      </c>
      <c r="BE224" s="23"/>
      <c r="BF224" s="70">
        <v>4.6769230769230772</v>
      </c>
      <c r="BG224" s="70">
        <v>0.46205962059620598</v>
      </c>
      <c r="BH224" s="70">
        <v>-0.38368860055607046</v>
      </c>
    </row>
    <row r="225" spans="1:60" ht="9.75" customHeight="1">
      <c r="A225" s="69" t="s">
        <v>8</v>
      </c>
      <c r="B225" s="23"/>
      <c r="C225" s="71"/>
      <c r="D225" s="71"/>
      <c r="E225" s="71"/>
      <c r="F225" s="71"/>
      <c r="G225" s="23">
        <f t="shared" ref="G225:AJ225" si="129">G223/B223-1</f>
        <v>2.9646017699115124E-2</v>
      </c>
      <c r="H225" s="71">
        <f t="shared" si="129"/>
        <v>9.6446700507614169E-2</v>
      </c>
      <c r="I225" s="71">
        <f t="shared" si="129"/>
        <v>-2.1439509954058189E-2</v>
      </c>
      <c r="J225" s="71">
        <f t="shared" si="129"/>
        <v>5.1401869158878455E-2</v>
      </c>
      <c r="K225" s="71">
        <f t="shared" si="129"/>
        <v>-0.19501133786848068</v>
      </c>
      <c r="L225" s="23">
        <f t="shared" si="129"/>
        <v>-4.2973785990545466E-3</v>
      </c>
      <c r="M225" s="71">
        <f t="shared" si="129"/>
        <v>1.8518518518518601E-2</v>
      </c>
      <c r="N225" s="71">
        <f t="shared" si="129"/>
        <v>5.4773082942096929E-2</v>
      </c>
      <c r="O225" s="71">
        <f t="shared" si="129"/>
        <v>7.7037037037037015E-2</v>
      </c>
      <c r="P225" s="71">
        <f t="shared" si="129"/>
        <v>0.89295774647887316</v>
      </c>
      <c r="Q225" s="23">
        <f t="shared" si="129"/>
        <v>0.17954251186879588</v>
      </c>
      <c r="R225" s="71">
        <f t="shared" si="129"/>
        <v>-0.43484848484848482</v>
      </c>
      <c r="S225" s="71">
        <f t="shared" si="129"/>
        <v>2.0771513353115667E-2</v>
      </c>
      <c r="T225" s="71">
        <f t="shared" si="129"/>
        <v>-1.3755158184318717E-3</v>
      </c>
      <c r="U225" s="71">
        <f t="shared" si="129"/>
        <v>-0.14880952380952384</v>
      </c>
      <c r="V225" s="23">
        <f t="shared" si="129"/>
        <v>-0.13684595682400291</v>
      </c>
      <c r="W225" s="71">
        <f t="shared" si="129"/>
        <v>0.92225201072386054</v>
      </c>
      <c r="X225" s="71">
        <f t="shared" si="129"/>
        <v>-0.10610465116279066</v>
      </c>
      <c r="Y225" s="71">
        <f t="shared" si="129"/>
        <v>-0.16804407713498626</v>
      </c>
      <c r="Z225" s="71">
        <f t="shared" si="129"/>
        <v>0.31643356643356646</v>
      </c>
      <c r="AA225" s="23">
        <f t="shared" si="129"/>
        <v>0.1398897838066977</v>
      </c>
      <c r="AB225" s="71">
        <f t="shared" si="129"/>
        <v>-2.0920502092050208E-2</v>
      </c>
      <c r="AC225" s="71">
        <f t="shared" si="129"/>
        <v>0.10243902439024399</v>
      </c>
      <c r="AD225" s="71">
        <f t="shared" si="129"/>
        <v>0.10596026490066235</v>
      </c>
      <c r="AE225" s="71">
        <f t="shared" si="129"/>
        <v>-0.15936254980079678</v>
      </c>
      <c r="AF225" s="23">
        <f t="shared" si="129"/>
        <v>-2.9750836742283848E-3</v>
      </c>
      <c r="AG225" s="71">
        <f t="shared" si="129"/>
        <v>-4.2735042735042694E-2</v>
      </c>
      <c r="AH225" s="71">
        <f t="shared" si="129"/>
        <v>-5.1622418879056053E-2</v>
      </c>
      <c r="AI225" s="71">
        <f t="shared" si="129"/>
        <v>1.1976047904191711E-2</v>
      </c>
      <c r="AJ225" s="71">
        <f t="shared" si="129"/>
        <v>6.9510268562401167E-2</v>
      </c>
      <c r="AK225" s="23">
        <v>-4.8489369638194946E-3</v>
      </c>
      <c r="AL225" s="71">
        <v>7.5892857142857206E-2</v>
      </c>
      <c r="AM225" s="71">
        <v>0.30948678071539648</v>
      </c>
      <c r="AN225" s="71">
        <v>2.9585798816567976E-2</v>
      </c>
      <c r="AO225" s="71">
        <v>-9.6011816838995623E-2</v>
      </c>
      <c r="AP225" s="23">
        <v>7.6836581709145424E-2</v>
      </c>
      <c r="AQ225" s="71">
        <v>-5.5325034578146415E-3</v>
      </c>
      <c r="AR225" s="71">
        <v>-0.13895486935866985</v>
      </c>
      <c r="AS225" s="71">
        <v>1.5804597701149392E-2</v>
      </c>
      <c r="AT225" s="71">
        <v>4.9019607843137303E-2</v>
      </c>
      <c r="AU225" s="23">
        <v>-2.7845457709711141E-2</v>
      </c>
      <c r="AV225" s="71">
        <v>-3.6161335187760768E-2</v>
      </c>
      <c r="AW225" s="71">
        <v>-7.1724137931034493E-2</v>
      </c>
      <c r="AX225" s="71">
        <v>-4.1018387553040991E-2</v>
      </c>
      <c r="AY225" s="71">
        <v>2.024922118380057E-2</v>
      </c>
      <c r="AZ225" s="23">
        <v>-3.365556749015397E-2</v>
      </c>
      <c r="BA225" s="71">
        <v>-2.3088023088023046E-2</v>
      </c>
      <c r="BB225" s="71">
        <v>-0.11144130757800896</v>
      </c>
      <c r="BC225" s="71">
        <v>-1.3274336283185861E-2</v>
      </c>
      <c r="BD225" s="71">
        <v>-0.80152671755725191</v>
      </c>
      <c r="BE225" s="23">
        <v>-0.23156724712856613</v>
      </c>
      <c r="BF225" s="71">
        <v>9.0103397341211311E-2</v>
      </c>
      <c r="BG225" s="71">
        <v>0.80434782608695654</v>
      </c>
      <c r="BH225" s="71">
        <v>-5.9790732436472149E-3</v>
      </c>
    </row>
    <row r="226" spans="1:60" ht="24" customHeight="1">
      <c r="A226" s="87" t="s">
        <v>270</v>
      </c>
      <c r="B226" s="36">
        <f>B223+B209</f>
        <v>2299</v>
      </c>
      <c r="C226" s="78" t="s">
        <v>49</v>
      </c>
      <c r="D226" s="78" t="s">
        <v>49</v>
      </c>
      <c r="E226" s="78" t="s">
        <v>49</v>
      </c>
      <c r="F226" s="78" t="s">
        <v>49</v>
      </c>
      <c r="G226" s="36">
        <f>G223+G209</f>
        <v>2423</v>
      </c>
      <c r="H226" s="220">
        <f>H223+H209</f>
        <v>628</v>
      </c>
      <c r="I226" s="220">
        <f>I223+I209</f>
        <v>643</v>
      </c>
      <c r="J226" s="220">
        <f>J223+J209</f>
        <v>637</v>
      </c>
      <c r="K226" s="220">
        <f>L226-J226-I226-H226</f>
        <v>611</v>
      </c>
      <c r="L226" s="36">
        <f>L223+L209</f>
        <v>2519</v>
      </c>
      <c r="M226" s="220">
        <f>M223+M209</f>
        <v>635</v>
      </c>
      <c r="N226" s="220">
        <f>N223+N209</f>
        <v>661</v>
      </c>
      <c r="O226" s="220">
        <f>O223+O209</f>
        <v>668</v>
      </c>
      <c r="P226" s="220">
        <f>Q226-O226-N226-M226</f>
        <v>611</v>
      </c>
      <c r="Q226" s="36">
        <f>Q223+Q209</f>
        <v>2575</v>
      </c>
      <c r="R226" s="220">
        <f>R223+R209</f>
        <v>623</v>
      </c>
      <c r="S226" s="220">
        <f>S223+S209</f>
        <v>626</v>
      </c>
      <c r="T226" s="220">
        <f>T223+T209</f>
        <v>620</v>
      </c>
      <c r="U226" s="220">
        <f>V226-T226-S226-R226</f>
        <v>629</v>
      </c>
      <c r="V226" s="36">
        <f>V223+V209</f>
        <v>2498</v>
      </c>
      <c r="W226" s="220">
        <f>W223+W209</f>
        <v>695</v>
      </c>
      <c r="X226" s="220">
        <f>X223+X209</f>
        <v>631</v>
      </c>
      <c r="Y226" s="220">
        <f>Y223+Y209</f>
        <v>597</v>
      </c>
      <c r="Z226" s="220">
        <f>AA226-Y226-X226-W226</f>
        <v>638</v>
      </c>
      <c r="AA226" s="36">
        <f>AA223+AA209</f>
        <v>2561</v>
      </c>
      <c r="AB226" s="220">
        <f>AB223+AB209</f>
        <v>629</v>
      </c>
      <c r="AC226" s="220">
        <f>AC223+AC209</f>
        <v>661</v>
      </c>
      <c r="AD226" s="220">
        <f>AD223+AD209</f>
        <v>660</v>
      </c>
      <c r="AE226" s="220">
        <f>AF226-AD226-AC226-AB226</f>
        <v>653</v>
      </c>
      <c r="AF226" s="36">
        <f>AF223+AF209</f>
        <v>2603</v>
      </c>
      <c r="AG226" s="220">
        <f>AG223+AG209</f>
        <v>664</v>
      </c>
      <c r="AH226" s="220">
        <f>AH223+AH209</f>
        <v>657</v>
      </c>
      <c r="AI226" s="220">
        <f>AI223+AI209</f>
        <v>651</v>
      </c>
      <c r="AJ226" s="220">
        <f>AK226-AI226-AH226-AG226</f>
        <v>673</v>
      </c>
      <c r="AK226" s="36">
        <v>2645</v>
      </c>
      <c r="AL226" s="220">
        <v>706</v>
      </c>
      <c r="AM226" s="220">
        <v>703</v>
      </c>
      <c r="AN226" s="220">
        <v>683</v>
      </c>
      <c r="AO226" s="220">
        <v>682</v>
      </c>
      <c r="AP226" s="36">
        <v>2774</v>
      </c>
      <c r="AQ226" s="220">
        <v>710</v>
      </c>
      <c r="AR226" s="220">
        <v>713</v>
      </c>
      <c r="AS226" s="220">
        <v>681</v>
      </c>
      <c r="AT226" s="220">
        <v>676</v>
      </c>
      <c r="AU226" s="36">
        <v>2780</v>
      </c>
      <c r="AV226" s="220">
        <v>689</v>
      </c>
      <c r="AW226" s="220">
        <v>672</v>
      </c>
      <c r="AX226" s="220">
        <v>654</v>
      </c>
      <c r="AY226" s="220">
        <v>661</v>
      </c>
      <c r="AZ226" s="36">
        <v>2676</v>
      </c>
      <c r="BA226" s="220">
        <v>695</v>
      </c>
      <c r="BB226" s="220">
        <v>687</v>
      </c>
      <c r="BC226" s="220">
        <v>667</v>
      </c>
      <c r="BD226" s="220">
        <v>639</v>
      </c>
      <c r="BE226" s="36">
        <v>2688</v>
      </c>
      <c r="BF226" s="220">
        <v>669</v>
      </c>
      <c r="BG226" s="220">
        <v>656</v>
      </c>
      <c r="BH226" s="220">
        <v>657</v>
      </c>
    </row>
    <row r="227" spans="1:60" ht="9.75" customHeight="1">
      <c r="A227" s="69" t="s">
        <v>7</v>
      </c>
      <c r="B227" s="23"/>
      <c r="C227" s="70"/>
      <c r="D227" s="70"/>
      <c r="E227" s="70"/>
      <c r="F227" s="70"/>
      <c r="G227" s="23"/>
      <c r="H227" s="70"/>
      <c r="I227" s="70">
        <f>I226/H226-1</f>
        <v>2.3885350318471277E-2</v>
      </c>
      <c r="J227" s="70">
        <f>J226/I226-1</f>
        <v>-9.3312597200622127E-3</v>
      </c>
      <c r="K227" s="70">
        <f>K226/J226-1</f>
        <v>-4.081632653061229E-2</v>
      </c>
      <c r="L227" s="23"/>
      <c r="M227" s="70">
        <f>M226/K226-1</f>
        <v>3.9279869067103013E-2</v>
      </c>
      <c r="N227" s="70">
        <f>N226/M226-1</f>
        <v>4.0944881889763751E-2</v>
      </c>
      <c r="O227" s="70">
        <f>O226/N226-1</f>
        <v>1.0590015128593144E-2</v>
      </c>
      <c r="P227" s="70">
        <f>P226/O226-1</f>
        <v>-8.5329341317365248E-2</v>
      </c>
      <c r="Q227" s="23"/>
      <c r="R227" s="70">
        <f>R226/P226-1</f>
        <v>1.9639934533551617E-2</v>
      </c>
      <c r="S227" s="70">
        <f>S226/R226-1</f>
        <v>4.8154093097914075E-3</v>
      </c>
      <c r="T227" s="70">
        <f>T226/S226-1</f>
        <v>-9.5846645367412275E-3</v>
      </c>
      <c r="U227" s="70">
        <f>U226/T226-1</f>
        <v>1.4516129032257963E-2</v>
      </c>
      <c r="V227" s="23"/>
      <c r="W227" s="70">
        <f>W226/U226-1</f>
        <v>0.10492845786963434</v>
      </c>
      <c r="X227" s="70">
        <f>X226/W226-1</f>
        <v>-9.2086330935251759E-2</v>
      </c>
      <c r="Y227" s="70">
        <f>Y226/X226-1</f>
        <v>-5.3882725832012701E-2</v>
      </c>
      <c r="Z227" s="70">
        <f>Z226/Y226-1</f>
        <v>6.8676716917922986E-2</v>
      </c>
      <c r="AA227" s="23"/>
      <c r="AB227" s="70">
        <f>AB226/Z226-1</f>
        <v>-1.4106583072100332E-2</v>
      </c>
      <c r="AC227" s="70">
        <f>AC226/AB226-1</f>
        <v>5.0874403815580393E-2</v>
      </c>
      <c r="AD227" s="70">
        <f>AD226/AC226-1</f>
        <v>-1.5128593040847349E-3</v>
      </c>
      <c r="AE227" s="70">
        <f>AE226/AD226-1</f>
        <v>-1.0606060606060619E-2</v>
      </c>
      <c r="AF227" s="23"/>
      <c r="AG227" s="70">
        <f>AG226/AE226-1</f>
        <v>1.6845329249617125E-2</v>
      </c>
      <c r="AH227" s="70">
        <f>AH226/AG226-1</f>
        <v>-1.0542168674698815E-2</v>
      </c>
      <c r="AI227" s="70">
        <f>AI226/AH226-1</f>
        <v>-9.1324200913242004E-3</v>
      </c>
      <c r="AJ227" s="70">
        <f>AJ226/AI226-1</f>
        <v>3.3794162826420893E-2</v>
      </c>
      <c r="AK227" s="23"/>
      <c r="AL227" s="70">
        <v>4.9034175334323971E-2</v>
      </c>
      <c r="AM227" s="70">
        <v>-4.2492917847025691E-3</v>
      </c>
      <c r="AN227" s="70">
        <v>-2.8449502133712667E-2</v>
      </c>
      <c r="AO227" s="70">
        <v>-1.4641288433382416E-3</v>
      </c>
      <c r="AP227" s="23"/>
      <c r="AQ227" s="70">
        <v>4.1055718475073277E-2</v>
      </c>
      <c r="AR227" s="70">
        <v>4.2253521126760507E-3</v>
      </c>
      <c r="AS227" s="70">
        <v>-4.4880785413744739E-2</v>
      </c>
      <c r="AT227" s="70">
        <v>-7.342143906020504E-3</v>
      </c>
      <c r="AU227" s="23"/>
      <c r="AV227" s="70">
        <v>1.9230769230769162E-2</v>
      </c>
      <c r="AW227" s="70">
        <v>-2.4673439767779359E-2</v>
      </c>
      <c r="AX227" s="70">
        <v>-2.6785714285714302E-2</v>
      </c>
      <c r="AY227" s="70">
        <v>1.0703363914372988E-2</v>
      </c>
      <c r="AZ227" s="23"/>
      <c r="BA227" s="70">
        <v>5.1437216338880543E-2</v>
      </c>
      <c r="BB227" s="70">
        <v>-1.151079136690647E-2</v>
      </c>
      <c r="BC227" s="70">
        <v>-2.911208151382827E-2</v>
      </c>
      <c r="BD227" s="70">
        <v>-4.1979010494752611E-2</v>
      </c>
      <c r="BE227" s="23"/>
      <c r="BF227" s="70">
        <v>4.6948356807511749E-2</v>
      </c>
      <c r="BG227" s="70">
        <v>-1.9431988041853532E-2</v>
      </c>
      <c r="BH227" s="70">
        <v>1.5243902439023849E-3</v>
      </c>
    </row>
    <row r="228" spans="1:60" ht="9.75" customHeight="1">
      <c r="A228" s="69" t="s">
        <v>8</v>
      </c>
      <c r="B228" s="23"/>
      <c r="C228" s="71"/>
      <c r="D228" s="71"/>
      <c r="E228" s="71"/>
      <c r="F228" s="71"/>
      <c r="G228" s="23">
        <f t="shared" ref="G228" si="130">G226/B226-1</f>
        <v>5.3936494127881707E-2</v>
      </c>
      <c r="H228" s="71"/>
      <c r="I228" s="71"/>
      <c r="J228" s="71"/>
      <c r="K228" s="71"/>
      <c r="L228" s="23">
        <f t="shared" ref="L228" si="131">L226/G226-1</f>
        <v>3.962030540652095E-2</v>
      </c>
      <c r="M228" s="71">
        <f t="shared" ref="M228" si="132">M226/H226-1</f>
        <v>1.1146496815286566E-2</v>
      </c>
      <c r="N228" s="71">
        <f t="shared" ref="N228" si="133">N226/I226-1</f>
        <v>2.7993779160186527E-2</v>
      </c>
      <c r="O228" s="71">
        <f t="shared" ref="O228" si="134">O226/J226-1</f>
        <v>4.8665620094191508E-2</v>
      </c>
      <c r="P228" s="71">
        <f t="shared" ref="P228" si="135">P226/K226-1</f>
        <v>0</v>
      </c>
      <c r="Q228" s="23">
        <f t="shared" ref="Q228" si="136">Q226/L226-1</f>
        <v>2.2231044065105232E-2</v>
      </c>
      <c r="R228" s="71">
        <f t="shared" ref="R228" si="137">R226/M226-1</f>
        <v>-1.8897637795275646E-2</v>
      </c>
      <c r="S228" s="71">
        <f t="shared" ref="S228" si="138">S226/N226-1</f>
        <v>-5.2950075642965166E-2</v>
      </c>
      <c r="T228" s="71">
        <f t="shared" ref="T228" si="139">T226/O226-1</f>
        <v>-7.1856287425149712E-2</v>
      </c>
      <c r="U228" s="71">
        <f t="shared" ref="U228" si="140">U226/P226-1</f>
        <v>2.9459901800327426E-2</v>
      </c>
      <c r="V228" s="23">
        <f t="shared" ref="V228" si="141">V226/Q226-1</f>
        <v>-2.9902912621359246E-2</v>
      </c>
      <c r="W228" s="71">
        <f t="shared" ref="W228" si="142">W226/R226-1</f>
        <v>0.115569823434992</v>
      </c>
      <c r="X228" s="71">
        <f t="shared" ref="X228" si="143">X226/S226-1</f>
        <v>7.9872204472843933E-3</v>
      </c>
      <c r="Y228" s="71">
        <f t="shared" ref="Y228" si="144">Y226/T226-1</f>
        <v>-3.7096774193548399E-2</v>
      </c>
      <c r="Z228" s="71">
        <f t="shared" ref="Z228" si="145">Z226/U226-1</f>
        <v>1.4308426073131875E-2</v>
      </c>
      <c r="AA228" s="23">
        <f t="shared" ref="AA228" si="146">AA226/V226-1</f>
        <v>2.5220176140912764E-2</v>
      </c>
      <c r="AB228" s="71">
        <f t="shared" ref="AB228" si="147">AB226/W226-1</f>
        <v>-9.4964028776978404E-2</v>
      </c>
      <c r="AC228" s="71">
        <f t="shared" ref="AC228" si="148">AC226/X226-1</f>
        <v>4.7543581616481756E-2</v>
      </c>
      <c r="AD228" s="71">
        <f t="shared" ref="AD228" si="149">AD226/Y226-1</f>
        <v>0.10552763819095468</v>
      </c>
      <c r="AE228" s="71">
        <f t="shared" ref="AE228" si="150">AE226/Z226-1</f>
        <v>2.3510971786833812E-2</v>
      </c>
      <c r="AF228" s="23">
        <f t="shared" ref="AF228" si="151">AF226/AA226-1</f>
        <v>1.6399843811011339E-2</v>
      </c>
      <c r="AG228" s="71">
        <f t="shared" ref="AG228" si="152">AG226/AB226-1</f>
        <v>5.5643879173290944E-2</v>
      </c>
      <c r="AH228" s="71">
        <f t="shared" ref="AH228" si="153">AH226/AC226-1</f>
        <v>-6.0514372163388286E-3</v>
      </c>
      <c r="AI228" s="71">
        <f t="shared" ref="AI228" si="154">AI226/AD226-1</f>
        <v>-1.3636363636363669E-2</v>
      </c>
      <c r="AJ228" s="71">
        <f t="shared" ref="AJ228" si="155">AJ226/AE226-1</f>
        <v>3.0627871362940207E-2</v>
      </c>
      <c r="AK228" s="23">
        <v>1.6135228582405015E-2</v>
      </c>
      <c r="AL228" s="71">
        <v>6.3253012048192669E-2</v>
      </c>
      <c r="AM228" s="71">
        <v>7.0015220700152314E-2</v>
      </c>
      <c r="AN228" s="71">
        <v>4.9155145929339561E-2</v>
      </c>
      <c r="AO228" s="71">
        <v>1.3372956909361022E-2</v>
      </c>
      <c r="AP228" s="23">
        <v>4.8771266540642788E-2</v>
      </c>
      <c r="AQ228" s="71">
        <v>5.6657223796034994E-3</v>
      </c>
      <c r="AR228" s="71">
        <v>1.4224751066856278E-2</v>
      </c>
      <c r="AS228" s="71">
        <v>-2.9282576866763721E-3</v>
      </c>
      <c r="AT228" s="71">
        <v>-8.7976539589442737E-3</v>
      </c>
      <c r="AU228" s="23">
        <v>2.1629416005768398E-3</v>
      </c>
      <c r="AV228" s="71">
        <v>-2.9577464788732355E-2</v>
      </c>
      <c r="AW228" s="71">
        <v>-5.7503506311360475E-2</v>
      </c>
      <c r="AX228" s="71">
        <v>-3.9647577092510988E-2</v>
      </c>
      <c r="AY228" s="71">
        <v>-2.2189349112425982E-2</v>
      </c>
      <c r="AZ228" s="23">
        <v>-3.7410071942446055E-2</v>
      </c>
      <c r="BA228" s="71">
        <v>8.7082728592162706E-3</v>
      </c>
      <c r="BB228" s="71">
        <v>2.2321428571428603E-2</v>
      </c>
      <c r="BC228" s="71">
        <v>1.9877675840978659E-2</v>
      </c>
      <c r="BD228" s="71">
        <v>-3.3282904689863835E-2</v>
      </c>
      <c r="BE228" s="23">
        <v>4.484304932735439E-3</v>
      </c>
      <c r="BF228" s="71">
        <v>-3.7410071942446055E-2</v>
      </c>
      <c r="BG228" s="71">
        <v>-4.5123726346433801E-2</v>
      </c>
      <c r="BH228" s="71">
        <v>-1.4992503748125885E-2</v>
      </c>
    </row>
    <row r="229" spans="1:60" ht="11.25" hidden="1" customHeight="1">
      <c r="A229" s="67" t="s">
        <v>263</v>
      </c>
      <c r="B229" s="23"/>
      <c r="C229" s="71"/>
      <c r="D229" s="71"/>
      <c r="E229" s="71"/>
      <c r="F229" s="71"/>
      <c r="G229" s="23"/>
      <c r="H229" s="71"/>
      <c r="I229" s="71"/>
      <c r="J229" s="71"/>
      <c r="K229" s="71"/>
      <c r="L229" s="23"/>
      <c r="M229" s="71"/>
      <c r="N229" s="71"/>
      <c r="O229" s="71"/>
      <c r="P229" s="71"/>
      <c r="Q229" s="23"/>
      <c r="R229" s="71"/>
      <c r="S229" s="71"/>
      <c r="T229" s="71"/>
      <c r="U229" s="71"/>
      <c r="V229" s="23"/>
      <c r="W229" s="71"/>
      <c r="X229" s="71"/>
      <c r="Y229" s="71"/>
      <c r="Z229" s="71"/>
      <c r="AA229" s="23"/>
      <c r="AB229" s="71"/>
      <c r="AC229" s="71"/>
      <c r="AD229" s="71"/>
      <c r="AE229" s="71"/>
      <c r="AF229" s="23"/>
      <c r="AG229" s="71"/>
      <c r="AH229" s="71"/>
      <c r="AI229" s="71"/>
      <c r="AJ229" s="71"/>
      <c r="AK229" s="23"/>
      <c r="AL229" s="71"/>
      <c r="AM229" s="71"/>
      <c r="AN229" s="71"/>
      <c r="AO229" s="71"/>
      <c r="AP229" s="23"/>
      <c r="AQ229" s="71"/>
      <c r="AR229" s="71"/>
      <c r="AS229" s="71"/>
      <c r="AT229" s="71"/>
      <c r="AU229" s="23"/>
      <c r="AV229" s="71"/>
      <c r="AW229" s="71"/>
      <c r="AX229" s="71"/>
      <c r="AY229" s="71"/>
      <c r="AZ229" s="23"/>
      <c r="BA229" s="75">
        <v>654</v>
      </c>
      <c r="BB229" s="75">
        <v>575</v>
      </c>
      <c r="BC229" s="75">
        <v>646</v>
      </c>
      <c r="BD229" s="182">
        <v>112</v>
      </c>
      <c r="BE229" s="36">
        <v>1987</v>
      </c>
      <c r="BF229" s="75">
        <v>715</v>
      </c>
      <c r="BG229" s="75">
        <v>1056</v>
      </c>
      <c r="BH229" s="75">
        <v>642</v>
      </c>
    </row>
    <row r="230" spans="1:60" ht="1.2" hidden="1" customHeight="1">
      <c r="A230" s="69"/>
      <c r="B230" s="23"/>
      <c r="C230" s="71"/>
      <c r="D230" s="71"/>
      <c r="E230" s="71"/>
      <c r="F230" s="71"/>
      <c r="G230" s="23"/>
      <c r="H230" s="71"/>
      <c r="I230" s="71"/>
      <c r="J230" s="71"/>
      <c r="K230" s="71"/>
      <c r="L230" s="23"/>
      <c r="M230" s="71"/>
      <c r="N230" s="71"/>
      <c r="O230" s="71"/>
      <c r="P230" s="71"/>
      <c r="Q230" s="23"/>
      <c r="R230" s="71"/>
      <c r="S230" s="71"/>
      <c r="T230" s="71"/>
      <c r="U230" s="71"/>
      <c r="V230" s="23"/>
      <c r="W230" s="71"/>
      <c r="X230" s="71"/>
      <c r="Y230" s="71"/>
      <c r="Z230" s="71"/>
      <c r="AA230" s="23"/>
      <c r="AB230" s="71"/>
      <c r="AC230" s="71"/>
      <c r="AD230" s="71"/>
      <c r="AE230" s="71"/>
      <c r="AF230" s="23"/>
      <c r="AG230" s="71"/>
      <c r="AH230" s="71"/>
      <c r="AI230" s="71"/>
      <c r="AJ230" s="71"/>
      <c r="AK230" s="23"/>
      <c r="AL230" s="71"/>
      <c r="AM230" s="71"/>
      <c r="AN230" s="71"/>
      <c r="AO230" s="71"/>
      <c r="AP230" s="23"/>
      <c r="AQ230" s="71"/>
      <c r="AR230" s="71"/>
      <c r="AS230" s="71"/>
      <c r="AT230" s="71"/>
      <c r="AU230" s="23"/>
      <c r="AV230" s="71"/>
      <c r="AW230" s="71"/>
      <c r="AX230" s="71"/>
      <c r="AY230" s="71"/>
      <c r="AZ230" s="23"/>
      <c r="BA230" s="71"/>
      <c r="BB230" s="71"/>
      <c r="BC230" s="71"/>
      <c r="BD230" s="71"/>
      <c r="BE230" s="23"/>
      <c r="BF230" s="71"/>
      <c r="BG230" s="71"/>
      <c r="BH230" s="71"/>
    </row>
    <row r="231" spans="1:60" ht="25.2" hidden="1" customHeight="1">
      <c r="A231" s="87" t="s">
        <v>262</v>
      </c>
      <c r="B231" s="36">
        <f>B223+B209</f>
        <v>2299</v>
      </c>
      <c r="C231" s="78" t="s">
        <v>49</v>
      </c>
      <c r="D231" s="78" t="s">
        <v>49</v>
      </c>
      <c r="E231" s="78" t="s">
        <v>49</v>
      </c>
      <c r="F231" s="78" t="s">
        <v>49</v>
      </c>
      <c r="G231" s="36">
        <f>G223+G209</f>
        <v>2423</v>
      </c>
      <c r="H231" s="143">
        <f>H223+H209</f>
        <v>628</v>
      </c>
      <c r="I231" s="143">
        <f>I223+I209</f>
        <v>643</v>
      </c>
      <c r="J231" s="143">
        <f>J223+J209</f>
        <v>637</v>
      </c>
      <c r="K231" s="143">
        <f>L231-J231-I231-H231</f>
        <v>611</v>
      </c>
      <c r="L231" s="36">
        <f>L223+L209</f>
        <v>2519</v>
      </c>
      <c r="M231" s="143">
        <f>M223+M209</f>
        <v>635</v>
      </c>
      <c r="N231" s="143">
        <f>N223+N209</f>
        <v>661</v>
      </c>
      <c r="O231" s="143">
        <f>O223+O209</f>
        <v>668</v>
      </c>
      <c r="P231" s="143">
        <f>Q231-O231-N231-M231</f>
        <v>611</v>
      </c>
      <c r="Q231" s="36">
        <f>Q223+Q209</f>
        <v>2575</v>
      </c>
      <c r="R231" s="143">
        <f>R223+R209</f>
        <v>623</v>
      </c>
      <c r="S231" s="143">
        <f>S223+S209</f>
        <v>626</v>
      </c>
      <c r="T231" s="143">
        <f>T223+T209</f>
        <v>620</v>
      </c>
      <c r="U231" s="143">
        <f>V231-T231-S231-R231</f>
        <v>629</v>
      </c>
      <c r="V231" s="36">
        <f>V223+V209</f>
        <v>2498</v>
      </c>
      <c r="W231" s="143">
        <f>W223+W209</f>
        <v>695</v>
      </c>
      <c r="X231" s="143">
        <f>X223+X209</f>
        <v>631</v>
      </c>
      <c r="Y231" s="143">
        <f>Y223+Y209</f>
        <v>597</v>
      </c>
      <c r="Z231" s="143">
        <f>AA231-Y231-X231-W231</f>
        <v>638</v>
      </c>
      <c r="AA231" s="36">
        <f>AA223+AA209</f>
        <v>2561</v>
      </c>
      <c r="AB231" s="143">
        <f>AB223+AB209</f>
        <v>629</v>
      </c>
      <c r="AC231" s="143">
        <f>AC223+AC209</f>
        <v>661</v>
      </c>
      <c r="AD231" s="143">
        <f>AD223+AD209</f>
        <v>660</v>
      </c>
      <c r="AE231" s="143">
        <f>AF231-AD231-AC231-AB231</f>
        <v>653</v>
      </c>
      <c r="AF231" s="36">
        <f>AF223+AF209</f>
        <v>2603</v>
      </c>
      <c r="AG231" s="143">
        <f>AG223+AG209</f>
        <v>664</v>
      </c>
      <c r="AH231" s="143">
        <f>AH223+AH209</f>
        <v>657</v>
      </c>
      <c r="AI231" s="143">
        <f>AI223+AI209</f>
        <v>651</v>
      </c>
      <c r="AJ231" s="143">
        <f>AK231-AI231-AH231-AG231</f>
        <v>673</v>
      </c>
      <c r="AK231" s="36">
        <v>2645</v>
      </c>
      <c r="AL231" s="143">
        <v>706</v>
      </c>
      <c r="AM231" s="143">
        <v>703</v>
      </c>
      <c r="AN231" s="143">
        <v>683</v>
      </c>
      <c r="AO231" s="143">
        <v>682</v>
      </c>
      <c r="AP231" s="36">
        <v>2774</v>
      </c>
      <c r="AQ231" s="143">
        <v>710</v>
      </c>
      <c r="AR231" s="143">
        <v>713</v>
      </c>
      <c r="AS231" s="143">
        <v>681</v>
      </c>
      <c r="AT231" s="143">
        <v>676</v>
      </c>
      <c r="AU231" s="36">
        <v>2780</v>
      </c>
      <c r="AV231" s="143">
        <v>689</v>
      </c>
      <c r="AW231" s="143">
        <v>672</v>
      </c>
      <c r="AX231" s="143">
        <v>654</v>
      </c>
      <c r="AY231" s="143">
        <v>661</v>
      </c>
      <c r="AZ231" s="36">
        <v>2676</v>
      </c>
      <c r="BA231" s="143">
        <v>672</v>
      </c>
      <c r="BB231" s="143">
        <v>664</v>
      </c>
      <c r="BC231" s="143">
        <v>644</v>
      </c>
      <c r="BD231" s="143">
        <v>621</v>
      </c>
      <c r="BE231" s="36">
        <v>2601</v>
      </c>
      <c r="BF231" s="143"/>
      <c r="BG231" s="143"/>
      <c r="BH231" s="143"/>
    </row>
    <row r="232" spans="1:60" ht="11.25" hidden="1" customHeight="1">
      <c r="A232" s="69" t="s">
        <v>7</v>
      </c>
      <c r="B232" s="23"/>
      <c r="C232" s="70"/>
      <c r="D232" s="70"/>
      <c r="E232" s="70"/>
      <c r="F232" s="70"/>
      <c r="G232" s="23"/>
      <c r="H232" s="70"/>
      <c r="I232" s="70">
        <f>I231/H231-1</f>
        <v>2.3885350318471277E-2</v>
      </c>
      <c r="J232" s="70">
        <f>J231/I231-1</f>
        <v>-9.3312597200622127E-3</v>
      </c>
      <c r="K232" s="70">
        <f>K231/J231-1</f>
        <v>-4.081632653061229E-2</v>
      </c>
      <c r="L232" s="23"/>
      <c r="M232" s="70">
        <f>M231/K231-1</f>
        <v>3.9279869067103013E-2</v>
      </c>
      <c r="N232" s="70">
        <f>N231/M231-1</f>
        <v>4.0944881889763751E-2</v>
      </c>
      <c r="O232" s="70">
        <f>O231/N231-1</f>
        <v>1.0590015128593144E-2</v>
      </c>
      <c r="P232" s="70">
        <f>P231/O231-1</f>
        <v>-8.5329341317365248E-2</v>
      </c>
      <c r="Q232" s="23"/>
      <c r="R232" s="70">
        <f>R231/P231-1</f>
        <v>1.9639934533551617E-2</v>
      </c>
      <c r="S232" s="70">
        <f>S231/R231-1</f>
        <v>4.8154093097914075E-3</v>
      </c>
      <c r="T232" s="70">
        <f>T231/S231-1</f>
        <v>-9.5846645367412275E-3</v>
      </c>
      <c r="U232" s="70">
        <f>U231/T231-1</f>
        <v>1.4516129032257963E-2</v>
      </c>
      <c r="V232" s="23"/>
      <c r="W232" s="70">
        <f>W231/U231-1</f>
        <v>0.10492845786963434</v>
      </c>
      <c r="X232" s="70">
        <f>X231/W231-1</f>
        <v>-9.2086330935251759E-2</v>
      </c>
      <c r="Y232" s="70">
        <f>Y231/X231-1</f>
        <v>-5.3882725832012701E-2</v>
      </c>
      <c r="Z232" s="70">
        <f>Z231/Y231-1</f>
        <v>6.8676716917922986E-2</v>
      </c>
      <c r="AA232" s="23"/>
      <c r="AB232" s="70">
        <f>AB231/Z231-1</f>
        <v>-1.4106583072100332E-2</v>
      </c>
      <c r="AC232" s="70">
        <f>AC231/AB231-1</f>
        <v>5.0874403815580393E-2</v>
      </c>
      <c r="AD232" s="70">
        <f>AD231/AC231-1</f>
        <v>-1.5128593040847349E-3</v>
      </c>
      <c r="AE232" s="70">
        <f>AE231/AD231-1</f>
        <v>-1.0606060606060619E-2</v>
      </c>
      <c r="AF232" s="23"/>
      <c r="AG232" s="70">
        <f>AG231/AE231-1</f>
        <v>1.6845329249617125E-2</v>
      </c>
      <c r="AH232" s="70">
        <f>AH231/AG231-1</f>
        <v>-1.0542168674698815E-2</v>
      </c>
      <c r="AI232" s="70">
        <f>AI231/AH231-1</f>
        <v>-9.1324200913242004E-3</v>
      </c>
      <c r="AJ232" s="70">
        <f>AJ231/AI231-1</f>
        <v>3.3794162826420893E-2</v>
      </c>
      <c r="AK232" s="23"/>
      <c r="AL232" s="70">
        <v>4.9034175334323971E-2</v>
      </c>
      <c r="AM232" s="70">
        <v>-4.2492917847025691E-3</v>
      </c>
      <c r="AN232" s="70">
        <v>-2.8449502133712667E-2</v>
      </c>
      <c r="AO232" s="70">
        <v>-1.4641288433382416E-3</v>
      </c>
      <c r="AP232" s="23"/>
      <c r="AQ232" s="70">
        <v>4.1055718475073277E-2</v>
      </c>
      <c r="AR232" s="70">
        <v>4.2253521126760507E-3</v>
      </c>
      <c r="AS232" s="70">
        <v>-4.4880785413744739E-2</v>
      </c>
      <c r="AT232" s="70">
        <v>-7.342143906020504E-3</v>
      </c>
      <c r="AU232" s="23"/>
      <c r="AV232" s="70">
        <v>1.9230769230769162E-2</v>
      </c>
      <c r="AW232" s="70">
        <v>-2.4673439767779359E-2</v>
      </c>
      <c r="AX232" s="70">
        <v>-2.6785714285714302E-2</v>
      </c>
      <c r="AY232" s="70">
        <v>1.0703363914372988E-2</v>
      </c>
      <c r="AZ232" s="23"/>
      <c r="BA232" s="70">
        <v>1.6641452344931862E-2</v>
      </c>
      <c r="BB232" s="70">
        <v>-1.1904761904761862E-2</v>
      </c>
      <c r="BC232" s="70">
        <v>-3.0120481927710885E-2</v>
      </c>
      <c r="BD232" s="70">
        <v>-3.5714285714285698E-2</v>
      </c>
      <c r="BE232" s="23"/>
      <c r="BF232" s="70"/>
      <c r="BG232" s="70"/>
      <c r="BH232" s="70"/>
    </row>
    <row r="233" spans="1:60" ht="10.5" hidden="1" customHeight="1">
      <c r="A233" s="69" t="s">
        <v>8</v>
      </c>
      <c r="B233" s="23"/>
      <c r="C233" s="71"/>
      <c r="D233" s="71"/>
      <c r="E233" s="71"/>
      <c r="F233" s="71"/>
      <c r="G233" s="23">
        <f t="shared" ref="G233" si="156">G231/B231-1</f>
        <v>5.3936494127881707E-2</v>
      </c>
      <c r="H233" s="71"/>
      <c r="I233" s="71"/>
      <c r="J233" s="71"/>
      <c r="K233" s="71"/>
      <c r="L233" s="23">
        <f t="shared" ref="L233" si="157">L231/G231-1</f>
        <v>3.962030540652095E-2</v>
      </c>
      <c r="M233" s="71">
        <f t="shared" ref="M233" si="158">M231/H231-1</f>
        <v>1.1146496815286566E-2</v>
      </c>
      <c r="N233" s="71">
        <f t="shared" ref="N233" si="159">N231/I231-1</f>
        <v>2.7993779160186527E-2</v>
      </c>
      <c r="O233" s="71">
        <f t="shared" ref="O233" si="160">O231/J231-1</f>
        <v>4.8665620094191508E-2</v>
      </c>
      <c r="P233" s="71">
        <f t="shared" ref="P233" si="161">P231/K231-1</f>
        <v>0</v>
      </c>
      <c r="Q233" s="23">
        <f t="shared" ref="Q233" si="162">Q231/L231-1</f>
        <v>2.2231044065105232E-2</v>
      </c>
      <c r="R233" s="71">
        <f t="shared" ref="R233" si="163">R231/M231-1</f>
        <v>-1.8897637795275646E-2</v>
      </c>
      <c r="S233" s="71">
        <f t="shared" ref="S233" si="164">S231/N231-1</f>
        <v>-5.2950075642965166E-2</v>
      </c>
      <c r="T233" s="71">
        <f t="shared" ref="T233" si="165">T231/O231-1</f>
        <v>-7.1856287425149712E-2</v>
      </c>
      <c r="U233" s="71">
        <f t="shared" ref="U233" si="166">U231/P231-1</f>
        <v>2.9459901800327426E-2</v>
      </c>
      <c r="V233" s="23">
        <f t="shared" ref="V233" si="167">V231/Q231-1</f>
        <v>-2.9902912621359246E-2</v>
      </c>
      <c r="W233" s="71">
        <f t="shared" ref="W233" si="168">W231/R231-1</f>
        <v>0.115569823434992</v>
      </c>
      <c r="X233" s="71">
        <f t="shared" ref="X233" si="169">X231/S231-1</f>
        <v>7.9872204472843933E-3</v>
      </c>
      <c r="Y233" s="71">
        <f t="shared" ref="Y233" si="170">Y231/T231-1</f>
        <v>-3.7096774193548399E-2</v>
      </c>
      <c r="Z233" s="71">
        <f t="shared" ref="Z233" si="171">Z231/U231-1</f>
        <v>1.4308426073131875E-2</v>
      </c>
      <c r="AA233" s="23">
        <f t="shared" ref="AA233" si="172">AA231/V231-1</f>
        <v>2.5220176140912764E-2</v>
      </c>
      <c r="AB233" s="71">
        <f t="shared" ref="AB233" si="173">AB231/W231-1</f>
        <v>-9.4964028776978404E-2</v>
      </c>
      <c r="AC233" s="71">
        <f t="shared" ref="AC233" si="174">AC231/X231-1</f>
        <v>4.7543581616481756E-2</v>
      </c>
      <c r="AD233" s="71">
        <f t="shared" ref="AD233" si="175">AD231/Y231-1</f>
        <v>0.10552763819095468</v>
      </c>
      <c r="AE233" s="71">
        <f t="shared" ref="AE233" si="176">AE231/Z231-1</f>
        <v>2.3510971786833812E-2</v>
      </c>
      <c r="AF233" s="23">
        <f t="shared" ref="AF233" si="177">AF231/AA231-1</f>
        <v>1.6399843811011339E-2</v>
      </c>
      <c r="AG233" s="71">
        <f t="shared" ref="AG233" si="178">AG231/AB231-1</f>
        <v>5.5643879173290944E-2</v>
      </c>
      <c r="AH233" s="71">
        <f t="shared" ref="AH233" si="179">AH231/AC231-1</f>
        <v>-6.0514372163388286E-3</v>
      </c>
      <c r="AI233" s="71">
        <f t="shared" ref="AI233" si="180">AI231/AD231-1</f>
        <v>-1.3636363636363669E-2</v>
      </c>
      <c r="AJ233" s="71">
        <f t="shared" ref="AJ233" si="181">AJ231/AE231-1</f>
        <v>3.0627871362940207E-2</v>
      </c>
      <c r="AK233" s="23">
        <v>1.6135228582405015E-2</v>
      </c>
      <c r="AL233" s="71">
        <v>6.3253012048192669E-2</v>
      </c>
      <c r="AM233" s="71">
        <v>7.0015220700152314E-2</v>
      </c>
      <c r="AN233" s="71">
        <v>4.9155145929339561E-2</v>
      </c>
      <c r="AO233" s="71">
        <v>1.3372956909361022E-2</v>
      </c>
      <c r="AP233" s="23">
        <v>4.8771266540642788E-2</v>
      </c>
      <c r="AQ233" s="71">
        <v>5.6657223796034994E-3</v>
      </c>
      <c r="AR233" s="71">
        <v>1.4224751066856278E-2</v>
      </c>
      <c r="AS233" s="71">
        <v>-2.9282576866763721E-3</v>
      </c>
      <c r="AT233" s="71">
        <v>-8.7976539589442737E-3</v>
      </c>
      <c r="AU233" s="23">
        <v>2.1629416005768398E-3</v>
      </c>
      <c r="AV233" s="71">
        <v>-2.9577464788732355E-2</v>
      </c>
      <c r="AW233" s="71">
        <v>-5.7503506311360475E-2</v>
      </c>
      <c r="AX233" s="71">
        <v>-3.9647577092510988E-2</v>
      </c>
      <c r="AY233" s="71">
        <v>-2.2189349112425982E-2</v>
      </c>
      <c r="AZ233" s="23">
        <v>-3.7410071942446055E-2</v>
      </c>
      <c r="BA233" s="71">
        <v>-2.4673439767779359E-2</v>
      </c>
      <c r="BB233" s="71">
        <v>-1.1904761904761862E-2</v>
      </c>
      <c r="BC233" s="71">
        <v>-1.5290519877675823E-2</v>
      </c>
      <c r="BD233" s="71">
        <v>-6.0514372163388841E-2</v>
      </c>
      <c r="BE233" s="23">
        <v>-2.8026905829596438E-2</v>
      </c>
      <c r="BF233" s="71"/>
      <c r="BG233" s="71"/>
      <c r="BH233" s="71"/>
    </row>
    <row r="234" spans="1:60" ht="11.25" customHeight="1">
      <c r="A234" s="39" t="s">
        <v>73</v>
      </c>
      <c r="B234" s="40"/>
      <c r="C234" s="48"/>
      <c r="D234" s="48"/>
      <c r="E234" s="48"/>
      <c r="F234" s="48"/>
      <c r="G234" s="40"/>
      <c r="H234" s="48"/>
      <c r="I234" s="48"/>
      <c r="J234" s="48"/>
      <c r="K234" s="48"/>
      <c r="L234" s="40"/>
      <c r="M234" s="48"/>
      <c r="N234" s="48"/>
      <c r="O234" s="48"/>
      <c r="P234" s="48"/>
      <c r="Q234" s="40"/>
      <c r="R234" s="48"/>
      <c r="S234" s="48"/>
      <c r="T234" s="48"/>
      <c r="U234" s="48"/>
      <c r="V234" s="40"/>
      <c r="W234" s="48"/>
      <c r="X234" s="48"/>
      <c r="Y234" s="48"/>
      <c r="Z234" s="48"/>
      <c r="AA234" s="40"/>
      <c r="AB234" s="48"/>
      <c r="AC234" s="48"/>
      <c r="AD234" s="48"/>
      <c r="AE234" s="48"/>
      <c r="AF234" s="40"/>
      <c r="AG234" s="48"/>
      <c r="AH234" s="48"/>
      <c r="AI234" s="48"/>
      <c r="AJ234" s="48"/>
      <c r="AK234" s="40"/>
      <c r="AL234" s="48"/>
      <c r="AM234" s="48"/>
      <c r="AN234" s="48"/>
      <c r="AO234" s="48"/>
      <c r="AP234" s="40"/>
      <c r="AQ234" s="48"/>
      <c r="AR234" s="48"/>
      <c r="AS234" s="48"/>
      <c r="AT234" s="48"/>
      <c r="AU234" s="40"/>
      <c r="AV234" s="48"/>
      <c r="AW234" s="48"/>
      <c r="AX234" s="48"/>
      <c r="AY234" s="48"/>
      <c r="AZ234" s="40"/>
      <c r="BA234" s="48"/>
      <c r="BB234" s="48"/>
      <c r="BC234" s="48"/>
      <c r="BD234" s="48"/>
      <c r="BE234" s="40"/>
      <c r="BF234" s="48"/>
      <c r="BG234" s="48"/>
      <c r="BH234" s="48"/>
    </row>
    <row r="235" spans="1:60">
      <c r="A235" s="67" t="s">
        <v>12</v>
      </c>
      <c r="B235" s="63">
        <v>1379</v>
      </c>
      <c r="C235" s="78" t="s">
        <v>49</v>
      </c>
      <c r="D235" s="78" t="s">
        <v>49</v>
      </c>
      <c r="E235" s="78" t="s">
        <v>49</v>
      </c>
      <c r="F235" s="78" t="s">
        <v>49</v>
      </c>
      <c r="G235" s="63">
        <v>1691</v>
      </c>
      <c r="H235" s="68">
        <v>635</v>
      </c>
      <c r="I235" s="68">
        <v>408</v>
      </c>
      <c r="J235" s="68">
        <v>526</v>
      </c>
      <c r="K235" s="68">
        <f>L235-J235-I235-H235</f>
        <v>651</v>
      </c>
      <c r="L235" s="63">
        <v>2220</v>
      </c>
      <c r="M235" s="68">
        <v>393</v>
      </c>
      <c r="N235" s="68">
        <v>523</v>
      </c>
      <c r="O235" s="68">
        <v>684</v>
      </c>
      <c r="P235" s="68">
        <f>Q235-O235-N235-M235</f>
        <v>540</v>
      </c>
      <c r="Q235" s="63">
        <v>2140</v>
      </c>
      <c r="R235" s="68">
        <f>419</f>
        <v>419</v>
      </c>
      <c r="S235" s="68">
        <v>496</v>
      </c>
      <c r="T235" s="68">
        <v>641</v>
      </c>
      <c r="U235" s="68">
        <f>V235-T235-S235-R235</f>
        <v>549.93499999999995</v>
      </c>
      <c r="V235" s="63">
        <v>2105.9349999999999</v>
      </c>
      <c r="W235" s="68">
        <v>651</v>
      </c>
      <c r="X235" s="68">
        <v>376</v>
      </c>
      <c r="Y235" s="68">
        <v>470</v>
      </c>
      <c r="Z235" s="68">
        <f>AA235-Y235-X235-W235</f>
        <v>512</v>
      </c>
      <c r="AA235" s="63">
        <v>2009</v>
      </c>
      <c r="AB235" s="68">
        <v>561</v>
      </c>
      <c r="AC235" s="68">
        <v>556</v>
      </c>
      <c r="AD235" s="68">
        <v>631</v>
      </c>
      <c r="AE235" s="68">
        <f>AF235-AD235-AC235-AB235</f>
        <v>526</v>
      </c>
      <c r="AF235" s="63">
        <v>2274</v>
      </c>
      <c r="AG235" s="68">
        <v>616</v>
      </c>
      <c r="AH235" s="68">
        <v>545</v>
      </c>
      <c r="AI235" s="68">
        <v>599</v>
      </c>
      <c r="AJ235" s="68">
        <f>AK235-AI235-AH235-AG235</f>
        <v>499</v>
      </c>
      <c r="AK235" s="63">
        <v>2259</v>
      </c>
      <c r="AL235" s="68">
        <v>548</v>
      </c>
      <c r="AM235" s="68">
        <v>456</v>
      </c>
      <c r="AN235" s="68">
        <v>686</v>
      </c>
      <c r="AO235" s="68">
        <v>668</v>
      </c>
      <c r="AP235" s="63">
        <v>2358</v>
      </c>
      <c r="AQ235" s="68">
        <v>539</v>
      </c>
      <c r="AR235" s="68">
        <v>517</v>
      </c>
      <c r="AS235" s="68">
        <v>526</v>
      </c>
      <c r="AT235" s="68">
        <v>482</v>
      </c>
      <c r="AU235" s="63">
        <v>2064</v>
      </c>
      <c r="AV235" s="68">
        <v>600</v>
      </c>
      <c r="AW235" s="68">
        <v>465</v>
      </c>
      <c r="AX235" s="68">
        <v>573</v>
      </c>
      <c r="AY235" s="68">
        <v>587</v>
      </c>
      <c r="AZ235" s="63">
        <v>2225</v>
      </c>
      <c r="BA235" s="68">
        <v>516</v>
      </c>
      <c r="BB235" s="68">
        <v>507</v>
      </c>
      <c r="BC235" s="68">
        <v>583</v>
      </c>
      <c r="BD235" s="68">
        <v>600</v>
      </c>
      <c r="BE235" s="63">
        <v>2206</v>
      </c>
      <c r="BF235" s="68">
        <v>471</v>
      </c>
      <c r="BG235" s="68">
        <v>416</v>
      </c>
      <c r="BH235" s="68">
        <v>484</v>
      </c>
    </row>
    <row r="236" spans="1:60" ht="10.95" customHeight="1">
      <c r="A236" s="69" t="s">
        <v>7</v>
      </c>
      <c r="B236" s="23"/>
      <c r="C236" s="70"/>
      <c r="D236" s="70"/>
      <c r="E236" s="70"/>
      <c r="F236" s="70"/>
      <c r="G236" s="23"/>
      <c r="H236" s="70"/>
      <c r="I236" s="70">
        <f>I235/H235-1</f>
        <v>-0.35748031496062993</v>
      </c>
      <c r="J236" s="70">
        <f>J235/I235-1</f>
        <v>0.28921568627450989</v>
      </c>
      <c r="K236" s="71">
        <f>K235/J235-1</f>
        <v>0.23764258555133089</v>
      </c>
      <c r="L236" s="23"/>
      <c r="M236" s="70">
        <f>M235/K235-1</f>
        <v>-0.39631336405529949</v>
      </c>
      <c r="N236" s="70">
        <f>N235/M235-1</f>
        <v>0.33078880407124678</v>
      </c>
      <c r="O236" s="70">
        <f>O235/N235-1</f>
        <v>0.30783938814531542</v>
      </c>
      <c r="P236" s="70">
        <f>P235/O235-1</f>
        <v>-0.21052631578947367</v>
      </c>
      <c r="Q236" s="23"/>
      <c r="R236" s="70">
        <f>R235/P235-1</f>
        <v>-0.22407407407407409</v>
      </c>
      <c r="S236" s="70">
        <f>S235/R235-1</f>
        <v>0.18377088305489253</v>
      </c>
      <c r="T236" s="70">
        <f>T235/S235-1</f>
        <v>0.29233870967741926</v>
      </c>
      <c r="U236" s="70">
        <f>U235/T235-1</f>
        <v>-0.14206708268330737</v>
      </c>
      <c r="V236" s="23"/>
      <c r="W236" s="70">
        <f>W235/U235-1</f>
        <v>0.18377626446761908</v>
      </c>
      <c r="X236" s="70">
        <f>X235/W235-1</f>
        <v>-0.42242703533026116</v>
      </c>
      <c r="Y236" s="70">
        <f>Y235/X235-1</f>
        <v>0.25</v>
      </c>
      <c r="Z236" s="70">
        <f>Z235/Y235-1</f>
        <v>8.9361702127659592E-2</v>
      </c>
      <c r="AA236" s="23"/>
      <c r="AB236" s="70">
        <f>AB235/Z235-1</f>
        <v>9.5703125E-2</v>
      </c>
      <c r="AC236" s="70">
        <f>AC235/AB235-1</f>
        <v>-8.9126559714794995E-3</v>
      </c>
      <c r="AD236" s="70">
        <f>AD235/AC235-1</f>
        <v>0.1348920863309353</v>
      </c>
      <c r="AE236" s="70">
        <f>AE235/AD235-1</f>
        <v>-0.16640253565768626</v>
      </c>
      <c r="AF236" s="23"/>
      <c r="AG236" s="70">
        <f>AG235/AE235-1</f>
        <v>0.17110266159695819</v>
      </c>
      <c r="AH236" s="70">
        <f>AH235/AG235-1</f>
        <v>-0.11525974025974028</v>
      </c>
      <c r="AI236" s="70">
        <f>AI235/AH235-1</f>
        <v>9.9082568807339344E-2</v>
      </c>
      <c r="AJ236" s="70">
        <f>AJ235/AI235-1</f>
        <v>-0.1669449081803005</v>
      </c>
      <c r="AK236" s="23"/>
      <c r="AL236" s="70">
        <v>9.8196392785571129E-2</v>
      </c>
      <c r="AM236" s="70">
        <v>-0.16788321167883213</v>
      </c>
      <c r="AN236" s="70">
        <v>0.5043859649122806</v>
      </c>
      <c r="AO236" s="70">
        <v>-2.6239067055393583E-2</v>
      </c>
      <c r="AP236" s="23"/>
      <c r="AQ236" s="70">
        <v>-0.19311377245508987</v>
      </c>
      <c r="AR236" s="70">
        <v>-4.081632653061229E-2</v>
      </c>
      <c r="AS236" s="70">
        <v>1.740812379110257E-2</v>
      </c>
      <c r="AT236" s="70">
        <v>-8.365019011406849E-2</v>
      </c>
      <c r="AU236" s="23"/>
      <c r="AV236" s="70">
        <v>0.24481327800829877</v>
      </c>
      <c r="AW236" s="70">
        <v>-0.22499999999999998</v>
      </c>
      <c r="AX236" s="70">
        <v>0.23225806451612896</v>
      </c>
      <c r="AY236" s="70">
        <v>2.4432809773123898E-2</v>
      </c>
      <c r="AZ236" s="23"/>
      <c r="BA236" s="70">
        <v>-0.12095400340715501</v>
      </c>
      <c r="BB236" s="70">
        <v>-1.744186046511631E-2</v>
      </c>
      <c r="BC236" s="70">
        <v>0.14990138067061154</v>
      </c>
      <c r="BD236" s="70">
        <v>2.9159519725557415E-2</v>
      </c>
      <c r="BE236" s="23"/>
      <c r="BF236" s="70">
        <v>-0.21499999999999997</v>
      </c>
      <c r="BG236" s="70">
        <v>-0.11677282377919318</v>
      </c>
      <c r="BH236" s="70">
        <v>0.16346153846153855</v>
      </c>
    </row>
    <row r="237" spans="1:60" ht="11.4" customHeight="1">
      <c r="A237" s="69" t="s">
        <v>8</v>
      </c>
      <c r="B237" s="23"/>
      <c r="C237" s="71"/>
      <c r="D237" s="71"/>
      <c r="E237" s="71"/>
      <c r="F237" s="71"/>
      <c r="G237" s="23">
        <f>G235/B235-1</f>
        <v>0.22625090645395218</v>
      </c>
      <c r="H237" s="71"/>
      <c r="I237" s="71"/>
      <c r="J237" s="71"/>
      <c r="L237" s="23">
        <f t="shared" ref="L237:R237" si="182">L235/G235-1</f>
        <v>0.31283264340626848</v>
      </c>
      <c r="M237" s="71">
        <f t="shared" si="182"/>
        <v>-0.38110236220472438</v>
      </c>
      <c r="N237" s="71">
        <f t="shared" si="182"/>
        <v>0.28186274509803932</v>
      </c>
      <c r="O237" s="71">
        <f t="shared" si="182"/>
        <v>0.30038022813688214</v>
      </c>
      <c r="P237" s="71">
        <f t="shared" si="182"/>
        <v>-0.17050691244239635</v>
      </c>
      <c r="Q237" s="23">
        <f t="shared" si="182"/>
        <v>-3.6036036036036001E-2</v>
      </c>
      <c r="R237" s="71">
        <f t="shared" si="182"/>
        <v>6.61577608142494E-2</v>
      </c>
      <c r="S237" s="71">
        <f t="shared" ref="S237:Y237" si="183">S235/N235-1</f>
        <v>-5.1625239005736123E-2</v>
      </c>
      <c r="T237" s="71">
        <f t="shared" si="183"/>
        <v>-6.2865497076023402E-2</v>
      </c>
      <c r="U237" s="71">
        <f t="shared" si="183"/>
        <v>1.8398148148148108E-2</v>
      </c>
      <c r="V237" s="23">
        <f t="shared" si="183"/>
        <v>-1.591822429906542E-2</v>
      </c>
      <c r="W237" s="71">
        <f t="shared" si="183"/>
        <v>0.55369928400954649</v>
      </c>
      <c r="X237" s="71">
        <f t="shared" si="183"/>
        <v>-0.24193548387096775</v>
      </c>
      <c r="Y237" s="71">
        <f t="shared" si="183"/>
        <v>-0.26677067082683303</v>
      </c>
      <c r="Z237" s="71">
        <f t="shared" ref="Z237:AI237" si="184">Z235/U235-1</f>
        <v>-6.8980879558493191E-2</v>
      </c>
      <c r="AA237" s="23">
        <f t="shared" si="184"/>
        <v>-4.6029435856282386E-2</v>
      </c>
      <c r="AB237" s="71">
        <f t="shared" si="184"/>
        <v>-0.13824884792626724</v>
      </c>
      <c r="AC237" s="71">
        <f t="shared" si="184"/>
        <v>0.47872340425531923</v>
      </c>
      <c r="AD237" s="71">
        <f t="shared" si="184"/>
        <v>0.34255319148936181</v>
      </c>
      <c r="AE237" s="71">
        <f t="shared" si="184"/>
        <v>2.734375E-2</v>
      </c>
      <c r="AF237" s="23">
        <f t="shared" si="184"/>
        <v>0.13190642110502737</v>
      </c>
      <c r="AG237" s="71">
        <f t="shared" si="184"/>
        <v>9.8039215686274606E-2</v>
      </c>
      <c r="AH237" s="71">
        <f t="shared" si="184"/>
        <v>-1.9784172661870492E-2</v>
      </c>
      <c r="AI237" s="71">
        <f t="shared" si="184"/>
        <v>-5.0713153724247229E-2</v>
      </c>
      <c r="AJ237" s="71">
        <f t="shared" ref="AJ237" si="185">AJ235/AE235-1</f>
        <v>-5.1330798479087503E-2</v>
      </c>
      <c r="AK237" s="23">
        <v>-6.5963060686016206E-3</v>
      </c>
      <c r="AL237" s="71">
        <v>-0.11038961038961037</v>
      </c>
      <c r="AM237" s="71">
        <v>-0.16330275229357794</v>
      </c>
      <c r="AN237" s="71">
        <v>0.14524207011686152</v>
      </c>
      <c r="AO237" s="71">
        <v>0.33867735470941884</v>
      </c>
      <c r="AP237" s="23">
        <v>4.3824701195219085E-2</v>
      </c>
      <c r="AQ237" s="71">
        <v>-1.6423357664233529E-2</v>
      </c>
      <c r="AR237" s="71">
        <v>0.13377192982456143</v>
      </c>
      <c r="AS237" s="71">
        <v>-0.23323615160349853</v>
      </c>
      <c r="AT237" s="71">
        <v>-0.27844311377245512</v>
      </c>
      <c r="AU237" s="23">
        <v>-0.12468193384223913</v>
      </c>
      <c r="AV237" s="71">
        <v>0.1131725417439704</v>
      </c>
      <c r="AW237" s="71">
        <v>-0.10058027079303677</v>
      </c>
      <c r="AX237" s="71">
        <v>8.9353612167300422E-2</v>
      </c>
      <c r="AY237" s="71">
        <v>0.21784232365145217</v>
      </c>
      <c r="AZ237" s="23">
        <v>7.8003875968992276E-2</v>
      </c>
      <c r="BA237" s="71">
        <v>-0.14000000000000001</v>
      </c>
      <c r="BB237" s="71">
        <v>9.0322580645161299E-2</v>
      </c>
      <c r="BC237" s="71">
        <v>1.7452006980802848E-2</v>
      </c>
      <c r="BD237" s="71">
        <v>2.2146507666098714E-2</v>
      </c>
      <c r="BE237" s="23">
        <v>-8.5393258426966767E-3</v>
      </c>
      <c r="BF237" s="71">
        <v>-8.7209302325581439E-2</v>
      </c>
      <c r="BG237" s="71">
        <v>-0.17948717948717952</v>
      </c>
      <c r="BH237" s="71">
        <v>-0.16981132075471694</v>
      </c>
    </row>
    <row r="238" spans="1:60" hidden="1">
      <c r="A238" s="67" t="s">
        <v>46</v>
      </c>
      <c r="B238" s="36">
        <v>513</v>
      </c>
      <c r="C238" s="68">
        <v>128</v>
      </c>
      <c r="D238" s="68">
        <v>139</v>
      </c>
      <c r="E238" s="68">
        <v>112</v>
      </c>
      <c r="F238" s="68">
        <f>G238-E238-D238-C238</f>
        <v>221</v>
      </c>
      <c r="G238" s="36">
        <f>554+46</f>
        <v>600</v>
      </c>
      <c r="H238" s="68">
        <v>210</v>
      </c>
      <c r="I238" s="68">
        <v>209</v>
      </c>
      <c r="J238" s="68">
        <v>191</v>
      </c>
      <c r="K238" s="68">
        <f>L238-J238-I238-H238</f>
        <v>234</v>
      </c>
      <c r="L238" s="36">
        <v>844</v>
      </c>
      <c r="M238" s="68">
        <v>228</v>
      </c>
      <c r="N238" s="68">
        <v>269</v>
      </c>
      <c r="O238" s="68">
        <v>250</v>
      </c>
      <c r="P238" s="68">
        <v>294</v>
      </c>
      <c r="Q238" s="36">
        <f>P238+O238+N238+M238</f>
        <v>1041</v>
      </c>
      <c r="R238" s="68">
        <v>340</v>
      </c>
      <c r="S238" s="68">
        <v>310</v>
      </c>
      <c r="T238" s="68">
        <v>243</v>
      </c>
      <c r="U238" s="68">
        <f>V238-T238-S238-R238</f>
        <v>281</v>
      </c>
      <c r="V238" s="36">
        <v>1174</v>
      </c>
      <c r="W238" s="68">
        <v>262</v>
      </c>
      <c r="X238" s="68">
        <v>239</v>
      </c>
      <c r="Y238" s="68">
        <v>238</v>
      </c>
      <c r="Z238" s="68">
        <v>206</v>
      </c>
      <c r="AA238" s="36">
        <f>Z238+Y238+X238+W238</f>
        <v>945</v>
      </c>
      <c r="AB238" s="68">
        <v>164</v>
      </c>
      <c r="AC238" s="68">
        <v>197</v>
      </c>
      <c r="AD238" s="68">
        <v>191</v>
      </c>
      <c r="AE238" s="68">
        <v>225</v>
      </c>
      <c r="AF238" s="36">
        <f>AE238+AD238+AC238+AB238</f>
        <v>777</v>
      </c>
      <c r="AG238" s="68">
        <v>215</v>
      </c>
      <c r="AH238" s="68">
        <v>215</v>
      </c>
      <c r="AI238" s="68">
        <v>198</v>
      </c>
      <c r="AJ238" s="68">
        <f>AK238-AI238-AH238-AG238</f>
        <v>207</v>
      </c>
      <c r="AK238" s="36">
        <v>835</v>
      </c>
      <c r="AL238" s="68">
        <v>228</v>
      </c>
      <c r="AM238" s="68">
        <v>203</v>
      </c>
      <c r="AN238" s="68">
        <v>208</v>
      </c>
      <c r="AO238" s="68">
        <v>198</v>
      </c>
      <c r="AP238" s="36">
        <v>837</v>
      </c>
      <c r="AQ238" s="68">
        <v>222</v>
      </c>
      <c r="AR238" s="68">
        <v>203</v>
      </c>
      <c r="AS238" s="68">
        <v>204</v>
      </c>
      <c r="AT238" s="68"/>
      <c r="AU238" s="36"/>
      <c r="AV238" s="68"/>
      <c r="AW238" s="68"/>
      <c r="AX238" s="68"/>
      <c r="AY238" s="68"/>
      <c r="AZ238" s="36"/>
      <c r="BA238" s="68"/>
      <c r="BB238" s="68"/>
      <c r="BC238" s="68"/>
      <c r="BD238" s="68"/>
      <c r="BE238" s="36"/>
      <c r="BF238" s="68"/>
      <c r="BG238" s="68"/>
      <c r="BH238" s="68"/>
    </row>
    <row r="239" spans="1:60" hidden="1">
      <c r="A239" s="69" t="s">
        <v>7</v>
      </c>
      <c r="B239" s="23"/>
      <c r="C239" s="70"/>
      <c r="D239" s="70">
        <f>D238/C238-1</f>
        <v>8.59375E-2</v>
      </c>
      <c r="E239" s="70">
        <f>E238/D238-1</f>
        <v>-0.19424460431654678</v>
      </c>
      <c r="F239" s="70">
        <f>F238/E238-1</f>
        <v>0.97321428571428581</v>
      </c>
      <c r="G239" s="23"/>
      <c r="H239" s="70">
        <f>H238/F238-1</f>
        <v>-4.9773755656108642E-2</v>
      </c>
      <c r="I239" s="70">
        <f>I238/H238-1</f>
        <v>-4.761904761904745E-3</v>
      </c>
      <c r="J239" s="70">
        <f>J238/I238-1</f>
        <v>-8.6124401913875603E-2</v>
      </c>
      <c r="K239" s="70">
        <f>K238/J238-1</f>
        <v>0.22513089005235609</v>
      </c>
      <c r="L239" s="23"/>
      <c r="M239" s="70">
        <f>M238/K238-1</f>
        <v>-2.5641025641025661E-2</v>
      </c>
      <c r="N239" s="70">
        <f>N238/M238-1</f>
        <v>0.17982456140350878</v>
      </c>
      <c r="O239" s="70">
        <f>O238/N238-1</f>
        <v>-7.0631970260223054E-2</v>
      </c>
      <c r="P239" s="70">
        <f>P238/O238-1</f>
        <v>0.17599999999999993</v>
      </c>
      <c r="Q239" s="23"/>
      <c r="R239" s="70">
        <f>R238/P238-1</f>
        <v>0.15646258503401356</v>
      </c>
      <c r="S239" s="70">
        <f>S238/R238-1</f>
        <v>-8.8235294117647078E-2</v>
      </c>
      <c r="T239" s="70">
        <f>T238/S238-1</f>
        <v>-0.21612903225806457</v>
      </c>
      <c r="U239" s="70">
        <f>U238/T238-1</f>
        <v>0.15637860082304522</v>
      </c>
      <c r="V239" s="23"/>
      <c r="W239" s="70">
        <f>W238/U238-1</f>
        <v>-6.7615658362989328E-2</v>
      </c>
      <c r="X239" s="70">
        <f>X238/W238-1</f>
        <v>-8.7786259541984712E-2</v>
      </c>
      <c r="Y239" s="70">
        <f>Y238/X238-1</f>
        <v>-4.1841004184099972E-3</v>
      </c>
      <c r="Z239" s="70">
        <f>Z238/Y238-1</f>
        <v>-0.13445378151260501</v>
      </c>
      <c r="AA239" s="23"/>
      <c r="AB239" s="70">
        <f>AB238/Z238-1</f>
        <v>-0.20388349514563109</v>
      </c>
      <c r="AC239" s="70">
        <f>AC238/AB238-1</f>
        <v>0.20121951219512191</v>
      </c>
      <c r="AD239" s="70">
        <f>AD238/AC238-1</f>
        <v>-3.0456852791878153E-2</v>
      </c>
      <c r="AE239" s="70">
        <f>AE238/AD238-1</f>
        <v>0.17801047120418856</v>
      </c>
      <c r="AF239" s="23"/>
      <c r="AG239" s="70">
        <f>AG238/AE238-1</f>
        <v>-4.4444444444444398E-2</v>
      </c>
      <c r="AH239" s="70">
        <f>AH238/AG238-1</f>
        <v>0</v>
      </c>
      <c r="AI239" s="70">
        <f>AI238/AH238-1</f>
        <v>-7.906976744186045E-2</v>
      </c>
      <c r="AJ239" s="70">
        <f>AJ238/AI238-1</f>
        <v>4.5454545454545414E-2</v>
      </c>
      <c r="AK239" s="23"/>
      <c r="AL239" s="70">
        <v>0.10144927536231885</v>
      </c>
      <c r="AM239" s="70">
        <v>-0.10964912280701755</v>
      </c>
      <c r="AN239" s="70">
        <v>2.4630541871921263E-2</v>
      </c>
      <c r="AO239" s="70">
        <v>-4.8076923076923128E-2</v>
      </c>
      <c r="AP239" s="23"/>
      <c r="AQ239" s="70">
        <v>0.1212121212121211</v>
      </c>
      <c r="AR239" s="70">
        <v>-8.55855855855856E-2</v>
      </c>
      <c r="AS239" s="70">
        <v>4.9261083743843415E-3</v>
      </c>
      <c r="AT239" s="70"/>
      <c r="AU239" s="23"/>
      <c r="AV239" s="70"/>
      <c r="AW239" s="70"/>
      <c r="AX239" s="70"/>
      <c r="AY239" s="70"/>
      <c r="AZ239" s="23"/>
      <c r="BA239" s="70"/>
      <c r="BB239" s="70"/>
      <c r="BC239" s="70"/>
      <c r="BD239" s="70"/>
      <c r="BE239" s="23"/>
      <c r="BF239" s="70"/>
      <c r="BG239" s="70"/>
      <c r="BH239" s="70"/>
    </row>
    <row r="240" spans="1:60" hidden="1">
      <c r="A240" s="69" t="s">
        <v>8</v>
      </c>
      <c r="B240" s="23"/>
      <c r="C240" s="71"/>
      <c r="D240" s="71"/>
      <c r="E240" s="71"/>
      <c r="F240" s="71"/>
      <c r="G240" s="23">
        <f t="shared" ref="G240:N240" si="186">G238/B238-1</f>
        <v>0.16959064327485374</v>
      </c>
      <c r="H240" s="71">
        <f t="shared" si="186"/>
        <v>0.640625</v>
      </c>
      <c r="I240" s="71">
        <f t="shared" si="186"/>
        <v>0.50359712230215825</v>
      </c>
      <c r="J240" s="71">
        <f t="shared" si="186"/>
        <v>0.70535714285714279</v>
      </c>
      <c r="K240" s="71">
        <f t="shared" si="186"/>
        <v>5.8823529411764719E-2</v>
      </c>
      <c r="L240" s="23">
        <f t="shared" si="186"/>
        <v>0.40666666666666673</v>
      </c>
      <c r="M240" s="71">
        <f t="shared" si="186"/>
        <v>8.5714285714285632E-2</v>
      </c>
      <c r="N240" s="71">
        <f t="shared" si="186"/>
        <v>0.2870813397129186</v>
      </c>
      <c r="O240" s="71">
        <f t="shared" ref="O240:Y240" si="187">O238/J238-1</f>
        <v>0.30890052356020936</v>
      </c>
      <c r="P240" s="71">
        <f t="shared" si="187"/>
        <v>0.25641025641025639</v>
      </c>
      <c r="Q240" s="23">
        <f t="shared" si="187"/>
        <v>0.23341232227488162</v>
      </c>
      <c r="R240" s="71">
        <f t="shared" si="187"/>
        <v>0.49122807017543857</v>
      </c>
      <c r="S240" s="71">
        <f t="shared" si="187"/>
        <v>0.15241635687732336</v>
      </c>
      <c r="T240" s="71">
        <f t="shared" si="187"/>
        <v>-2.8000000000000025E-2</v>
      </c>
      <c r="U240" s="71">
        <f t="shared" si="187"/>
        <v>-4.4217687074829981E-2</v>
      </c>
      <c r="V240" s="23">
        <f t="shared" si="187"/>
        <v>0.12776176753121993</v>
      </c>
      <c r="W240" s="71">
        <f t="shared" si="187"/>
        <v>-0.22941176470588232</v>
      </c>
      <c r="X240" s="71">
        <f t="shared" si="187"/>
        <v>-0.2290322580645161</v>
      </c>
      <c r="Y240" s="71">
        <f t="shared" si="187"/>
        <v>-2.0576131687242816E-2</v>
      </c>
      <c r="Z240" s="71">
        <f t="shared" ref="Z240:AI240" si="188">Z238/U238-1</f>
        <v>-0.26690391459074736</v>
      </c>
      <c r="AA240" s="23">
        <f t="shared" si="188"/>
        <v>-0.19505962521294717</v>
      </c>
      <c r="AB240" s="71">
        <f t="shared" si="188"/>
        <v>-0.37404580152671751</v>
      </c>
      <c r="AC240" s="71">
        <f t="shared" si="188"/>
        <v>-0.17573221757322177</v>
      </c>
      <c r="AD240" s="71">
        <f t="shared" si="188"/>
        <v>-0.19747899159663862</v>
      </c>
      <c r="AE240" s="71">
        <f t="shared" si="188"/>
        <v>9.2233009708737823E-2</v>
      </c>
      <c r="AF240" s="23">
        <f t="shared" si="188"/>
        <v>-0.17777777777777781</v>
      </c>
      <c r="AG240" s="71">
        <f t="shared" si="188"/>
        <v>0.31097560975609762</v>
      </c>
      <c r="AH240" s="71">
        <f t="shared" si="188"/>
        <v>9.137055837563457E-2</v>
      </c>
      <c r="AI240" s="71">
        <f t="shared" si="188"/>
        <v>3.6649214659685958E-2</v>
      </c>
      <c r="AJ240" s="71">
        <f t="shared" ref="AJ240" si="189">AJ238/AE238-1</f>
        <v>-7.999999999999996E-2</v>
      </c>
      <c r="AK240" s="23">
        <v>7.4646074646074645E-2</v>
      </c>
      <c r="AL240" s="71">
        <v>6.0465116279069697E-2</v>
      </c>
      <c r="AM240" s="71">
        <v>-5.5813953488372148E-2</v>
      </c>
      <c r="AN240" s="71">
        <v>5.0505050505050608E-2</v>
      </c>
      <c r="AO240" s="71">
        <v>-4.3478260869565188E-2</v>
      </c>
      <c r="AP240" s="23">
        <v>2.3952095808383866E-3</v>
      </c>
      <c r="AQ240" s="71">
        <v>-2.6315789473684181E-2</v>
      </c>
      <c r="AR240" s="71">
        <v>0</v>
      </c>
      <c r="AS240" s="71">
        <v>-1.9230769230769273E-2</v>
      </c>
      <c r="AT240" s="71"/>
      <c r="AU240" s="23"/>
      <c r="AV240" s="71"/>
      <c r="AW240" s="71"/>
      <c r="AX240" s="71"/>
      <c r="AY240" s="71"/>
      <c r="AZ240" s="23"/>
      <c r="BA240" s="71"/>
      <c r="BB240" s="71"/>
      <c r="BC240" s="71"/>
      <c r="BD240" s="71"/>
      <c r="BE240" s="23"/>
      <c r="BF240" s="71"/>
      <c r="BG240" s="71"/>
      <c r="BH240" s="71"/>
    </row>
    <row r="241" spans="1:63">
      <c r="A241" s="67" t="s">
        <v>47</v>
      </c>
      <c r="B241" s="63">
        <f>93+412</f>
        <v>505</v>
      </c>
      <c r="C241" s="68">
        <v>158</v>
      </c>
      <c r="D241" s="68">
        <v>132</v>
      </c>
      <c r="E241" s="68">
        <v>156</v>
      </c>
      <c r="F241" s="68">
        <f>G241-E241-D241-C241</f>
        <v>170</v>
      </c>
      <c r="G241" s="63">
        <f>98+518</f>
        <v>616</v>
      </c>
      <c r="H241" s="68">
        <f>216+22</f>
        <v>238</v>
      </c>
      <c r="I241" s="68">
        <f>152+39</f>
        <v>191</v>
      </c>
      <c r="J241" s="68">
        <v>204</v>
      </c>
      <c r="K241" s="68">
        <f>L241-J241-I241-H241</f>
        <v>220</v>
      </c>
      <c r="L241" s="63">
        <f>133+720</f>
        <v>853</v>
      </c>
      <c r="M241" s="68">
        <f>33+205</f>
        <v>238</v>
      </c>
      <c r="N241" s="68">
        <f>215+32</f>
        <v>247</v>
      </c>
      <c r="O241" s="68">
        <f>40+205</f>
        <v>245</v>
      </c>
      <c r="P241" s="68">
        <f>Q241-O241-N241-M241</f>
        <v>302</v>
      </c>
      <c r="Q241" s="63">
        <f>156+876</f>
        <v>1032</v>
      </c>
      <c r="R241" s="68">
        <f>289+30</f>
        <v>319</v>
      </c>
      <c r="S241" s="68">
        <v>319</v>
      </c>
      <c r="T241" s="68">
        <f>41+227</f>
        <v>268</v>
      </c>
      <c r="U241" s="68">
        <f>V241-T241-S241-R241</f>
        <v>259</v>
      </c>
      <c r="V241" s="63">
        <f>167+998</f>
        <v>1165</v>
      </c>
      <c r="W241" s="68">
        <f>36+233</f>
        <v>269</v>
      </c>
      <c r="X241" s="68">
        <f>34+204</f>
        <v>238</v>
      </c>
      <c r="Y241" s="68">
        <f>33+216</f>
        <v>249</v>
      </c>
      <c r="Z241" s="68">
        <f>AA241-Y241-X241-W241</f>
        <v>202</v>
      </c>
      <c r="AA241" s="63">
        <f>136+822</f>
        <v>958</v>
      </c>
      <c r="AB241" s="68">
        <f>21+162</f>
        <v>183</v>
      </c>
      <c r="AC241" s="68">
        <f>20+166</f>
        <v>186</v>
      </c>
      <c r="AD241" s="68">
        <f>22+176</f>
        <v>198</v>
      </c>
      <c r="AE241" s="68">
        <f>AF241-AD241-AC241-AB241</f>
        <v>222</v>
      </c>
      <c r="AF241" s="63">
        <f>86+703</f>
        <v>789</v>
      </c>
      <c r="AG241" s="68">
        <v>210</v>
      </c>
      <c r="AH241" s="68">
        <f>20+187</f>
        <v>207</v>
      </c>
      <c r="AI241" s="68">
        <f>190+20</f>
        <v>210</v>
      </c>
      <c r="AJ241" s="68">
        <f>AK241-AI241-AH241-AG241</f>
        <v>195</v>
      </c>
      <c r="AK241" s="63">
        <v>822</v>
      </c>
      <c r="AL241" s="68">
        <v>231</v>
      </c>
      <c r="AM241" s="68">
        <v>191</v>
      </c>
      <c r="AN241" s="68">
        <v>230</v>
      </c>
      <c r="AO241" s="68">
        <v>197</v>
      </c>
      <c r="AP241" s="63">
        <v>849</v>
      </c>
      <c r="AQ241" s="68">
        <v>195</v>
      </c>
      <c r="AR241" s="68">
        <v>227</v>
      </c>
      <c r="AS241" s="68">
        <v>207</v>
      </c>
      <c r="AT241" s="68">
        <v>205</v>
      </c>
      <c r="AU241" s="63">
        <v>834</v>
      </c>
      <c r="AV241" s="68">
        <v>210</v>
      </c>
      <c r="AW241" s="68">
        <v>219</v>
      </c>
      <c r="AX241" s="68">
        <v>170</v>
      </c>
      <c r="AY241" s="68">
        <v>226</v>
      </c>
      <c r="AZ241" s="63">
        <v>825</v>
      </c>
      <c r="BA241" s="68">
        <v>205</v>
      </c>
      <c r="BB241" s="68">
        <v>313</v>
      </c>
      <c r="BC241" s="68">
        <v>233</v>
      </c>
      <c r="BD241" s="68">
        <v>225</v>
      </c>
      <c r="BE241" s="63">
        <v>976</v>
      </c>
      <c r="BF241" s="68">
        <v>210</v>
      </c>
      <c r="BG241" s="68">
        <v>333</v>
      </c>
      <c r="BH241" s="68">
        <v>145</v>
      </c>
    </row>
    <row r="242" spans="1:63" ht="9" customHeight="1">
      <c r="A242" s="69" t="s">
        <v>7</v>
      </c>
      <c r="B242" s="23"/>
      <c r="C242" s="70"/>
      <c r="D242" s="70">
        <f>D241/C241-1</f>
        <v>-0.16455696202531644</v>
      </c>
      <c r="E242" s="70">
        <f>E241/D241-1</f>
        <v>0.18181818181818188</v>
      </c>
      <c r="F242" s="70">
        <f>F241/E241-1</f>
        <v>8.9743589743589647E-2</v>
      </c>
      <c r="G242" s="23"/>
      <c r="H242" s="70">
        <f>H241/F241-1</f>
        <v>0.39999999999999991</v>
      </c>
      <c r="I242" s="70">
        <f>I241/H241-1</f>
        <v>-0.19747899159663862</v>
      </c>
      <c r="J242" s="70">
        <f>J241/I241-1</f>
        <v>6.8062827225130906E-2</v>
      </c>
      <c r="K242" s="70">
        <f>K241/J241-1</f>
        <v>7.8431372549019551E-2</v>
      </c>
      <c r="L242" s="23"/>
      <c r="M242" s="70">
        <f>M241/K241-1</f>
        <v>8.181818181818179E-2</v>
      </c>
      <c r="N242" s="70">
        <f>N241/M241-1</f>
        <v>3.7815126050420256E-2</v>
      </c>
      <c r="O242" s="70">
        <f>O241/N241-1</f>
        <v>-8.0971659919027994E-3</v>
      </c>
      <c r="P242" s="70">
        <f>P241/O241-1</f>
        <v>0.2326530612244897</v>
      </c>
      <c r="Q242" s="23"/>
      <c r="R242" s="70">
        <f>R241/P241-1</f>
        <v>5.6291390728476776E-2</v>
      </c>
      <c r="S242" s="70">
        <f>S241/R241-1</f>
        <v>0</v>
      </c>
      <c r="T242" s="70">
        <f>T241/S241-1</f>
        <v>-0.15987460815047017</v>
      </c>
      <c r="U242" s="70">
        <f>U241/T241-1</f>
        <v>-3.3582089552238847E-2</v>
      </c>
      <c r="V242" s="23"/>
      <c r="W242" s="70">
        <f>W241/U241-1</f>
        <v>3.8610038610038533E-2</v>
      </c>
      <c r="X242" s="70">
        <f>X241/W241-1</f>
        <v>-0.11524163568773238</v>
      </c>
      <c r="Y242" s="70">
        <f>Y241/X241-1</f>
        <v>4.6218487394958041E-2</v>
      </c>
      <c r="Z242" s="70">
        <f>Z241/Y241-1</f>
        <v>-0.1887550200803213</v>
      </c>
      <c r="AA242" s="23"/>
      <c r="AB242" s="70">
        <f>AB241/Z241-1</f>
        <v>-9.4059405940594032E-2</v>
      </c>
      <c r="AC242" s="70">
        <f>AC241/AB241-1</f>
        <v>1.6393442622950838E-2</v>
      </c>
      <c r="AD242" s="70">
        <f>AD241/AC241-1</f>
        <v>6.4516129032258007E-2</v>
      </c>
      <c r="AE242" s="70">
        <f>AE241/AD241-1</f>
        <v>0.1212121212121211</v>
      </c>
      <c r="AF242" s="23"/>
      <c r="AG242" s="70">
        <f>AG241/AE241-1</f>
        <v>-5.4054054054054057E-2</v>
      </c>
      <c r="AH242" s="70">
        <f>AH241/AG241-1</f>
        <v>-1.4285714285714235E-2</v>
      </c>
      <c r="AI242" s="70">
        <f>AI241/AH241-1</f>
        <v>1.449275362318847E-2</v>
      </c>
      <c r="AJ242" s="70">
        <f>AJ241/AI241-1</f>
        <v>-7.1428571428571397E-2</v>
      </c>
      <c r="AK242" s="23"/>
      <c r="AL242" s="70">
        <v>0.18461538461538463</v>
      </c>
      <c r="AM242" s="70">
        <v>-0.17316017316017318</v>
      </c>
      <c r="AN242" s="70">
        <v>0.20418848167539272</v>
      </c>
      <c r="AO242" s="70">
        <v>-0.14347826086956517</v>
      </c>
      <c r="AP242" s="23"/>
      <c r="AQ242" s="70">
        <v>-1.0152284263959421E-2</v>
      </c>
      <c r="AR242" s="70">
        <v>0.16410256410256419</v>
      </c>
      <c r="AS242" s="70">
        <v>-8.8105726872246715E-2</v>
      </c>
      <c r="AT242" s="70">
        <v>-9.6618357487923134E-3</v>
      </c>
      <c r="AU242" s="23"/>
      <c r="AV242" s="70">
        <v>2.4390243902439046E-2</v>
      </c>
      <c r="AW242" s="70">
        <v>4.2857142857142927E-2</v>
      </c>
      <c r="AX242" s="70">
        <v>-0.22374429223744297</v>
      </c>
      <c r="AY242" s="70">
        <v>0.32941176470588229</v>
      </c>
      <c r="AZ242" s="23"/>
      <c r="BA242" s="70">
        <v>-9.2920353982300918E-2</v>
      </c>
      <c r="BB242" s="70">
        <v>0.52682926829268295</v>
      </c>
      <c r="BC242" s="70">
        <v>-0.25559105431309903</v>
      </c>
      <c r="BD242" s="70">
        <v>-3.4334763948497882E-2</v>
      </c>
      <c r="BE242" s="23"/>
      <c r="BF242" s="70">
        <v>-6.6666666666666652E-2</v>
      </c>
      <c r="BG242" s="70">
        <v>0.58571428571428563</v>
      </c>
      <c r="BH242" s="70">
        <v>-0.5645645645645645</v>
      </c>
    </row>
    <row r="243" spans="1:63" ht="9.6" customHeight="1">
      <c r="A243" s="69" t="s">
        <v>8</v>
      </c>
      <c r="B243" s="23"/>
      <c r="C243" s="71"/>
      <c r="D243" s="71"/>
      <c r="E243" s="71"/>
      <c r="F243" s="71"/>
      <c r="G243" s="23">
        <f t="shared" ref="G243:N243" si="190">G241/B241-1</f>
        <v>0.21980198019801978</v>
      </c>
      <c r="H243" s="71">
        <f t="shared" si="190"/>
        <v>0.50632911392405067</v>
      </c>
      <c r="I243" s="71">
        <f t="shared" si="190"/>
        <v>0.44696969696969702</v>
      </c>
      <c r="J243" s="71">
        <f t="shared" si="190"/>
        <v>0.30769230769230771</v>
      </c>
      <c r="K243" s="71">
        <f t="shared" si="190"/>
        <v>0.29411764705882359</v>
      </c>
      <c r="L243" s="23">
        <f t="shared" si="190"/>
        <v>0.38474025974025983</v>
      </c>
      <c r="M243" s="71">
        <f t="shared" si="190"/>
        <v>0</v>
      </c>
      <c r="N243" s="71">
        <f t="shared" si="190"/>
        <v>0.293193717277487</v>
      </c>
      <c r="O243" s="71">
        <f t="shared" ref="O243:Y243" si="191">O241/J241-1</f>
        <v>0.2009803921568627</v>
      </c>
      <c r="P243" s="71">
        <f t="shared" si="191"/>
        <v>0.3727272727272728</v>
      </c>
      <c r="Q243" s="23">
        <f t="shared" si="191"/>
        <v>0.20984759671746778</v>
      </c>
      <c r="R243" s="71">
        <f t="shared" si="191"/>
        <v>0.34033613445378141</v>
      </c>
      <c r="S243" s="71">
        <f t="shared" si="191"/>
        <v>0.29149797570850211</v>
      </c>
      <c r="T243" s="71">
        <f t="shared" si="191"/>
        <v>9.3877551020408179E-2</v>
      </c>
      <c r="U243" s="71">
        <f t="shared" si="191"/>
        <v>-0.14238410596026485</v>
      </c>
      <c r="V243" s="23">
        <f t="shared" si="191"/>
        <v>0.12887596899224807</v>
      </c>
      <c r="W243" s="71">
        <f t="shared" si="191"/>
        <v>-0.15673981191222575</v>
      </c>
      <c r="X243" s="71">
        <f t="shared" si="191"/>
        <v>-0.25391849529780564</v>
      </c>
      <c r="Y243" s="71">
        <f t="shared" si="191"/>
        <v>-7.089552238805974E-2</v>
      </c>
      <c r="Z243" s="71">
        <f t="shared" ref="Z243:AI243" si="192">Z241/U241-1</f>
        <v>-0.22007722007722008</v>
      </c>
      <c r="AA243" s="23">
        <f t="shared" si="192"/>
        <v>-0.17768240343347641</v>
      </c>
      <c r="AB243" s="71">
        <f t="shared" si="192"/>
        <v>-0.3197026022304833</v>
      </c>
      <c r="AC243" s="71">
        <f t="shared" si="192"/>
        <v>-0.21848739495798319</v>
      </c>
      <c r="AD243" s="71">
        <f t="shared" si="192"/>
        <v>-0.20481927710843373</v>
      </c>
      <c r="AE243" s="71">
        <f t="shared" si="192"/>
        <v>9.9009900990099098E-2</v>
      </c>
      <c r="AF243" s="23">
        <f t="shared" si="192"/>
        <v>-0.17640918580375786</v>
      </c>
      <c r="AG243" s="71">
        <f t="shared" si="192"/>
        <v>0.14754098360655732</v>
      </c>
      <c r="AH243" s="71">
        <f t="shared" si="192"/>
        <v>0.11290322580645151</v>
      </c>
      <c r="AI243" s="71">
        <f t="shared" si="192"/>
        <v>6.0606060606060552E-2</v>
      </c>
      <c r="AJ243" s="71">
        <f t="shared" ref="AJ243" si="193">AJ241/AE241-1</f>
        <v>-0.1216216216216216</v>
      </c>
      <c r="AK243" s="23">
        <v>4.1825095057034245E-2</v>
      </c>
      <c r="AL243" s="71">
        <v>0.10000000000000009</v>
      </c>
      <c r="AM243" s="71">
        <v>-7.7294685990338174E-2</v>
      </c>
      <c r="AN243" s="71">
        <v>9.5238095238095344E-2</v>
      </c>
      <c r="AO243" s="71">
        <v>1.025641025641022E-2</v>
      </c>
      <c r="AP243" s="23">
        <v>3.2846715328467058E-2</v>
      </c>
      <c r="AQ243" s="71">
        <v>-0.1558441558441559</v>
      </c>
      <c r="AR243" s="71">
        <v>0.18848167539267013</v>
      </c>
      <c r="AS243" s="71">
        <v>-9.9999999999999978E-2</v>
      </c>
      <c r="AT243" s="71">
        <v>4.0609137055837463E-2</v>
      </c>
      <c r="AU243" s="23">
        <v>-1.7667844522968212E-2</v>
      </c>
      <c r="AV243" s="71">
        <v>7.6923076923076872E-2</v>
      </c>
      <c r="AW243" s="71">
        <v>-3.524229074889873E-2</v>
      </c>
      <c r="AX243" s="71">
        <v>-0.17874396135265702</v>
      </c>
      <c r="AY243" s="71">
        <v>0.10243902439024399</v>
      </c>
      <c r="AZ243" s="23">
        <v>-1.0791366906474864E-2</v>
      </c>
      <c r="BA243" s="71">
        <v>-2.3809523809523836E-2</v>
      </c>
      <c r="BB243" s="71">
        <v>0.42922374429223753</v>
      </c>
      <c r="BC243" s="71">
        <v>0.37058823529411766</v>
      </c>
      <c r="BD243" s="71">
        <v>-4.4247787610619538E-3</v>
      </c>
      <c r="BE243" s="23">
        <v>0.1830303030303031</v>
      </c>
      <c r="BF243" s="71">
        <v>2.4390243902439046E-2</v>
      </c>
      <c r="BG243" s="71">
        <v>6.3897763578274702E-2</v>
      </c>
      <c r="BH243" s="71">
        <v>-0.37768240343347637</v>
      </c>
    </row>
    <row r="244" spans="1:63" ht="14.4" customHeight="1">
      <c r="A244" s="67" t="s">
        <v>237</v>
      </c>
      <c r="B244" s="63">
        <v>169</v>
      </c>
      <c r="C244" s="68">
        <f>C241-C245</f>
        <v>60</v>
      </c>
      <c r="D244" s="68">
        <f>D241-D245</f>
        <v>25</v>
      </c>
      <c r="E244" s="68">
        <v>12</v>
      </c>
      <c r="F244" s="68">
        <f>G244-C244-D244-E244</f>
        <v>47</v>
      </c>
      <c r="G244" s="63">
        <v>144</v>
      </c>
      <c r="H244" s="68">
        <v>49</v>
      </c>
      <c r="I244" s="68">
        <v>9</v>
      </c>
      <c r="J244" s="68">
        <v>19</v>
      </c>
      <c r="K244" s="68">
        <f>L244-H244-I244-J244</f>
        <v>9</v>
      </c>
      <c r="L244" s="63">
        <v>86</v>
      </c>
      <c r="M244" s="68">
        <v>15</v>
      </c>
      <c r="N244" s="68">
        <v>26</v>
      </c>
      <c r="O244" s="68">
        <v>48</v>
      </c>
      <c r="P244" s="68">
        <f>Q244-M244-N244-O244</f>
        <v>43</v>
      </c>
      <c r="Q244" s="63">
        <v>132</v>
      </c>
      <c r="R244" s="68">
        <v>72</v>
      </c>
      <c r="S244" s="68">
        <v>48</v>
      </c>
      <c r="T244" s="68">
        <v>68</v>
      </c>
      <c r="U244" s="68">
        <f>V244-R244-S244-T244</f>
        <v>40</v>
      </c>
      <c r="V244" s="63">
        <v>228</v>
      </c>
      <c r="W244" s="68">
        <v>46</v>
      </c>
      <c r="X244" s="68">
        <v>22</v>
      </c>
      <c r="Y244" s="68">
        <v>96</v>
      </c>
      <c r="Z244" s="68">
        <f>AA244-W244-X244-Y244</f>
        <v>136</v>
      </c>
      <c r="AA244" s="63">
        <v>300</v>
      </c>
      <c r="AB244" s="68">
        <v>42</v>
      </c>
      <c r="AC244" s="68">
        <v>124</v>
      </c>
      <c r="AD244" s="68">
        <v>48</v>
      </c>
      <c r="AE244" s="68">
        <f>AF244-AB244-AC244-AD244</f>
        <v>90</v>
      </c>
      <c r="AF244" s="63">
        <v>304</v>
      </c>
      <c r="AG244" s="68">
        <v>28</v>
      </c>
      <c r="AH244" s="68">
        <v>42</v>
      </c>
      <c r="AI244" s="68">
        <v>69</v>
      </c>
      <c r="AJ244" s="68">
        <f>AK244-AG244-AH244-AI244</f>
        <v>82</v>
      </c>
      <c r="AK244" s="63">
        <v>221</v>
      </c>
      <c r="AL244" s="68">
        <v>12</v>
      </c>
      <c r="AM244" s="68">
        <v>80</v>
      </c>
      <c r="AN244" s="68">
        <v>21</v>
      </c>
      <c r="AO244" s="68">
        <v>33</v>
      </c>
      <c r="AP244" s="63">
        <v>146</v>
      </c>
      <c r="AQ244" s="68">
        <v>41</v>
      </c>
      <c r="AR244" s="68">
        <v>54</v>
      </c>
      <c r="AS244" s="68">
        <v>22</v>
      </c>
      <c r="AT244" s="68">
        <v>15</v>
      </c>
      <c r="AU244" s="63">
        <v>132</v>
      </c>
      <c r="AV244" s="68">
        <v>10</v>
      </c>
      <c r="AW244" s="68">
        <v>16</v>
      </c>
      <c r="AX244" s="68">
        <v>46</v>
      </c>
      <c r="AY244" s="68">
        <v>22</v>
      </c>
      <c r="AZ244" s="63">
        <v>94</v>
      </c>
      <c r="BA244" s="68">
        <v>7</v>
      </c>
      <c r="BB244" s="182">
        <v>-58</v>
      </c>
      <c r="BC244" s="68">
        <v>8</v>
      </c>
      <c r="BD244" s="68">
        <v>270</v>
      </c>
      <c r="BE244" s="63">
        <v>227</v>
      </c>
      <c r="BF244" s="68">
        <v>39</v>
      </c>
      <c r="BG244" s="68">
        <v>340</v>
      </c>
      <c r="BH244" s="68">
        <v>14</v>
      </c>
    </row>
    <row r="245" spans="1:63" ht="13.2" customHeight="1">
      <c r="A245" s="67" t="s">
        <v>200</v>
      </c>
      <c r="B245" s="63">
        <f>B241-169</f>
        <v>336</v>
      </c>
      <c r="C245" s="68">
        <v>98</v>
      </c>
      <c r="D245" s="68">
        <v>107</v>
      </c>
      <c r="E245" s="68">
        <f>E241-12</f>
        <v>144</v>
      </c>
      <c r="F245" s="68">
        <f>G245-E245-D245-C245</f>
        <v>123</v>
      </c>
      <c r="G245" s="63">
        <f>G241-144</f>
        <v>472</v>
      </c>
      <c r="H245" s="68">
        <f>H241-49</f>
        <v>189</v>
      </c>
      <c r="I245" s="68">
        <f>I241-9</f>
        <v>182</v>
      </c>
      <c r="J245" s="68">
        <f>J241-19</f>
        <v>185</v>
      </c>
      <c r="K245" s="68">
        <f>L245-J245-I245-H245</f>
        <v>211</v>
      </c>
      <c r="L245" s="63">
        <f>L241-86</f>
        <v>767</v>
      </c>
      <c r="M245" s="68">
        <f>M241-15</f>
        <v>223</v>
      </c>
      <c r="N245" s="68">
        <f>N241-26</f>
        <v>221</v>
      </c>
      <c r="O245" s="68">
        <f>O241-48</f>
        <v>197</v>
      </c>
      <c r="P245" s="68">
        <f>Q245-O245-N245-M245</f>
        <v>259</v>
      </c>
      <c r="Q245" s="63">
        <f>Q241-132</f>
        <v>900</v>
      </c>
      <c r="R245" s="68">
        <f>R241-72</f>
        <v>247</v>
      </c>
      <c r="S245" s="68">
        <f>S241-48</f>
        <v>271</v>
      </c>
      <c r="T245" s="68">
        <f>T241-68</f>
        <v>200</v>
      </c>
      <c r="U245" s="68">
        <f>V245-T245-S245-R245</f>
        <v>219</v>
      </c>
      <c r="V245" s="63">
        <f>V241-228</f>
        <v>937</v>
      </c>
      <c r="W245" s="68">
        <f>W241-46</f>
        <v>223</v>
      </c>
      <c r="X245" s="68">
        <f>X241-22</f>
        <v>216</v>
      </c>
      <c r="Y245" s="68">
        <f>Y241-96</f>
        <v>153</v>
      </c>
      <c r="Z245" s="68">
        <f>AA245-Y245-X245-W245</f>
        <v>66</v>
      </c>
      <c r="AA245" s="63">
        <f>AA241-300</f>
        <v>658</v>
      </c>
      <c r="AB245" s="68">
        <f>AB241-42</f>
        <v>141</v>
      </c>
      <c r="AC245" s="68">
        <f>AC241-124</f>
        <v>62</v>
      </c>
      <c r="AD245" s="68">
        <f>AD241-48</f>
        <v>150</v>
      </c>
      <c r="AE245" s="68">
        <f>AF245-AD245-AC245-AB245</f>
        <v>132</v>
      </c>
      <c r="AF245" s="63">
        <f>AF241-304</f>
        <v>485</v>
      </c>
      <c r="AG245" s="68">
        <f>AG241-28</f>
        <v>182</v>
      </c>
      <c r="AH245" s="68">
        <f>AH241-42</f>
        <v>165</v>
      </c>
      <c r="AI245" s="68">
        <f>AI241-69</f>
        <v>141</v>
      </c>
      <c r="AJ245" s="68">
        <f>AK245-AI245-AH245-AG245</f>
        <v>113</v>
      </c>
      <c r="AK245" s="63">
        <v>601</v>
      </c>
      <c r="AL245" s="68">
        <v>219</v>
      </c>
      <c r="AM245" s="68">
        <v>111</v>
      </c>
      <c r="AN245" s="68">
        <v>209</v>
      </c>
      <c r="AO245" s="68">
        <v>164</v>
      </c>
      <c r="AP245" s="63">
        <v>703</v>
      </c>
      <c r="AQ245" s="68">
        <v>154</v>
      </c>
      <c r="AR245" s="68">
        <v>173</v>
      </c>
      <c r="AS245" s="68">
        <v>185</v>
      </c>
      <c r="AT245" s="68">
        <v>190</v>
      </c>
      <c r="AU245" s="63">
        <v>702</v>
      </c>
      <c r="AV245" s="68">
        <v>200</v>
      </c>
      <c r="AW245" s="68">
        <v>203</v>
      </c>
      <c r="AX245" s="68">
        <v>124</v>
      </c>
      <c r="AY245" s="68">
        <v>204</v>
      </c>
      <c r="AZ245" s="63">
        <v>731</v>
      </c>
      <c r="BA245" s="68">
        <v>198</v>
      </c>
      <c r="BB245" s="68">
        <v>371</v>
      </c>
      <c r="BC245" s="68">
        <v>225</v>
      </c>
      <c r="BD245" s="182">
        <v>-45</v>
      </c>
      <c r="BE245" s="63">
        <v>749</v>
      </c>
      <c r="BF245" s="68">
        <v>171</v>
      </c>
      <c r="BG245" s="182">
        <v>-7</v>
      </c>
      <c r="BH245" s="182">
        <v>131</v>
      </c>
    </row>
    <row r="246" spans="1:63" ht="10.199999999999999" customHeight="1">
      <c r="A246" s="69" t="s">
        <v>7</v>
      </c>
      <c r="B246" s="23"/>
      <c r="C246" s="70"/>
      <c r="D246" s="70">
        <f>D245/C245-1</f>
        <v>9.1836734693877542E-2</v>
      </c>
      <c r="E246" s="70">
        <f>E245/D245-1</f>
        <v>0.34579439252336441</v>
      </c>
      <c r="F246" s="70">
        <f>F245/E245-1</f>
        <v>-0.14583333333333337</v>
      </c>
      <c r="G246" s="23"/>
      <c r="H246" s="70">
        <f>H245/F245-1</f>
        <v>0.53658536585365857</v>
      </c>
      <c r="I246" s="70">
        <f>I245/H245-1</f>
        <v>-3.703703703703709E-2</v>
      </c>
      <c r="J246" s="70">
        <f>J245/I245-1</f>
        <v>1.6483516483516425E-2</v>
      </c>
      <c r="K246" s="70">
        <f>K245/J245-1</f>
        <v>0.14054054054054044</v>
      </c>
      <c r="L246" s="23"/>
      <c r="M246" s="70">
        <f>M245/K245-1</f>
        <v>5.6872037914691864E-2</v>
      </c>
      <c r="N246" s="70">
        <f>N245/M245-1</f>
        <v>-8.9686098654708779E-3</v>
      </c>
      <c r="O246" s="70">
        <f>O245/N245-1</f>
        <v>-0.10859728506787325</v>
      </c>
      <c r="P246" s="70">
        <f>P245/O245-1</f>
        <v>0.31472081218274117</v>
      </c>
      <c r="Q246" s="23"/>
      <c r="R246" s="70">
        <f>R245/P245-1</f>
        <v>-4.633204633204635E-2</v>
      </c>
      <c r="S246" s="70">
        <f>S245/R245-1</f>
        <v>9.7165991902834037E-2</v>
      </c>
      <c r="T246" s="70">
        <f>T245/S245-1</f>
        <v>-0.26199261992619927</v>
      </c>
      <c r="U246" s="70">
        <f>U245/T245-1</f>
        <v>9.4999999999999973E-2</v>
      </c>
      <c r="V246" s="23"/>
      <c r="W246" s="70">
        <f>W245/U245-1</f>
        <v>1.8264840182648401E-2</v>
      </c>
      <c r="X246" s="70">
        <f>X245/W245-1</f>
        <v>-3.1390134529147962E-2</v>
      </c>
      <c r="Y246" s="70">
        <f>Y245/X245-1</f>
        <v>-0.29166666666666663</v>
      </c>
      <c r="Z246" s="70">
        <f>Z245/Y245-1</f>
        <v>-0.56862745098039214</v>
      </c>
      <c r="AA246" s="23"/>
      <c r="AB246" s="70">
        <f>AB245/Z245-1</f>
        <v>1.1363636363636362</v>
      </c>
      <c r="AC246" s="70">
        <f>AC245/AB245-1</f>
        <v>-0.56028368794326244</v>
      </c>
      <c r="AD246" s="70">
        <f>AD245/AC245-1</f>
        <v>1.4193548387096775</v>
      </c>
      <c r="AE246" s="70">
        <f>AE245/AD245-1</f>
        <v>-0.12</v>
      </c>
      <c r="AF246" s="23"/>
      <c r="AG246" s="70">
        <f>AG245/AE245-1</f>
        <v>0.3787878787878789</v>
      </c>
      <c r="AH246" s="70">
        <f>AH245/AG245-1</f>
        <v>-9.3406593406593408E-2</v>
      </c>
      <c r="AI246" s="70">
        <f>AI245/AH245-1</f>
        <v>-0.1454545454545455</v>
      </c>
      <c r="AJ246" s="70">
        <f>AJ245/AI245-1</f>
        <v>-0.1985815602836879</v>
      </c>
      <c r="AK246" s="23"/>
      <c r="AL246" s="70">
        <v>0.93805309734513265</v>
      </c>
      <c r="AM246" s="70">
        <v>-0.49315068493150682</v>
      </c>
      <c r="AN246" s="70">
        <v>0.88288288288288297</v>
      </c>
      <c r="AO246" s="70">
        <v>-0.21531100478468901</v>
      </c>
      <c r="AP246" s="23"/>
      <c r="AQ246" s="70">
        <v>-6.0975609756097615E-2</v>
      </c>
      <c r="AR246" s="70">
        <v>0.12337662337662336</v>
      </c>
      <c r="AS246" s="70">
        <v>6.9364161849710948E-2</v>
      </c>
      <c r="AT246" s="70">
        <v>2.7027027027026973E-2</v>
      </c>
      <c r="AU246" s="23"/>
      <c r="AV246" s="70">
        <v>5.2631578947368363E-2</v>
      </c>
      <c r="AW246" s="70">
        <v>1.4999999999999902E-2</v>
      </c>
      <c r="AX246" s="70">
        <v>-0.38916256157635465</v>
      </c>
      <c r="AY246" s="70">
        <v>0.64516129032258074</v>
      </c>
      <c r="AZ246" s="23"/>
      <c r="BA246" s="70">
        <v>-2.9411764705882359E-2</v>
      </c>
      <c r="BB246" s="70">
        <v>0.8737373737373737</v>
      </c>
      <c r="BC246" s="70">
        <v>-0.39353099730458219</v>
      </c>
      <c r="BD246" s="83" t="s">
        <v>40</v>
      </c>
      <c r="BE246" s="23"/>
      <c r="BF246" s="83" t="s">
        <v>40</v>
      </c>
      <c r="BG246" s="70">
        <v>-1.0409356725146199</v>
      </c>
      <c r="BH246" s="70">
        <v>-19.714285714285715</v>
      </c>
    </row>
    <row r="247" spans="1:63" ht="11.1" customHeight="1">
      <c r="A247" s="69" t="s">
        <v>8</v>
      </c>
      <c r="B247" s="23"/>
      <c r="C247" s="71"/>
      <c r="D247" s="71"/>
      <c r="E247" s="71"/>
      <c r="F247" s="71"/>
      <c r="G247" s="23">
        <f t="shared" ref="G247:N247" si="194">G245/B245-1</f>
        <v>0.40476190476190466</v>
      </c>
      <c r="H247" s="71">
        <f t="shared" si="194"/>
        <v>0.9285714285714286</v>
      </c>
      <c r="I247" s="71">
        <f t="shared" si="194"/>
        <v>0.7009345794392523</v>
      </c>
      <c r="J247" s="71">
        <f t="shared" si="194"/>
        <v>0.28472222222222232</v>
      </c>
      <c r="K247" s="71">
        <f t="shared" si="194"/>
        <v>0.71544715447154461</v>
      </c>
      <c r="L247" s="23">
        <f t="shared" si="194"/>
        <v>0.625</v>
      </c>
      <c r="M247" s="71">
        <f t="shared" si="194"/>
        <v>0.17989417989418</v>
      </c>
      <c r="N247" s="71">
        <f t="shared" si="194"/>
        <v>0.21428571428571419</v>
      </c>
      <c r="O247" s="71">
        <f t="shared" ref="O247:Y247" si="195">O245/J245-1</f>
        <v>6.4864864864864868E-2</v>
      </c>
      <c r="P247" s="71">
        <f t="shared" si="195"/>
        <v>0.22748815165876768</v>
      </c>
      <c r="Q247" s="23">
        <f t="shared" si="195"/>
        <v>0.17340286831812257</v>
      </c>
      <c r="R247" s="71">
        <f t="shared" si="195"/>
        <v>0.10762331838565031</v>
      </c>
      <c r="S247" s="71">
        <f t="shared" si="195"/>
        <v>0.2262443438914028</v>
      </c>
      <c r="T247" s="71">
        <f t="shared" si="195"/>
        <v>1.5228426395939021E-2</v>
      </c>
      <c r="U247" s="71">
        <f t="shared" si="195"/>
        <v>-0.15444015444015446</v>
      </c>
      <c r="V247" s="23">
        <f t="shared" si="195"/>
        <v>4.1111111111111098E-2</v>
      </c>
      <c r="W247" s="71">
        <f t="shared" si="195"/>
        <v>-9.7165991902834037E-2</v>
      </c>
      <c r="X247" s="71">
        <f t="shared" si="195"/>
        <v>-0.20295202952029523</v>
      </c>
      <c r="Y247" s="71">
        <f t="shared" si="195"/>
        <v>-0.23499999999999999</v>
      </c>
      <c r="Z247" s="71">
        <f t="shared" ref="Z247:AI247" si="196">Z245/U245-1</f>
        <v>-0.69863013698630139</v>
      </c>
      <c r="AA247" s="23">
        <f t="shared" si="196"/>
        <v>-0.29775880469583782</v>
      </c>
      <c r="AB247" s="71">
        <f t="shared" si="196"/>
        <v>-0.36771300448430488</v>
      </c>
      <c r="AC247" s="71">
        <f t="shared" si="196"/>
        <v>-0.71296296296296302</v>
      </c>
      <c r="AD247" s="71">
        <f t="shared" si="196"/>
        <v>-1.9607843137254943E-2</v>
      </c>
      <c r="AE247" s="71">
        <f t="shared" si="196"/>
        <v>1</v>
      </c>
      <c r="AF247" s="23">
        <f t="shared" si="196"/>
        <v>-0.26291793313069911</v>
      </c>
      <c r="AG247" s="71">
        <f t="shared" si="196"/>
        <v>0.29078014184397172</v>
      </c>
      <c r="AH247" s="71">
        <f t="shared" si="196"/>
        <v>1.661290322580645</v>
      </c>
      <c r="AI247" s="71">
        <f t="shared" si="196"/>
        <v>-6.0000000000000053E-2</v>
      </c>
      <c r="AJ247" s="71">
        <f t="shared" ref="AJ247" si="197">AJ245/AE245-1</f>
        <v>-0.14393939393939392</v>
      </c>
      <c r="AK247" s="23">
        <v>0.2391752577319588</v>
      </c>
      <c r="AL247" s="71">
        <v>0.20329670329670324</v>
      </c>
      <c r="AM247" s="71">
        <v>-0.32727272727272727</v>
      </c>
      <c r="AN247" s="71">
        <v>0.48226950354609932</v>
      </c>
      <c r="AO247" s="71">
        <v>0.45132743362831862</v>
      </c>
      <c r="AP247" s="23">
        <v>0.16971713810316147</v>
      </c>
      <c r="AQ247" s="71">
        <v>-0.29680365296803657</v>
      </c>
      <c r="AR247" s="71">
        <v>0.55855855855855863</v>
      </c>
      <c r="AS247" s="71">
        <v>-0.11483253588516751</v>
      </c>
      <c r="AT247" s="71">
        <v>0.15853658536585358</v>
      </c>
      <c r="AU247" s="23">
        <v>-1.4224751066855834E-3</v>
      </c>
      <c r="AV247" s="71">
        <v>0.29870129870129869</v>
      </c>
      <c r="AW247" s="71">
        <v>0.17341040462427748</v>
      </c>
      <c r="AX247" s="71">
        <v>-0.32972972972972969</v>
      </c>
      <c r="AY247" s="71">
        <v>7.3684210526315796E-2</v>
      </c>
      <c r="AZ247" s="23">
        <v>4.1310541310541238E-2</v>
      </c>
      <c r="BA247" s="71">
        <v>-1.0000000000000009E-2</v>
      </c>
      <c r="BB247" s="71">
        <v>0.82758620689655182</v>
      </c>
      <c r="BC247" s="71">
        <v>0.81451612903225801</v>
      </c>
      <c r="BD247" s="83" t="s">
        <v>40</v>
      </c>
      <c r="BE247" s="23">
        <v>2.4623803009576006E-2</v>
      </c>
      <c r="BF247" s="71">
        <v>-0.13636363636363635</v>
      </c>
      <c r="BG247" s="71">
        <v>-1.0188679245283019</v>
      </c>
      <c r="BH247" s="71">
        <v>-0.4177777777777778</v>
      </c>
    </row>
    <row r="248" spans="1:63" ht="11.1" customHeight="1">
      <c r="A248" s="67" t="s">
        <v>251</v>
      </c>
      <c r="B248" s="23"/>
      <c r="C248" s="71"/>
      <c r="D248" s="71"/>
      <c r="E248" s="71"/>
      <c r="F248" s="71"/>
      <c r="G248" s="23"/>
      <c r="H248" s="71"/>
      <c r="I248" s="71"/>
      <c r="J248" s="71"/>
      <c r="K248" s="71"/>
      <c r="L248" s="23"/>
      <c r="M248" s="71"/>
      <c r="N248" s="71"/>
      <c r="O248" s="71"/>
      <c r="P248" s="71"/>
      <c r="Q248" s="23"/>
      <c r="R248" s="71"/>
      <c r="S248" s="71"/>
      <c r="T248" s="71"/>
      <c r="U248" s="71"/>
      <c r="V248" s="23"/>
      <c r="W248" s="71"/>
      <c r="X248" s="71"/>
      <c r="Y248" s="71"/>
      <c r="Z248" s="71"/>
      <c r="AA248" s="23"/>
      <c r="AB248" s="71"/>
      <c r="AC248" s="71"/>
      <c r="AD248" s="71"/>
      <c r="AE248" s="71"/>
      <c r="AF248" s="23"/>
      <c r="AG248" s="71"/>
      <c r="AH248" s="71"/>
      <c r="AI248" s="71"/>
      <c r="AJ248" s="71"/>
      <c r="AK248" s="23"/>
      <c r="AL248" s="71"/>
      <c r="AM248" s="71"/>
      <c r="AN248" s="71"/>
      <c r="AO248" s="71"/>
      <c r="AP248" s="23"/>
      <c r="AQ248" s="71"/>
      <c r="AR248" s="71"/>
      <c r="AS248" s="71"/>
      <c r="AT248" s="71"/>
      <c r="AU248" s="23"/>
      <c r="AV248" s="71"/>
      <c r="AW248" s="71"/>
      <c r="AX248" s="71"/>
      <c r="AY248" s="71"/>
      <c r="AZ248" s="23"/>
      <c r="BA248" s="68">
        <v>33</v>
      </c>
      <c r="BB248" s="68">
        <v>29</v>
      </c>
      <c r="BC248" s="68">
        <v>28</v>
      </c>
      <c r="BD248" s="68">
        <v>9</v>
      </c>
      <c r="BE248" s="63">
        <v>99</v>
      </c>
      <c r="BF248" s="68">
        <v>34</v>
      </c>
      <c r="BG248" s="68">
        <v>27</v>
      </c>
      <c r="BH248" s="68">
        <v>25</v>
      </c>
    </row>
    <row r="249" spans="1:63" ht="13.95" customHeight="1">
      <c r="A249" s="67" t="s">
        <v>13</v>
      </c>
      <c r="B249" s="63">
        <f>B235-B245</f>
        <v>1043</v>
      </c>
      <c r="C249" s="78" t="s">
        <v>49</v>
      </c>
      <c r="D249" s="78" t="s">
        <v>49</v>
      </c>
      <c r="E249" s="78" t="s">
        <v>49</v>
      </c>
      <c r="F249" s="78" t="s">
        <v>49</v>
      </c>
      <c r="G249" s="63">
        <f>G235-G245</f>
        <v>1219</v>
      </c>
      <c r="H249" s="68">
        <f>H235-H245</f>
        <v>446</v>
      </c>
      <c r="I249" s="68">
        <f>I235-I245</f>
        <v>226</v>
      </c>
      <c r="J249" s="68">
        <f>J235-J245</f>
        <v>341</v>
      </c>
      <c r="K249" s="68">
        <f>L249-J249-I249-H249</f>
        <v>440</v>
      </c>
      <c r="L249" s="63">
        <f>L235-L245</f>
        <v>1453</v>
      </c>
      <c r="M249" s="68">
        <f>M235-M245</f>
        <v>170</v>
      </c>
      <c r="N249" s="68">
        <f>N235-N245</f>
        <v>302</v>
      </c>
      <c r="O249" s="68">
        <f>O235-O245</f>
        <v>487</v>
      </c>
      <c r="P249" s="68">
        <f>Q249-O249-N249-M249</f>
        <v>281</v>
      </c>
      <c r="Q249" s="63">
        <f>Q235-Q245</f>
        <v>1240</v>
      </c>
      <c r="R249" s="68">
        <f>R235-R245+115</f>
        <v>287</v>
      </c>
      <c r="S249" s="68">
        <f>S235-S245</f>
        <v>225</v>
      </c>
      <c r="T249" s="68">
        <f>T235-T245</f>
        <v>441</v>
      </c>
      <c r="U249" s="68">
        <f>V249-T249-S249-R249</f>
        <v>215.93499999999995</v>
      </c>
      <c r="V249" s="63">
        <f>V235-V245</f>
        <v>1168.9349999999999</v>
      </c>
      <c r="W249" s="68">
        <f>W235-W245</f>
        <v>428</v>
      </c>
      <c r="X249" s="68">
        <f>X235-X245</f>
        <v>160</v>
      </c>
      <c r="Y249" s="68">
        <f>Y235-Y245</f>
        <v>317</v>
      </c>
      <c r="Z249" s="68">
        <f>AA249-Y249-X249-W249</f>
        <v>446</v>
      </c>
      <c r="AA249" s="63">
        <f>AA235-AA245</f>
        <v>1351</v>
      </c>
      <c r="AB249" s="68">
        <f>AB235-AB245</f>
        <v>420</v>
      </c>
      <c r="AC249" s="68">
        <f>AC235-AC245</f>
        <v>494</v>
      </c>
      <c r="AD249" s="68">
        <f>AD235-AD245</f>
        <v>481</v>
      </c>
      <c r="AE249" s="68">
        <f>AF249-AD249-AC249-AB249</f>
        <v>394</v>
      </c>
      <c r="AF249" s="63">
        <f>AF235-AF245</f>
        <v>1789</v>
      </c>
      <c r="AG249" s="68">
        <f>AG235-AG245</f>
        <v>434</v>
      </c>
      <c r="AH249" s="68">
        <f>AH235-AH245</f>
        <v>380</v>
      </c>
      <c r="AI249" s="68">
        <f>AI235-AI245</f>
        <v>458</v>
      </c>
      <c r="AJ249" s="68">
        <f>AK249-AI249-AH249-AG249</f>
        <v>386</v>
      </c>
      <c r="AK249" s="63">
        <v>1658</v>
      </c>
      <c r="AL249" s="68">
        <v>329</v>
      </c>
      <c r="AM249" s="68">
        <v>345</v>
      </c>
      <c r="AN249" s="68">
        <v>477</v>
      </c>
      <c r="AO249" s="68">
        <v>504</v>
      </c>
      <c r="AP249" s="63">
        <v>1655</v>
      </c>
      <c r="AQ249" s="68">
        <v>385</v>
      </c>
      <c r="AR249" s="68">
        <v>344</v>
      </c>
      <c r="AS249" s="68">
        <v>341</v>
      </c>
      <c r="AT249" s="68">
        <v>292</v>
      </c>
      <c r="AU249" s="63">
        <v>1362</v>
      </c>
      <c r="AV249" s="68">
        <v>400</v>
      </c>
      <c r="AW249" s="68">
        <v>262</v>
      </c>
      <c r="AX249" s="68">
        <v>449</v>
      </c>
      <c r="AY249" s="68">
        <v>383</v>
      </c>
      <c r="AZ249" s="63">
        <v>1494</v>
      </c>
      <c r="BA249" s="68">
        <v>285</v>
      </c>
      <c r="BB249" s="68">
        <v>107</v>
      </c>
      <c r="BC249" s="68">
        <v>330</v>
      </c>
      <c r="BD249" s="68">
        <v>636</v>
      </c>
      <c r="BE249" s="63">
        <v>1358</v>
      </c>
      <c r="BF249" s="68">
        <v>266</v>
      </c>
      <c r="BG249" s="68">
        <v>396</v>
      </c>
      <c r="BH249" s="68">
        <v>328</v>
      </c>
    </row>
    <row r="250" spans="1:63" ht="10.199999999999999" customHeight="1">
      <c r="A250" s="69" t="s">
        <v>7</v>
      </c>
      <c r="B250" s="23"/>
      <c r="C250" s="70"/>
      <c r="D250" s="70"/>
      <c r="E250" s="70"/>
      <c r="F250" s="70"/>
      <c r="G250" s="23"/>
      <c r="H250" s="70"/>
      <c r="I250" s="70">
        <f>I249/H249-1</f>
        <v>-0.49327354260089684</v>
      </c>
      <c r="J250" s="70">
        <f>J249/I249-1</f>
        <v>0.50884955752212391</v>
      </c>
      <c r="K250" s="70">
        <f>K249/J249-1</f>
        <v>0.29032258064516125</v>
      </c>
      <c r="L250" s="23"/>
      <c r="M250" s="70">
        <f>M249/K249-1</f>
        <v>-0.61363636363636365</v>
      </c>
      <c r="N250" s="70">
        <f>N249/M249-1</f>
        <v>0.77647058823529402</v>
      </c>
      <c r="O250" s="70">
        <f>O249/N249-1</f>
        <v>0.61258278145695355</v>
      </c>
      <c r="P250" s="70">
        <f>P249/O249-1</f>
        <v>-0.4229979466119097</v>
      </c>
      <c r="Q250" s="23"/>
      <c r="R250" s="70">
        <f>R249/P249-1</f>
        <v>2.1352313167259718E-2</v>
      </c>
      <c r="S250" s="70">
        <f>S249/R249-1</f>
        <v>-0.21602787456445993</v>
      </c>
      <c r="T250" s="70">
        <f>T249/S249-1</f>
        <v>0.96</v>
      </c>
      <c r="U250" s="70">
        <f>U249/T249-1</f>
        <v>-0.5103514739229027</v>
      </c>
      <c r="V250" s="23"/>
      <c r="W250" s="70">
        <f>W249/U249-1</f>
        <v>0.98207794012087013</v>
      </c>
      <c r="X250" s="70">
        <f>X249/W249-1</f>
        <v>-0.62616822429906538</v>
      </c>
      <c r="Y250" s="70">
        <f>Y249/X249-1</f>
        <v>0.98124999999999996</v>
      </c>
      <c r="Z250" s="70">
        <f>Z249/Y249-1</f>
        <v>0.40694006309148256</v>
      </c>
      <c r="AA250" s="23"/>
      <c r="AB250" s="70">
        <f>AB249/Z249-1</f>
        <v>-5.8295964125560484E-2</v>
      </c>
      <c r="AC250" s="70">
        <f>AC249/AB249-1</f>
        <v>0.17619047619047623</v>
      </c>
      <c r="AD250" s="70">
        <f>AD249/AC249-1</f>
        <v>-2.6315789473684181E-2</v>
      </c>
      <c r="AE250" s="70">
        <f>AE249/AD249-1</f>
        <v>-0.18087318087318083</v>
      </c>
      <c r="AF250" s="23"/>
      <c r="AG250" s="70">
        <f>AG249/AE249-1</f>
        <v>0.10152284263959399</v>
      </c>
      <c r="AH250" s="70">
        <f>AH249/AG249-1</f>
        <v>-0.12442396313364057</v>
      </c>
      <c r="AI250" s="70">
        <f>AI249/AH249-1</f>
        <v>0.20526315789473681</v>
      </c>
      <c r="AJ250" s="70">
        <f>AJ249/AI249-1</f>
        <v>-0.15720524017467252</v>
      </c>
      <c r="AK250" s="23"/>
      <c r="AL250" s="70">
        <v>-0.14766839378238339</v>
      </c>
      <c r="AM250" s="70">
        <v>4.8632218844984809E-2</v>
      </c>
      <c r="AN250" s="70">
        <v>0.38260869565217392</v>
      </c>
      <c r="AO250" s="70">
        <v>5.6603773584905648E-2</v>
      </c>
      <c r="AP250" s="23"/>
      <c r="AQ250" s="70">
        <v>-0.23611111111111116</v>
      </c>
      <c r="AR250" s="70">
        <v>-0.10649350649350653</v>
      </c>
      <c r="AS250" s="70">
        <v>-8.720930232558155E-3</v>
      </c>
      <c r="AT250" s="70">
        <v>-0.14369501466275658</v>
      </c>
      <c r="AU250" s="23"/>
      <c r="AV250" s="70">
        <v>0.36986301369863006</v>
      </c>
      <c r="AW250" s="70">
        <v>-0.34499999999999997</v>
      </c>
      <c r="AX250" s="70">
        <v>0.71374045801526709</v>
      </c>
      <c r="AY250" s="70">
        <v>-0.14699331848552344</v>
      </c>
      <c r="AZ250" s="23"/>
      <c r="BA250" s="70">
        <v>-0.25587467362924277</v>
      </c>
      <c r="BB250" s="70">
        <v>-0.62456140350877187</v>
      </c>
      <c r="BC250" s="70">
        <v>2.0841121495327104</v>
      </c>
      <c r="BD250" s="70">
        <v>0.92727272727272725</v>
      </c>
      <c r="BE250" s="23"/>
      <c r="BF250" s="70">
        <v>-0.58176100628930816</v>
      </c>
      <c r="BG250" s="70">
        <v>0.48872180451127822</v>
      </c>
      <c r="BH250" s="70">
        <v>-0.17171717171717171</v>
      </c>
    </row>
    <row r="251" spans="1:63" ht="9.6" customHeight="1">
      <c r="A251" s="69" t="s">
        <v>8</v>
      </c>
      <c r="B251" s="23"/>
      <c r="C251" s="71"/>
      <c r="D251" s="71"/>
      <c r="E251" s="71"/>
      <c r="F251" s="71"/>
      <c r="G251" s="23">
        <f>G249/B249-1</f>
        <v>0.16874400767018227</v>
      </c>
      <c r="H251" s="71"/>
      <c r="I251" s="71"/>
      <c r="J251" s="71"/>
      <c r="K251" s="71"/>
      <c r="L251" s="23">
        <f t="shared" ref="L251:R251" si="198">L249/G249-1</f>
        <v>0.19196062346185405</v>
      </c>
      <c r="M251" s="71">
        <f t="shared" si="198"/>
        <v>-0.6188340807174888</v>
      </c>
      <c r="N251" s="71">
        <f t="shared" si="198"/>
        <v>0.33628318584070804</v>
      </c>
      <c r="O251" s="71">
        <f t="shared" si="198"/>
        <v>0.42815249266862176</v>
      </c>
      <c r="P251" s="71">
        <f t="shared" si="198"/>
        <v>-0.36136363636363633</v>
      </c>
      <c r="Q251" s="23">
        <f t="shared" si="198"/>
        <v>-0.14659325533379219</v>
      </c>
      <c r="R251" s="71">
        <f t="shared" si="198"/>
        <v>0.68823529411764706</v>
      </c>
      <c r="S251" s="71">
        <f t="shared" ref="S251:Y251" si="199">S249/N249-1</f>
        <v>-0.25496688741721851</v>
      </c>
      <c r="T251" s="71">
        <f t="shared" si="199"/>
        <v>-9.4455852156057452E-2</v>
      </c>
      <c r="U251" s="71">
        <f t="shared" si="199"/>
        <v>-0.23154804270462648</v>
      </c>
      <c r="V251" s="23">
        <f t="shared" si="199"/>
        <v>-5.7310483870967821E-2</v>
      </c>
      <c r="W251" s="71">
        <f t="shared" si="199"/>
        <v>0.49128919860627174</v>
      </c>
      <c r="X251" s="71">
        <f t="shared" si="199"/>
        <v>-0.28888888888888886</v>
      </c>
      <c r="Y251" s="71">
        <f t="shared" si="199"/>
        <v>-0.28117913832199548</v>
      </c>
      <c r="Z251" s="71">
        <f t="shared" ref="Z251:AI251" si="200">Z249/U249-1</f>
        <v>1.0654363581633368</v>
      </c>
      <c r="AA251" s="23">
        <f t="shared" si="200"/>
        <v>0.15575288617416705</v>
      </c>
      <c r="AB251" s="71">
        <f t="shared" si="200"/>
        <v>-1.8691588785046731E-2</v>
      </c>
      <c r="AC251" s="71">
        <f t="shared" si="200"/>
        <v>2.0874999999999999</v>
      </c>
      <c r="AD251" s="71">
        <f t="shared" si="200"/>
        <v>0.51735015772870652</v>
      </c>
      <c r="AE251" s="71">
        <f t="shared" si="200"/>
        <v>-0.11659192825112108</v>
      </c>
      <c r="AF251" s="23">
        <f t="shared" si="200"/>
        <v>0.32420429311621013</v>
      </c>
      <c r="AG251" s="71">
        <f t="shared" si="200"/>
        <v>3.3333333333333437E-2</v>
      </c>
      <c r="AH251" s="71">
        <f t="shared" si="200"/>
        <v>-0.23076923076923073</v>
      </c>
      <c r="AI251" s="71">
        <f t="shared" si="200"/>
        <v>-4.7817047817047764E-2</v>
      </c>
      <c r="AJ251" s="71">
        <f t="shared" ref="AJ251" si="201">AJ249/AE249-1</f>
        <v>-2.0304568527918732E-2</v>
      </c>
      <c r="AK251" s="23">
        <v>-7.3225265511458915E-2</v>
      </c>
      <c r="AL251" s="71">
        <v>-0.24193548387096775</v>
      </c>
      <c r="AM251" s="71">
        <v>-9.210526315789469E-2</v>
      </c>
      <c r="AN251" s="71">
        <v>4.148471615720517E-2</v>
      </c>
      <c r="AO251" s="71">
        <v>0.30569948186528495</v>
      </c>
      <c r="AP251" s="23">
        <v>-1.8094089264173441E-3</v>
      </c>
      <c r="AQ251" s="71">
        <v>0.17021276595744683</v>
      </c>
      <c r="AR251" s="71">
        <v>-2.8985507246376274E-3</v>
      </c>
      <c r="AS251" s="71">
        <v>-0.28511530398322849</v>
      </c>
      <c r="AT251" s="71">
        <v>-0.42063492063492058</v>
      </c>
      <c r="AU251" s="23">
        <v>-0.17703927492447125</v>
      </c>
      <c r="AV251" s="71">
        <v>3.8961038961038863E-2</v>
      </c>
      <c r="AW251" s="71">
        <v>-0.23837209302325579</v>
      </c>
      <c r="AX251" s="71">
        <v>0.31671554252199408</v>
      </c>
      <c r="AY251" s="71">
        <v>0.31164383561643838</v>
      </c>
      <c r="AZ251" s="23">
        <v>9.6916299559471453E-2</v>
      </c>
      <c r="BA251" s="71">
        <v>-0.28749999999999998</v>
      </c>
      <c r="BB251" s="71">
        <v>-0.59160305343511443</v>
      </c>
      <c r="BC251" s="71">
        <v>-0.26503340757238303</v>
      </c>
      <c r="BD251" s="71">
        <v>0.66057441253263716</v>
      </c>
      <c r="BE251" s="23">
        <v>-9.1030789825970571E-2</v>
      </c>
      <c r="BF251" s="71">
        <v>-6.6666666666666652E-2</v>
      </c>
      <c r="BG251" s="71">
        <v>2.7009345794392523</v>
      </c>
      <c r="BH251" s="71">
        <v>-6.0606060606060996E-3</v>
      </c>
    </row>
    <row r="252" spans="1:63" ht="10.5" customHeight="1">
      <c r="A252" s="49" t="s">
        <v>19</v>
      </c>
      <c r="B252" s="39"/>
      <c r="C252" s="51"/>
      <c r="D252" s="51"/>
      <c r="E252" s="51"/>
      <c r="F252" s="51"/>
      <c r="G252" s="39"/>
      <c r="H252" s="51"/>
      <c r="I252" s="51"/>
      <c r="J252" s="51"/>
      <c r="K252" s="51"/>
      <c r="L252" s="39"/>
      <c r="M252" s="51"/>
      <c r="N252" s="51"/>
      <c r="O252" s="51"/>
      <c r="P252" s="51"/>
      <c r="Q252" s="39"/>
      <c r="R252" s="51"/>
      <c r="S252" s="51"/>
      <c r="T252" s="51"/>
      <c r="U252" s="51"/>
      <c r="V252" s="39"/>
      <c r="W252" s="51"/>
      <c r="X252" s="51"/>
      <c r="Y252" s="51"/>
      <c r="Z252" s="51"/>
      <c r="AA252" s="39"/>
      <c r="AB252" s="51"/>
      <c r="AC252" s="51"/>
      <c r="AD252" s="51"/>
      <c r="AE252" s="51"/>
      <c r="AF252" s="39"/>
      <c r="AG252" s="51"/>
      <c r="AH252" s="51"/>
      <c r="AI252" s="51"/>
      <c r="AJ252" s="51"/>
      <c r="AK252" s="39"/>
      <c r="AL252" s="51"/>
      <c r="AM252" s="51"/>
      <c r="AN252" s="51"/>
      <c r="AO252" s="51"/>
      <c r="AP252" s="39"/>
      <c r="AQ252" s="51"/>
      <c r="AR252" s="51"/>
      <c r="AS252" s="51"/>
      <c r="AT252" s="51"/>
      <c r="AU252" s="39"/>
      <c r="AV252" s="51"/>
      <c r="AW252" s="51"/>
      <c r="AX252" s="51"/>
      <c r="AY252" s="51"/>
      <c r="AZ252" s="39"/>
      <c r="BA252" s="51"/>
      <c r="BB252" s="51"/>
      <c r="BC252" s="51"/>
      <c r="BD252" s="51"/>
      <c r="BE252" s="39"/>
      <c r="BF252" s="51"/>
      <c r="BG252" s="51"/>
      <c r="BH252" s="51"/>
    </row>
    <row r="253" spans="1:63" s="35" customFormat="1" ht="12" customHeight="1">
      <c r="A253" s="67" t="s">
        <v>28</v>
      </c>
      <c r="B253" s="54">
        <f>B210/B179</f>
        <v>0.26374725054989001</v>
      </c>
      <c r="C253" s="76">
        <f>C210/C179</f>
        <v>0.26491477272727271</v>
      </c>
      <c r="D253" s="76">
        <f t="shared" ref="D253:F253" si="202">D210/D179</f>
        <v>0.32644017725258495</v>
      </c>
      <c r="E253" s="76">
        <f t="shared" si="202"/>
        <v>0.30835734870317005</v>
      </c>
      <c r="F253" s="76">
        <f t="shared" si="202"/>
        <v>0.4157778209563282</v>
      </c>
      <c r="G253" s="54">
        <f>G210/G179</f>
        <v>0.31329716062819035</v>
      </c>
      <c r="H253" s="76">
        <f>H210/H179</f>
        <v>0.32956259426847662</v>
      </c>
      <c r="I253" s="76">
        <f t="shared" ref="I253:K253" si="203">I210/I179</f>
        <v>0.3292867981790592</v>
      </c>
      <c r="J253" s="76">
        <f t="shared" si="203"/>
        <v>0.36559940431868948</v>
      </c>
      <c r="K253" s="76">
        <f t="shared" si="203"/>
        <v>0.12234042553191489</v>
      </c>
      <c r="L253" s="54">
        <f>L210/L179</f>
        <v>0.28719592683386763</v>
      </c>
      <c r="M253" s="76">
        <f>M210/M179</f>
        <v>0.37576687116564417</v>
      </c>
      <c r="N253" s="76">
        <f t="shared" ref="N253:P253" si="204">N210/N179</f>
        <v>0.38485080336648814</v>
      </c>
      <c r="O253" s="76">
        <f t="shared" si="204"/>
        <v>0.42025699168556313</v>
      </c>
      <c r="P253" s="76">
        <f t="shared" si="204"/>
        <v>0.37170805116629047</v>
      </c>
      <c r="Q253" s="54">
        <f>Q210/Q179</f>
        <v>0.38818164544936345</v>
      </c>
      <c r="R253" s="76">
        <f>R210/R179</f>
        <v>0.17911714770797962</v>
      </c>
      <c r="S253" s="76">
        <f t="shared" ref="S253:U253" si="205">S210/S179</f>
        <v>0.44188034188034186</v>
      </c>
      <c r="T253" s="76">
        <f t="shared" si="205"/>
        <v>0.46037099494097805</v>
      </c>
      <c r="U253" s="76">
        <f t="shared" si="205"/>
        <v>0.35637342908438063</v>
      </c>
      <c r="V253" s="54">
        <f>V210/V179</f>
        <v>0.35950946643717729</v>
      </c>
      <c r="W253" s="76">
        <f>W210/W179</f>
        <v>0.44954128440366975</v>
      </c>
      <c r="X253" s="76">
        <f t="shared" ref="X253:Z253" si="206">X210/X179</f>
        <v>0.37639965546942289</v>
      </c>
      <c r="Y253" s="76">
        <f t="shared" si="206"/>
        <v>0.3646649260226284</v>
      </c>
      <c r="Z253" s="76">
        <f t="shared" si="206"/>
        <v>0.50312221231043708</v>
      </c>
      <c r="AA253" s="54">
        <f>AA210/AA179</f>
        <v>0.42311015118790496</v>
      </c>
      <c r="AB253" s="76">
        <f>AB210/AB179</f>
        <v>0.47387068201948629</v>
      </c>
      <c r="AC253" s="76">
        <f t="shared" ref="AC253:AE253" si="207">AC210/AC179</f>
        <v>0.45495093666369313</v>
      </c>
      <c r="AD253" s="76">
        <f t="shared" si="207"/>
        <v>0.43833185448092282</v>
      </c>
      <c r="AE253" s="76">
        <f t="shared" si="207"/>
        <v>0.41689373297002724</v>
      </c>
      <c r="AF253" s="54">
        <f>AF210/AF179</f>
        <v>0.44618133095131757</v>
      </c>
      <c r="AG253" s="76">
        <f>AG210/AG179</f>
        <v>0.46796657381615597</v>
      </c>
      <c r="AH253" s="76">
        <f t="shared" ref="AH253:AJ253" si="208">AH210/AH179</f>
        <v>0.43895619757688725</v>
      </c>
      <c r="AI253" s="76">
        <f t="shared" si="208"/>
        <v>0.46068455134135061</v>
      </c>
      <c r="AJ253" s="76">
        <f t="shared" si="208"/>
        <v>0.46685082872928174</v>
      </c>
      <c r="AK253" s="54">
        <v>0.45865184155663657</v>
      </c>
      <c r="AL253" s="76">
        <v>0.49146451033243488</v>
      </c>
      <c r="AM253" s="76">
        <v>0.59909502262443437</v>
      </c>
      <c r="AN253" s="76">
        <v>0.46503178928247046</v>
      </c>
      <c r="AO253" s="76">
        <v>0.39246323529411764</v>
      </c>
      <c r="AP253" s="54">
        <v>0.48740639891082371</v>
      </c>
      <c r="AQ253" s="76">
        <v>0.48201438848920863</v>
      </c>
      <c r="AR253" s="76">
        <v>0.49090909090909091</v>
      </c>
      <c r="AS253" s="76">
        <v>0.47658402203856748</v>
      </c>
      <c r="AT253" s="76">
        <v>0.44454713493530501</v>
      </c>
      <c r="AU253" s="54">
        <v>0.47364818617385351</v>
      </c>
      <c r="AV253" s="76">
        <v>0.47588126159554733</v>
      </c>
      <c r="AW253" s="76">
        <v>0.46880907372400754</v>
      </c>
      <c r="AX253" s="76">
        <v>0.46371347785108391</v>
      </c>
      <c r="AY253" s="76">
        <v>0.44890162368672398</v>
      </c>
      <c r="AZ253" s="54">
        <v>0.46442035815268612</v>
      </c>
      <c r="BA253" s="76">
        <v>0.444967074317968</v>
      </c>
      <c r="BB253" s="76">
        <v>0.36372180451127817</v>
      </c>
      <c r="BC253" s="76">
        <v>0.43240651965484178</v>
      </c>
      <c r="BD253" s="76">
        <v>-8.4795321637426896E-2</v>
      </c>
      <c r="BE253" s="54">
        <v>0.29170638703527169</v>
      </c>
      <c r="BF253" s="76">
        <v>0.50910834132310645</v>
      </c>
      <c r="BG253" s="76">
        <v>0.85784313725490191</v>
      </c>
      <c r="BH253" s="76">
        <v>0.42926829268292682</v>
      </c>
      <c r="BI253" s="3"/>
      <c r="BJ253" s="3"/>
      <c r="BK253" s="3"/>
    </row>
    <row r="254" spans="1:63" s="35" customFormat="1" ht="12" customHeight="1">
      <c r="A254" s="67" t="s">
        <v>36</v>
      </c>
      <c r="B254" s="54">
        <f>B219/B179</f>
        <v>0.14737052589482103</v>
      </c>
      <c r="C254" s="76">
        <f>C219/C179</f>
        <v>0.17329545454545456</v>
      </c>
      <c r="D254" s="76">
        <f t="shared" ref="D254:F254" si="209">D219/D179</f>
        <v>0.21418020679468242</v>
      </c>
      <c r="E254" s="76">
        <f t="shared" si="209"/>
        <v>0.1952449567723343</v>
      </c>
      <c r="F254" s="76">
        <f t="shared" si="209"/>
        <v>0.25986113809770511</v>
      </c>
      <c r="G254" s="54">
        <f>G219/G179</f>
        <v>0.2017846119300209</v>
      </c>
      <c r="H254" s="76">
        <f>H219/H179</f>
        <v>0.25339366515837103</v>
      </c>
      <c r="I254" s="76">
        <f t="shared" ref="I254:K254" si="210">I219/I179</f>
        <v>0.23975720789074356</v>
      </c>
      <c r="J254" s="76">
        <f t="shared" si="210"/>
        <v>0.23752792256142963</v>
      </c>
      <c r="K254" s="76">
        <f t="shared" si="210"/>
        <v>0.10334346504559271</v>
      </c>
      <c r="L254" s="54">
        <f>L219/L179</f>
        <v>0.20874976428436734</v>
      </c>
      <c r="M254" s="76">
        <f>M219/M179</f>
        <v>0.27607361963190186</v>
      </c>
      <c r="N254" s="76">
        <f t="shared" ref="N254:P254" si="211">N219/N179</f>
        <v>0.26702371843917366</v>
      </c>
      <c r="O254" s="76">
        <f t="shared" si="211"/>
        <v>0.28495842781557068</v>
      </c>
      <c r="P254" s="76">
        <f t="shared" si="211"/>
        <v>0.25583145221971409</v>
      </c>
      <c r="Q254" s="54">
        <f>Q219/Q179</f>
        <v>0.2709481284438533</v>
      </c>
      <c r="R254" s="76">
        <f>R219/R179</f>
        <v>0.10441426146010187</v>
      </c>
      <c r="S254" s="76">
        <f t="shared" ref="S254:U254" si="212">S219/S179</f>
        <v>0.28205128205128205</v>
      </c>
      <c r="T254" s="76">
        <f t="shared" si="212"/>
        <v>0.26222596964586847</v>
      </c>
      <c r="U254" s="76">
        <f t="shared" si="212"/>
        <v>0.27737881508078993</v>
      </c>
      <c r="V254" s="54">
        <f>V219/V179</f>
        <v>0.23085197934595525</v>
      </c>
      <c r="W254" s="76">
        <f>W219/W179</f>
        <v>0.29024186822351961</v>
      </c>
      <c r="X254" s="76">
        <f t="shared" ref="X254:Z254" si="213">X219/X179</f>
        <v>0.22652885443583118</v>
      </c>
      <c r="Y254" s="76">
        <f t="shared" si="213"/>
        <v>0.21409921671018275</v>
      </c>
      <c r="Z254" s="76">
        <f t="shared" si="213"/>
        <v>0.33006244424620873</v>
      </c>
      <c r="AA254" s="54">
        <f>AA219/AA179</f>
        <v>0.26501079913606912</v>
      </c>
      <c r="AB254" s="76">
        <f>AB219/AB179</f>
        <v>0.26837909654561559</v>
      </c>
      <c r="AC254" s="76">
        <f t="shared" ref="AC254:AE254" si="214">AC219/AC179</f>
        <v>0.26048171275646742</v>
      </c>
      <c r="AD254" s="76">
        <f t="shared" si="214"/>
        <v>0.25554569653948533</v>
      </c>
      <c r="AE254" s="76">
        <f t="shared" si="214"/>
        <v>0.23887375113533152</v>
      </c>
      <c r="AF254" s="54">
        <f>AF219/AF179</f>
        <v>0.2559178204555605</v>
      </c>
      <c r="AG254" s="76">
        <f>AG219/AG179</f>
        <v>0.27390900649953576</v>
      </c>
      <c r="AH254" s="76">
        <f t="shared" ref="AH254:AJ254" si="215">AH219/AH179</f>
        <v>0.23392357875116496</v>
      </c>
      <c r="AI254" s="76">
        <f t="shared" si="215"/>
        <v>0.2432932469935245</v>
      </c>
      <c r="AJ254" s="76">
        <f t="shared" si="215"/>
        <v>0.26979742173112337</v>
      </c>
      <c r="AK254" s="54">
        <v>0.25526986333101692</v>
      </c>
      <c r="AL254" s="76">
        <v>0.31087151841868821</v>
      </c>
      <c r="AM254" s="76">
        <v>0.34570135746606334</v>
      </c>
      <c r="AN254" s="76">
        <v>0.23251589464123523</v>
      </c>
      <c r="AO254" s="76">
        <v>0.3125</v>
      </c>
      <c r="AP254" s="54">
        <v>0.30043113228953938</v>
      </c>
      <c r="AQ254" s="76">
        <v>0.29496402877697842</v>
      </c>
      <c r="AR254" s="76">
        <v>0.29636363636363638</v>
      </c>
      <c r="AS254" s="76">
        <v>0.31496786042240588</v>
      </c>
      <c r="AT254" s="76">
        <v>0.21719038817005545</v>
      </c>
      <c r="AU254" s="54">
        <v>0.28108601414556239</v>
      </c>
      <c r="AV254" s="76">
        <v>0.29591836734693877</v>
      </c>
      <c r="AW254" s="76">
        <v>0.29962192816635158</v>
      </c>
      <c r="AX254" s="76">
        <v>0.26013195098963243</v>
      </c>
      <c r="AY254" s="76">
        <v>0.24832855778414517</v>
      </c>
      <c r="AZ254" s="54">
        <v>0.27615457115928371</v>
      </c>
      <c r="BA254" s="76">
        <v>0.24741298212605833</v>
      </c>
      <c r="BB254" s="76">
        <v>0.18984962406015038</v>
      </c>
      <c r="BC254" s="76">
        <v>0.2464046021093001</v>
      </c>
      <c r="BD254" s="76">
        <v>-0.15107212475633527</v>
      </c>
      <c r="BE254" s="54">
        <v>0.13512869399428026</v>
      </c>
      <c r="BF254" s="76">
        <v>0.30776605944391178</v>
      </c>
      <c r="BG254" s="76">
        <v>0.55098039215686279</v>
      </c>
      <c r="BH254" s="76">
        <v>0.17073170731707318</v>
      </c>
      <c r="BI254" s="3"/>
      <c r="BJ254" s="3"/>
      <c r="BK254" s="3"/>
    </row>
    <row r="255" spans="1:63" s="35" customFormat="1" ht="11.25" customHeight="1">
      <c r="A255" s="67" t="s">
        <v>10</v>
      </c>
      <c r="B255" s="54">
        <f>B223/B179</f>
        <v>0.45190961807638474</v>
      </c>
      <c r="C255" s="76">
        <f>C223/C179</f>
        <v>0.41974431818181818</v>
      </c>
      <c r="D255" s="76">
        <f t="shared" ref="D255:F255" si="216">D223/D179</f>
        <v>0.48227474150664695</v>
      </c>
      <c r="E255" s="76">
        <f t="shared" si="216"/>
        <v>0.46253602305475505</v>
      </c>
      <c r="F255" s="76">
        <f t="shared" si="216"/>
        <v>0.79033628897302033</v>
      </c>
      <c r="G255" s="54">
        <f>G223/G179</f>
        <v>0.49426609680121958</v>
      </c>
      <c r="H255" s="76">
        <f>H223/H179</f>
        <v>0.48868778280542985</v>
      </c>
      <c r="I255" s="76">
        <f t="shared" ref="I255:K255" si="217">I223/I179</f>
        <v>0.48482549317147194</v>
      </c>
      <c r="J255" s="76">
        <f t="shared" si="217"/>
        <v>0.50260610573343256</v>
      </c>
      <c r="K255" s="76">
        <f t="shared" si="217"/>
        <v>0.26975683890577506</v>
      </c>
      <c r="L255" s="54">
        <f>L223/L179</f>
        <v>0.43692249669998112</v>
      </c>
      <c r="M255" s="76">
        <f>M223/M179</f>
        <v>0.50613496932515334</v>
      </c>
      <c r="N255" s="76">
        <f t="shared" ref="N255:P255" si="218">N223/N179</f>
        <v>0.51568477429227233</v>
      </c>
      <c r="O255" s="76">
        <f t="shared" si="218"/>
        <v>0.54950869236583522</v>
      </c>
      <c r="P255" s="76">
        <f t="shared" si="218"/>
        <v>0.50564334085778784</v>
      </c>
      <c r="Q255" s="54">
        <f>Q223/Q179</f>
        <v>0.51928557856735702</v>
      </c>
      <c r="R255" s="76">
        <f>R223/R179</f>
        <v>0.31663837011884549</v>
      </c>
      <c r="S255" s="76">
        <f t="shared" ref="S255:U255" si="219">S223/S179</f>
        <v>0.58803418803418805</v>
      </c>
      <c r="T255" s="76">
        <f t="shared" si="219"/>
        <v>0.61214165261382802</v>
      </c>
      <c r="U255" s="76">
        <f t="shared" si="219"/>
        <v>0.51346499102333931</v>
      </c>
      <c r="V255" s="54">
        <f>V223/V179</f>
        <v>0.50753012048192769</v>
      </c>
      <c r="W255" s="76">
        <f>W223/W179</f>
        <v>0.59799833194328611</v>
      </c>
      <c r="X255" s="76">
        <f t="shared" ref="X255:Z255" si="220">X223/X179</f>
        <v>0.52971576227390182</v>
      </c>
      <c r="Y255" s="76">
        <f t="shared" si="220"/>
        <v>0.52567449956483903</v>
      </c>
      <c r="Z255" s="76">
        <f t="shared" si="220"/>
        <v>0.67172167707404107</v>
      </c>
      <c r="AA255" s="54">
        <f>AA223/AA179</f>
        <v>0.58077753779697627</v>
      </c>
      <c r="AB255" s="76">
        <f>AB223/AB179</f>
        <v>0.62178919397697074</v>
      </c>
      <c r="AC255" s="76">
        <f t="shared" ref="AC255:AE255" si="221">AC223/AC179</f>
        <v>0.60481712756467443</v>
      </c>
      <c r="AD255" s="76">
        <f t="shared" si="221"/>
        <v>0.59272404614019525</v>
      </c>
      <c r="AE255" s="76">
        <f t="shared" si="221"/>
        <v>0.57493188010899188</v>
      </c>
      <c r="AF255" s="54">
        <f>AF223/AF179</f>
        <v>0.5987047789191603</v>
      </c>
      <c r="AG255" s="76">
        <f>AG223/AG179</f>
        <v>0.62395543175487467</v>
      </c>
      <c r="AH255" s="76">
        <f t="shared" ref="AH255:AJ255" si="222">AH223/AH179</f>
        <v>0.59925442684063379</v>
      </c>
      <c r="AI255" s="76">
        <f t="shared" si="222"/>
        <v>0.62534690101757628</v>
      </c>
      <c r="AJ255" s="76">
        <f t="shared" si="222"/>
        <v>0.62338858195211788</v>
      </c>
      <c r="AK255" s="54">
        <v>0.61802177438035677</v>
      </c>
      <c r="AL255" s="76">
        <v>0.64959568733153639</v>
      </c>
      <c r="AM255" s="76">
        <v>0.7619909502262443</v>
      </c>
      <c r="AN255" s="76">
        <v>0.63215258855585832</v>
      </c>
      <c r="AO255" s="76">
        <v>0.5625</v>
      </c>
      <c r="AP255" s="54">
        <v>0.65191740412979349</v>
      </c>
      <c r="AQ255" s="76">
        <v>0.64658273381294962</v>
      </c>
      <c r="AR255" s="76">
        <v>0.65909090909090906</v>
      </c>
      <c r="AS255" s="76">
        <v>0.64921946740128555</v>
      </c>
      <c r="AT255" s="76">
        <v>0.59334565619223656</v>
      </c>
      <c r="AU255" s="54">
        <v>0.63723477070499657</v>
      </c>
      <c r="AV255" s="76">
        <v>0.6428571428571429</v>
      </c>
      <c r="AW255" s="76">
        <v>0.63610586011342152</v>
      </c>
      <c r="AX255" s="76">
        <v>0.63901979264844488</v>
      </c>
      <c r="AY255" s="76">
        <v>0.62559694364851959</v>
      </c>
      <c r="AZ255" s="54">
        <v>0.63595664467483504</v>
      </c>
      <c r="BA255" s="76">
        <v>0.63687676387582315</v>
      </c>
      <c r="BB255" s="76">
        <v>0.56203007518796988</v>
      </c>
      <c r="BC255" s="76">
        <v>0.64141898370086292</v>
      </c>
      <c r="BD255" s="76">
        <v>0.12670565302144249</v>
      </c>
      <c r="BE255" s="54">
        <v>0.49428026692087701</v>
      </c>
      <c r="BF255" s="76">
        <v>0.70757430488974116</v>
      </c>
      <c r="BG255" s="76">
        <v>1.057843137254902</v>
      </c>
      <c r="BH255" s="76">
        <v>0.64878048780487807</v>
      </c>
      <c r="BI255" s="3"/>
      <c r="BJ255" s="3"/>
      <c r="BK255" s="3"/>
    </row>
    <row r="256" spans="1:63" s="35" customFormat="1" ht="11.25" customHeight="1">
      <c r="A256" s="67" t="s">
        <v>18</v>
      </c>
      <c r="B256" s="54">
        <f>B241/B179</f>
        <v>0.10097980403919216</v>
      </c>
      <c r="C256" s="76">
        <f>C241/C179</f>
        <v>0.11221590909090909</v>
      </c>
      <c r="D256" s="76">
        <f t="shared" ref="D256:F256" si="223">D241/D179</f>
        <v>9.7488921713441659E-2</v>
      </c>
      <c r="E256" s="76">
        <f t="shared" si="223"/>
        <v>0.11239193083573487</v>
      </c>
      <c r="F256" s="76">
        <f t="shared" si="223"/>
        <v>0.30466478259730945</v>
      </c>
      <c r="G256" s="54">
        <f>G241/G179</f>
        <v>0.1308413904725188</v>
      </c>
      <c r="H256" s="76">
        <f>H241/H179</f>
        <v>0.17948717948717949</v>
      </c>
      <c r="I256" s="76">
        <f t="shared" ref="I256:K256" si="224">I241/I179</f>
        <v>0.1449165402124431</v>
      </c>
      <c r="J256" s="76">
        <f t="shared" si="224"/>
        <v>0.15189873417721519</v>
      </c>
      <c r="K256" s="76">
        <f t="shared" si="224"/>
        <v>0.16717325227963525</v>
      </c>
      <c r="L256" s="54">
        <f>L241/L179</f>
        <v>0.16085234772770129</v>
      </c>
      <c r="M256" s="76">
        <f>M241/M179</f>
        <v>0.18251533742331288</v>
      </c>
      <c r="N256" s="76">
        <f t="shared" ref="N256:P256" si="225">N241/N179</f>
        <v>0.18898240244835501</v>
      </c>
      <c r="O256" s="76">
        <f t="shared" si="225"/>
        <v>0.18518518518518517</v>
      </c>
      <c r="P256" s="76">
        <f t="shared" si="225"/>
        <v>0.2272385252069225</v>
      </c>
      <c r="Q256" s="54">
        <f>Q241/Q179</f>
        <v>0.1960858825764773</v>
      </c>
      <c r="R256" s="76">
        <f>R241/R179</f>
        <v>0.27079796264855688</v>
      </c>
      <c r="S256" s="76">
        <f t="shared" ref="S256:U256" si="226">S241/S179</f>
        <v>0.27264957264957262</v>
      </c>
      <c r="T256" s="76">
        <f t="shared" si="226"/>
        <v>0.22596964586846544</v>
      </c>
      <c r="U256" s="76">
        <f t="shared" si="226"/>
        <v>0.2324955116696589</v>
      </c>
      <c r="V256" s="54">
        <f>V241/V179</f>
        <v>0.25064543889845092</v>
      </c>
      <c r="W256" s="76">
        <f>W241/W179</f>
        <v>0.22435362802335279</v>
      </c>
      <c r="X256" s="76">
        <f t="shared" ref="X256:Z256" si="227">X241/X179</f>
        <v>0.20499569336778639</v>
      </c>
      <c r="Y256" s="76">
        <f t="shared" si="227"/>
        <v>0.21671018276762402</v>
      </c>
      <c r="Z256" s="76">
        <f t="shared" si="227"/>
        <v>0.18019625334522749</v>
      </c>
      <c r="AA256" s="54">
        <f>AA241/AA179</f>
        <v>0.20691144708423326</v>
      </c>
      <c r="AB256" s="76">
        <f>AB241/AB179</f>
        <v>0.16209034543844109</v>
      </c>
      <c r="AC256" s="76">
        <f t="shared" ref="AC256:AE256" si="228">AC241/AC179</f>
        <v>0.16592328278322926</v>
      </c>
      <c r="AD256" s="76">
        <f t="shared" si="228"/>
        <v>0.17568766637089619</v>
      </c>
      <c r="AE256" s="76">
        <f t="shared" si="228"/>
        <v>0.20163487738419619</v>
      </c>
      <c r="AF256" s="54">
        <f>AF241/AF179</f>
        <v>0.17619472979008485</v>
      </c>
      <c r="AG256" s="76">
        <f>AG241/AG179</f>
        <v>0.19498607242339833</v>
      </c>
      <c r="AH256" s="76">
        <f t="shared" ref="AH256:AJ256" si="229">AH241/AH179</f>
        <v>0.19291705498602049</v>
      </c>
      <c r="AI256" s="76">
        <f t="shared" si="229"/>
        <v>0.19426456984273821</v>
      </c>
      <c r="AJ256" s="76">
        <f t="shared" si="229"/>
        <v>0.17955801104972377</v>
      </c>
      <c r="AK256" s="54">
        <v>0.19041000694927032</v>
      </c>
      <c r="AL256" s="76">
        <v>0.20754716981132076</v>
      </c>
      <c r="AM256" s="76">
        <v>0.17285067873303167</v>
      </c>
      <c r="AN256" s="76">
        <v>0.20890099909173479</v>
      </c>
      <c r="AO256" s="76">
        <v>0.18106617647058823</v>
      </c>
      <c r="AP256" s="54">
        <v>0.19264805990469708</v>
      </c>
      <c r="AQ256" s="76">
        <v>0.17535971223021582</v>
      </c>
      <c r="AR256" s="76">
        <v>0.20636363636363636</v>
      </c>
      <c r="AS256" s="76">
        <v>0.19008264462809918</v>
      </c>
      <c r="AT256" s="76">
        <v>0.18946395563770796</v>
      </c>
      <c r="AU256" s="54">
        <v>0.19028062970568105</v>
      </c>
      <c r="AV256" s="76">
        <v>0.19480519480519481</v>
      </c>
      <c r="AW256" s="76">
        <v>0.20699432892249528</v>
      </c>
      <c r="AX256" s="76">
        <v>0.16022620169651272</v>
      </c>
      <c r="AY256" s="76">
        <v>0.21585482330468003</v>
      </c>
      <c r="AZ256" s="54">
        <v>0.19439208294062205</v>
      </c>
      <c r="BA256" s="76">
        <v>0.19285042333019756</v>
      </c>
      <c r="BB256" s="76">
        <v>0.29417293233082709</v>
      </c>
      <c r="BC256" s="76">
        <v>0.2233940556088207</v>
      </c>
      <c r="BD256" s="76">
        <v>0.21929824561403508</v>
      </c>
      <c r="BE256" s="54">
        <v>0.23260247855100094</v>
      </c>
      <c r="BF256" s="76">
        <v>0.20134228187919462</v>
      </c>
      <c r="BG256" s="76">
        <v>0.32647058823529412</v>
      </c>
      <c r="BH256" s="76">
        <v>0.14146341463414633</v>
      </c>
      <c r="BI256" s="3"/>
      <c r="BJ256" s="3"/>
      <c r="BK256" s="3"/>
    </row>
    <row r="257" spans="1:60" ht="5.4" customHeight="1">
      <c r="A257" s="43"/>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row>
    <row r="258" spans="1:60" ht="17.25" customHeight="1">
      <c r="A258" s="34" t="s">
        <v>83</v>
      </c>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row>
    <row r="259" spans="1:60" ht="17.25" customHeight="1">
      <c r="A259" s="32"/>
      <c r="B259" s="21"/>
      <c r="C259" s="20"/>
      <c r="D259" s="20"/>
      <c r="E259" s="20"/>
      <c r="F259" s="20"/>
      <c r="G259" s="21"/>
      <c r="H259" s="20"/>
      <c r="I259" s="20"/>
      <c r="J259" s="20"/>
      <c r="K259" s="20"/>
      <c r="L259" s="21"/>
      <c r="M259" s="20"/>
      <c r="N259" s="20"/>
      <c r="O259" s="20"/>
      <c r="P259" s="20"/>
      <c r="Q259" s="21"/>
      <c r="R259" s="20"/>
      <c r="S259" s="20"/>
      <c r="T259" s="20"/>
      <c r="U259" s="20"/>
      <c r="V259" s="21"/>
      <c r="W259" s="20"/>
      <c r="X259" s="20"/>
      <c r="Y259" s="20"/>
      <c r="Z259" s="20"/>
      <c r="AA259" s="21"/>
      <c r="AB259" s="20"/>
      <c r="AC259" s="20"/>
      <c r="AD259" s="20"/>
      <c r="AE259" s="20"/>
      <c r="AF259" s="21"/>
      <c r="AG259" s="20"/>
      <c r="AH259" s="20"/>
      <c r="AI259" s="20"/>
      <c r="AJ259" s="20"/>
      <c r="AK259" s="21"/>
      <c r="AL259" s="20"/>
      <c r="AM259" s="20"/>
      <c r="AN259" s="20"/>
      <c r="AO259" s="20"/>
      <c r="AP259" s="21"/>
      <c r="AQ259" s="20"/>
      <c r="AR259" s="20"/>
      <c r="AS259" s="20"/>
      <c r="AT259" s="20"/>
      <c r="AU259" s="21"/>
      <c r="AV259" s="20"/>
      <c r="AW259" s="20"/>
      <c r="AX259" s="20"/>
      <c r="AY259" s="20"/>
      <c r="AZ259" s="21"/>
      <c r="BA259" s="20"/>
      <c r="BB259" s="20"/>
      <c r="BC259" s="20"/>
      <c r="BD259" s="20"/>
      <c r="BE259" s="21"/>
      <c r="BF259" s="20"/>
      <c r="BG259" s="20"/>
      <c r="BH259" s="20"/>
    </row>
    <row r="260" spans="1:60" ht="17.25" customHeight="1">
      <c r="A260" s="39" t="s">
        <v>82</v>
      </c>
      <c r="B260" s="40"/>
      <c r="C260" s="41"/>
      <c r="D260" s="41"/>
      <c r="E260" s="41"/>
      <c r="F260" s="41"/>
      <c r="G260" s="40"/>
      <c r="H260" s="41"/>
      <c r="I260" s="41"/>
      <c r="J260" s="41"/>
      <c r="K260" s="41"/>
      <c r="L260" s="40"/>
      <c r="M260" s="41"/>
      <c r="N260" s="41"/>
      <c r="O260" s="41"/>
      <c r="P260" s="41"/>
      <c r="Q260" s="40"/>
      <c r="R260" s="41"/>
      <c r="S260" s="41"/>
      <c r="T260" s="41"/>
      <c r="U260" s="41"/>
      <c r="V260" s="40"/>
      <c r="W260" s="41"/>
      <c r="X260" s="41"/>
      <c r="Y260" s="41"/>
      <c r="Z260" s="41"/>
      <c r="AA260" s="40"/>
      <c r="AB260" s="41"/>
      <c r="AC260" s="41"/>
      <c r="AD260" s="41"/>
      <c r="AE260" s="41"/>
      <c r="AF260" s="40"/>
      <c r="AG260" s="41"/>
      <c r="AH260" s="41"/>
      <c r="AI260" s="41"/>
      <c r="AJ260" s="41"/>
      <c r="AK260" s="40"/>
      <c r="AL260" s="41"/>
      <c r="AM260" s="41"/>
      <c r="AN260" s="41"/>
      <c r="AO260" s="41"/>
      <c r="AP260" s="40"/>
      <c r="AQ260" s="41"/>
      <c r="AR260" s="41"/>
      <c r="AS260" s="41"/>
      <c r="AT260" s="41"/>
      <c r="AU260" s="40"/>
      <c r="AV260" s="41"/>
      <c r="AW260" s="41"/>
      <c r="AX260" s="41"/>
      <c r="AY260" s="41"/>
      <c r="AZ260" s="40"/>
      <c r="BA260" s="41"/>
      <c r="BB260" s="41"/>
      <c r="BC260" s="41"/>
      <c r="BD260" s="41"/>
      <c r="BE260" s="40"/>
      <c r="BF260" s="41"/>
      <c r="BG260" s="41"/>
      <c r="BH260" s="41"/>
    </row>
    <row r="261" spans="1:60" ht="12.75" customHeight="1">
      <c r="A261" s="67" t="s">
        <v>298</v>
      </c>
      <c r="B261" s="36">
        <v>2121</v>
      </c>
      <c r="C261" s="78" t="s">
        <v>49</v>
      </c>
      <c r="D261" s="78" t="s">
        <v>49</v>
      </c>
      <c r="E261" s="78" t="s">
        <v>49</v>
      </c>
      <c r="F261" s="78" t="s">
        <v>49</v>
      </c>
      <c r="G261" s="36">
        <v>1873</v>
      </c>
      <c r="H261" s="78" t="s">
        <v>49</v>
      </c>
      <c r="I261" s="78" t="s">
        <v>49</v>
      </c>
      <c r="J261" s="78" t="s">
        <v>49</v>
      </c>
      <c r="K261" s="78" t="s">
        <v>49</v>
      </c>
      <c r="L261" s="36">
        <v>1690</v>
      </c>
      <c r="M261" s="78" t="s">
        <v>49</v>
      </c>
      <c r="N261" s="78" t="s">
        <v>49</v>
      </c>
      <c r="O261" s="78" t="s">
        <v>49</v>
      </c>
      <c r="P261" s="78" t="s">
        <v>49</v>
      </c>
      <c r="Q261" s="36">
        <v>1609</v>
      </c>
      <c r="R261" s="68">
        <v>271</v>
      </c>
      <c r="S261" s="68">
        <v>253</v>
      </c>
      <c r="T261" s="68">
        <v>282</v>
      </c>
      <c r="U261" s="68">
        <f>V261-R261-S261-T261</f>
        <v>268</v>
      </c>
      <c r="V261" s="36">
        <v>1074</v>
      </c>
      <c r="W261" s="68">
        <v>237</v>
      </c>
      <c r="X261" s="68">
        <v>263</v>
      </c>
      <c r="Y261" s="68">
        <v>278</v>
      </c>
      <c r="Z261" s="68">
        <f>AA261-W261-X261-Y261</f>
        <v>255</v>
      </c>
      <c r="AA261" s="36">
        <v>1033</v>
      </c>
      <c r="AB261" s="68">
        <f>AB267+AB270+AB273+AB264+AB276+AB279+AB282</f>
        <v>230</v>
      </c>
      <c r="AC261" s="68">
        <f>AC267+AC270+AC273+AC264+AC276+AC279+AC282</f>
        <v>218</v>
      </c>
      <c r="AD261" s="68">
        <f>AD267+AD270+AD273+AD264+AD276+AD279+AD282</f>
        <v>224</v>
      </c>
      <c r="AE261" s="68">
        <f>AF261-AB261-AC261-AD261</f>
        <v>223</v>
      </c>
      <c r="AF261" s="36">
        <f>AF267+AF270+AF273+AF264+AF276+AF279+AF282</f>
        <v>895</v>
      </c>
      <c r="AG261" s="68">
        <f>AG267+AG270+AG273+AG264+AG276+AG279+AG282</f>
        <v>190</v>
      </c>
      <c r="AH261" s="68">
        <f>AH267+AH270+AH273+AH264+AH276+AH279+AH282</f>
        <v>188</v>
      </c>
      <c r="AI261" s="68">
        <f>AI267+AI270+AI273+AI264+AI276+AI279+AI282</f>
        <v>203</v>
      </c>
      <c r="AJ261" s="68">
        <f>AK261-AG261-AH261-AI261</f>
        <v>196</v>
      </c>
      <c r="AK261" s="36">
        <v>777</v>
      </c>
      <c r="AL261" s="68">
        <v>180</v>
      </c>
      <c r="AM261" s="68">
        <v>176</v>
      </c>
      <c r="AN261" s="68">
        <v>186</v>
      </c>
      <c r="AO261" s="68">
        <v>179</v>
      </c>
      <c r="AP261" s="36">
        <v>721</v>
      </c>
      <c r="AQ261" s="68">
        <v>172</v>
      </c>
      <c r="AR261" s="68">
        <v>170</v>
      </c>
      <c r="AS261" s="68">
        <v>183</v>
      </c>
      <c r="AT261" s="68">
        <v>180</v>
      </c>
      <c r="AU261" s="36">
        <v>705</v>
      </c>
      <c r="AV261" s="68">
        <v>165</v>
      </c>
      <c r="AW261" s="68">
        <v>166</v>
      </c>
      <c r="AX261" s="68">
        <v>183</v>
      </c>
      <c r="AY261" s="68">
        <v>163</v>
      </c>
      <c r="AZ261" s="36">
        <v>677</v>
      </c>
      <c r="BA261" s="68">
        <v>140</v>
      </c>
      <c r="BB261" s="68">
        <v>145</v>
      </c>
      <c r="BC261" s="68">
        <v>143</v>
      </c>
      <c r="BD261" s="68">
        <v>168</v>
      </c>
      <c r="BE261" s="36">
        <v>596</v>
      </c>
      <c r="BF261" s="68">
        <v>141</v>
      </c>
      <c r="BG261" s="68">
        <v>133</v>
      </c>
      <c r="BH261" s="68">
        <v>144</v>
      </c>
    </row>
    <row r="262" spans="1:60" ht="12.75" customHeight="1">
      <c r="A262" s="69" t="s">
        <v>7</v>
      </c>
      <c r="B262" s="23"/>
      <c r="C262" s="71"/>
      <c r="D262" s="71"/>
      <c r="E262" s="71"/>
      <c r="F262" s="71"/>
      <c r="G262" s="23"/>
      <c r="H262" s="71"/>
      <c r="I262" s="71"/>
      <c r="J262" s="71"/>
      <c r="K262" s="71"/>
      <c r="L262" s="23"/>
      <c r="M262" s="70"/>
      <c r="N262" s="70"/>
      <c r="O262" s="70"/>
      <c r="P262" s="70"/>
      <c r="Q262" s="23"/>
      <c r="R262" s="70"/>
      <c r="S262" s="70">
        <f>S261/R261-1</f>
        <v>-6.6420664206642055E-2</v>
      </c>
      <c r="T262" s="70">
        <f>T261/S261-1</f>
        <v>0.11462450592885376</v>
      </c>
      <c r="U262" s="70">
        <f>U261/T261-1</f>
        <v>-4.9645390070921946E-2</v>
      </c>
      <c r="V262" s="23"/>
      <c r="W262" s="70">
        <f>W261/U261-1</f>
        <v>-0.11567164179104472</v>
      </c>
      <c r="X262" s="70">
        <f>X261/W261-1</f>
        <v>0.10970464135021096</v>
      </c>
      <c r="Y262" s="70">
        <f>Y261/X261-1</f>
        <v>5.7034220532319324E-2</v>
      </c>
      <c r="Z262" s="70">
        <f>Z261/Y261-1</f>
        <v>-8.2733812949640329E-2</v>
      </c>
      <c r="AA262" s="23"/>
      <c r="AB262" s="70">
        <f>AB261/Z261-1</f>
        <v>-9.8039215686274495E-2</v>
      </c>
      <c r="AC262" s="70">
        <f>AC261/AB261-1</f>
        <v>-5.2173913043478293E-2</v>
      </c>
      <c r="AD262" s="70">
        <f>AD261/AC261-1</f>
        <v>2.7522935779816571E-2</v>
      </c>
      <c r="AE262" s="70">
        <f>AE261/AD261-1</f>
        <v>-4.4642857142856984E-3</v>
      </c>
      <c r="AF262" s="23"/>
      <c r="AG262" s="70">
        <f>AG261/AE261-1</f>
        <v>-0.14798206278026904</v>
      </c>
      <c r="AH262" s="70">
        <f>AH261/AG261-1</f>
        <v>-1.0526315789473717E-2</v>
      </c>
      <c r="AI262" s="70">
        <f>AI261/AH261-1</f>
        <v>7.9787234042553168E-2</v>
      </c>
      <c r="AJ262" s="70">
        <f>AJ261/AI261-1</f>
        <v>-3.4482758620689613E-2</v>
      </c>
      <c r="AK262" s="23"/>
      <c r="AL262" s="70">
        <v>-8.1632653061224469E-2</v>
      </c>
      <c r="AM262" s="70">
        <v>-2.2222222222222254E-2</v>
      </c>
      <c r="AN262" s="70">
        <v>5.6818181818181879E-2</v>
      </c>
      <c r="AO262" s="70">
        <v>-3.7634408602150504E-2</v>
      </c>
      <c r="AP262" s="23"/>
      <c r="AQ262" s="70">
        <v>-3.9106145251396662E-2</v>
      </c>
      <c r="AR262" s="70">
        <v>-1.1627906976744207E-2</v>
      </c>
      <c r="AS262" s="70">
        <v>7.6470588235294068E-2</v>
      </c>
      <c r="AT262" s="70">
        <v>-1.6393442622950838E-2</v>
      </c>
      <c r="AU262" s="23"/>
      <c r="AV262" s="70">
        <v>-8.333333333333337E-2</v>
      </c>
      <c r="AW262" s="70">
        <v>6.0606060606060996E-3</v>
      </c>
      <c r="AX262" s="70">
        <v>0.10240963855421681</v>
      </c>
      <c r="AY262" s="70">
        <v>-0.10928961748633881</v>
      </c>
      <c r="AZ262" s="23"/>
      <c r="BA262" s="70">
        <v>-0.14110429447852757</v>
      </c>
      <c r="BB262" s="70">
        <v>3.5714285714285809E-2</v>
      </c>
      <c r="BC262" s="70">
        <v>-1.379310344827589E-2</v>
      </c>
      <c r="BD262" s="70">
        <v>0.17482517482517479</v>
      </c>
      <c r="BE262" s="23"/>
      <c r="BF262" s="70">
        <v>-0.1607142857142857</v>
      </c>
      <c r="BG262" s="70">
        <v>-5.673758865248224E-2</v>
      </c>
      <c r="BH262" s="70">
        <v>8.2706766917293173E-2</v>
      </c>
    </row>
    <row r="263" spans="1:60" ht="12.75" customHeight="1">
      <c r="A263" s="69" t="s">
        <v>8</v>
      </c>
      <c r="B263" s="23"/>
      <c r="C263" s="71"/>
      <c r="D263" s="71"/>
      <c r="E263" s="71"/>
      <c r="F263" s="71"/>
      <c r="G263" s="23">
        <f>G261/B261-1</f>
        <v>-0.11692597831211693</v>
      </c>
      <c r="H263" s="71"/>
      <c r="I263" s="71"/>
      <c r="J263" s="71"/>
      <c r="K263" s="71"/>
      <c r="L263" s="23">
        <f>L261/G261-1</f>
        <v>-9.7704217832354501E-2</v>
      </c>
      <c r="M263" s="71"/>
      <c r="N263" s="71"/>
      <c r="O263" s="71"/>
      <c r="P263" s="71"/>
      <c r="Q263" s="23">
        <f>Q261/L261-1</f>
        <v>-4.7928994082840237E-2</v>
      </c>
      <c r="R263" s="71"/>
      <c r="S263" s="71"/>
      <c r="T263" s="71"/>
      <c r="U263" s="71"/>
      <c r="V263" s="23">
        <f t="shared" ref="V263:AD263" si="230">V261/Q261-1</f>
        <v>-0.33250466128029832</v>
      </c>
      <c r="W263" s="71">
        <f t="shared" si="230"/>
        <v>-0.12546125461254609</v>
      </c>
      <c r="X263" s="71">
        <f t="shared" si="230"/>
        <v>3.9525691699604737E-2</v>
      </c>
      <c r="Y263" s="71">
        <f t="shared" si="230"/>
        <v>-1.4184397163120588E-2</v>
      </c>
      <c r="Z263" s="71">
        <f t="shared" si="230"/>
        <v>-4.8507462686567138E-2</v>
      </c>
      <c r="AA263" s="23">
        <f t="shared" si="230"/>
        <v>-3.8175046554934866E-2</v>
      </c>
      <c r="AB263" s="71">
        <f t="shared" si="230"/>
        <v>-2.9535864978902926E-2</v>
      </c>
      <c r="AC263" s="71">
        <f t="shared" si="230"/>
        <v>-0.17110266159695819</v>
      </c>
      <c r="AD263" s="71">
        <f t="shared" si="230"/>
        <v>-0.19424460431654678</v>
      </c>
      <c r="AE263" s="71">
        <f t="shared" ref="AE263:AJ263" si="231">AE261/Z261-1</f>
        <v>-0.12549019607843137</v>
      </c>
      <c r="AF263" s="23">
        <f t="shared" si="231"/>
        <v>-0.13359148112294283</v>
      </c>
      <c r="AG263" s="71">
        <f t="shared" si="231"/>
        <v>-0.17391304347826086</v>
      </c>
      <c r="AH263" s="71">
        <f t="shared" si="231"/>
        <v>-0.13761467889908252</v>
      </c>
      <c r="AI263" s="71">
        <f t="shared" si="231"/>
        <v>-9.375E-2</v>
      </c>
      <c r="AJ263" s="71">
        <f t="shared" si="231"/>
        <v>-0.12107623318385652</v>
      </c>
      <c r="AK263" s="23">
        <v>-0.13184357541899439</v>
      </c>
      <c r="AL263" s="71">
        <v>-5.2631578947368474E-2</v>
      </c>
      <c r="AM263" s="71">
        <v>-6.3829787234042534E-2</v>
      </c>
      <c r="AN263" s="71">
        <v>-8.3743842364532028E-2</v>
      </c>
      <c r="AO263" s="71">
        <v>-8.6734693877551061E-2</v>
      </c>
      <c r="AP263" s="23">
        <v>-7.2072072072072113E-2</v>
      </c>
      <c r="AQ263" s="71">
        <v>-4.4444444444444398E-2</v>
      </c>
      <c r="AR263" s="71">
        <v>-3.4090909090909061E-2</v>
      </c>
      <c r="AS263" s="71">
        <v>-1.6129032258064502E-2</v>
      </c>
      <c r="AT263" s="71">
        <v>5.5865921787709993E-3</v>
      </c>
      <c r="AU263" s="23">
        <v>-2.2191400832177521E-2</v>
      </c>
      <c r="AV263" s="71">
        <v>-4.0697674418604612E-2</v>
      </c>
      <c r="AW263" s="71">
        <v>-2.352941176470591E-2</v>
      </c>
      <c r="AX263" s="71">
        <v>0</v>
      </c>
      <c r="AY263" s="71">
        <v>-9.4444444444444442E-2</v>
      </c>
      <c r="AZ263" s="23">
        <v>-3.9716312056737535E-2</v>
      </c>
      <c r="BA263" s="71">
        <v>-0.15151515151515149</v>
      </c>
      <c r="BB263" s="71">
        <v>-0.12650602409638556</v>
      </c>
      <c r="BC263" s="71">
        <v>-0.21857923497267762</v>
      </c>
      <c r="BD263" s="71">
        <v>3.0674846625766916E-2</v>
      </c>
      <c r="BE263" s="23">
        <v>-0.11964549483013298</v>
      </c>
      <c r="BF263" s="71">
        <v>7.1428571428571175E-3</v>
      </c>
      <c r="BG263" s="71">
        <v>-8.2758620689655227E-2</v>
      </c>
      <c r="BH263" s="71">
        <v>6.9930069930070893E-3</v>
      </c>
    </row>
    <row r="264" spans="1:60" ht="12.75" customHeight="1">
      <c r="A264" s="67" t="s">
        <v>86</v>
      </c>
      <c r="B264" s="119" t="s">
        <v>41</v>
      </c>
      <c r="C264" s="78" t="s">
        <v>49</v>
      </c>
      <c r="D264" s="78" t="s">
        <v>49</v>
      </c>
      <c r="E264" s="78" t="s">
        <v>49</v>
      </c>
      <c r="F264" s="78" t="s">
        <v>49</v>
      </c>
      <c r="G264" s="119" t="s">
        <v>41</v>
      </c>
      <c r="H264" s="78" t="s">
        <v>49</v>
      </c>
      <c r="I264" s="78" t="s">
        <v>49</v>
      </c>
      <c r="J264" s="78" t="s">
        <v>49</v>
      </c>
      <c r="K264" s="78" t="s">
        <v>49</v>
      </c>
      <c r="L264" s="36">
        <v>278</v>
      </c>
      <c r="M264" s="78" t="s">
        <v>49</v>
      </c>
      <c r="N264" s="78" t="s">
        <v>49</v>
      </c>
      <c r="O264" s="78" t="s">
        <v>49</v>
      </c>
      <c r="P264" s="78" t="s">
        <v>49</v>
      </c>
      <c r="Q264" s="36">
        <v>240</v>
      </c>
      <c r="R264" s="68">
        <v>62</v>
      </c>
      <c r="S264" s="68">
        <v>60</v>
      </c>
      <c r="T264" s="68">
        <v>63</v>
      </c>
      <c r="U264" s="68">
        <f>V264-R264-S264-T264</f>
        <v>62</v>
      </c>
      <c r="V264" s="36">
        <v>247</v>
      </c>
      <c r="W264" s="68">
        <v>63</v>
      </c>
      <c r="X264" s="68">
        <v>59</v>
      </c>
      <c r="Y264" s="68">
        <v>70</v>
      </c>
      <c r="Z264" s="68">
        <f>AA264-W264-X264-Y264</f>
        <v>53</v>
      </c>
      <c r="AA264" s="36">
        <v>245</v>
      </c>
      <c r="AB264" s="68">
        <v>59</v>
      </c>
      <c r="AC264" s="68">
        <v>55</v>
      </c>
      <c r="AD264" s="68">
        <v>61</v>
      </c>
      <c r="AE264" s="143">
        <f>AF264-AB264-AC264-AD264</f>
        <v>58</v>
      </c>
      <c r="AF264" s="36">
        <v>233</v>
      </c>
      <c r="AG264" s="68">
        <v>55</v>
      </c>
      <c r="AH264" s="68">
        <v>53</v>
      </c>
      <c r="AI264" s="68">
        <v>57</v>
      </c>
      <c r="AJ264" s="143">
        <f>AK264-AG264-AH264-AI264</f>
        <v>52</v>
      </c>
      <c r="AK264" s="36">
        <v>217</v>
      </c>
      <c r="AL264" s="68">
        <v>51</v>
      </c>
      <c r="AM264" s="68">
        <v>47</v>
      </c>
      <c r="AN264" s="68">
        <v>54</v>
      </c>
      <c r="AO264" s="143">
        <v>50</v>
      </c>
      <c r="AP264" s="36">
        <v>202</v>
      </c>
      <c r="AQ264" s="68">
        <v>49</v>
      </c>
      <c r="AR264" s="68">
        <v>46</v>
      </c>
      <c r="AS264" s="68">
        <v>49</v>
      </c>
      <c r="AT264" s="143">
        <v>45</v>
      </c>
      <c r="AU264" s="36">
        <v>189</v>
      </c>
      <c r="AV264" s="68">
        <v>47</v>
      </c>
      <c r="AW264" s="68">
        <v>45</v>
      </c>
      <c r="AX264" s="68">
        <v>49</v>
      </c>
      <c r="AY264" s="143">
        <v>44</v>
      </c>
      <c r="AZ264" s="36">
        <v>185</v>
      </c>
      <c r="BA264" s="68">
        <v>34</v>
      </c>
      <c r="BB264" s="68">
        <v>31</v>
      </c>
      <c r="BC264" s="68">
        <v>38</v>
      </c>
      <c r="BD264" s="143">
        <v>40</v>
      </c>
      <c r="BE264" s="36">
        <v>143</v>
      </c>
      <c r="BF264" s="68">
        <v>33</v>
      </c>
      <c r="BG264" s="68">
        <v>30</v>
      </c>
      <c r="BH264" s="68">
        <v>35</v>
      </c>
    </row>
    <row r="265" spans="1:60" ht="12.75" customHeight="1">
      <c r="A265" s="69" t="s">
        <v>7</v>
      </c>
      <c r="B265" s="23"/>
      <c r="C265" s="70"/>
      <c r="D265" s="70"/>
      <c r="E265" s="70"/>
      <c r="F265" s="70"/>
      <c r="G265" s="23"/>
      <c r="H265" s="70"/>
      <c r="I265" s="70"/>
      <c r="J265" s="70"/>
      <c r="K265" s="70"/>
      <c r="L265" s="23"/>
      <c r="M265" s="70"/>
      <c r="N265" s="70"/>
      <c r="O265" s="70"/>
      <c r="P265" s="70"/>
      <c r="Q265" s="23"/>
      <c r="R265" s="70"/>
      <c r="S265" s="70">
        <f>S264/R264-1</f>
        <v>-3.2258064516129004E-2</v>
      </c>
      <c r="T265" s="70">
        <f>T264/S264-1</f>
        <v>5.0000000000000044E-2</v>
      </c>
      <c r="U265" s="70">
        <f>U264/T264-1</f>
        <v>-1.5873015873015928E-2</v>
      </c>
      <c r="V265" s="23"/>
      <c r="W265" s="70">
        <f>W264/U264-1</f>
        <v>1.6129032258064502E-2</v>
      </c>
      <c r="X265" s="70">
        <f>X264/W264-1</f>
        <v>-6.3492063492063489E-2</v>
      </c>
      <c r="Y265" s="70">
        <f>Y264/X264-1</f>
        <v>0.18644067796610164</v>
      </c>
      <c r="Z265" s="70">
        <f>Z264/Y264-1</f>
        <v>-0.24285714285714288</v>
      </c>
      <c r="AA265" s="23"/>
      <c r="AB265" s="70">
        <f>AB264/Z264-1</f>
        <v>0.1132075471698113</v>
      </c>
      <c r="AC265" s="70">
        <f>AC264/AB264-1</f>
        <v>-6.7796610169491567E-2</v>
      </c>
      <c r="AD265" s="70">
        <f>AD264/AC264-1</f>
        <v>0.10909090909090913</v>
      </c>
      <c r="AE265" s="70">
        <f>AE264/AD264-1</f>
        <v>-4.9180327868852514E-2</v>
      </c>
      <c r="AF265" s="23"/>
      <c r="AG265" s="70">
        <f>AG264/AE264-1</f>
        <v>-5.1724137931034475E-2</v>
      </c>
      <c r="AH265" s="70">
        <f>AH264/AG264-1</f>
        <v>-3.6363636363636376E-2</v>
      </c>
      <c r="AI265" s="70">
        <f>AI264/AH264-1</f>
        <v>7.547169811320753E-2</v>
      </c>
      <c r="AJ265" s="70">
        <f>AJ264/AI264-1</f>
        <v>-8.7719298245614086E-2</v>
      </c>
      <c r="AK265" s="23"/>
      <c r="AL265" s="70">
        <v>-1.9230769230769273E-2</v>
      </c>
      <c r="AM265" s="70">
        <v>-7.8431372549019662E-2</v>
      </c>
      <c r="AN265" s="70">
        <v>0.14893617021276606</v>
      </c>
      <c r="AO265" s="70">
        <v>-7.407407407407407E-2</v>
      </c>
      <c r="AP265" s="23"/>
      <c r="AQ265" s="70">
        <v>-2.0000000000000018E-2</v>
      </c>
      <c r="AR265" s="70">
        <v>-6.1224489795918324E-2</v>
      </c>
      <c r="AS265" s="70">
        <v>6.5217391304347894E-2</v>
      </c>
      <c r="AT265" s="70">
        <v>-8.1632653061224469E-2</v>
      </c>
      <c r="AU265" s="23"/>
      <c r="AV265" s="70">
        <v>4.4444444444444509E-2</v>
      </c>
      <c r="AW265" s="70">
        <v>-4.2553191489361653E-2</v>
      </c>
      <c r="AX265" s="70">
        <v>8.8888888888888795E-2</v>
      </c>
      <c r="AY265" s="70">
        <v>-0.10204081632653061</v>
      </c>
      <c r="AZ265" s="23"/>
      <c r="BA265" s="70">
        <v>-0.22727272727272729</v>
      </c>
      <c r="BB265" s="70">
        <v>-8.8235294117647078E-2</v>
      </c>
      <c r="BC265" s="70">
        <v>0.22580645161290325</v>
      </c>
      <c r="BD265" s="70">
        <v>5.2631578947368363E-2</v>
      </c>
      <c r="BE265" s="23"/>
      <c r="BF265" s="70">
        <v>-0.17500000000000004</v>
      </c>
      <c r="BG265" s="70">
        <v>-9.0909090909090939E-2</v>
      </c>
      <c r="BH265" s="70">
        <v>0.16666666666666674</v>
      </c>
    </row>
    <row r="266" spans="1:60" ht="12.75" customHeight="1">
      <c r="A266" s="69" t="s">
        <v>8</v>
      </c>
      <c r="B266" s="23"/>
      <c r="C266" s="71"/>
      <c r="D266" s="71"/>
      <c r="E266" s="71"/>
      <c r="F266" s="71"/>
      <c r="G266" s="23"/>
      <c r="H266" s="71"/>
      <c r="I266" s="71"/>
      <c r="J266" s="71"/>
      <c r="K266" s="71"/>
      <c r="L266" s="23"/>
      <c r="M266" s="71"/>
      <c r="N266" s="71"/>
      <c r="O266" s="71"/>
      <c r="P266" s="71"/>
      <c r="Q266" s="23">
        <f>Q264/L264-1</f>
        <v>-0.13669064748201443</v>
      </c>
      <c r="R266" s="71"/>
      <c r="S266" s="71"/>
      <c r="T266" s="71"/>
      <c r="U266" s="71"/>
      <c r="V266" s="23">
        <f t="shared" ref="V266:AD266" si="232">V264/Q264-1</f>
        <v>2.9166666666666563E-2</v>
      </c>
      <c r="W266" s="71">
        <f t="shared" si="232"/>
        <v>1.6129032258064502E-2</v>
      </c>
      <c r="X266" s="71">
        <f t="shared" si="232"/>
        <v>-1.6666666666666718E-2</v>
      </c>
      <c r="Y266" s="71">
        <f t="shared" si="232"/>
        <v>0.11111111111111116</v>
      </c>
      <c r="Z266" s="71">
        <f t="shared" si="232"/>
        <v>-0.14516129032258063</v>
      </c>
      <c r="AA266" s="23">
        <f t="shared" si="232"/>
        <v>-8.0971659919027994E-3</v>
      </c>
      <c r="AB266" s="71">
        <f t="shared" si="232"/>
        <v>-6.3492063492063489E-2</v>
      </c>
      <c r="AC266" s="71">
        <f t="shared" si="232"/>
        <v>-6.7796610169491567E-2</v>
      </c>
      <c r="AD266" s="71">
        <f t="shared" si="232"/>
        <v>-0.12857142857142856</v>
      </c>
      <c r="AE266" s="71">
        <f t="shared" ref="AE266:AJ266" si="233">AE264/Z264-1</f>
        <v>9.4339622641509413E-2</v>
      </c>
      <c r="AF266" s="23">
        <f t="shared" si="233"/>
        <v>-4.8979591836734726E-2</v>
      </c>
      <c r="AG266" s="71">
        <f t="shared" si="233"/>
        <v>-6.7796610169491567E-2</v>
      </c>
      <c r="AH266" s="71">
        <f t="shared" si="233"/>
        <v>-3.6363636363636376E-2</v>
      </c>
      <c r="AI266" s="71">
        <f t="shared" si="233"/>
        <v>-6.557377049180324E-2</v>
      </c>
      <c r="AJ266" s="71">
        <f t="shared" si="233"/>
        <v>-0.10344827586206895</v>
      </c>
      <c r="AK266" s="23">
        <v>-6.8669527896995763E-2</v>
      </c>
      <c r="AL266" s="71">
        <v>-7.2727272727272751E-2</v>
      </c>
      <c r="AM266" s="71">
        <v>-0.1132075471698113</v>
      </c>
      <c r="AN266" s="71">
        <v>-5.2631578947368474E-2</v>
      </c>
      <c r="AO266" s="71">
        <v>-3.8461538461538436E-2</v>
      </c>
      <c r="AP266" s="23">
        <v>-6.9124423963133674E-2</v>
      </c>
      <c r="AQ266" s="71">
        <v>-3.9215686274509776E-2</v>
      </c>
      <c r="AR266" s="71">
        <v>-2.1276595744680882E-2</v>
      </c>
      <c r="AS266" s="71">
        <v>-9.259259259259256E-2</v>
      </c>
      <c r="AT266" s="71">
        <v>-9.9999999999999978E-2</v>
      </c>
      <c r="AU266" s="23">
        <v>-6.4356435643564303E-2</v>
      </c>
      <c r="AV266" s="71">
        <v>-4.081632653061229E-2</v>
      </c>
      <c r="AW266" s="71">
        <v>-2.1739130434782594E-2</v>
      </c>
      <c r="AX266" s="71">
        <v>0</v>
      </c>
      <c r="AY266" s="71">
        <v>-2.2222222222222254E-2</v>
      </c>
      <c r="AZ266" s="23">
        <v>-2.1164021164021163E-2</v>
      </c>
      <c r="BA266" s="71">
        <v>-0.27659574468085102</v>
      </c>
      <c r="BB266" s="71">
        <v>-0.31111111111111112</v>
      </c>
      <c r="BC266" s="71">
        <v>-0.22448979591836737</v>
      </c>
      <c r="BD266" s="71">
        <v>-9.0909090909090939E-2</v>
      </c>
      <c r="BE266" s="23">
        <v>-0.22702702702702704</v>
      </c>
      <c r="BF266" s="71">
        <v>-2.9411764705882359E-2</v>
      </c>
      <c r="BG266" s="71">
        <v>-3.2258064516129004E-2</v>
      </c>
      <c r="BH266" s="71">
        <v>-7.8947368421052655E-2</v>
      </c>
    </row>
    <row r="267" spans="1:60" ht="12.75" customHeight="1">
      <c r="A267" s="67" t="s">
        <v>84</v>
      </c>
      <c r="B267" s="119" t="s">
        <v>41</v>
      </c>
      <c r="C267" s="78" t="s">
        <v>49</v>
      </c>
      <c r="D267" s="78" t="s">
        <v>49</v>
      </c>
      <c r="E267" s="78" t="s">
        <v>49</v>
      </c>
      <c r="F267" s="78" t="s">
        <v>49</v>
      </c>
      <c r="G267" s="119" t="s">
        <v>41</v>
      </c>
      <c r="H267" s="78" t="s">
        <v>49</v>
      </c>
      <c r="I267" s="78" t="s">
        <v>49</v>
      </c>
      <c r="J267" s="78" t="s">
        <v>49</v>
      </c>
      <c r="K267" s="78" t="s">
        <v>49</v>
      </c>
      <c r="L267" s="36">
        <v>871</v>
      </c>
      <c r="M267" s="78" t="s">
        <v>49</v>
      </c>
      <c r="N267" s="78" t="s">
        <v>49</v>
      </c>
      <c r="O267" s="78" t="s">
        <v>49</v>
      </c>
      <c r="P267" s="78" t="s">
        <v>49</v>
      </c>
      <c r="Q267" s="36">
        <v>855</v>
      </c>
      <c r="R267" s="68">
        <v>79</v>
      </c>
      <c r="S267" s="68">
        <v>78</v>
      </c>
      <c r="T267" s="68">
        <v>79</v>
      </c>
      <c r="U267" s="68">
        <f>V267-R267-S267-T267</f>
        <v>78</v>
      </c>
      <c r="V267" s="36">
        <v>314</v>
      </c>
      <c r="W267" s="68">
        <v>75</v>
      </c>
      <c r="X267" s="68">
        <v>72</v>
      </c>
      <c r="Y267" s="68">
        <v>70</v>
      </c>
      <c r="Z267" s="68">
        <f>AA267-W267-X267-Y267</f>
        <v>64</v>
      </c>
      <c r="AA267" s="36">
        <v>281</v>
      </c>
      <c r="AB267" s="68">
        <v>57</v>
      </c>
      <c r="AC267" s="68">
        <v>58</v>
      </c>
      <c r="AD267" s="68">
        <v>55</v>
      </c>
      <c r="AE267" s="68">
        <f>AF267-AB267-AC267-AD267</f>
        <v>50</v>
      </c>
      <c r="AF267" s="36">
        <v>220</v>
      </c>
      <c r="AG267" s="68">
        <v>42</v>
      </c>
      <c r="AH267" s="68">
        <v>39</v>
      </c>
      <c r="AI267" s="68">
        <v>42</v>
      </c>
      <c r="AJ267" s="68">
        <f>AK267-AG267-AH267-AI267</f>
        <v>38</v>
      </c>
      <c r="AK267" s="36">
        <v>161</v>
      </c>
      <c r="AL267" s="68">
        <v>38</v>
      </c>
      <c r="AM267" s="68">
        <v>37</v>
      </c>
      <c r="AN267" s="68">
        <v>35</v>
      </c>
      <c r="AO267" s="68">
        <v>35</v>
      </c>
      <c r="AP267" s="36">
        <v>145</v>
      </c>
      <c r="AQ267" s="68">
        <v>34</v>
      </c>
      <c r="AR267" s="68">
        <v>33</v>
      </c>
      <c r="AS267" s="68">
        <v>34</v>
      </c>
      <c r="AT267" s="68">
        <v>29</v>
      </c>
      <c r="AU267" s="36">
        <v>130</v>
      </c>
      <c r="AV267" s="68">
        <v>31</v>
      </c>
      <c r="AW267" s="68">
        <v>29</v>
      </c>
      <c r="AX267" s="68">
        <v>31</v>
      </c>
      <c r="AY267" s="68">
        <v>27</v>
      </c>
      <c r="AZ267" s="36">
        <v>118</v>
      </c>
      <c r="BA267" s="68">
        <v>28</v>
      </c>
      <c r="BB267" s="68">
        <v>27</v>
      </c>
      <c r="BC267" s="68">
        <v>25</v>
      </c>
      <c r="BD267" s="68">
        <v>28</v>
      </c>
      <c r="BE267" s="36">
        <v>108</v>
      </c>
      <c r="BF267" s="68">
        <v>25</v>
      </c>
      <c r="BG267" s="68">
        <v>24</v>
      </c>
      <c r="BH267" s="68">
        <v>25</v>
      </c>
    </row>
    <row r="268" spans="1:60" ht="12.75" customHeight="1">
      <c r="A268" s="69" t="s">
        <v>7</v>
      </c>
      <c r="B268" s="23"/>
      <c r="C268" s="70"/>
      <c r="D268" s="70"/>
      <c r="E268" s="70"/>
      <c r="F268" s="70"/>
      <c r="G268" s="23"/>
      <c r="H268" s="70"/>
      <c r="I268" s="70"/>
      <c r="J268" s="70"/>
      <c r="K268" s="70"/>
      <c r="L268" s="23"/>
      <c r="M268" s="70"/>
      <c r="N268" s="70"/>
      <c r="O268" s="70"/>
      <c r="P268" s="70"/>
      <c r="Q268" s="23"/>
      <c r="R268" s="70"/>
      <c r="S268" s="70">
        <f>S267/R267-1</f>
        <v>-1.2658227848101222E-2</v>
      </c>
      <c r="T268" s="70">
        <f>T267/S267-1</f>
        <v>1.2820512820512775E-2</v>
      </c>
      <c r="U268" s="70">
        <f>U267/T267-1</f>
        <v>-1.2658227848101222E-2</v>
      </c>
      <c r="V268" s="23"/>
      <c r="W268" s="70">
        <f>W267/U267-1</f>
        <v>-3.8461538461538436E-2</v>
      </c>
      <c r="X268" s="70">
        <f>X267/W267-1</f>
        <v>-4.0000000000000036E-2</v>
      </c>
      <c r="Y268" s="70">
        <f>Y267/X267-1</f>
        <v>-2.777777777777779E-2</v>
      </c>
      <c r="Z268" s="70">
        <f>Z267/Y267-1</f>
        <v>-8.5714285714285743E-2</v>
      </c>
      <c r="AA268" s="23"/>
      <c r="AB268" s="70">
        <f>AB267/Z267-1</f>
        <v>-0.109375</v>
      </c>
      <c r="AC268" s="70">
        <f>AC267/AB267-1</f>
        <v>1.7543859649122862E-2</v>
      </c>
      <c r="AD268" s="70">
        <f>AD267/AC267-1</f>
        <v>-5.1724137931034475E-2</v>
      </c>
      <c r="AE268" s="70">
        <f>AE267/AD267-1</f>
        <v>-9.0909090909090939E-2</v>
      </c>
      <c r="AF268" s="23"/>
      <c r="AG268" s="70">
        <f>AG267/AE267-1</f>
        <v>-0.16000000000000003</v>
      </c>
      <c r="AH268" s="70">
        <f>AH267/AG267-1</f>
        <v>-7.1428571428571397E-2</v>
      </c>
      <c r="AI268" s="70">
        <f>AI267/AH267-1</f>
        <v>7.6923076923076872E-2</v>
      </c>
      <c r="AJ268" s="70">
        <f>AJ267/AI267-1</f>
        <v>-9.5238095238095233E-2</v>
      </c>
      <c r="AK268" s="23"/>
      <c r="AL268" s="70">
        <v>0</v>
      </c>
      <c r="AM268" s="70">
        <v>-2.6315789473684181E-2</v>
      </c>
      <c r="AN268" s="70">
        <v>-5.4054054054054057E-2</v>
      </c>
      <c r="AO268" s="70">
        <v>0</v>
      </c>
      <c r="AP268" s="23"/>
      <c r="AQ268" s="70">
        <v>-2.8571428571428581E-2</v>
      </c>
      <c r="AR268" s="70">
        <v>-2.9411764705882359E-2</v>
      </c>
      <c r="AS268" s="70">
        <v>3.0303030303030276E-2</v>
      </c>
      <c r="AT268" s="70">
        <v>-0.1470588235294118</v>
      </c>
      <c r="AU268" s="23"/>
      <c r="AV268" s="70">
        <v>6.8965517241379226E-2</v>
      </c>
      <c r="AW268" s="70">
        <v>-6.4516129032258118E-2</v>
      </c>
      <c r="AX268" s="70">
        <v>6.8965517241379226E-2</v>
      </c>
      <c r="AY268" s="70">
        <v>-0.12903225806451613</v>
      </c>
      <c r="AZ268" s="23"/>
      <c r="BA268" s="70">
        <v>3.7037037037036979E-2</v>
      </c>
      <c r="BB268" s="70">
        <v>-3.5714285714285698E-2</v>
      </c>
      <c r="BC268" s="70">
        <v>-7.407407407407407E-2</v>
      </c>
      <c r="BD268" s="70">
        <v>0.12000000000000011</v>
      </c>
      <c r="BE268" s="23"/>
      <c r="BF268" s="70">
        <v>-0.1071428571428571</v>
      </c>
      <c r="BG268" s="70">
        <v>-4.0000000000000036E-2</v>
      </c>
      <c r="BH268" s="70">
        <v>4.1666666666666741E-2</v>
      </c>
    </row>
    <row r="269" spans="1:60" ht="12.75" customHeight="1">
      <c r="A269" s="69" t="s">
        <v>8</v>
      </c>
      <c r="B269" s="23"/>
      <c r="C269" s="71"/>
      <c r="D269" s="71"/>
      <c r="E269" s="71"/>
      <c r="F269" s="71"/>
      <c r="G269" s="23"/>
      <c r="H269" s="71"/>
      <c r="I269" s="71"/>
      <c r="J269" s="71"/>
      <c r="K269" s="71"/>
      <c r="L269" s="23"/>
      <c r="M269" s="71"/>
      <c r="N269" s="71"/>
      <c r="O269" s="71"/>
      <c r="P269" s="71"/>
      <c r="Q269" s="23">
        <f>Q267/L267-1</f>
        <v>-1.8369690011481032E-2</v>
      </c>
      <c r="R269" s="71"/>
      <c r="S269" s="71"/>
      <c r="T269" s="71"/>
      <c r="U269" s="71"/>
      <c r="V269" s="23">
        <f t="shared" ref="V269:AD269" si="234">V267/Q267-1</f>
        <v>-0.63274853801169595</v>
      </c>
      <c r="W269" s="71">
        <f t="shared" si="234"/>
        <v>-5.0632911392405111E-2</v>
      </c>
      <c r="X269" s="71">
        <f t="shared" si="234"/>
        <v>-7.6923076923076872E-2</v>
      </c>
      <c r="Y269" s="71">
        <f t="shared" si="234"/>
        <v>-0.11392405063291144</v>
      </c>
      <c r="Z269" s="71">
        <f t="shared" si="234"/>
        <v>-0.17948717948717952</v>
      </c>
      <c r="AA269" s="23">
        <f t="shared" si="234"/>
        <v>-0.10509554140127386</v>
      </c>
      <c r="AB269" s="71">
        <f t="shared" si="234"/>
        <v>-0.24</v>
      </c>
      <c r="AC269" s="71">
        <f t="shared" si="234"/>
        <v>-0.19444444444444442</v>
      </c>
      <c r="AD269" s="71">
        <f t="shared" si="234"/>
        <v>-0.2142857142857143</v>
      </c>
      <c r="AE269" s="71">
        <f t="shared" ref="AE269:AJ269" si="235">AE267/Z267-1</f>
        <v>-0.21875</v>
      </c>
      <c r="AF269" s="23">
        <f t="shared" si="235"/>
        <v>-0.2170818505338078</v>
      </c>
      <c r="AG269" s="71">
        <f t="shared" si="235"/>
        <v>-0.26315789473684215</v>
      </c>
      <c r="AH269" s="71">
        <f t="shared" si="235"/>
        <v>-0.32758620689655171</v>
      </c>
      <c r="AI269" s="71">
        <f t="shared" si="235"/>
        <v>-0.23636363636363633</v>
      </c>
      <c r="AJ269" s="71">
        <f t="shared" si="235"/>
        <v>-0.24</v>
      </c>
      <c r="AK269" s="23">
        <v>-0.26818181818181819</v>
      </c>
      <c r="AL269" s="71">
        <v>-9.5238095238095233E-2</v>
      </c>
      <c r="AM269" s="71">
        <v>-5.1282051282051322E-2</v>
      </c>
      <c r="AN269" s="71">
        <v>-0.16666666666666663</v>
      </c>
      <c r="AO269" s="71">
        <v>-7.8947368421052655E-2</v>
      </c>
      <c r="AP269" s="23">
        <v>-9.9378881987577605E-2</v>
      </c>
      <c r="AQ269" s="71">
        <v>-0.10526315789473684</v>
      </c>
      <c r="AR269" s="71">
        <v>-0.10810810810810811</v>
      </c>
      <c r="AS269" s="71">
        <v>-2.8571428571428581E-2</v>
      </c>
      <c r="AT269" s="71">
        <v>-0.17142857142857137</v>
      </c>
      <c r="AU269" s="23">
        <v>-0.10344827586206895</v>
      </c>
      <c r="AV269" s="71">
        <v>-8.8235294117647078E-2</v>
      </c>
      <c r="AW269" s="71">
        <v>-0.12121212121212122</v>
      </c>
      <c r="AX269" s="71">
        <v>-8.8235294117647078E-2</v>
      </c>
      <c r="AY269" s="71">
        <v>-6.8965517241379337E-2</v>
      </c>
      <c r="AZ269" s="23">
        <v>-9.2307692307692313E-2</v>
      </c>
      <c r="BA269" s="71">
        <v>-9.6774193548387122E-2</v>
      </c>
      <c r="BB269" s="71">
        <v>-6.8965517241379337E-2</v>
      </c>
      <c r="BC269" s="71">
        <v>-0.19354838709677424</v>
      </c>
      <c r="BD269" s="71">
        <v>3.7037037037036979E-2</v>
      </c>
      <c r="BE269" s="23">
        <v>-8.4745762711864403E-2</v>
      </c>
      <c r="BF269" s="71">
        <v>-0.1071428571428571</v>
      </c>
      <c r="BG269" s="71">
        <v>-0.11111111111111116</v>
      </c>
      <c r="BH269" s="71">
        <v>0</v>
      </c>
    </row>
    <row r="270" spans="1:60" ht="12.75" customHeight="1">
      <c r="A270" s="67" t="s">
        <v>95</v>
      </c>
      <c r="B270" s="119" t="s">
        <v>41</v>
      </c>
      <c r="C270" s="78" t="s">
        <v>49</v>
      </c>
      <c r="D270" s="78" t="s">
        <v>49</v>
      </c>
      <c r="E270" s="78" t="s">
        <v>49</v>
      </c>
      <c r="F270" s="78" t="s">
        <v>49</v>
      </c>
      <c r="G270" s="119" t="s">
        <v>41</v>
      </c>
      <c r="H270" s="78" t="s">
        <v>49</v>
      </c>
      <c r="I270" s="78" t="s">
        <v>49</v>
      </c>
      <c r="J270" s="78" t="s">
        <v>49</v>
      </c>
      <c r="K270" s="78" t="s">
        <v>49</v>
      </c>
      <c r="L270" s="36">
        <v>218</v>
      </c>
      <c r="M270" s="78" t="s">
        <v>49</v>
      </c>
      <c r="N270" s="78" t="s">
        <v>49</v>
      </c>
      <c r="O270" s="78" t="s">
        <v>49</v>
      </c>
      <c r="P270" s="78" t="s">
        <v>49</v>
      </c>
      <c r="Q270" s="36">
        <v>196</v>
      </c>
      <c r="R270" s="68">
        <v>47</v>
      </c>
      <c r="S270" s="68">
        <v>42</v>
      </c>
      <c r="T270" s="68">
        <v>58</v>
      </c>
      <c r="U270" s="68">
        <f>V270-R270-S270-T270</f>
        <v>47</v>
      </c>
      <c r="V270" s="36">
        <v>194</v>
      </c>
      <c r="W270" s="68">
        <v>8</v>
      </c>
      <c r="X270" s="68">
        <v>42</v>
      </c>
      <c r="Y270" s="68">
        <v>54</v>
      </c>
      <c r="Z270" s="68">
        <f>AA270-W270-X270-Y270</f>
        <v>55</v>
      </c>
      <c r="AA270" s="36">
        <v>159</v>
      </c>
      <c r="AB270" s="68">
        <v>44</v>
      </c>
      <c r="AC270" s="68">
        <v>41</v>
      </c>
      <c r="AD270" s="68">
        <v>47</v>
      </c>
      <c r="AE270" s="68">
        <f>AF270-AB270-AC270-AD270</f>
        <v>54</v>
      </c>
      <c r="AF270" s="36">
        <v>186</v>
      </c>
      <c r="AG270" s="68">
        <v>48</v>
      </c>
      <c r="AH270" s="143">
        <v>52</v>
      </c>
      <c r="AI270" s="68">
        <v>59</v>
      </c>
      <c r="AJ270" s="68">
        <f>AK270-AG270-AH270-AI270</f>
        <v>54</v>
      </c>
      <c r="AK270" s="36">
        <v>213</v>
      </c>
      <c r="AL270" s="68">
        <v>47</v>
      </c>
      <c r="AM270" s="68">
        <v>48</v>
      </c>
      <c r="AN270" s="68">
        <v>49</v>
      </c>
      <c r="AO270" s="68">
        <v>44</v>
      </c>
      <c r="AP270" s="36">
        <v>188</v>
      </c>
      <c r="AQ270" s="68">
        <v>43</v>
      </c>
      <c r="AR270" s="68">
        <v>44</v>
      </c>
      <c r="AS270" s="68">
        <v>55</v>
      </c>
      <c r="AT270" s="68">
        <v>53</v>
      </c>
      <c r="AU270" s="36">
        <v>195</v>
      </c>
      <c r="AV270" s="68">
        <v>42</v>
      </c>
      <c r="AW270" s="68">
        <v>44</v>
      </c>
      <c r="AX270" s="68">
        <v>54</v>
      </c>
      <c r="AY270" s="68">
        <v>48</v>
      </c>
      <c r="AZ270" s="36">
        <v>188</v>
      </c>
      <c r="BA270" s="68">
        <v>40</v>
      </c>
      <c r="BB270" s="68">
        <v>49</v>
      </c>
      <c r="BC270" s="68">
        <v>42</v>
      </c>
      <c r="BD270" s="68">
        <v>52</v>
      </c>
      <c r="BE270" s="36">
        <v>183</v>
      </c>
      <c r="BF270" s="68">
        <v>39</v>
      </c>
      <c r="BG270" s="68">
        <v>34</v>
      </c>
      <c r="BH270" s="68">
        <v>37</v>
      </c>
    </row>
    <row r="271" spans="1:60" ht="12.75" customHeight="1">
      <c r="A271" s="69" t="s">
        <v>7</v>
      </c>
      <c r="B271" s="23"/>
      <c r="C271" s="70"/>
      <c r="D271" s="70"/>
      <c r="E271" s="70"/>
      <c r="F271" s="70"/>
      <c r="G271" s="23"/>
      <c r="H271" s="70"/>
      <c r="I271" s="70"/>
      <c r="J271" s="70"/>
      <c r="K271" s="70"/>
      <c r="L271" s="23"/>
      <c r="M271" s="70"/>
      <c r="N271" s="70"/>
      <c r="O271" s="70"/>
      <c r="P271" s="70"/>
      <c r="Q271" s="23"/>
      <c r="R271" s="70"/>
      <c r="S271" s="70">
        <f>S270/R270-1</f>
        <v>-0.1063829787234043</v>
      </c>
      <c r="T271" s="70">
        <f>T270/S270-1</f>
        <v>0.38095238095238093</v>
      </c>
      <c r="U271" s="70">
        <f>U270/T270-1</f>
        <v>-0.18965517241379315</v>
      </c>
      <c r="V271" s="23"/>
      <c r="W271" s="70">
        <f>W270/U270-1</f>
        <v>-0.82978723404255317</v>
      </c>
      <c r="X271" s="70">
        <f>X270/W270-1</f>
        <v>4.25</v>
      </c>
      <c r="Y271" s="70">
        <f>Y270/X270-1</f>
        <v>0.28571428571428581</v>
      </c>
      <c r="Z271" s="70">
        <f>Z270/Y270-1</f>
        <v>1.8518518518518601E-2</v>
      </c>
      <c r="AA271" s="23"/>
      <c r="AB271" s="70">
        <f>AB270/Z270-1</f>
        <v>-0.19999999999999996</v>
      </c>
      <c r="AC271" s="70">
        <f>AC270/AB270-1</f>
        <v>-6.8181818181818232E-2</v>
      </c>
      <c r="AD271" s="70">
        <f>AD270/AC270-1</f>
        <v>0.14634146341463405</v>
      </c>
      <c r="AE271" s="70">
        <f>AE270/AD270-1</f>
        <v>0.14893617021276606</v>
      </c>
      <c r="AF271" s="23"/>
      <c r="AG271" s="70">
        <f>AG270/AE270-1</f>
        <v>-0.11111111111111116</v>
      </c>
      <c r="AH271" s="70">
        <f>AH270/AG270-1</f>
        <v>8.3333333333333259E-2</v>
      </c>
      <c r="AI271" s="70">
        <f>AI270/AH270-1</f>
        <v>0.13461538461538458</v>
      </c>
      <c r="AJ271" s="70">
        <f>AJ270/AI270-1</f>
        <v>-8.4745762711864403E-2</v>
      </c>
      <c r="AK271" s="23"/>
      <c r="AL271" s="70">
        <v>-0.12962962962962965</v>
      </c>
      <c r="AM271" s="70">
        <v>2.1276595744680771E-2</v>
      </c>
      <c r="AN271" s="70">
        <v>2.0833333333333259E-2</v>
      </c>
      <c r="AO271" s="70">
        <v>-0.10204081632653061</v>
      </c>
      <c r="AP271" s="23"/>
      <c r="AQ271" s="70">
        <v>-2.2727272727272707E-2</v>
      </c>
      <c r="AR271" s="70">
        <v>2.3255813953488413E-2</v>
      </c>
      <c r="AS271" s="70">
        <v>0.25</v>
      </c>
      <c r="AT271" s="70">
        <v>-3.6363636363636376E-2</v>
      </c>
      <c r="AU271" s="23"/>
      <c r="AV271" s="70">
        <v>-0.20754716981132071</v>
      </c>
      <c r="AW271" s="70">
        <v>4.7619047619047672E-2</v>
      </c>
      <c r="AX271" s="70">
        <v>0.22727272727272729</v>
      </c>
      <c r="AY271" s="70">
        <v>-0.11111111111111116</v>
      </c>
      <c r="AZ271" s="23"/>
      <c r="BA271" s="70">
        <v>-0.16666666666666663</v>
      </c>
      <c r="BB271" s="70">
        <v>0.22500000000000009</v>
      </c>
      <c r="BC271" s="70">
        <v>-0.1428571428571429</v>
      </c>
      <c r="BD271" s="70">
        <v>0.23809523809523814</v>
      </c>
      <c r="BE271" s="23"/>
      <c r="BF271" s="70">
        <v>-0.25</v>
      </c>
      <c r="BG271" s="70">
        <v>-0.12820512820512819</v>
      </c>
      <c r="BH271" s="70">
        <v>8.8235294117646967E-2</v>
      </c>
    </row>
    <row r="272" spans="1:60" ht="12.75" customHeight="1">
      <c r="A272" s="69" t="s">
        <v>8</v>
      </c>
      <c r="B272" s="23"/>
      <c r="C272" s="71"/>
      <c r="D272" s="71"/>
      <c r="E272" s="71"/>
      <c r="F272" s="71"/>
      <c r="G272" s="23"/>
      <c r="H272" s="71"/>
      <c r="I272" s="71"/>
      <c r="J272" s="71"/>
      <c r="K272" s="71"/>
      <c r="L272" s="23"/>
      <c r="M272" s="71"/>
      <c r="N272" s="71"/>
      <c r="O272" s="71"/>
      <c r="P272" s="71"/>
      <c r="Q272" s="23">
        <f>Q270/L270-1</f>
        <v>-0.1009174311926605</v>
      </c>
      <c r="R272" s="71"/>
      <c r="S272" s="71"/>
      <c r="T272" s="71"/>
      <c r="U272" s="71"/>
      <c r="V272" s="23">
        <f t="shared" ref="V272:AD272" si="236">V270/Q270-1</f>
        <v>-1.0204081632653073E-2</v>
      </c>
      <c r="W272" s="71">
        <f t="shared" si="236"/>
        <v>-0.82978723404255317</v>
      </c>
      <c r="X272" s="71">
        <f t="shared" si="236"/>
        <v>0</v>
      </c>
      <c r="Y272" s="71">
        <f t="shared" si="236"/>
        <v>-6.8965517241379337E-2</v>
      </c>
      <c r="Z272" s="71">
        <f t="shared" si="236"/>
        <v>0.17021276595744683</v>
      </c>
      <c r="AA272" s="23">
        <f t="shared" si="236"/>
        <v>-0.18041237113402064</v>
      </c>
      <c r="AB272" s="71">
        <f t="shared" si="236"/>
        <v>4.5</v>
      </c>
      <c r="AC272" s="71">
        <f t="shared" si="236"/>
        <v>-2.3809523809523836E-2</v>
      </c>
      <c r="AD272" s="71">
        <f t="shared" si="236"/>
        <v>-0.12962962962962965</v>
      </c>
      <c r="AE272" s="71">
        <f t="shared" ref="AE272:AJ272" si="237">AE270/Z270-1</f>
        <v>-1.8181818181818188E-2</v>
      </c>
      <c r="AF272" s="23">
        <f t="shared" si="237"/>
        <v>0.16981132075471694</v>
      </c>
      <c r="AG272" s="71">
        <f t="shared" si="237"/>
        <v>9.0909090909090828E-2</v>
      </c>
      <c r="AH272" s="71">
        <f t="shared" si="237"/>
        <v>0.26829268292682928</v>
      </c>
      <c r="AI272" s="71">
        <f t="shared" si="237"/>
        <v>0.25531914893617014</v>
      </c>
      <c r="AJ272" s="71">
        <f t="shared" si="237"/>
        <v>0</v>
      </c>
      <c r="AK272" s="23">
        <v>0.14516129032258074</v>
      </c>
      <c r="AL272" s="71">
        <v>-2.083333333333337E-2</v>
      </c>
      <c r="AM272" s="71">
        <v>-7.6923076923076872E-2</v>
      </c>
      <c r="AN272" s="71">
        <v>-0.16949152542372881</v>
      </c>
      <c r="AO272" s="71">
        <v>-0.18518518518518523</v>
      </c>
      <c r="AP272" s="23">
        <v>-0.11737089201877937</v>
      </c>
      <c r="AQ272" s="71">
        <v>-8.5106382978723416E-2</v>
      </c>
      <c r="AR272" s="71">
        <v>-8.333333333333337E-2</v>
      </c>
      <c r="AS272" s="71">
        <v>0.12244897959183665</v>
      </c>
      <c r="AT272" s="71">
        <v>0.20454545454545459</v>
      </c>
      <c r="AU272" s="23">
        <v>3.7234042553191404E-2</v>
      </c>
      <c r="AV272" s="71">
        <v>-2.3255813953488413E-2</v>
      </c>
      <c r="AW272" s="71">
        <v>0</v>
      </c>
      <c r="AX272" s="71">
        <v>-1.8181818181818188E-2</v>
      </c>
      <c r="AY272" s="71">
        <v>-9.4339622641509413E-2</v>
      </c>
      <c r="AZ272" s="23">
        <v>-3.5897435897435881E-2</v>
      </c>
      <c r="BA272" s="71">
        <v>-4.7619047619047672E-2</v>
      </c>
      <c r="BB272" s="71">
        <v>0.11363636363636354</v>
      </c>
      <c r="BC272" s="71">
        <v>-0.22222222222222221</v>
      </c>
      <c r="BD272" s="71">
        <v>8.3333333333333259E-2</v>
      </c>
      <c r="BE272" s="23">
        <v>-2.6595744680851019E-2</v>
      </c>
      <c r="BF272" s="71">
        <v>-2.5000000000000022E-2</v>
      </c>
      <c r="BG272" s="71">
        <v>-0.30612244897959184</v>
      </c>
      <c r="BH272" s="71">
        <v>-0.11904761904761907</v>
      </c>
    </row>
    <row r="273" spans="1:60" ht="12.75" customHeight="1">
      <c r="A273" s="67" t="s">
        <v>85</v>
      </c>
      <c r="B273" s="119" t="s">
        <v>41</v>
      </c>
      <c r="C273" s="78" t="s">
        <v>49</v>
      </c>
      <c r="D273" s="78" t="s">
        <v>49</v>
      </c>
      <c r="E273" s="78" t="s">
        <v>49</v>
      </c>
      <c r="F273" s="78" t="s">
        <v>49</v>
      </c>
      <c r="G273" s="119" t="s">
        <v>41</v>
      </c>
      <c r="H273" s="78" t="s">
        <v>49</v>
      </c>
      <c r="I273" s="78" t="s">
        <v>49</v>
      </c>
      <c r="J273" s="78" t="s">
        <v>49</v>
      </c>
      <c r="K273" s="78" t="s">
        <v>49</v>
      </c>
      <c r="L273" s="36">
        <v>80</v>
      </c>
      <c r="M273" s="78" t="s">
        <v>49</v>
      </c>
      <c r="N273" s="78" t="s">
        <v>49</v>
      </c>
      <c r="O273" s="78" t="s">
        <v>49</v>
      </c>
      <c r="P273" s="78" t="s">
        <v>49</v>
      </c>
      <c r="Q273" s="36">
        <v>88</v>
      </c>
      <c r="R273" s="68">
        <v>22</v>
      </c>
      <c r="S273" s="68">
        <v>17</v>
      </c>
      <c r="T273" s="68">
        <v>23</v>
      </c>
      <c r="U273" s="68">
        <f>V273-R273-S273-T273</f>
        <v>27</v>
      </c>
      <c r="V273" s="36">
        <v>89</v>
      </c>
      <c r="W273" s="68">
        <v>24</v>
      </c>
      <c r="X273" s="68">
        <v>27</v>
      </c>
      <c r="Y273" s="68">
        <v>28</v>
      </c>
      <c r="Z273" s="68">
        <f>AA273-W273-X273-Y273</f>
        <v>32</v>
      </c>
      <c r="AA273" s="36">
        <v>111</v>
      </c>
      <c r="AB273" s="68">
        <v>27</v>
      </c>
      <c r="AC273" s="68">
        <v>23</v>
      </c>
      <c r="AD273" s="68">
        <v>22</v>
      </c>
      <c r="AE273" s="68">
        <f>AF273-AB273-AC273-AD273</f>
        <v>18</v>
      </c>
      <c r="AF273" s="36">
        <v>90</v>
      </c>
      <c r="AG273" s="68">
        <v>12</v>
      </c>
      <c r="AH273" s="68">
        <v>10</v>
      </c>
      <c r="AI273" s="68">
        <v>11</v>
      </c>
      <c r="AJ273" s="68">
        <f>AK273-AG273-AH273-AI273</f>
        <v>16</v>
      </c>
      <c r="AK273" s="36">
        <v>49</v>
      </c>
      <c r="AL273" s="68">
        <v>11</v>
      </c>
      <c r="AM273" s="68">
        <v>11</v>
      </c>
      <c r="AN273" s="68">
        <v>10</v>
      </c>
      <c r="AO273" s="68">
        <v>16</v>
      </c>
      <c r="AP273" s="36">
        <v>48</v>
      </c>
      <c r="AQ273" s="68">
        <v>12</v>
      </c>
      <c r="AR273" s="68">
        <v>12</v>
      </c>
      <c r="AS273" s="68">
        <v>11</v>
      </c>
      <c r="AT273" s="68">
        <v>12</v>
      </c>
      <c r="AU273" s="36">
        <v>47</v>
      </c>
      <c r="AV273" s="68">
        <v>10</v>
      </c>
      <c r="AW273" s="68">
        <v>12</v>
      </c>
      <c r="AX273" s="68">
        <v>12</v>
      </c>
      <c r="AY273" s="68">
        <v>10</v>
      </c>
      <c r="AZ273" s="36">
        <v>44</v>
      </c>
      <c r="BA273" s="68">
        <v>11</v>
      </c>
      <c r="BB273" s="68">
        <v>10</v>
      </c>
      <c r="BC273" s="68">
        <v>9</v>
      </c>
      <c r="BD273" s="68">
        <v>12</v>
      </c>
      <c r="BE273" s="36">
        <v>42</v>
      </c>
      <c r="BF273" s="68">
        <v>18</v>
      </c>
      <c r="BG273" s="68">
        <v>17</v>
      </c>
      <c r="BH273" s="68">
        <v>17</v>
      </c>
    </row>
    <row r="274" spans="1:60" ht="12.75" customHeight="1">
      <c r="A274" s="69" t="s">
        <v>7</v>
      </c>
      <c r="B274" s="23"/>
      <c r="C274" s="70"/>
      <c r="D274" s="70"/>
      <c r="E274" s="70"/>
      <c r="F274" s="70"/>
      <c r="G274" s="23"/>
      <c r="H274" s="70"/>
      <c r="I274" s="70"/>
      <c r="J274" s="70"/>
      <c r="K274" s="70"/>
      <c r="L274" s="23"/>
      <c r="M274" s="70"/>
      <c r="N274" s="70"/>
      <c r="O274" s="70"/>
      <c r="P274" s="70"/>
      <c r="Q274" s="23"/>
      <c r="R274" s="70"/>
      <c r="S274" s="70">
        <f>S273/R273-1</f>
        <v>-0.22727272727272729</v>
      </c>
      <c r="T274" s="70">
        <f>T273/S273-1</f>
        <v>0.35294117647058831</v>
      </c>
      <c r="U274" s="70">
        <f>U273/T273-1</f>
        <v>0.17391304347826098</v>
      </c>
      <c r="V274" s="23"/>
      <c r="W274" s="70">
        <f>W273/U273-1</f>
        <v>-0.11111111111111116</v>
      </c>
      <c r="X274" s="70">
        <f>X273/W273-1</f>
        <v>0.125</v>
      </c>
      <c r="Y274" s="70">
        <f>Y273/X273-1</f>
        <v>3.7037037037036979E-2</v>
      </c>
      <c r="Z274" s="70">
        <f>Z273/Y273-1</f>
        <v>0.14285714285714279</v>
      </c>
      <c r="AA274" s="23"/>
      <c r="AB274" s="70">
        <f>AB273/Z273-1</f>
        <v>-0.15625</v>
      </c>
      <c r="AC274" s="70">
        <f>AC273/AB273-1</f>
        <v>-0.14814814814814814</v>
      </c>
      <c r="AD274" s="70">
        <f>AD273/AC273-1</f>
        <v>-4.3478260869565188E-2</v>
      </c>
      <c r="AE274" s="70">
        <f>AE273/AD273-1</f>
        <v>-0.18181818181818177</v>
      </c>
      <c r="AF274" s="23"/>
      <c r="AG274" s="70">
        <f>AG273/AE273-1</f>
        <v>-0.33333333333333337</v>
      </c>
      <c r="AH274" s="70">
        <f>AH273/AG273-1</f>
        <v>-0.16666666666666663</v>
      </c>
      <c r="AI274" s="70">
        <f>AI273/AH273-1</f>
        <v>0.10000000000000009</v>
      </c>
      <c r="AJ274" s="70">
        <f>AJ273/AI273-1</f>
        <v>0.45454545454545459</v>
      </c>
      <c r="AK274" s="23"/>
      <c r="AL274" s="70">
        <v>-0.3125</v>
      </c>
      <c r="AM274" s="70">
        <v>0</v>
      </c>
      <c r="AN274" s="70">
        <v>-9.0909090909090939E-2</v>
      </c>
      <c r="AO274" s="70">
        <v>0.60000000000000009</v>
      </c>
      <c r="AP274" s="23"/>
      <c r="AQ274" s="70">
        <v>-0.25</v>
      </c>
      <c r="AR274" s="70">
        <v>0</v>
      </c>
      <c r="AS274" s="70">
        <v>-8.333333333333337E-2</v>
      </c>
      <c r="AT274" s="70">
        <v>9.0909090909090828E-2</v>
      </c>
      <c r="AU274" s="23"/>
      <c r="AV274" s="70">
        <v>-0.16666666666666663</v>
      </c>
      <c r="AW274" s="70">
        <v>0.19999999999999996</v>
      </c>
      <c r="AX274" s="70">
        <v>0</v>
      </c>
      <c r="AY274" s="70">
        <v>-0.16666666666666663</v>
      </c>
      <c r="AZ274" s="23"/>
      <c r="BA274" s="70">
        <v>0.10000000000000009</v>
      </c>
      <c r="BB274" s="70">
        <v>-9.0909090909090939E-2</v>
      </c>
      <c r="BC274" s="70">
        <v>-9.9999999999999978E-2</v>
      </c>
      <c r="BD274" s="70">
        <v>0.33333333333333326</v>
      </c>
      <c r="BE274" s="23"/>
      <c r="BF274" s="70">
        <v>0.5</v>
      </c>
      <c r="BG274" s="70">
        <v>-5.555555555555558E-2</v>
      </c>
      <c r="BH274" s="70">
        <v>0</v>
      </c>
    </row>
    <row r="275" spans="1:60" ht="12.75" customHeight="1">
      <c r="A275" s="69" t="s">
        <v>8</v>
      </c>
      <c r="B275" s="23"/>
      <c r="C275" s="71"/>
      <c r="D275" s="71"/>
      <c r="E275" s="71"/>
      <c r="F275" s="71"/>
      <c r="G275" s="23"/>
      <c r="H275" s="71"/>
      <c r="I275" s="71"/>
      <c r="J275" s="71"/>
      <c r="K275" s="71"/>
      <c r="L275" s="23"/>
      <c r="M275" s="71"/>
      <c r="N275" s="71"/>
      <c r="O275" s="71"/>
      <c r="P275" s="71"/>
      <c r="Q275" s="23">
        <f>Q273/L273-1</f>
        <v>0.10000000000000009</v>
      </c>
      <c r="R275" s="71"/>
      <c r="S275" s="71"/>
      <c r="T275" s="71"/>
      <c r="U275" s="71"/>
      <c r="V275" s="23">
        <f t="shared" ref="V275:AD275" si="238">V273/Q273-1</f>
        <v>1.1363636363636465E-2</v>
      </c>
      <c r="W275" s="71">
        <f t="shared" si="238"/>
        <v>9.0909090909090828E-2</v>
      </c>
      <c r="X275" s="71">
        <f t="shared" si="238"/>
        <v>0.58823529411764697</v>
      </c>
      <c r="Y275" s="71">
        <f t="shared" si="238"/>
        <v>0.21739130434782616</v>
      </c>
      <c r="Z275" s="71">
        <f t="shared" si="238"/>
        <v>0.18518518518518512</v>
      </c>
      <c r="AA275" s="23">
        <f t="shared" si="238"/>
        <v>0.24719101123595499</v>
      </c>
      <c r="AB275" s="71">
        <f t="shared" si="238"/>
        <v>0.125</v>
      </c>
      <c r="AC275" s="71">
        <f t="shared" si="238"/>
        <v>-0.14814814814814814</v>
      </c>
      <c r="AD275" s="71">
        <f t="shared" si="238"/>
        <v>-0.2142857142857143</v>
      </c>
      <c r="AE275" s="71">
        <f t="shared" ref="AE275:AJ275" si="239">AE273/Z273-1</f>
        <v>-0.4375</v>
      </c>
      <c r="AF275" s="23">
        <f t="shared" si="239"/>
        <v>-0.18918918918918914</v>
      </c>
      <c r="AG275" s="71">
        <f t="shared" si="239"/>
        <v>-0.55555555555555558</v>
      </c>
      <c r="AH275" s="71">
        <f t="shared" si="239"/>
        <v>-0.56521739130434789</v>
      </c>
      <c r="AI275" s="71">
        <f t="shared" si="239"/>
        <v>-0.5</v>
      </c>
      <c r="AJ275" s="71">
        <f t="shared" si="239"/>
        <v>-0.11111111111111116</v>
      </c>
      <c r="AK275" s="23">
        <v>-0.4555555555555556</v>
      </c>
      <c r="AL275" s="71">
        <v>-8.333333333333337E-2</v>
      </c>
      <c r="AM275" s="71">
        <v>0.10000000000000009</v>
      </c>
      <c r="AN275" s="71">
        <v>-9.0909090909090939E-2</v>
      </c>
      <c r="AO275" s="71">
        <v>0</v>
      </c>
      <c r="AP275" s="23">
        <v>-2.0408163265306145E-2</v>
      </c>
      <c r="AQ275" s="71">
        <v>9.0909090909090828E-2</v>
      </c>
      <c r="AR275" s="71">
        <v>9.0909090909090828E-2</v>
      </c>
      <c r="AS275" s="71">
        <v>0.10000000000000009</v>
      </c>
      <c r="AT275" s="71">
        <v>-0.25</v>
      </c>
      <c r="AU275" s="23">
        <v>-2.083333333333337E-2</v>
      </c>
      <c r="AV275" s="71">
        <v>-0.16666666666666663</v>
      </c>
      <c r="AW275" s="71">
        <v>0</v>
      </c>
      <c r="AX275" s="71">
        <v>9.0909090909090828E-2</v>
      </c>
      <c r="AY275" s="71">
        <v>-0.16666666666666663</v>
      </c>
      <c r="AZ275" s="23">
        <v>-6.3829787234042534E-2</v>
      </c>
      <c r="BA275" s="71">
        <v>0.10000000000000009</v>
      </c>
      <c r="BB275" s="71">
        <v>-0.16666666666666663</v>
      </c>
      <c r="BC275" s="71">
        <v>-0.25</v>
      </c>
      <c r="BD275" s="71">
        <v>0.19999999999999996</v>
      </c>
      <c r="BE275" s="23">
        <v>-4.5454545454545414E-2</v>
      </c>
      <c r="BF275" s="71">
        <v>0.63636363636363646</v>
      </c>
      <c r="BG275" s="71">
        <v>0.7</v>
      </c>
      <c r="BH275" s="71">
        <v>0.88888888888888884</v>
      </c>
    </row>
    <row r="276" spans="1:60" ht="12.75" customHeight="1">
      <c r="A276" s="67" t="s">
        <v>87</v>
      </c>
      <c r="B276" s="119" t="s">
        <v>41</v>
      </c>
      <c r="C276" s="78" t="s">
        <v>49</v>
      </c>
      <c r="D276" s="78" t="s">
        <v>49</v>
      </c>
      <c r="E276" s="78" t="s">
        <v>49</v>
      </c>
      <c r="F276" s="78" t="s">
        <v>49</v>
      </c>
      <c r="G276" s="119" t="s">
        <v>41</v>
      </c>
      <c r="H276" s="78" t="s">
        <v>49</v>
      </c>
      <c r="I276" s="78" t="s">
        <v>49</v>
      </c>
      <c r="J276" s="78" t="s">
        <v>49</v>
      </c>
      <c r="K276" s="78" t="s">
        <v>49</v>
      </c>
      <c r="L276" s="36">
        <v>96</v>
      </c>
      <c r="M276" s="78" t="s">
        <v>49</v>
      </c>
      <c r="N276" s="78" t="s">
        <v>49</v>
      </c>
      <c r="O276" s="78" t="s">
        <v>49</v>
      </c>
      <c r="P276" s="78" t="s">
        <v>49</v>
      </c>
      <c r="Q276" s="36">
        <v>76</v>
      </c>
      <c r="R276" s="68">
        <v>20</v>
      </c>
      <c r="S276" s="68">
        <v>18</v>
      </c>
      <c r="T276" s="68">
        <v>17</v>
      </c>
      <c r="U276" s="68">
        <f>V276-R276-S276-T276</f>
        <v>21</v>
      </c>
      <c r="V276" s="36">
        <v>76</v>
      </c>
      <c r="W276" s="68">
        <v>20</v>
      </c>
      <c r="X276" s="68">
        <v>19</v>
      </c>
      <c r="Y276" s="68">
        <v>15</v>
      </c>
      <c r="Z276" s="68">
        <f>AA276-W276-X276-Y276</f>
        <v>19</v>
      </c>
      <c r="AA276" s="36">
        <v>73</v>
      </c>
      <c r="AB276" s="68">
        <v>16</v>
      </c>
      <c r="AC276" s="68">
        <v>16</v>
      </c>
      <c r="AD276" s="68">
        <v>15</v>
      </c>
      <c r="AE276" s="143">
        <f>AF276-AB276-AC276-AD276</f>
        <v>17</v>
      </c>
      <c r="AF276" s="36">
        <v>64</v>
      </c>
      <c r="AG276" s="68">
        <v>16</v>
      </c>
      <c r="AH276" s="68">
        <v>15</v>
      </c>
      <c r="AI276" s="68">
        <v>14</v>
      </c>
      <c r="AJ276" s="143">
        <f>AK276-AG276-AH276-AI276</f>
        <v>16</v>
      </c>
      <c r="AK276" s="36">
        <v>61</v>
      </c>
      <c r="AL276" s="68">
        <v>16</v>
      </c>
      <c r="AM276" s="68">
        <v>14</v>
      </c>
      <c r="AN276" s="68">
        <v>17</v>
      </c>
      <c r="AO276" s="143">
        <v>13</v>
      </c>
      <c r="AP276" s="36">
        <v>60</v>
      </c>
      <c r="AQ276" s="68">
        <v>17</v>
      </c>
      <c r="AR276" s="68">
        <v>17</v>
      </c>
      <c r="AS276" s="68">
        <v>16</v>
      </c>
      <c r="AT276" s="143">
        <v>22</v>
      </c>
      <c r="AU276" s="36">
        <v>72</v>
      </c>
      <c r="AV276" s="68">
        <v>17</v>
      </c>
      <c r="AW276" s="68">
        <v>19</v>
      </c>
      <c r="AX276" s="68">
        <v>19</v>
      </c>
      <c r="AY276" s="143">
        <v>18</v>
      </c>
      <c r="AZ276" s="36">
        <v>73</v>
      </c>
      <c r="BA276" s="68">
        <v>20</v>
      </c>
      <c r="BB276" s="68">
        <v>20</v>
      </c>
      <c r="BC276" s="68">
        <v>20</v>
      </c>
      <c r="BD276" s="143">
        <v>23</v>
      </c>
      <c r="BE276" s="36">
        <v>83</v>
      </c>
      <c r="BF276" s="68">
        <v>18</v>
      </c>
      <c r="BG276" s="68">
        <v>19</v>
      </c>
      <c r="BH276" s="68">
        <v>21</v>
      </c>
    </row>
    <row r="277" spans="1:60" ht="12.75" customHeight="1">
      <c r="A277" s="69" t="s">
        <v>7</v>
      </c>
      <c r="B277" s="23"/>
      <c r="C277" s="70"/>
      <c r="D277" s="70"/>
      <c r="E277" s="70"/>
      <c r="F277" s="70"/>
      <c r="G277" s="23"/>
      <c r="H277" s="70"/>
      <c r="I277" s="70"/>
      <c r="J277" s="70"/>
      <c r="K277" s="70"/>
      <c r="L277" s="23"/>
      <c r="M277" s="70"/>
      <c r="N277" s="70"/>
      <c r="O277" s="70"/>
      <c r="P277" s="70"/>
      <c r="Q277" s="23"/>
      <c r="R277" s="70"/>
      <c r="S277" s="70">
        <f>S276/R276-1</f>
        <v>-9.9999999999999978E-2</v>
      </c>
      <c r="T277" s="70">
        <f>T276/S276-1</f>
        <v>-5.555555555555558E-2</v>
      </c>
      <c r="U277" s="70">
        <f>U276/T276-1</f>
        <v>0.23529411764705888</v>
      </c>
      <c r="V277" s="23"/>
      <c r="W277" s="70">
        <f>W276/U276-1</f>
        <v>-4.7619047619047672E-2</v>
      </c>
      <c r="X277" s="70">
        <f>X276/W276-1</f>
        <v>-5.0000000000000044E-2</v>
      </c>
      <c r="Y277" s="70">
        <f>Y276/X276-1</f>
        <v>-0.21052631578947367</v>
      </c>
      <c r="Z277" s="70">
        <f>Z276/Y276-1</f>
        <v>0.26666666666666661</v>
      </c>
      <c r="AA277" s="23"/>
      <c r="AB277" s="70">
        <f>AB276/Z276-1</f>
        <v>-0.15789473684210531</v>
      </c>
      <c r="AC277" s="70">
        <f>AC276/AB276-1</f>
        <v>0</v>
      </c>
      <c r="AD277" s="70">
        <f>AD276/AC276-1</f>
        <v>-6.25E-2</v>
      </c>
      <c r="AE277" s="70">
        <f>AE276/AD276-1</f>
        <v>0.1333333333333333</v>
      </c>
      <c r="AF277" s="23"/>
      <c r="AG277" s="70">
        <f>AG276/AE276-1</f>
        <v>-5.8823529411764719E-2</v>
      </c>
      <c r="AH277" s="70">
        <f>AH276/AG276-1</f>
        <v>-6.25E-2</v>
      </c>
      <c r="AI277" s="70">
        <f>AI276/AH276-1</f>
        <v>-6.6666666666666652E-2</v>
      </c>
      <c r="AJ277" s="70">
        <f>AJ276/AI276-1</f>
        <v>0.14285714285714279</v>
      </c>
      <c r="AK277" s="23"/>
      <c r="AL277" s="70">
        <v>0</v>
      </c>
      <c r="AM277" s="70">
        <v>-0.125</v>
      </c>
      <c r="AN277" s="70">
        <v>0.21428571428571419</v>
      </c>
      <c r="AO277" s="70">
        <v>-0.23529411764705888</v>
      </c>
      <c r="AP277" s="23"/>
      <c r="AQ277" s="70">
        <v>0.30769230769230771</v>
      </c>
      <c r="AR277" s="70">
        <v>0</v>
      </c>
      <c r="AS277" s="70">
        <v>-5.8823529411764719E-2</v>
      </c>
      <c r="AT277" s="70">
        <v>0.375</v>
      </c>
      <c r="AU277" s="23"/>
      <c r="AV277" s="70">
        <v>-0.22727272727272729</v>
      </c>
      <c r="AW277" s="70">
        <v>0.11764705882352944</v>
      </c>
      <c r="AX277" s="70">
        <v>0</v>
      </c>
      <c r="AY277" s="70">
        <v>-5.2631578947368474E-2</v>
      </c>
      <c r="AZ277" s="23"/>
      <c r="BA277" s="70">
        <v>0.11111111111111116</v>
      </c>
      <c r="BB277" s="70">
        <v>0</v>
      </c>
      <c r="BC277" s="70">
        <v>0</v>
      </c>
      <c r="BD277" s="70">
        <v>0.14999999999999991</v>
      </c>
      <c r="BE277" s="23"/>
      <c r="BF277" s="70">
        <v>-0.21739130434782605</v>
      </c>
      <c r="BG277" s="70">
        <v>5.555555555555558E-2</v>
      </c>
      <c r="BH277" s="70">
        <v>0.10526315789473695</v>
      </c>
    </row>
    <row r="278" spans="1:60" ht="12.75" customHeight="1">
      <c r="A278" s="69" t="s">
        <v>8</v>
      </c>
      <c r="B278" s="23"/>
      <c r="C278" s="71"/>
      <c r="D278" s="71"/>
      <c r="E278" s="71"/>
      <c r="F278" s="71"/>
      <c r="G278" s="23"/>
      <c r="H278" s="71"/>
      <c r="I278" s="71"/>
      <c r="J278" s="71"/>
      <c r="K278" s="71"/>
      <c r="L278" s="23"/>
      <c r="M278" s="71"/>
      <c r="N278" s="71"/>
      <c r="O278" s="71"/>
      <c r="P278" s="71"/>
      <c r="Q278" s="23">
        <f>Q276/L276-1</f>
        <v>-0.20833333333333337</v>
      </c>
      <c r="R278" s="71"/>
      <c r="S278" s="71"/>
      <c r="T278" s="71"/>
      <c r="U278" s="71"/>
      <c r="V278" s="23">
        <f t="shared" ref="V278:AD278" si="240">V276/Q276-1</f>
        <v>0</v>
      </c>
      <c r="W278" s="71">
        <f t="shared" si="240"/>
        <v>0</v>
      </c>
      <c r="X278" s="71">
        <f t="shared" si="240"/>
        <v>5.555555555555558E-2</v>
      </c>
      <c r="Y278" s="71">
        <f t="shared" si="240"/>
        <v>-0.11764705882352944</v>
      </c>
      <c r="Z278" s="71">
        <f t="shared" si="240"/>
        <v>-9.5238095238095233E-2</v>
      </c>
      <c r="AA278" s="23">
        <f t="shared" si="240"/>
        <v>-3.9473684210526327E-2</v>
      </c>
      <c r="AB278" s="71">
        <f t="shared" si="240"/>
        <v>-0.19999999999999996</v>
      </c>
      <c r="AC278" s="71">
        <f t="shared" si="240"/>
        <v>-0.15789473684210531</v>
      </c>
      <c r="AD278" s="71">
        <f t="shared" si="240"/>
        <v>0</v>
      </c>
      <c r="AE278" s="71">
        <f t="shared" ref="AE278:AJ278" si="241">AE276/Z276-1</f>
        <v>-0.10526315789473684</v>
      </c>
      <c r="AF278" s="23">
        <f t="shared" si="241"/>
        <v>-0.12328767123287676</v>
      </c>
      <c r="AG278" s="71">
        <f t="shared" si="241"/>
        <v>0</v>
      </c>
      <c r="AH278" s="71">
        <f t="shared" si="241"/>
        <v>-6.25E-2</v>
      </c>
      <c r="AI278" s="71">
        <f t="shared" si="241"/>
        <v>-6.6666666666666652E-2</v>
      </c>
      <c r="AJ278" s="71">
        <f t="shared" si="241"/>
        <v>-5.8823529411764719E-2</v>
      </c>
      <c r="AK278" s="23">
        <v>-4.6875E-2</v>
      </c>
      <c r="AL278" s="71">
        <v>0</v>
      </c>
      <c r="AM278" s="71">
        <v>-6.6666666666666652E-2</v>
      </c>
      <c r="AN278" s="71">
        <v>0.21428571428571419</v>
      </c>
      <c r="AO278" s="71">
        <v>-0.1875</v>
      </c>
      <c r="AP278" s="23">
        <v>-1.6393442622950838E-2</v>
      </c>
      <c r="AQ278" s="71">
        <v>6.25E-2</v>
      </c>
      <c r="AR278" s="71">
        <v>0.21428571428571419</v>
      </c>
      <c r="AS278" s="71">
        <v>-5.8823529411764719E-2</v>
      </c>
      <c r="AT278" s="71">
        <v>0.69230769230769229</v>
      </c>
      <c r="AU278" s="23">
        <v>0.19999999999999996</v>
      </c>
      <c r="AV278" s="71">
        <v>0</v>
      </c>
      <c r="AW278" s="71">
        <v>0.11764705882352944</v>
      </c>
      <c r="AX278" s="71">
        <v>0.1875</v>
      </c>
      <c r="AY278" s="71">
        <v>-0.18181818181818177</v>
      </c>
      <c r="AZ278" s="23">
        <v>1.388888888888884E-2</v>
      </c>
      <c r="BA278" s="71">
        <v>0.17647058823529416</v>
      </c>
      <c r="BB278" s="71">
        <v>5.2631578947368363E-2</v>
      </c>
      <c r="BC278" s="71">
        <v>5.2631578947368363E-2</v>
      </c>
      <c r="BD278" s="71">
        <v>0.27777777777777768</v>
      </c>
      <c r="BE278" s="23">
        <v>0.13698630136986312</v>
      </c>
      <c r="BF278" s="71">
        <v>-9.9999999999999978E-2</v>
      </c>
      <c r="BG278" s="71">
        <v>-5.0000000000000044E-2</v>
      </c>
      <c r="BH278" s="71">
        <v>5.0000000000000044E-2</v>
      </c>
    </row>
    <row r="279" spans="1:60" ht="12.75" customHeight="1">
      <c r="A279" s="67" t="s">
        <v>88</v>
      </c>
      <c r="B279" s="119" t="s">
        <v>41</v>
      </c>
      <c r="C279" s="78" t="s">
        <v>49</v>
      </c>
      <c r="D279" s="78" t="s">
        <v>49</v>
      </c>
      <c r="E279" s="78" t="s">
        <v>49</v>
      </c>
      <c r="F279" s="78" t="s">
        <v>49</v>
      </c>
      <c r="G279" s="119" t="s">
        <v>41</v>
      </c>
      <c r="H279" s="78" t="s">
        <v>49</v>
      </c>
      <c r="I279" s="78" t="s">
        <v>49</v>
      </c>
      <c r="J279" s="78" t="s">
        <v>49</v>
      </c>
      <c r="K279" s="78" t="s">
        <v>49</v>
      </c>
      <c r="L279" s="36">
        <v>96</v>
      </c>
      <c r="M279" s="78" t="s">
        <v>49</v>
      </c>
      <c r="N279" s="78" t="s">
        <v>49</v>
      </c>
      <c r="O279" s="78" t="s">
        <v>49</v>
      </c>
      <c r="P279" s="78" t="s">
        <v>49</v>
      </c>
      <c r="Q279" s="36">
        <v>101</v>
      </c>
      <c r="R279" s="68">
        <v>21</v>
      </c>
      <c r="S279" s="68">
        <v>20</v>
      </c>
      <c r="T279" s="68">
        <v>22</v>
      </c>
      <c r="U279" s="68">
        <f>V279-R279-S279-T279</f>
        <v>15</v>
      </c>
      <c r="V279" s="36">
        <v>78</v>
      </c>
      <c r="W279" s="68">
        <v>19</v>
      </c>
      <c r="X279" s="68">
        <v>18</v>
      </c>
      <c r="Y279" s="68">
        <v>25</v>
      </c>
      <c r="Z279" s="68">
        <f>AA279-W279-X279-Y279</f>
        <v>21</v>
      </c>
      <c r="AA279" s="36">
        <v>83</v>
      </c>
      <c r="AB279" s="68">
        <v>20</v>
      </c>
      <c r="AC279" s="68">
        <v>19</v>
      </c>
      <c r="AD279" s="68">
        <v>18</v>
      </c>
      <c r="AE279" s="68">
        <f>AF279-AB279-AC279-AD279</f>
        <v>19</v>
      </c>
      <c r="AF279" s="36">
        <v>76</v>
      </c>
      <c r="AG279" s="68">
        <v>17</v>
      </c>
      <c r="AH279" s="68">
        <v>19</v>
      </c>
      <c r="AI279" s="68">
        <v>20</v>
      </c>
      <c r="AJ279" s="68">
        <f>AK279-AG279-AH279-AI279</f>
        <v>20</v>
      </c>
      <c r="AK279" s="36">
        <v>76</v>
      </c>
      <c r="AL279" s="68">
        <v>17</v>
      </c>
      <c r="AM279" s="68">
        <v>19</v>
      </c>
      <c r="AN279" s="68">
        <v>21</v>
      </c>
      <c r="AO279" s="68">
        <v>21</v>
      </c>
      <c r="AP279" s="36">
        <v>78</v>
      </c>
      <c r="AQ279" s="68">
        <v>17</v>
      </c>
      <c r="AR279" s="68">
        <v>18</v>
      </c>
      <c r="AS279" s="68">
        <v>18</v>
      </c>
      <c r="AT279" s="68">
        <v>19</v>
      </c>
      <c r="AU279" s="36">
        <v>72</v>
      </c>
      <c r="AV279" s="68">
        <v>18</v>
      </c>
      <c r="AW279" s="68">
        <v>17</v>
      </c>
      <c r="AX279" s="68">
        <v>18</v>
      </c>
      <c r="AY279" s="68">
        <v>16</v>
      </c>
      <c r="AZ279" s="36">
        <v>69</v>
      </c>
      <c r="BA279" s="68">
        <v>7</v>
      </c>
      <c r="BB279" s="68">
        <v>8</v>
      </c>
      <c r="BC279" s="68">
        <v>9</v>
      </c>
      <c r="BD279" s="68">
        <v>13</v>
      </c>
      <c r="BE279" s="36">
        <v>37</v>
      </c>
      <c r="BF279" s="68">
        <v>8</v>
      </c>
      <c r="BG279" s="68">
        <v>9</v>
      </c>
      <c r="BH279" s="68">
        <v>9</v>
      </c>
    </row>
    <row r="280" spans="1:60" ht="12.75" customHeight="1">
      <c r="A280" s="69" t="s">
        <v>7</v>
      </c>
      <c r="B280" s="23"/>
      <c r="C280" s="70"/>
      <c r="D280" s="70"/>
      <c r="E280" s="70"/>
      <c r="F280" s="70"/>
      <c r="G280" s="23"/>
      <c r="H280" s="70"/>
      <c r="I280" s="70"/>
      <c r="J280" s="70"/>
      <c r="K280" s="70"/>
      <c r="L280" s="23"/>
      <c r="M280" s="70"/>
      <c r="N280" s="70"/>
      <c r="O280" s="70"/>
      <c r="P280" s="70"/>
      <c r="Q280" s="23"/>
      <c r="R280" s="70"/>
      <c r="S280" s="70">
        <f>S279/R279-1</f>
        <v>-4.7619047619047672E-2</v>
      </c>
      <c r="T280" s="70">
        <f>T279/S279-1</f>
        <v>0.10000000000000009</v>
      </c>
      <c r="U280" s="70">
        <f>U279/T279-1</f>
        <v>-0.31818181818181823</v>
      </c>
      <c r="V280" s="23"/>
      <c r="W280" s="70">
        <f>W279/U279-1</f>
        <v>0.26666666666666661</v>
      </c>
      <c r="X280" s="70">
        <f>X279/W279-1</f>
        <v>-5.2631578947368474E-2</v>
      </c>
      <c r="Y280" s="70">
        <f>Y279/X279-1</f>
        <v>0.38888888888888884</v>
      </c>
      <c r="Z280" s="70">
        <f>Z279/Y279-1</f>
        <v>-0.16000000000000003</v>
      </c>
      <c r="AA280" s="23"/>
      <c r="AB280" s="70">
        <f>AB279/Z279-1</f>
        <v>-4.7619047619047672E-2</v>
      </c>
      <c r="AC280" s="70">
        <f>AC279/AB279-1</f>
        <v>-5.0000000000000044E-2</v>
      </c>
      <c r="AD280" s="70">
        <f>AD279/AC279-1</f>
        <v>-5.2631578947368474E-2</v>
      </c>
      <c r="AE280" s="70">
        <f>AE279/AD279-1</f>
        <v>5.555555555555558E-2</v>
      </c>
      <c r="AF280" s="23"/>
      <c r="AG280" s="70">
        <f>AG279/AE279-1</f>
        <v>-0.10526315789473684</v>
      </c>
      <c r="AH280" s="70">
        <f>AH279/AG279-1</f>
        <v>0.11764705882352944</v>
      </c>
      <c r="AI280" s="70">
        <f>AI279/AH279-1</f>
        <v>5.2631578947368363E-2</v>
      </c>
      <c r="AJ280" s="70">
        <f>AJ279/AI279-1</f>
        <v>0</v>
      </c>
      <c r="AK280" s="23"/>
      <c r="AL280" s="70">
        <v>-0.15000000000000002</v>
      </c>
      <c r="AM280" s="70">
        <v>0.11764705882352944</v>
      </c>
      <c r="AN280" s="70">
        <v>0.10526315789473695</v>
      </c>
      <c r="AO280" s="70">
        <v>0</v>
      </c>
      <c r="AP280" s="23"/>
      <c r="AQ280" s="70">
        <v>-0.19047619047619047</v>
      </c>
      <c r="AR280" s="70">
        <v>5.8823529411764719E-2</v>
      </c>
      <c r="AS280" s="70">
        <v>0</v>
      </c>
      <c r="AT280" s="70">
        <v>5.555555555555558E-2</v>
      </c>
      <c r="AU280" s="23"/>
      <c r="AV280" s="70">
        <v>-5.2631578947368474E-2</v>
      </c>
      <c r="AW280" s="70">
        <v>-5.555555555555558E-2</v>
      </c>
      <c r="AX280" s="70">
        <v>5.8823529411764719E-2</v>
      </c>
      <c r="AY280" s="70">
        <v>-0.11111111111111116</v>
      </c>
      <c r="AZ280" s="23"/>
      <c r="BA280" s="70">
        <v>-0.5625</v>
      </c>
      <c r="BB280" s="70">
        <v>0.14285714285714279</v>
      </c>
      <c r="BC280" s="70">
        <v>0.125</v>
      </c>
      <c r="BD280" s="70">
        <v>0.44444444444444442</v>
      </c>
      <c r="BE280" s="23"/>
      <c r="BF280" s="70">
        <v>-0.38461538461538458</v>
      </c>
      <c r="BG280" s="70">
        <v>0.125</v>
      </c>
      <c r="BH280" s="70">
        <v>0</v>
      </c>
    </row>
    <row r="281" spans="1:60" ht="12.75" customHeight="1">
      <c r="A281" s="69" t="s">
        <v>8</v>
      </c>
      <c r="B281" s="23"/>
      <c r="C281" s="71"/>
      <c r="D281" s="71"/>
      <c r="E281" s="71"/>
      <c r="F281" s="71"/>
      <c r="G281" s="23"/>
      <c r="H281" s="71"/>
      <c r="I281" s="71"/>
      <c r="J281" s="71"/>
      <c r="K281" s="71"/>
      <c r="L281" s="23"/>
      <c r="M281" s="71"/>
      <c r="N281" s="71"/>
      <c r="O281" s="71"/>
      <c r="P281" s="71"/>
      <c r="Q281" s="23">
        <f>Q279/L279-1</f>
        <v>5.2083333333333259E-2</v>
      </c>
      <c r="R281" s="71"/>
      <c r="S281" s="71"/>
      <c r="T281" s="71"/>
      <c r="U281" s="71"/>
      <c r="V281" s="23">
        <f t="shared" ref="V281:AJ281" si="242">V279/Q279-1</f>
        <v>-0.2277227722772277</v>
      </c>
      <c r="W281" s="71">
        <f t="shared" si="242"/>
        <v>-9.5238095238095233E-2</v>
      </c>
      <c r="X281" s="71">
        <f t="shared" si="242"/>
        <v>-9.9999999999999978E-2</v>
      </c>
      <c r="Y281" s="71">
        <f t="shared" si="242"/>
        <v>0.13636363636363646</v>
      </c>
      <c r="Z281" s="71">
        <f t="shared" si="242"/>
        <v>0.39999999999999991</v>
      </c>
      <c r="AA281" s="23">
        <f t="shared" si="242"/>
        <v>6.4102564102564097E-2</v>
      </c>
      <c r="AB281" s="71">
        <f t="shared" si="242"/>
        <v>5.2631578947368363E-2</v>
      </c>
      <c r="AC281" s="71">
        <f t="shared" si="242"/>
        <v>5.555555555555558E-2</v>
      </c>
      <c r="AD281" s="71">
        <f t="shared" si="242"/>
        <v>-0.28000000000000003</v>
      </c>
      <c r="AE281" s="71">
        <f t="shared" si="242"/>
        <v>-9.5238095238095233E-2</v>
      </c>
      <c r="AF281" s="23">
        <f t="shared" si="242"/>
        <v>-8.4337349397590411E-2</v>
      </c>
      <c r="AG281" s="71">
        <f t="shared" si="242"/>
        <v>-0.15000000000000002</v>
      </c>
      <c r="AH281" s="71">
        <f t="shared" si="242"/>
        <v>0</v>
      </c>
      <c r="AI281" s="71">
        <f t="shared" si="242"/>
        <v>0.11111111111111116</v>
      </c>
      <c r="AJ281" s="71">
        <f t="shared" si="242"/>
        <v>5.2631578947368363E-2</v>
      </c>
      <c r="AK281" s="23">
        <v>0</v>
      </c>
      <c r="AL281" s="71">
        <v>0</v>
      </c>
      <c r="AM281" s="71">
        <v>0</v>
      </c>
      <c r="AN281" s="71">
        <v>5.0000000000000044E-2</v>
      </c>
      <c r="AO281" s="71">
        <v>5.0000000000000044E-2</v>
      </c>
      <c r="AP281" s="23">
        <v>2.6315789473684292E-2</v>
      </c>
      <c r="AQ281" s="71">
        <v>0</v>
      </c>
      <c r="AR281" s="71">
        <v>-5.2631578947368474E-2</v>
      </c>
      <c r="AS281" s="71">
        <v>-0.1428571428571429</v>
      </c>
      <c r="AT281" s="71">
        <v>-9.5238095238095233E-2</v>
      </c>
      <c r="AU281" s="23">
        <v>-7.6923076923076872E-2</v>
      </c>
      <c r="AV281" s="71">
        <v>5.8823529411764719E-2</v>
      </c>
      <c r="AW281" s="71">
        <v>-5.555555555555558E-2</v>
      </c>
      <c r="AX281" s="71">
        <v>0</v>
      </c>
      <c r="AY281" s="71">
        <v>-0.15789473684210531</v>
      </c>
      <c r="AZ281" s="23">
        <v>-4.166666666666663E-2</v>
      </c>
      <c r="BA281" s="71">
        <v>-0.61111111111111116</v>
      </c>
      <c r="BB281" s="71">
        <v>-0.52941176470588236</v>
      </c>
      <c r="BC281" s="71">
        <v>-0.5</v>
      </c>
      <c r="BD281" s="71">
        <v>-0.1875</v>
      </c>
      <c r="BE281" s="23">
        <v>-0.46376811594202894</v>
      </c>
      <c r="BF281" s="71">
        <v>0.14285714285714279</v>
      </c>
      <c r="BG281" s="71">
        <v>0.125</v>
      </c>
      <c r="BH281" s="71">
        <v>0</v>
      </c>
    </row>
    <row r="282" spans="1:60" ht="12.75" hidden="1" customHeight="1">
      <c r="A282" s="67" t="s">
        <v>138</v>
      </c>
      <c r="B282" s="119" t="s">
        <v>41</v>
      </c>
      <c r="C282" s="78" t="s">
        <v>49</v>
      </c>
      <c r="D282" s="78" t="s">
        <v>49</v>
      </c>
      <c r="E282" s="78" t="s">
        <v>49</v>
      </c>
      <c r="F282" s="78" t="s">
        <v>49</v>
      </c>
      <c r="G282" s="119" t="s">
        <v>41</v>
      </c>
      <c r="H282" s="78" t="s">
        <v>49</v>
      </c>
      <c r="I282" s="78" t="s">
        <v>49</v>
      </c>
      <c r="J282" s="78" t="s">
        <v>49</v>
      </c>
      <c r="K282" s="78" t="s">
        <v>49</v>
      </c>
      <c r="L282" s="36">
        <v>51</v>
      </c>
      <c r="M282" s="78" t="s">
        <v>49</v>
      </c>
      <c r="N282" s="78" t="s">
        <v>49</v>
      </c>
      <c r="O282" s="78" t="s">
        <v>49</v>
      </c>
      <c r="P282" s="78" t="s">
        <v>49</v>
      </c>
      <c r="Q282" s="36">
        <v>53</v>
      </c>
      <c r="R282" s="68">
        <v>20</v>
      </c>
      <c r="S282" s="68">
        <v>18</v>
      </c>
      <c r="T282" s="68">
        <v>20</v>
      </c>
      <c r="U282" s="68">
        <f>V282-R282-S282-T282</f>
        <v>18</v>
      </c>
      <c r="V282" s="36">
        <v>76</v>
      </c>
      <c r="W282" s="68">
        <v>28</v>
      </c>
      <c r="X282" s="68">
        <v>26</v>
      </c>
      <c r="Y282" s="68">
        <v>16</v>
      </c>
      <c r="Z282" s="68">
        <f>AA282-W282-X282-Y282</f>
        <v>11</v>
      </c>
      <c r="AA282" s="36">
        <v>81</v>
      </c>
      <c r="AB282" s="68">
        <v>7</v>
      </c>
      <c r="AC282" s="68">
        <v>6</v>
      </c>
      <c r="AD282" s="68">
        <v>6</v>
      </c>
      <c r="AE282" s="68">
        <f>AF282-AB282-AC282-AD282</f>
        <v>7</v>
      </c>
      <c r="AF282" s="36">
        <v>26</v>
      </c>
      <c r="AG282" s="68">
        <v>0</v>
      </c>
      <c r="AH282" s="74">
        <v>0</v>
      </c>
      <c r="AI282" s="74">
        <v>0</v>
      </c>
      <c r="AJ282" s="74">
        <v>0</v>
      </c>
      <c r="AK282" s="61"/>
      <c r="AL282" s="74"/>
      <c r="AM282" s="74"/>
      <c r="AN282" s="74"/>
      <c r="AO282" s="74"/>
      <c r="AP282" s="61"/>
      <c r="AQ282" s="74"/>
      <c r="AR282" s="74"/>
      <c r="AS282" s="74"/>
      <c r="AT282" s="74"/>
      <c r="AU282" s="61"/>
      <c r="AV282" s="74"/>
      <c r="AW282" s="74"/>
      <c r="AX282" s="74"/>
      <c r="AY282" s="74"/>
      <c r="AZ282" s="61"/>
      <c r="BA282" s="74"/>
      <c r="BB282" s="74"/>
      <c r="BC282" s="74"/>
      <c r="BD282" s="74"/>
      <c r="BE282" s="61"/>
      <c r="BF282" s="74"/>
      <c r="BG282" s="74"/>
      <c r="BH282" s="74"/>
    </row>
    <row r="283" spans="1:60" ht="12.75" hidden="1" customHeight="1">
      <c r="A283" s="69" t="s">
        <v>7</v>
      </c>
      <c r="B283" s="23"/>
      <c r="C283" s="70"/>
      <c r="D283" s="70"/>
      <c r="E283" s="70"/>
      <c r="F283" s="70"/>
      <c r="G283" s="23"/>
      <c r="H283" s="70"/>
      <c r="I283" s="70"/>
      <c r="J283" s="70"/>
      <c r="K283" s="70"/>
      <c r="L283" s="23"/>
      <c r="M283" s="70"/>
      <c r="N283" s="70"/>
      <c r="O283" s="70"/>
      <c r="P283" s="70"/>
      <c r="Q283" s="23"/>
      <c r="R283" s="70"/>
      <c r="S283" s="70">
        <f>S282/R282-1</f>
        <v>-9.9999999999999978E-2</v>
      </c>
      <c r="T283" s="70">
        <f>T282/S282-1</f>
        <v>0.11111111111111116</v>
      </c>
      <c r="U283" s="70">
        <f>U282/T282-1</f>
        <v>-9.9999999999999978E-2</v>
      </c>
      <c r="V283" s="23"/>
      <c r="W283" s="70">
        <f>W282/U282-1</f>
        <v>0.55555555555555558</v>
      </c>
      <c r="X283" s="70">
        <f>X282/W282-1</f>
        <v>-7.1428571428571397E-2</v>
      </c>
      <c r="Y283" s="70">
        <f>Y282/X282-1</f>
        <v>-0.38461538461538458</v>
      </c>
      <c r="Z283" s="70">
        <f>Z282/Y282-1</f>
        <v>-0.3125</v>
      </c>
      <c r="AA283" s="23"/>
      <c r="AB283" s="70">
        <f>AB282/Z282-1</f>
        <v>-0.36363636363636365</v>
      </c>
      <c r="AC283" s="70">
        <f>AC282/AB282-1</f>
        <v>-0.1428571428571429</v>
      </c>
      <c r="AD283" s="70">
        <f>AD282/AC282-1</f>
        <v>0</v>
      </c>
      <c r="AE283" s="70">
        <f>AE282/AD282-1</f>
        <v>0.16666666666666674</v>
      </c>
      <c r="AF283" s="23"/>
      <c r="AG283" s="83" t="s">
        <v>40</v>
      </c>
      <c r="AH283" s="83" t="s">
        <v>40</v>
      </c>
      <c r="AI283" s="83" t="s">
        <v>40</v>
      </c>
      <c r="AJ283" s="83" t="s">
        <v>40</v>
      </c>
      <c r="AK283" s="23"/>
      <c r="AL283" s="83"/>
      <c r="AM283" s="83"/>
      <c r="AN283" s="83"/>
      <c r="AO283" s="83"/>
      <c r="AP283" s="23"/>
      <c r="AQ283" s="83"/>
      <c r="AR283" s="83"/>
      <c r="AS283" s="83"/>
      <c r="AT283" s="83"/>
      <c r="AU283" s="23"/>
      <c r="AV283" s="83"/>
      <c r="AW283" s="83"/>
      <c r="AX283" s="83"/>
      <c r="AY283" s="83"/>
      <c r="AZ283" s="23"/>
      <c r="BA283" s="83"/>
      <c r="BB283" s="83"/>
      <c r="BC283" s="83"/>
      <c r="BD283" s="83"/>
      <c r="BE283" s="23"/>
      <c r="BF283" s="83"/>
      <c r="BG283" s="83"/>
      <c r="BH283" s="83"/>
    </row>
    <row r="284" spans="1:60" ht="11.7" hidden="1" customHeight="1">
      <c r="A284" s="69" t="s">
        <v>8</v>
      </c>
      <c r="B284" s="23"/>
      <c r="C284" s="71"/>
      <c r="D284" s="71"/>
      <c r="E284" s="71"/>
      <c r="F284" s="71"/>
      <c r="G284" s="23"/>
      <c r="H284" s="71"/>
      <c r="I284" s="71"/>
      <c r="J284" s="71"/>
      <c r="K284" s="71"/>
      <c r="L284" s="23"/>
      <c r="M284" s="71"/>
      <c r="N284" s="71"/>
      <c r="O284" s="71"/>
      <c r="P284" s="71"/>
      <c r="Q284" s="23">
        <f>Q282/L282-1</f>
        <v>3.9215686274509887E-2</v>
      </c>
      <c r="R284" s="71"/>
      <c r="S284" s="71"/>
      <c r="T284" s="71"/>
      <c r="U284" s="71"/>
      <c r="V284" s="23">
        <f t="shared" ref="V284:AD284" si="243">V282/Q282-1</f>
        <v>0.4339622641509433</v>
      </c>
      <c r="W284" s="71">
        <f t="shared" si="243"/>
        <v>0.39999999999999991</v>
      </c>
      <c r="X284" s="71">
        <f t="shared" si="243"/>
        <v>0.44444444444444442</v>
      </c>
      <c r="Y284" s="71">
        <f t="shared" si="243"/>
        <v>-0.19999999999999996</v>
      </c>
      <c r="Z284" s="71">
        <f t="shared" si="243"/>
        <v>-0.38888888888888884</v>
      </c>
      <c r="AA284" s="23">
        <f t="shared" si="243"/>
        <v>6.578947368421062E-2</v>
      </c>
      <c r="AB284" s="71">
        <f t="shared" si="243"/>
        <v>-0.75</v>
      </c>
      <c r="AC284" s="71">
        <f t="shared" si="243"/>
        <v>-0.76923076923076916</v>
      </c>
      <c r="AD284" s="71">
        <f t="shared" si="243"/>
        <v>-0.625</v>
      </c>
      <c r="AE284" s="71">
        <f>AE282/Z282-1</f>
        <v>-0.36363636363636365</v>
      </c>
      <c r="AF284" s="23">
        <f>AF282/AA282-1</f>
        <v>-0.67901234567901236</v>
      </c>
      <c r="AG284" s="83" t="s">
        <v>40</v>
      </c>
      <c r="AH284" s="83" t="s">
        <v>40</v>
      </c>
      <c r="AI284" s="83" t="s">
        <v>40</v>
      </c>
      <c r="AJ284" s="83" t="s">
        <v>40</v>
      </c>
      <c r="AK284" s="90"/>
      <c r="AL284" s="83"/>
      <c r="AM284" s="83"/>
      <c r="AN284" s="83"/>
      <c r="AO284" s="83"/>
      <c r="AP284" s="90"/>
      <c r="AQ284" s="83"/>
      <c r="AR284" s="83"/>
      <c r="AS284" s="83"/>
      <c r="AT284" s="83"/>
      <c r="AU284" s="90"/>
      <c r="AV284" s="83"/>
      <c r="AW284" s="83"/>
      <c r="AX284" s="83"/>
      <c r="AY284" s="83"/>
      <c r="AZ284" s="90"/>
      <c r="BA284" s="83"/>
      <c r="BB284" s="83"/>
      <c r="BC284" s="83"/>
      <c r="BD284" s="83"/>
      <c r="BE284" s="90"/>
      <c r="BF284" s="83"/>
      <c r="BG284" s="83"/>
      <c r="BH284" s="83"/>
    </row>
    <row r="285" spans="1:60" ht="6"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row>
    <row r="286" spans="1:60" ht="21">
      <c r="A286" s="34" t="s">
        <v>3</v>
      </c>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row>
    <row r="287" spans="1:60">
      <c r="A287" s="39" t="s">
        <v>78</v>
      </c>
      <c r="B287" s="40"/>
      <c r="C287" s="41"/>
      <c r="D287" s="41"/>
      <c r="E287" s="41"/>
      <c r="F287" s="41"/>
      <c r="G287" s="40"/>
      <c r="H287" s="41"/>
      <c r="I287" s="41"/>
      <c r="J287" s="41"/>
      <c r="K287" s="41"/>
      <c r="L287" s="40"/>
      <c r="M287" s="41"/>
      <c r="N287" s="41"/>
      <c r="O287" s="41"/>
      <c r="P287" s="41"/>
      <c r="Q287" s="40"/>
      <c r="R287" s="41"/>
      <c r="S287" s="41"/>
      <c r="T287" s="41"/>
      <c r="U287" s="41"/>
      <c r="V287" s="40"/>
      <c r="W287" s="41"/>
      <c r="X287" s="41"/>
      <c r="Y287" s="41"/>
      <c r="Z287" s="41"/>
      <c r="AA287" s="40"/>
      <c r="AB287" s="41"/>
      <c r="AC287" s="41"/>
      <c r="AD287" s="41"/>
      <c r="AE287" s="41"/>
      <c r="AF287" s="40"/>
      <c r="AG287" s="41"/>
      <c r="AH287" s="41"/>
      <c r="AI287" s="41"/>
      <c r="AJ287" s="41"/>
      <c r="AK287" s="40"/>
      <c r="AL287" s="41"/>
      <c r="AM287" s="41"/>
      <c r="AN287" s="41"/>
      <c r="AO287" s="41"/>
      <c r="AP287" s="40"/>
      <c r="AQ287" s="41"/>
      <c r="AR287" s="41"/>
      <c r="AS287" s="41"/>
      <c r="AT287" s="41"/>
      <c r="AU287" s="40"/>
      <c r="AV287" s="41"/>
      <c r="AW287" s="41"/>
      <c r="AX287" s="41"/>
      <c r="AY287" s="41"/>
      <c r="AZ287" s="40"/>
      <c r="BA287" s="41"/>
      <c r="BB287" s="41"/>
      <c r="BC287" s="41"/>
      <c r="BD287" s="41"/>
      <c r="BE287" s="40"/>
      <c r="BF287" s="41"/>
      <c r="BG287" s="41"/>
      <c r="BH287" s="41"/>
    </row>
    <row r="288" spans="1:60">
      <c r="A288" s="67" t="s">
        <v>59</v>
      </c>
      <c r="B288" s="36">
        <f>B291+B294</f>
        <v>4684</v>
      </c>
      <c r="C288" s="68">
        <v>1173</v>
      </c>
      <c r="D288" s="68">
        <v>1188</v>
      </c>
      <c r="E288" s="68">
        <v>1214</v>
      </c>
      <c r="F288" s="68">
        <f>G288-E288-D288-C288</f>
        <v>1138</v>
      </c>
      <c r="G288" s="36">
        <f>G291+G294</f>
        <v>4713</v>
      </c>
      <c r="H288" s="68">
        <f>H291+H294</f>
        <v>1265</v>
      </c>
      <c r="I288" s="68">
        <f>I291+I294</f>
        <v>1346</v>
      </c>
      <c r="J288" s="68">
        <f>J291+J294</f>
        <v>1372</v>
      </c>
      <c r="K288" s="68">
        <f>L288-J288-I288-H288</f>
        <v>1393</v>
      </c>
      <c r="L288" s="36">
        <f>L291+L294</f>
        <v>5376</v>
      </c>
      <c r="M288" s="68">
        <f>M291+M294</f>
        <v>1393</v>
      </c>
      <c r="N288" s="68">
        <f>N291+N294</f>
        <v>1429</v>
      </c>
      <c r="O288" s="68">
        <f>O291+O294</f>
        <v>1442</v>
      </c>
      <c r="P288" s="68">
        <f>Q288-O288-N288-M288</f>
        <v>1468</v>
      </c>
      <c r="Q288" s="36">
        <f>Q291+Q294</f>
        <v>5732</v>
      </c>
      <c r="R288" s="68">
        <f>R291+R294</f>
        <v>1450</v>
      </c>
      <c r="S288" s="68">
        <v>1438</v>
      </c>
      <c r="T288" s="68">
        <f>T291+T294</f>
        <v>1421</v>
      </c>
      <c r="U288" s="68">
        <f>V288-T288-S288-R288</f>
        <v>1239</v>
      </c>
      <c r="V288" s="36">
        <v>5548</v>
      </c>
      <c r="W288" s="68">
        <f>W291+W294</f>
        <v>1244</v>
      </c>
      <c r="X288" s="68">
        <v>1148</v>
      </c>
      <c r="Y288" s="68">
        <f>Y291+Y294</f>
        <v>1049</v>
      </c>
      <c r="Z288" s="68">
        <f>AA288-Y288-X288-W288</f>
        <v>1027</v>
      </c>
      <c r="AA288" s="36">
        <f>AA291+AA294</f>
        <v>4468</v>
      </c>
      <c r="AB288" s="68">
        <f>AB291+AB294</f>
        <v>964</v>
      </c>
      <c r="AC288" s="68">
        <f>AC291+AC294</f>
        <v>915</v>
      </c>
      <c r="AD288" s="68">
        <f>AD291+AD294</f>
        <v>947</v>
      </c>
      <c r="AE288" s="68">
        <f>AF288-AD288-AC288-AB288</f>
        <v>983</v>
      </c>
      <c r="AF288" s="36">
        <f>AF291+AF294</f>
        <v>3809</v>
      </c>
      <c r="AG288" s="68">
        <f>AG291+AG294</f>
        <v>917</v>
      </c>
      <c r="AH288" s="68">
        <f>AH291+AH294</f>
        <v>843</v>
      </c>
      <c r="AI288" s="68">
        <f>AI291+AI294</f>
        <v>824</v>
      </c>
      <c r="AJ288" s="68">
        <f>AK288-AI288-AH288-AG288</f>
        <v>835</v>
      </c>
      <c r="AK288" s="36">
        <v>3419</v>
      </c>
      <c r="AL288" s="68">
        <v>727</v>
      </c>
      <c r="AM288" s="68">
        <v>721</v>
      </c>
      <c r="AN288" s="68">
        <v>729</v>
      </c>
      <c r="AO288" s="68">
        <v>713</v>
      </c>
      <c r="AP288" s="36">
        <v>2890</v>
      </c>
      <c r="AQ288" s="68">
        <v>671</v>
      </c>
      <c r="AR288" s="68">
        <v>658</v>
      </c>
      <c r="AS288" s="68">
        <v>649</v>
      </c>
      <c r="AT288" s="68">
        <v>652</v>
      </c>
      <c r="AU288" s="36">
        <v>2630</v>
      </c>
      <c r="AV288" s="68">
        <v>628</v>
      </c>
      <c r="AW288" s="68">
        <v>632</v>
      </c>
      <c r="AX288" s="68">
        <v>635</v>
      </c>
      <c r="AY288" s="68">
        <v>651</v>
      </c>
      <c r="AZ288" s="36">
        <v>2546</v>
      </c>
      <c r="BA288" s="68">
        <v>619</v>
      </c>
      <c r="BB288" s="68">
        <v>602</v>
      </c>
      <c r="BC288" s="68">
        <v>604</v>
      </c>
      <c r="BD288" s="68">
        <v>618</v>
      </c>
      <c r="BE288" s="36">
        <v>2443</v>
      </c>
      <c r="BF288" s="68">
        <v>578</v>
      </c>
      <c r="BG288" s="68">
        <v>570</v>
      </c>
      <c r="BH288" s="68">
        <v>612</v>
      </c>
    </row>
    <row r="289" spans="1:60" ht="11.25" customHeight="1">
      <c r="A289" s="69" t="s">
        <v>7</v>
      </c>
      <c r="B289" s="23"/>
      <c r="C289" s="70"/>
      <c r="D289" s="70">
        <f>D288/C288-1</f>
        <v>1.2787723785166349E-2</v>
      </c>
      <c r="E289" s="70">
        <f>E288/D288-1</f>
        <v>2.1885521885521841E-2</v>
      </c>
      <c r="F289" s="70">
        <f>F288/E288-1</f>
        <v>-6.2602965403624422E-2</v>
      </c>
      <c r="G289" s="23"/>
      <c r="H289" s="70">
        <f>H288/F288-1</f>
        <v>0.11159929701230231</v>
      </c>
      <c r="I289" s="70">
        <f>I288/H288-1</f>
        <v>6.4031620553359758E-2</v>
      </c>
      <c r="J289" s="70">
        <f>J288/I288-1</f>
        <v>1.9316493313521477E-2</v>
      </c>
      <c r="K289" s="70">
        <f>K288/J288-1</f>
        <v>1.5306122448979664E-2</v>
      </c>
      <c r="L289" s="23"/>
      <c r="M289" s="70">
        <f>M288/K288-1</f>
        <v>0</v>
      </c>
      <c r="N289" s="70">
        <f>N288/M288-1</f>
        <v>2.5843503230437825E-2</v>
      </c>
      <c r="O289" s="70">
        <f>O288/N288-1</f>
        <v>9.0972708187544438E-3</v>
      </c>
      <c r="P289" s="70">
        <f>P288/O288-1</f>
        <v>1.8030513176144236E-2</v>
      </c>
      <c r="Q289" s="23"/>
      <c r="R289" s="70">
        <f>R288/P288-1</f>
        <v>-1.2261580381471404E-2</v>
      </c>
      <c r="S289" s="70">
        <f>S288/R288-1</f>
        <v>-8.2758620689654672E-3</v>
      </c>
      <c r="T289" s="70">
        <f>T288/S288-1</f>
        <v>-1.182197496522952E-2</v>
      </c>
      <c r="U289" s="70">
        <f>U288/T288-1</f>
        <v>-0.1280788177339901</v>
      </c>
      <c r="V289" s="23"/>
      <c r="W289" s="70">
        <f>W288/U288-1</f>
        <v>4.0355125100888234E-3</v>
      </c>
      <c r="X289" s="70">
        <f>X288/W288-1</f>
        <v>-7.7170418006430874E-2</v>
      </c>
      <c r="Y289" s="70">
        <f>Y288/X288-1</f>
        <v>-8.6236933797909421E-2</v>
      </c>
      <c r="Z289" s="70">
        <f>Z288/Y288-1</f>
        <v>-2.0972354623450928E-2</v>
      </c>
      <c r="AA289" s="23"/>
      <c r="AB289" s="70">
        <f>AB288/Z288-1</f>
        <v>-6.1343719571567701E-2</v>
      </c>
      <c r="AC289" s="70">
        <f>AC288/AB288-1</f>
        <v>-5.0829875518672241E-2</v>
      </c>
      <c r="AD289" s="70">
        <f>AD288/AC288-1</f>
        <v>3.4972677595628499E-2</v>
      </c>
      <c r="AE289" s="70">
        <f>AE288/AD288-1</f>
        <v>3.8014783526927109E-2</v>
      </c>
      <c r="AF289" s="23"/>
      <c r="AG289" s="70">
        <f>AG288/AE288-1</f>
        <v>-6.7141403865717209E-2</v>
      </c>
      <c r="AH289" s="70">
        <f>AH288/AG288-1</f>
        <v>-8.0697928026172261E-2</v>
      </c>
      <c r="AI289" s="70">
        <f>AI288/AH288-1</f>
        <v>-2.2538552787663146E-2</v>
      </c>
      <c r="AJ289" s="70">
        <f>AJ288/AI288-1</f>
        <v>1.3349514563106846E-2</v>
      </c>
      <c r="AK289" s="23"/>
      <c r="AL289" s="70">
        <v>-0.12934131736526944</v>
      </c>
      <c r="AM289" s="70">
        <v>-8.2530949105914519E-3</v>
      </c>
      <c r="AN289" s="70">
        <v>1.1095700416088761E-2</v>
      </c>
      <c r="AO289" s="70">
        <v>-2.1947873799725626E-2</v>
      </c>
      <c r="AP289" s="23"/>
      <c r="AQ289" s="70">
        <v>-5.8906030855540026E-2</v>
      </c>
      <c r="AR289" s="70">
        <v>-1.9374068554396384E-2</v>
      </c>
      <c r="AS289" s="70">
        <v>-1.3677811550152019E-2</v>
      </c>
      <c r="AT289" s="70">
        <v>4.6224961479199855E-3</v>
      </c>
      <c r="AU289" s="23"/>
      <c r="AV289" s="70">
        <v>-3.6809815950920255E-2</v>
      </c>
      <c r="AW289" s="70">
        <v>6.3694267515923553E-3</v>
      </c>
      <c r="AX289" s="70">
        <v>4.746835443038E-3</v>
      </c>
      <c r="AY289" s="70">
        <v>2.5196850393700787E-2</v>
      </c>
      <c r="AZ289" s="23"/>
      <c r="BA289" s="70">
        <v>-4.915514592933945E-2</v>
      </c>
      <c r="BB289" s="70">
        <v>-2.7463651050080751E-2</v>
      </c>
      <c r="BC289" s="70">
        <v>3.3222591362125353E-3</v>
      </c>
      <c r="BD289" s="70">
        <v>2.3178807947019875E-2</v>
      </c>
      <c r="BE289" s="23"/>
      <c r="BF289" s="70">
        <v>-6.4724919093851141E-2</v>
      </c>
      <c r="BG289" s="70">
        <v>-1.384083044982698E-2</v>
      </c>
      <c r="BH289" s="70">
        <v>7.3684210526315796E-2</v>
      </c>
    </row>
    <row r="290" spans="1:60" ht="11.25" customHeight="1">
      <c r="A290" s="69" t="s">
        <v>8</v>
      </c>
      <c r="B290" s="23"/>
      <c r="C290" s="71"/>
      <c r="D290" s="71"/>
      <c r="E290" s="71"/>
      <c r="F290" s="71"/>
      <c r="G290" s="23">
        <f t="shared" ref="G290:N290" si="244">G288/B288-1</f>
        <v>6.1912894961571041E-3</v>
      </c>
      <c r="H290" s="71">
        <f t="shared" si="244"/>
        <v>7.8431372549019551E-2</v>
      </c>
      <c r="I290" s="71">
        <f t="shared" si="244"/>
        <v>0.132996632996633</v>
      </c>
      <c r="J290" s="71">
        <f t="shared" si="244"/>
        <v>0.13014827018121911</v>
      </c>
      <c r="K290" s="71">
        <f t="shared" si="244"/>
        <v>0.22407732864674879</v>
      </c>
      <c r="L290" s="23">
        <f t="shared" si="244"/>
        <v>0.14067472947167414</v>
      </c>
      <c r="M290" s="71">
        <f t="shared" si="244"/>
        <v>0.10118577075098822</v>
      </c>
      <c r="N290" s="71">
        <f t="shared" si="244"/>
        <v>6.1664190193164936E-2</v>
      </c>
      <c r="O290" s="71">
        <f t="shared" ref="O290:Y290" si="245">O288/J288-1</f>
        <v>5.1020408163265252E-2</v>
      </c>
      <c r="P290" s="71">
        <f t="shared" si="245"/>
        <v>5.3840631730079025E-2</v>
      </c>
      <c r="Q290" s="23">
        <f t="shared" si="245"/>
        <v>6.6220238095238138E-2</v>
      </c>
      <c r="R290" s="71">
        <f t="shared" si="245"/>
        <v>4.0918880114860112E-2</v>
      </c>
      <c r="S290" s="71">
        <f t="shared" si="245"/>
        <v>6.2981105668300508E-3</v>
      </c>
      <c r="T290" s="71">
        <f t="shared" si="245"/>
        <v>-1.4563106796116498E-2</v>
      </c>
      <c r="U290" s="71">
        <f t="shared" si="245"/>
        <v>-0.15599455040871935</v>
      </c>
      <c r="V290" s="23">
        <f t="shared" si="245"/>
        <v>-3.2100488485694356E-2</v>
      </c>
      <c r="W290" s="71">
        <f t="shared" si="245"/>
        <v>-0.14206896551724135</v>
      </c>
      <c r="X290" s="71">
        <f t="shared" si="245"/>
        <v>-0.20166898470097361</v>
      </c>
      <c r="Y290" s="71">
        <f t="shared" si="245"/>
        <v>-0.26178747361013366</v>
      </c>
      <c r="Z290" s="71">
        <f t="shared" ref="Z290:AI290" si="246">Z288/U288-1</f>
        <v>-0.17110573042776434</v>
      </c>
      <c r="AA290" s="23">
        <f t="shared" si="246"/>
        <v>-0.19466474405191059</v>
      </c>
      <c r="AB290" s="71">
        <f t="shared" si="246"/>
        <v>-0.22508038585209</v>
      </c>
      <c r="AC290" s="71">
        <f t="shared" si="246"/>
        <v>-0.20296167247386765</v>
      </c>
      <c r="AD290" s="71">
        <f t="shared" si="246"/>
        <v>-9.7235462345090617E-2</v>
      </c>
      <c r="AE290" s="71">
        <f t="shared" si="246"/>
        <v>-4.284323271665047E-2</v>
      </c>
      <c r="AF290" s="23">
        <f t="shared" si="246"/>
        <v>-0.14749328558639208</v>
      </c>
      <c r="AG290" s="71">
        <f t="shared" si="246"/>
        <v>-4.875518672199175E-2</v>
      </c>
      <c r="AH290" s="71">
        <f t="shared" si="246"/>
        <v>-7.8688524590163955E-2</v>
      </c>
      <c r="AI290" s="71">
        <f t="shared" si="246"/>
        <v>-0.12988384371700101</v>
      </c>
      <c r="AJ290" s="71">
        <f t="shared" ref="AJ290" si="247">AJ288/AE288-1</f>
        <v>-0.15055951169888093</v>
      </c>
      <c r="AK290" s="23">
        <v>-0.10238907849829348</v>
      </c>
      <c r="AL290" s="71">
        <v>-0.20719738276990185</v>
      </c>
      <c r="AM290" s="71">
        <v>-0.1447212336892052</v>
      </c>
      <c r="AN290" s="71">
        <v>-0.11529126213592233</v>
      </c>
      <c r="AO290" s="71">
        <v>-0.1461077844311377</v>
      </c>
      <c r="AP290" s="23">
        <v>-0.15472360339280489</v>
      </c>
      <c r="AQ290" s="71">
        <v>-7.7028885832187033E-2</v>
      </c>
      <c r="AR290" s="71">
        <v>-8.737864077669899E-2</v>
      </c>
      <c r="AS290" s="71">
        <v>-0.10973936899862824</v>
      </c>
      <c r="AT290" s="71">
        <v>-8.5553997194950937E-2</v>
      </c>
      <c r="AU290" s="23">
        <v>-8.9965397923875479E-2</v>
      </c>
      <c r="AV290" s="71">
        <v>-6.4083457526080467E-2</v>
      </c>
      <c r="AW290" s="71">
        <v>-3.951367781155013E-2</v>
      </c>
      <c r="AX290" s="71">
        <v>-2.1571648690292711E-2</v>
      </c>
      <c r="AY290" s="71">
        <v>-1.5337423312883347E-3</v>
      </c>
      <c r="AZ290" s="23">
        <v>-3.1939163498098888E-2</v>
      </c>
      <c r="BA290" s="71">
        <v>-1.4331210191082855E-2</v>
      </c>
      <c r="BB290" s="71">
        <v>-4.7468354430379778E-2</v>
      </c>
      <c r="BC290" s="71">
        <v>-4.8818897637795233E-2</v>
      </c>
      <c r="BD290" s="71">
        <v>-5.0691244239631339E-2</v>
      </c>
      <c r="BE290" s="23">
        <v>-4.0455616653574222E-2</v>
      </c>
      <c r="BF290" s="71">
        <v>-6.6235864297253588E-2</v>
      </c>
      <c r="BG290" s="71">
        <v>-5.3156146179402008E-2</v>
      </c>
      <c r="BH290" s="71">
        <v>1.3245033112582849E-2</v>
      </c>
    </row>
    <row r="291" spans="1:60">
      <c r="A291" s="67" t="s">
        <v>60</v>
      </c>
      <c r="B291" s="36">
        <v>3972</v>
      </c>
      <c r="C291" s="78" t="s">
        <v>49</v>
      </c>
      <c r="D291" s="78" t="s">
        <v>49</v>
      </c>
      <c r="E291" s="78" t="s">
        <v>49</v>
      </c>
      <c r="F291" s="78" t="s">
        <v>49</v>
      </c>
      <c r="G291" s="36">
        <v>4020</v>
      </c>
      <c r="H291" s="68">
        <v>1019</v>
      </c>
      <c r="I291" s="68">
        <v>1050</v>
      </c>
      <c r="J291" s="68">
        <v>1101</v>
      </c>
      <c r="K291" s="68">
        <f>L291-J291-I291-H291</f>
        <v>1086</v>
      </c>
      <c r="L291" s="36">
        <v>4256</v>
      </c>
      <c r="M291" s="68">
        <v>1106</v>
      </c>
      <c r="N291" s="68">
        <v>1140</v>
      </c>
      <c r="O291" s="68">
        <v>1159</v>
      </c>
      <c r="P291" s="68">
        <f>Q291-O291-N291-M291</f>
        <v>1145</v>
      </c>
      <c r="Q291" s="36">
        <v>4550</v>
      </c>
      <c r="R291" s="68">
        <v>949</v>
      </c>
      <c r="S291" s="68">
        <v>925</v>
      </c>
      <c r="T291" s="68">
        <v>914</v>
      </c>
      <c r="U291" s="68">
        <f>V291-T291-S291-R291</f>
        <v>849</v>
      </c>
      <c r="V291" s="36">
        <v>3637</v>
      </c>
      <c r="W291" s="68">
        <v>834</v>
      </c>
      <c r="X291" s="68">
        <v>857</v>
      </c>
      <c r="Y291" s="68">
        <v>816</v>
      </c>
      <c r="Z291" s="68">
        <f>AA291-Y291-X291-W291</f>
        <v>754</v>
      </c>
      <c r="AA291" s="36">
        <v>3261</v>
      </c>
      <c r="AB291" s="68">
        <v>714</v>
      </c>
      <c r="AC291" s="68">
        <v>696</v>
      </c>
      <c r="AD291" s="68">
        <v>710</v>
      </c>
      <c r="AE291" s="68">
        <f>AF291-AD291-AC291-AB291</f>
        <v>688</v>
      </c>
      <c r="AF291" s="36">
        <v>2808</v>
      </c>
      <c r="AG291" s="68">
        <v>637</v>
      </c>
      <c r="AH291" s="68">
        <v>622</v>
      </c>
      <c r="AI291" s="68">
        <v>610</v>
      </c>
      <c r="AJ291" s="68">
        <f>AK291-AI291-AH291-AG291</f>
        <v>584</v>
      </c>
      <c r="AK291" s="36">
        <v>2453</v>
      </c>
      <c r="AL291" s="68">
        <v>499</v>
      </c>
      <c r="AM291" s="68">
        <v>502</v>
      </c>
      <c r="AN291" s="68">
        <v>521</v>
      </c>
      <c r="AO291" s="68">
        <v>477</v>
      </c>
      <c r="AP291" s="36">
        <v>1999</v>
      </c>
      <c r="AQ291" s="68">
        <v>455</v>
      </c>
      <c r="AR291" s="68">
        <v>456</v>
      </c>
      <c r="AS291" s="68">
        <v>468</v>
      </c>
      <c r="AT291" s="68">
        <v>439</v>
      </c>
      <c r="AU291" s="36">
        <v>1818</v>
      </c>
      <c r="AV291" s="68">
        <v>435</v>
      </c>
      <c r="AW291" s="68">
        <v>449</v>
      </c>
      <c r="AX291" s="68">
        <v>461</v>
      </c>
      <c r="AY291" s="68">
        <v>437</v>
      </c>
      <c r="AZ291" s="36">
        <v>1782</v>
      </c>
      <c r="BA291" s="68">
        <v>431</v>
      </c>
      <c r="BB291" s="68">
        <v>438</v>
      </c>
      <c r="BC291" s="68">
        <v>449</v>
      </c>
      <c r="BD291" s="68">
        <v>437</v>
      </c>
      <c r="BE291" s="36">
        <v>1755</v>
      </c>
      <c r="BF291" s="68">
        <v>417</v>
      </c>
      <c r="BG291" s="68">
        <v>430</v>
      </c>
      <c r="BH291" s="68">
        <v>446</v>
      </c>
    </row>
    <row r="292" spans="1:60" ht="10.5" customHeight="1">
      <c r="A292" s="69" t="s">
        <v>7</v>
      </c>
      <c r="B292" s="23"/>
      <c r="C292" s="70"/>
      <c r="D292" s="70"/>
      <c r="E292" s="70"/>
      <c r="F292" s="70"/>
      <c r="G292" s="23"/>
      <c r="H292" s="70"/>
      <c r="I292" s="70">
        <f>I291/H291-1</f>
        <v>3.0421982335623099E-2</v>
      </c>
      <c r="J292" s="70">
        <f>J291/I291-1</f>
        <v>4.8571428571428488E-2</v>
      </c>
      <c r="K292" s="70">
        <f>K291/J291-1</f>
        <v>-1.3623978201634857E-2</v>
      </c>
      <c r="L292" s="23"/>
      <c r="M292" s="70">
        <f>M291/K291-1</f>
        <v>1.8416206261510082E-2</v>
      </c>
      <c r="N292" s="70">
        <f>N291/M291-1</f>
        <v>3.0741410488245968E-2</v>
      </c>
      <c r="O292" s="70">
        <f>O291/N291-1</f>
        <v>1.6666666666666607E-2</v>
      </c>
      <c r="P292" s="70">
        <f>P291/O291-1</f>
        <v>-1.2079378774805916E-2</v>
      </c>
      <c r="Q292" s="23"/>
      <c r="R292" s="70">
        <f>R291/P291-1</f>
        <v>-0.17117903930131007</v>
      </c>
      <c r="S292" s="70">
        <f>S291/R291-1</f>
        <v>-2.5289778714436273E-2</v>
      </c>
      <c r="T292" s="70">
        <f>T291/S291-1</f>
        <v>-1.1891891891891881E-2</v>
      </c>
      <c r="U292" s="70">
        <f>U291/T291-1</f>
        <v>-7.1115973741794347E-2</v>
      </c>
      <c r="V292" s="23"/>
      <c r="W292" s="70">
        <f>W291/U291-1</f>
        <v>-1.7667844522968212E-2</v>
      </c>
      <c r="X292" s="70">
        <f>X291/W291-1</f>
        <v>2.7577937649880147E-2</v>
      </c>
      <c r="Y292" s="70">
        <f>Y291/X291-1</f>
        <v>-4.7841306884480739E-2</v>
      </c>
      <c r="Z292" s="70">
        <f>Z291/Y291-1</f>
        <v>-7.5980392156862697E-2</v>
      </c>
      <c r="AA292" s="23"/>
      <c r="AB292" s="70">
        <f>AB291/Z291-1</f>
        <v>-5.3050397877984046E-2</v>
      </c>
      <c r="AC292" s="70">
        <f>AC291/AB291-1</f>
        <v>-2.5210084033613467E-2</v>
      </c>
      <c r="AD292" s="70">
        <f>AD291/AC291-1</f>
        <v>2.0114942528735691E-2</v>
      </c>
      <c r="AE292" s="70">
        <f>AE291/AD291-1</f>
        <v>-3.0985915492957705E-2</v>
      </c>
      <c r="AF292" s="23"/>
      <c r="AG292" s="70">
        <f>AG291/AE291-1</f>
        <v>-7.4127906976744207E-2</v>
      </c>
      <c r="AH292" s="70">
        <f>AH291/AG291-1</f>
        <v>-2.3547880690737877E-2</v>
      </c>
      <c r="AI292" s="70">
        <f>AI291/AH291-1</f>
        <v>-1.9292604501607746E-2</v>
      </c>
      <c r="AJ292" s="70">
        <f>AJ291/AI291-1</f>
        <v>-4.2622950819672156E-2</v>
      </c>
      <c r="AK292" s="23"/>
      <c r="AL292" s="70">
        <v>-0.14554794520547942</v>
      </c>
      <c r="AM292" s="70">
        <v>6.0120240480960874E-3</v>
      </c>
      <c r="AN292" s="70">
        <v>3.7848605577689209E-2</v>
      </c>
      <c r="AO292" s="70">
        <v>-8.4452975047984657E-2</v>
      </c>
      <c r="AP292" s="23"/>
      <c r="AQ292" s="70">
        <v>-4.6121593291404639E-2</v>
      </c>
      <c r="AR292" s="70">
        <v>2.19780219780219E-3</v>
      </c>
      <c r="AS292" s="70">
        <v>2.6315789473684292E-2</v>
      </c>
      <c r="AT292" s="70">
        <v>-6.1965811965811968E-2</v>
      </c>
      <c r="AU292" s="23"/>
      <c r="AV292" s="70">
        <v>-9.1116173120728838E-3</v>
      </c>
      <c r="AW292" s="70">
        <v>3.2183908045976928E-2</v>
      </c>
      <c r="AX292" s="70">
        <v>2.6726057906458767E-2</v>
      </c>
      <c r="AY292" s="70">
        <v>-5.2060737527114931E-2</v>
      </c>
      <c r="AZ292" s="23"/>
      <c r="BA292" s="70">
        <v>-1.3729977116704761E-2</v>
      </c>
      <c r="BB292" s="70">
        <v>1.6241299303944245E-2</v>
      </c>
      <c r="BC292" s="70">
        <v>2.5114155251141579E-2</v>
      </c>
      <c r="BD292" s="70">
        <v>-2.6726057906458767E-2</v>
      </c>
      <c r="BE292" s="23"/>
      <c r="BF292" s="70">
        <v>-4.5766590389015982E-2</v>
      </c>
      <c r="BG292" s="70">
        <v>3.1175059952038398E-2</v>
      </c>
      <c r="BH292" s="70">
        <v>3.7209302325581506E-2</v>
      </c>
    </row>
    <row r="293" spans="1:60" ht="10.5" customHeight="1">
      <c r="A293" s="69" t="s">
        <v>8</v>
      </c>
      <c r="B293" s="23"/>
      <c r="C293" s="71"/>
      <c r="D293" s="71"/>
      <c r="E293" s="71"/>
      <c r="F293" s="71"/>
      <c r="G293" s="23">
        <f>G291/B291-1</f>
        <v>1.2084592145015005E-2</v>
      </c>
      <c r="H293" s="71"/>
      <c r="I293" s="71"/>
      <c r="J293" s="71"/>
      <c r="K293" s="71"/>
      <c r="L293" s="23">
        <f t="shared" ref="L293:R293" si="248">L291/G291-1</f>
        <v>5.8706467661691519E-2</v>
      </c>
      <c r="M293" s="71">
        <f t="shared" si="248"/>
        <v>8.5377821393523012E-2</v>
      </c>
      <c r="N293" s="71">
        <f t="shared" si="248"/>
        <v>8.5714285714285632E-2</v>
      </c>
      <c r="O293" s="71">
        <f t="shared" si="248"/>
        <v>5.2679382379654749E-2</v>
      </c>
      <c r="P293" s="71">
        <f t="shared" si="248"/>
        <v>5.4327808471454908E-2</v>
      </c>
      <c r="Q293" s="23">
        <f t="shared" si="248"/>
        <v>6.9078947368421018E-2</v>
      </c>
      <c r="R293" s="71">
        <f t="shared" si="248"/>
        <v>-0.14195298372513565</v>
      </c>
      <c r="S293" s="71">
        <f t="shared" ref="S293:Y293" si="249">S291/N291-1</f>
        <v>-0.18859649122807021</v>
      </c>
      <c r="T293" s="71">
        <f t="shared" si="249"/>
        <v>-0.21138912855910263</v>
      </c>
      <c r="U293" s="71">
        <f t="shared" si="249"/>
        <v>-0.25851528384279476</v>
      </c>
      <c r="V293" s="23">
        <f t="shared" si="249"/>
        <v>-0.20065934065934066</v>
      </c>
      <c r="W293" s="71">
        <f t="shared" si="249"/>
        <v>-0.12118018967334032</v>
      </c>
      <c r="X293" s="71">
        <f t="shared" si="249"/>
        <v>-7.351351351351354E-2</v>
      </c>
      <c r="Y293" s="71">
        <f t="shared" si="249"/>
        <v>-0.10722100656455147</v>
      </c>
      <c r="Z293" s="71">
        <f t="shared" ref="Z293:AI293" si="250">Z291/U291-1</f>
        <v>-0.11189634864546527</v>
      </c>
      <c r="AA293" s="23">
        <f t="shared" si="250"/>
        <v>-0.10338190816607096</v>
      </c>
      <c r="AB293" s="71">
        <f t="shared" si="250"/>
        <v>-0.14388489208633093</v>
      </c>
      <c r="AC293" s="71">
        <f t="shared" si="250"/>
        <v>-0.18786464410735126</v>
      </c>
      <c r="AD293" s="71">
        <f t="shared" si="250"/>
        <v>-0.12990196078431371</v>
      </c>
      <c r="AE293" s="71">
        <f t="shared" si="250"/>
        <v>-8.753315649867377E-2</v>
      </c>
      <c r="AF293" s="23">
        <f t="shared" si="250"/>
        <v>-0.13891444342226311</v>
      </c>
      <c r="AG293" s="71">
        <f t="shared" si="250"/>
        <v>-0.10784313725490191</v>
      </c>
      <c r="AH293" s="71">
        <f t="shared" si="250"/>
        <v>-0.10632183908045978</v>
      </c>
      <c r="AI293" s="71">
        <f t="shared" si="250"/>
        <v>-0.14084507042253525</v>
      </c>
      <c r="AJ293" s="71">
        <f t="shared" ref="AJ293" si="251">AJ291/AE291-1</f>
        <v>-0.15116279069767447</v>
      </c>
      <c r="AK293" s="23">
        <v>-0.12642450142450146</v>
      </c>
      <c r="AL293" s="71">
        <v>-0.21664050235478804</v>
      </c>
      <c r="AM293" s="71">
        <v>-0.19292604501607713</v>
      </c>
      <c r="AN293" s="71">
        <v>-0.14590163934426226</v>
      </c>
      <c r="AO293" s="71">
        <v>-0.18321917808219179</v>
      </c>
      <c r="AP293" s="23">
        <v>-0.18507949449653482</v>
      </c>
      <c r="AQ293" s="71">
        <v>-8.8176352705410799E-2</v>
      </c>
      <c r="AR293" s="71">
        <v>-9.1633466135458197E-2</v>
      </c>
      <c r="AS293" s="71">
        <v>-0.10172744721689064</v>
      </c>
      <c r="AT293" s="71">
        <v>-7.9664570230607912E-2</v>
      </c>
      <c r="AU293" s="23">
        <v>-9.0545272636318175E-2</v>
      </c>
      <c r="AV293" s="71">
        <v>-4.3956043956043911E-2</v>
      </c>
      <c r="AW293" s="71">
        <v>-1.5350877192982448E-2</v>
      </c>
      <c r="AX293" s="71">
        <v>-1.4957264957264904E-2</v>
      </c>
      <c r="AY293" s="71">
        <v>-4.5558086560364419E-3</v>
      </c>
      <c r="AZ293" s="23">
        <v>-1.980198019801982E-2</v>
      </c>
      <c r="BA293" s="71">
        <v>-9.1954022988506301E-3</v>
      </c>
      <c r="BB293" s="71">
        <v>-2.4498886414253906E-2</v>
      </c>
      <c r="BC293" s="71">
        <v>-2.6030368763557465E-2</v>
      </c>
      <c r="BD293" s="71">
        <v>0</v>
      </c>
      <c r="BE293" s="23">
        <v>-1.5151515151515138E-2</v>
      </c>
      <c r="BF293" s="71">
        <v>-3.2482598607888602E-2</v>
      </c>
      <c r="BG293" s="71">
        <v>-1.8264840182648401E-2</v>
      </c>
      <c r="BH293" s="71">
        <v>-6.6815144766146917E-3</v>
      </c>
    </row>
    <row r="294" spans="1:60">
      <c r="A294" s="67" t="s">
        <v>61</v>
      </c>
      <c r="B294" s="36">
        <v>712</v>
      </c>
      <c r="C294" s="78" t="s">
        <v>49</v>
      </c>
      <c r="D294" s="78" t="s">
        <v>49</v>
      </c>
      <c r="E294" s="78" t="s">
        <v>49</v>
      </c>
      <c r="F294" s="78" t="s">
        <v>49</v>
      </c>
      <c r="G294" s="36">
        <v>693</v>
      </c>
      <c r="H294" s="68">
        <v>246</v>
      </c>
      <c r="I294" s="68">
        <v>296</v>
      </c>
      <c r="J294" s="68">
        <v>271</v>
      </c>
      <c r="K294" s="68">
        <f>L294-J294-I294-H294</f>
        <v>307</v>
      </c>
      <c r="L294" s="36">
        <v>1120</v>
      </c>
      <c r="M294" s="68">
        <v>287</v>
      </c>
      <c r="N294" s="68">
        <v>289</v>
      </c>
      <c r="O294" s="68">
        <v>283</v>
      </c>
      <c r="P294" s="68">
        <f>Q294-O294-N294-M294</f>
        <v>323</v>
      </c>
      <c r="Q294" s="36">
        <v>1182</v>
      </c>
      <c r="R294" s="68">
        <v>501</v>
      </c>
      <c r="S294" s="68">
        <v>513</v>
      </c>
      <c r="T294" s="68">
        <v>507</v>
      </c>
      <c r="U294" s="68">
        <f>V294-T294-S294-R294</f>
        <v>390</v>
      </c>
      <c r="V294" s="36">
        <v>1911</v>
      </c>
      <c r="W294" s="68">
        <v>410</v>
      </c>
      <c r="X294" s="68">
        <v>291</v>
      </c>
      <c r="Y294" s="68">
        <v>233</v>
      </c>
      <c r="Z294" s="68">
        <f>AA294-Y294-X294-W294</f>
        <v>273</v>
      </c>
      <c r="AA294" s="36">
        <v>1207</v>
      </c>
      <c r="AB294" s="68">
        <v>250</v>
      </c>
      <c r="AC294" s="68">
        <v>219</v>
      </c>
      <c r="AD294" s="68">
        <v>237</v>
      </c>
      <c r="AE294" s="68">
        <f>AF294-AD294-AC294-AB294</f>
        <v>295</v>
      </c>
      <c r="AF294" s="36">
        <v>1001</v>
      </c>
      <c r="AG294" s="68">
        <v>280</v>
      </c>
      <c r="AH294" s="68">
        <v>221</v>
      </c>
      <c r="AI294" s="68">
        <v>214</v>
      </c>
      <c r="AJ294" s="68">
        <f>AK294-AI294-AH294-AG294</f>
        <v>251</v>
      </c>
      <c r="AK294" s="36">
        <v>966</v>
      </c>
      <c r="AL294" s="68">
        <v>228</v>
      </c>
      <c r="AM294" s="68">
        <v>219</v>
      </c>
      <c r="AN294" s="68">
        <v>208</v>
      </c>
      <c r="AO294" s="68">
        <v>236</v>
      </c>
      <c r="AP294" s="36">
        <v>891</v>
      </c>
      <c r="AQ294" s="68">
        <v>216</v>
      </c>
      <c r="AR294" s="68">
        <v>202</v>
      </c>
      <c r="AS294" s="68">
        <v>181</v>
      </c>
      <c r="AT294" s="68">
        <v>213</v>
      </c>
      <c r="AU294" s="36">
        <v>812</v>
      </c>
      <c r="AV294" s="68">
        <v>193</v>
      </c>
      <c r="AW294" s="68">
        <v>183</v>
      </c>
      <c r="AX294" s="68">
        <v>174</v>
      </c>
      <c r="AY294" s="68">
        <v>214</v>
      </c>
      <c r="AZ294" s="36">
        <v>764</v>
      </c>
      <c r="BA294" s="68">
        <v>188</v>
      </c>
      <c r="BB294" s="68">
        <v>164</v>
      </c>
      <c r="BC294" s="68">
        <v>155</v>
      </c>
      <c r="BD294" s="68">
        <v>181</v>
      </c>
      <c r="BE294" s="36">
        <v>688</v>
      </c>
      <c r="BF294" s="68">
        <v>161</v>
      </c>
      <c r="BG294" s="68">
        <v>140</v>
      </c>
      <c r="BH294" s="68">
        <v>166</v>
      </c>
    </row>
    <row r="295" spans="1:60" ht="12" customHeight="1">
      <c r="A295" s="69" t="s">
        <v>7</v>
      </c>
      <c r="B295" s="23"/>
      <c r="C295" s="70"/>
      <c r="D295" s="70"/>
      <c r="E295" s="70"/>
      <c r="F295" s="70"/>
      <c r="G295" s="23"/>
      <c r="H295" s="70"/>
      <c r="I295" s="70">
        <f>I294/H294-1</f>
        <v>0.20325203252032531</v>
      </c>
      <c r="J295" s="70">
        <f>J294/I294-1</f>
        <v>-8.4459459459459429E-2</v>
      </c>
      <c r="K295" s="70">
        <f>K294/J294-1</f>
        <v>0.13284132841328411</v>
      </c>
      <c r="L295" s="23"/>
      <c r="M295" s="70">
        <f>M294/K294-1</f>
        <v>-6.514657980456029E-2</v>
      </c>
      <c r="N295" s="70">
        <f>N294/M294-1</f>
        <v>6.9686411149825211E-3</v>
      </c>
      <c r="O295" s="70">
        <f>O294/N294-1</f>
        <v>-2.0761245674740469E-2</v>
      </c>
      <c r="P295" s="70">
        <f>P294/O294-1</f>
        <v>0.14134275618374548</v>
      </c>
      <c r="Q295" s="23"/>
      <c r="R295" s="70">
        <f>R294/P294-1</f>
        <v>0.55108359133126927</v>
      </c>
      <c r="S295" s="70">
        <f>S294/R294-1</f>
        <v>2.39520958083832E-2</v>
      </c>
      <c r="T295" s="70">
        <f>T294/S294-1</f>
        <v>-1.1695906432748537E-2</v>
      </c>
      <c r="U295" s="70">
        <f>U294/T294-1</f>
        <v>-0.23076923076923073</v>
      </c>
      <c r="V295" s="23"/>
      <c r="W295" s="70">
        <f>W294/U294-1</f>
        <v>5.1282051282051322E-2</v>
      </c>
      <c r="X295" s="70">
        <f>X294/W294-1</f>
        <v>-0.29024390243902443</v>
      </c>
      <c r="Y295" s="70">
        <f>Y294/X294-1</f>
        <v>-0.19931271477663226</v>
      </c>
      <c r="Z295" s="70">
        <f>Z294/Y294-1</f>
        <v>0.17167381974248919</v>
      </c>
      <c r="AA295" s="23"/>
      <c r="AB295" s="70">
        <f>AB294/Z294-1</f>
        <v>-8.4249084249084283E-2</v>
      </c>
      <c r="AC295" s="70">
        <f>AC294/AB294-1</f>
        <v>-0.124</v>
      </c>
      <c r="AD295" s="70">
        <f>AD294/AC294-1</f>
        <v>8.2191780821917915E-2</v>
      </c>
      <c r="AE295" s="70">
        <f>AE294/AD294-1</f>
        <v>0.24472573839662437</v>
      </c>
      <c r="AF295" s="23"/>
      <c r="AG295" s="70">
        <f>AG294/AE294-1</f>
        <v>-5.084745762711862E-2</v>
      </c>
      <c r="AH295" s="70">
        <f>AH294/AG294-1</f>
        <v>-0.21071428571428574</v>
      </c>
      <c r="AI295" s="70">
        <f>AI294/AH294-1</f>
        <v>-3.1674208144796379E-2</v>
      </c>
      <c r="AJ295" s="70">
        <f>AJ294/AI294-1</f>
        <v>0.17289719626168232</v>
      </c>
      <c r="AK295" s="23"/>
      <c r="AL295" s="70">
        <v>-9.1633466135458197E-2</v>
      </c>
      <c r="AM295" s="70">
        <v>-3.9473684210526327E-2</v>
      </c>
      <c r="AN295" s="70">
        <v>-5.0228310502283158E-2</v>
      </c>
      <c r="AO295" s="70">
        <v>0.13461538461538458</v>
      </c>
      <c r="AP295" s="23"/>
      <c r="AQ295" s="70">
        <v>-8.4745762711864403E-2</v>
      </c>
      <c r="AR295" s="70">
        <v>-6.481481481481477E-2</v>
      </c>
      <c r="AS295" s="70">
        <v>-0.10396039603960394</v>
      </c>
      <c r="AT295" s="70">
        <v>0.17679558011049723</v>
      </c>
      <c r="AU295" s="23"/>
      <c r="AV295" s="70">
        <v>-9.3896713615023497E-2</v>
      </c>
      <c r="AW295" s="70">
        <v>-5.1813471502590636E-2</v>
      </c>
      <c r="AX295" s="70">
        <v>-4.9180327868852514E-2</v>
      </c>
      <c r="AY295" s="70">
        <v>0.22988505747126431</v>
      </c>
      <c r="AZ295" s="23"/>
      <c r="BA295" s="70">
        <v>-0.12149532710280375</v>
      </c>
      <c r="BB295" s="70">
        <v>-0.12765957446808507</v>
      </c>
      <c r="BC295" s="70">
        <v>-5.4878048780487854E-2</v>
      </c>
      <c r="BD295" s="70">
        <v>0.16774193548387095</v>
      </c>
      <c r="BE295" s="23"/>
      <c r="BF295" s="70">
        <v>-0.11049723756906082</v>
      </c>
      <c r="BG295" s="70">
        <v>-0.13043478260869568</v>
      </c>
      <c r="BH295" s="70">
        <v>0.18571428571428572</v>
      </c>
    </row>
    <row r="296" spans="1:60" ht="11.25" customHeight="1">
      <c r="A296" s="69" t="s">
        <v>8</v>
      </c>
      <c r="B296" s="23"/>
      <c r="C296" s="71"/>
      <c r="D296" s="71"/>
      <c r="E296" s="71"/>
      <c r="F296" s="71"/>
      <c r="G296" s="23">
        <f>G294/B294-1</f>
        <v>-2.6685393258427004E-2</v>
      </c>
      <c r="H296" s="71"/>
      <c r="I296" s="71"/>
      <c r="J296" s="71"/>
      <c r="K296" s="71"/>
      <c r="L296" s="23">
        <f t="shared" ref="L296:R296" si="252">L294/G294-1</f>
        <v>0.61616161616161613</v>
      </c>
      <c r="M296" s="71">
        <f t="shared" si="252"/>
        <v>0.16666666666666674</v>
      </c>
      <c r="N296" s="71">
        <f t="shared" si="252"/>
        <v>-2.3648648648648685E-2</v>
      </c>
      <c r="O296" s="71">
        <f t="shared" si="252"/>
        <v>4.4280442804428111E-2</v>
      </c>
      <c r="P296" s="71">
        <f t="shared" si="252"/>
        <v>5.2117263843648232E-2</v>
      </c>
      <c r="Q296" s="23">
        <f t="shared" si="252"/>
        <v>5.5357142857142883E-2</v>
      </c>
      <c r="R296" s="71">
        <f t="shared" si="252"/>
        <v>0.74564459930313598</v>
      </c>
      <c r="S296" s="71">
        <f t="shared" ref="S296:Y296" si="253">S294/N294-1</f>
        <v>0.77508650519031153</v>
      </c>
      <c r="T296" s="71">
        <f t="shared" si="253"/>
        <v>0.79151943462897534</v>
      </c>
      <c r="U296" s="71">
        <f t="shared" si="253"/>
        <v>0.20743034055727549</v>
      </c>
      <c r="V296" s="23">
        <f t="shared" si="253"/>
        <v>0.61675126903553301</v>
      </c>
      <c r="W296" s="71">
        <f t="shared" si="253"/>
        <v>-0.18163672654690621</v>
      </c>
      <c r="X296" s="71">
        <f t="shared" si="253"/>
        <v>-0.43274853801169588</v>
      </c>
      <c r="Y296" s="71">
        <f t="shared" si="253"/>
        <v>-0.54043392504930965</v>
      </c>
      <c r="Z296" s="71">
        <f t="shared" ref="Z296:AI296" si="254">Z294/U294-1</f>
        <v>-0.30000000000000004</v>
      </c>
      <c r="AA296" s="23">
        <f t="shared" si="254"/>
        <v>-0.36839351125065412</v>
      </c>
      <c r="AB296" s="71">
        <f t="shared" si="254"/>
        <v>-0.3902439024390244</v>
      </c>
      <c r="AC296" s="71">
        <f t="shared" si="254"/>
        <v>-0.24742268041237114</v>
      </c>
      <c r="AD296" s="71">
        <f t="shared" si="254"/>
        <v>1.716738197424883E-2</v>
      </c>
      <c r="AE296" s="71">
        <f t="shared" si="254"/>
        <v>8.0586080586080522E-2</v>
      </c>
      <c r="AF296" s="23">
        <f t="shared" si="254"/>
        <v>-0.17067108533554265</v>
      </c>
      <c r="AG296" s="71">
        <f t="shared" si="254"/>
        <v>0.12000000000000011</v>
      </c>
      <c r="AH296" s="71">
        <f t="shared" si="254"/>
        <v>9.1324200913243114E-3</v>
      </c>
      <c r="AI296" s="71">
        <f t="shared" si="254"/>
        <v>-9.7046413502109741E-2</v>
      </c>
      <c r="AJ296" s="71">
        <f t="shared" ref="AJ296" si="255">AJ294/AE294-1</f>
        <v>-0.14915254237288134</v>
      </c>
      <c r="AK296" s="23">
        <v>-3.4965034965035002E-2</v>
      </c>
      <c r="AL296" s="71">
        <v>-0.18571428571428572</v>
      </c>
      <c r="AM296" s="71">
        <v>-9.0497737556560764E-3</v>
      </c>
      <c r="AN296" s="71">
        <v>-2.8037383177570097E-2</v>
      </c>
      <c r="AO296" s="71">
        <v>-5.9760956175298752E-2</v>
      </c>
      <c r="AP296" s="23">
        <v>-7.7639751552795011E-2</v>
      </c>
      <c r="AQ296" s="71">
        <v>-5.2631578947368474E-2</v>
      </c>
      <c r="AR296" s="71">
        <v>-7.7625570776255759E-2</v>
      </c>
      <c r="AS296" s="71">
        <v>-0.12980769230769229</v>
      </c>
      <c r="AT296" s="71">
        <v>-9.745762711864403E-2</v>
      </c>
      <c r="AU296" s="23">
        <v>-8.8664421997755372E-2</v>
      </c>
      <c r="AV296" s="71">
        <v>-0.10648148148148151</v>
      </c>
      <c r="AW296" s="71">
        <v>-9.4059405940594032E-2</v>
      </c>
      <c r="AX296" s="71">
        <v>-3.8674033149171283E-2</v>
      </c>
      <c r="AY296" s="71">
        <v>4.6948356807512415E-3</v>
      </c>
      <c r="AZ296" s="23">
        <v>-5.9113300492610876E-2</v>
      </c>
      <c r="BA296" s="71">
        <v>-2.5906735751295318E-2</v>
      </c>
      <c r="BB296" s="71">
        <v>-0.10382513661202186</v>
      </c>
      <c r="BC296" s="71">
        <v>-0.10919540229885061</v>
      </c>
      <c r="BD296" s="71">
        <v>-0.15420560747663548</v>
      </c>
      <c r="BE296" s="23">
        <v>-9.9476439790575966E-2</v>
      </c>
      <c r="BF296" s="71">
        <v>-0.1436170212765957</v>
      </c>
      <c r="BG296" s="71">
        <v>-0.14634146341463417</v>
      </c>
      <c r="BH296" s="71">
        <v>7.0967741935483941E-2</v>
      </c>
    </row>
    <row r="297" spans="1:60" ht="3" customHeight="1">
      <c r="A297" s="39"/>
      <c r="B297" s="40"/>
      <c r="C297" s="41"/>
      <c r="D297" s="41"/>
      <c r="E297" s="41"/>
      <c r="F297" s="41"/>
      <c r="G297" s="40"/>
      <c r="H297" s="41"/>
      <c r="I297" s="41"/>
      <c r="J297" s="41"/>
      <c r="K297" s="41"/>
      <c r="L297" s="40"/>
      <c r="M297" s="41"/>
      <c r="N297" s="41"/>
      <c r="O297" s="41"/>
      <c r="P297" s="41"/>
      <c r="Q297" s="40"/>
      <c r="R297" s="41"/>
      <c r="S297" s="41"/>
      <c r="T297" s="41"/>
      <c r="U297" s="41"/>
      <c r="V297" s="40"/>
      <c r="W297" s="41"/>
      <c r="X297" s="41"/>
      <c r="Y297" s="41"/>
      <c r="Z297" s="41"/>
      <c r="AA297" s="40"/>
      <c r="AB297" s="41"/>
      <c r="AC297" s="41"/>
      <c r="AD297" s="41"/>
      <c r="AE297" s="41"/>
      <c r="AF297" s="40"/>
      <c r="AG297" s="41"/>
      <c r="AH297" s="41"/>
      <c r="AI297" s="41"/>
      <c r="AJ297" s="41"/>
      <c r="AK297" s="40"/>
      <c r="AL297" s="41"/>
      <c r="AM297" s="41"/>
      <c r="AN297" s="41"/>
      <c r="AO297" s="41"/>
      <c r="AP297" s="40"/>
      <c r="AQ297" s="41"/>
      <c r="AR297" s="41"/>
      <c r="AS297" s="41"/>
      <c r="AT297" s="41"/>
      <c r="AU297" s="40"/>
      <c r="AV297" s="41"/>
      <c r="AW297" s="41"/>
      <c r="AX297" s="41"/>
      <c r="AY297" s="41"/>
      <c r="AZ297" s="40"/>
      <c r="BA297" s="41"/>
      <c r="BB297" s="41"/>
      <c r="BC297" s="41"/>
      <c r="BD297" s="41"/>
      <c r="BE297" s="40"/>
      <c r="BF297" s="41"/>
      <c r="BG297" s="41"/>
      <c r="BH297" s="41"/>
    </row>
    <row r="298" spans="1:60">
      <c r="A298" s="67" t="s">
        <v>134</v>
      </c>
      <c r="B298" s="119" t="s">
        <v>41</v>
      </c>
      <c r="C298" s="78" t="s">
        <v>49</v>
      </c>
      <c r="D298" s="78" t="s">
        <v>49</v>
      </c>
      <c r="E298" s="78" t="s">
        <v>49</v>
      </c>
      <c r="F298" s="78" t="s">
        <v>49</v>
      </c>
      <c r="G298" s="36">
        <v>2437</v>
      </c>
      <c r="H298" s="78" t="s">
        <v>49</v>
      </c>
      <c r="I298" s="78" t="s">
        <v>49</v>
      </c>
      <c r="J298" s="78" t="s">
        <v>49</v>
      </c>
      <c r="K298" s="78" t="s">
        <v>49</v>
      </c>
      <c r="L298" s="36">
        <v>2751</v>
      </c>
      <c r="M298" s="78" t="s">
        <v>49</v>
      </c>
      <c r="N298" s="78" t="s">
        <v>49</v>
      </c>
      <c r="O298" s="78" t="s">
        <v>49</v>
      </c>
      <c r="P298" s="78" t="s">
        <v>49</v>
      </c>
      <c r="Q298" s="36">
        <v>2899</v>
      </c>
      <c r="R298" s="78" t="s">
        <v>49</v>
      </c>
      <c r="S298" s="78" t="s">
        <v>49</v>
      </c>
      <c r="T298" s="78" t="s">
        <v>49</v>
      </c>
      <c r="U298" s="78" t="s">
        <v>49</v>
      </c>
      <c r="V298" s="36">
        <v>2985</v>
      </c>
      <c r="W298" s="78" t="s">
        <v>49</v>
      </c>
      <c r="X298" s="78" t="s">
        <v>49</v>
      </c>
      <c r="Y298" s="78" t="s">
        <v>49</v>
      </c>
      <c r="Z298" s="78" t="s">
        <v>49</v>
      </c>
      <c r="AA298" s="36">
        <v>2461</v>
      </c>
      <c r="AB298" s="78" t="s">
        <v>49</v>
      </c>
      <c r="AC298" s="78" t="s">
        <v>49</v>
      </c>
      <c r="AD298" s="78" t="s">
        <v>49</v>
      </c>
      <c r="AE298" s="78" t="s">
        <v>49</v>
      </c>
      <c r="AF298" s="36">
        <v>2114</v>
      </c>
      <c r="AG298" s="78" t="s">
        <v>49</v>
      </c>
      <c r="AH298" s="78" t="s">
        <v>49</v>
      </c>
      <c r="AI298" s="78" t="s">
        <v>49</v>
      </c>
      <c r="AJ298" s="78" t="s">
        <v>49</v>
      </c>
      <c r="AK298" s="36">
        <v>1930</v>
      </c>
      <c r="AL298" s="78" t="s">
        <v>49</v>
      </c>
      <c r="AM298" s="78" t="s">
        <v>49</v>
      </c>
      <c r="AN298" s="78" t="s">
        <v>49</v>
      </c>
      <c r="AO298" s="78" t="s">
        <v>49</v>
      </c>
      <c r="AP298" s="36">
        <v>1750</v>
      </c>
      <c r="AQ298" s="78" t="s">
        <v>49</v>
      </c>
      <c r="AR298" s="78" t="s">
        <v>49</v>
      </c>
      <c r="AS298" s="78" t="s">
        <v>49</v>
      </c>
      <c r="AT298" s="78" t="s">
        <v>49</v>
      </c>
      <c r="AU298" s="36">
        <v>1616</v>
      </c>
      <c r="AV298" s="78" t="s">
        <v>49</v>
      </c>
      <c r="AW298" s="78" t="s">
        <v>49</v>
      </c>
      <c r="AX298" s="78" t="s">
        <v>49</v>
      </c>
      <c r="AY298" s="78" t="s">
        <v>49</v>
      </c>
      <c r="AZ298" s="36">
        <v>1541</v>
      </c>
      <c r="BA298" s="78" t="s">
        <v>49</v>
      </c>
      <c r="BB298" s="78" t="s">
        <v>49</v>
      </c>
      <c r="BC298" s="78" t="s">
        <v>49</v>
      </c>
      <c r="BD298" s="78" t="s">
        <v>49</v>
      </c>
      <c r="BE298" s="36">
        <v>1415</v>
      </c>
      <c r="BF298" s="78" t="s">
        <v>49</v>
      </c>
      <c r="BG298" s="78" t="s">
        <v>49</v>
      </c>
      <c r="BH298" s="78" t="s">
        <v>49</v>
      </c>
    </row>
    <row r="299" spans="1:60" ht="9.75" customHeight="1">
      <c r="A299" s="69" t="s">
        <v>133</v>
      </c>
      <c r="B299" s="23"/>
      <c r="C299" s="71"/>
      <c r="D299" s="71"/>
      <c r="E299" s="71"/>
      <c r="F299" s="71"/>
      <c r="G299" s="23">
        <f>G298/G288</f>
        <v>0.51708041587099507</v>
      </c>
      <c r="H299" s="71"/>
      <c r="I299" s="71"/>
      <c r="J299" s="71"/>
      <c r="K299" s="71"/>
      <c r="L299" s="23">
        <f>L298/L288</f>
        <v>0.51171875</v>
      </c>
      <c r="M299" s="71"/>
      <c r="N299" s="71"/>
      <c r="O299" s="71"/>
      <c r="P299" s="71"/>
      <c r="Q299" s="23">
        <f>Q298/Q288</f>
        <v>0.50575715282623868</v>
      </c>
      <c r="R299" s="71"/>
      <c r="S299" s="71"/>
      <c r="T299" s="71"/>
      <c r="U299" s="71"/>
      <c r="V299" s="23">
        <f>V298/V288</f>
        <v>0.53803172314347514</v>
      </c>
      <c r="W299" s="71"/>
      <c r="X299" s="71"/>
      <c r="Y299" s="71"/>
      <c r="Z299" s="71"/>
      <c r="AA299" s="23">
        <f>AA298/AA288</f>
        <v>0.55080572963294538</v>
      </c>
      <c r="AB299" s="71"/>
      <c r="AC299" s="71"/>
      <c r="AD299" s="71"/>
      <c r="AE299" s="71"/>
      <c r="AF299" s="23">
        <f>AF298/AF288</f>
        <v>0.55500131268049357</v>
      </c>
      <c r="AG299" s="71"/>
      <c r="AH299" s="71"/>
      <c r="AI299" s="71"/>
      <c r="AJ299" s="71"/>
      <c r="AK299" s="23">
        <v>0.56449254167885343</v>
      </c>
      <c r="AL299" s="71"/>
      <c r="AM299" s="71"/>
      <c r="AN299" s="71"/>
      <c r="AO299" s="71"/>
      <c r="AP299" s="23">
        <v>0.60553633217993075</v>
      </c>
      <c r="AQ299" s="71"/>
      <c r="AR299" s="71"/>
      <c r="AS299" s="71"/>
      <c r="AT299" s="71"/>
      <c r="AU299" s="23">
        <v>0.61444866920152086</v>
      </c>
      <c r="AV299" s="71"/>
      <c r="AW299" s="71"/>
      <c r="AX299" s="71"/>
      <c r="AY299" s="71"/>
      <c r="AZ299" s="23">
        <v>0.60526315789473684</v>
      </c>
      <c r="BA299" s="71"/>
      <c r="BB299" s="71"/>
      <c r="BC299" s="71"/>
      <c r="BD299" s="71"/>
      <c r="BE299" s="23">
        <v>0.57920589439214076</v>
      </c>
      <c r="BF299" s="71"/>
      <c r="BG299" s="71"/>
      <c r="BH299" s="71"/>
    </row>
    <row r="300" spans="1:60" ht="12" customHeight="1">
      <c r="A300" s="67" t="s">
        <v>132</v>
      </c>
      <c r="B300" s="119" t="s">
        <v>41</v>
      </c>
      <c r="C300" s="78" t="s">
        <v>49</v>
      </c>
      <c r="D300" s="78" t="s">
        <v>49</v>
      </c>
      <c r="E300" s="78" t="s">
        <v>49</v>
      </c>
      <c r="F300" s="78" t="s">
        <v>49</v>
      </c>
      <c r="G300" s="36">
        <v>2276</v>
      </c>
      <c r="H300" s="78" t="s">
        <v>49</v>
      </c>
      <c r="I300" s="78" t="s">
        <v>49</v>
      </c>
      <c r="J300" s="78" t="s">
        <v>49</v>
      </c>
      <c r="K300" s="78" t="s">
        <v>49</v>
      </c>
      <c r="L300" s="36">
        <v>2625</v>
      </c>
      <c r="M300" s="78" t="s">
        <v>49</v>
      </c>
      <c r="N300" s="78" t="s">
        <v>49</v>
      </c>
      <c r="O300" s="78" t="s">
        <v>49</v>
      </c>
      <c r="P300" s="78" t="s">
        <v>49</v>
      </c>
      <c r="Q300" s="36">
        <v>2833</v>
      </c>
      <c r="R300" s="78" t="s">
        <v>49</v>
      </c>
      <c r="S300" s="78" t="s">
        <v>49</v>
      </c>
      <c r="T300" s="78" t="s">
        <v>49</v>
      </c>
      <c r="U300" s="78" t="s">
        <v>49</v>
      </c>
      <c r="V300" s="36">
        <v>2563</v>
      </c>
      <c r="W300" s="78" t="s">
        <v>49</v>
      </c>
      <c r="X300" s="78" t="s">
        <v>49</v>
      </c>
      <c r="Y300" s="78" t="s">
        <v>49</v>
      </c>
      <c r="Z300" s="78" t="s">
        <v>49</v>
      </c>
      <c r="AA300" s="36">
        <v>2007</v>
      </c>
      <c r="AB300" s="78" t="s">
        <v>49</v>
      </c>
      <c r="AC300" s="78" t="s">
        <v>49</v>
      </c>
      <c r="AD300" s="78" t="s">
        <v>49</v>
      </c>
      <c r="AE300" s="78" t="s">
        <v>49</v>
      </c>
      <c r="AF300" s="36">
        <v>1695</v>
      </c>
      <c r="AG300" s="78" t="s">
        <v>49</v>
      </c>
      <c r="AH300" s="78" t="s">
        <v>49</v>
      </c>
      <c r="AI300" s="78" t="s">
        <v>49</v>
      </c>
      <c r="AJ300" s="78" t="s">
        <v>49</v>
      </c>
      <c r="AK300" s="36">
        <v>1490</v>
      </c>
      <c r="AL300" s="78" t="s">
        <v>49</v>
      </c>
      <c r="AM300" s="78" t="s">
        <v>49</v>
      </c>
      <c r="AN300" s="78" t="s">
        <v>49</v>
      </c>
      <c r="AO300" s="78" t="s">
        <v>49</v>
      </c>
      <c r="AP300" s="36">
        <v>1140</v>
      </c>
      <c r="AQ300" s="78" t="s">
        <v>49</v>
      </c>
      <c r="AR300" s="78" t="s">
        <v>49</v>
      </c>
      <c r="AS300" s="78" t="s">
        <v>49</v>
      </c>
      <c r="AT300" s="78" t="s">
        <v>49</v>
      </c>
      <c r="AU300" s="36">
        <v>1015</v>
      </c>
      <c r="AV300" s="78" t="s">
        <v>49</v>
      </c>
      <c r="AW300" s="78" t="s">
        <v>49</v>
      </c>
      <c r="AX300" s="78" t="s">
        <v>49</v>
      </c>
      <c r="AY300" s="78" t="s">
        <v>49</v>
      </c>
      <c r="AZ300" s="36">
        <v>1005</v>
      </c>
      <c r="BA300" s="78" t="s">
        <v>49</v>
      </c>
      <c r="BB300" s="78" t="s">
        <v>49</v>
      </c>
      <c r="BC300" s="78" t="s">
        <v>49</v>
      </c>
      <c r="BD300" s="78" t="s">
        <v>49</v>
      </c>
      <c r="BE300" s="36">
        <v>1028</v>
      </c>
      <c r="BF300" s="78" t="s">
        <v>49</v>
      </c>
      <c r="BG300" s="78" t="s">
        <v>49</v>
      </c>
      <c r="BH300" s="78" t="s">
        <v>49</v>
      </c>
    </row>
    <row r="301" spans="1:60" ht="9" customHeight="1">
      <c r="A301" s="69" t="s">
        <v>133</v>
      </c>
      <c r="B301" s="23"/>
      <c r="C301" s="71"/>
      <c r="D301" s="71"/>
      <c r="E301" s="71"/>
      <c r="F301" s="71"/>
      <c r="G301" s="23">
        <f>G300/G288</f>
        <v>0.48291958412900488</v>
      </c>
      <c r="H301" s="71"/>
      <c r="I301" s="71"/>
      <c r="J301" s="71"/>
      <c r="K301" s="71"/>
      <c r="L301" s="23">
        <f>L300/L288</f>
        <v>0.48828125</v>
      </c>
      <c r="M301" s="71"/>
      <c r="N301" s="71"/>
      <c r="O301" s="71"/>
      <c r="P301" s="71"/>
      <c r="Q301" s="23">
        <f>Q300/Q288</f>
        <v>0.49424284717376132</v>
      </c>
      <c r="R301" s="71"/>
      <c r="S301" s="71"/>
      <c r="T301" s="71"/>
      <c r="U301" s="71"/>
      <c r="V301" s="23">
        <f>V300/V288</f>
        <v>0.46196827685652486</v>
      </c>
      <c r="W301" s="71"/>
      <c r="X301" s="71"/>
      <c r="Y301" s="71"/>
      <c r="Z301" s="71"/>
      <c r="AA301" s="23">
        <f>AA300/AA288</f>
        <v>0.44919427036705462</v>
      </c>
      <c r="AB301" s="71"/>
      <c r="AC301" s="71"/>
      <c r="AD301" s="71"/>
      <c r="AE301" s="71"/>
      <c r="AF301" s="23">
        <f>AF300/AF288</f>
        <v>0.44499868731950643</v>
      </c>
      <c r="AG301" s="71"/>
      <c r="AH301" s="71"/>
      <c r="AI301" s="71"/>
      <c r="AJ301" s="71"/>
      <c r="AK301" s="23">
        <v>0.43579994150336354</v>
      </c>
      <c r="AL301" s="71"/>
      <c r="AM301" s="71"/>
      <c r="AN301" s="71"/>
      <c r="AO301" s="71"/>
      <c r="AP301" s="23">
        <v>0.3944636678200692</v>
      </c>
      <c r="AQ301" s="71"/>
      <c r="AR301" s="71"/>
      <c r="AS301" s="71"/>
      <c r="AT301" s="71"/>
      <c r="AU301" s="23">
        <v>0.38593155893536124</v>
      </c>
      <c r="AV301" s="71"/>
      <c r="AW301" s="71"/>
      <c r="AX301" s="71"/>
      <c r="AY301" s="71"/>
      <c r="AZ301" s="23">
        <v>0.39473684210526316</v>
      </c>
      <c r="BA301" s="71"/>
      <c r="BB301" s="71"/>
      <c r="BC301" s="71"/>
      <c r="BD301" s="71"/>
      <c r="BE301" s="23">
        <v>0.42079410560785918</v>
      </c>
      <c r="BF301" s="71"/>
      <c r="BG301" s="71"/>
      <c r="BH301" s="71"/>
    </row>
    <row r="302" spans="1:60">
      <c r="A302" s="39" t="s">
        <v>27</v>
      </c>
      <c r="B302" s="40"/>
      <c r="C302" s="41"/>
      <c r="D302" s="41"/>
      <c r="E302" s="41"/>
      <c r="F302" s="41"/>
      <c r="G302" s="40"/>
      <c r="H302" s="41"/>
      <c r="I302" s="41"/>
      <c r="J302" s="41"/>
      <c r="K302" s="41"/>
      <c r="L302" s="40"/>
      <c r="M302" s="41"/>
      <c r="N302" s="41"/>
      <c r="O302" s="41"/>
      <c r="P302" s="41"/>
      <c r="Q302" s="40"/>
      <c r="R302" s="41"/>
      <c r="S302" s="41"/>
      <c r="T302" s="41"/>
      <c r="U302" s="41"/>
      <c r="V302" s="40"/>
      <c r="W302" s="41"/>
      <c r="X302" s="41"/>
      <c r="Y302" s="41"/>
      <c r="Z302" s="41"/>
      <c r="AA302" s="40"/>
      <c r="AB302" s="41"/>
      <c r="AC302" s="41"/>
      <c r="AD302" s="41"/>
      <c r="AE302" s="41"/>
      <c r="AF302" s="40"/>
      <c r="AG302" s="41"/>
      <c r="AH302" s="41"/>
      <c r="AI302" s="41"/>
      <c r="AJ302" s="41"/>
      <c r="AK302" s="40"/>
      <c r="AL302" s="41"/>
      <c r="AM302" s="41"/>
      <c r="AN302" s="41"/>
      <c r="AO302" s="41"/>
      <c r="AP302" s="40"/>
      <c r="AQ302" s="41"/>
      <c r="AR302" s="41"/>
      <c r="AS302" s="41"/>
      <c r="AT302" s="41"/>
      <c r="AU302" s="40"/>
      <c r="AV302" s="41"/>
      <c r="AW302" s="41"/>
      <c r="AX302" s="41"/>
      <c r="AY302" s="41"/>
      <c r="AZ302" s="40"/>
      <c r="BA302" s="41"/>
      <c r="BB302" s="41"/>
      <c r="BC302" s="41"/>
      <c r="BD302" s="41"/>
      <c r="BE302" s="40"/>
      <c r="BF302" s="41"/>
      <c r="BG302" s="41"/>
      <c r="BH302" s="41"/>
    </row>
    <row r="303" spans="1:60" hidden="1">
      <c r="A303" s="67" t="s">
        <v>79</v>
      </c>
      <c r="B303" s="36">
        <v>3347</v>
      </c>
      <c r="C303" s="78" t="s">
        <v>49</v>
      </c>
      <c r="D303" s="78" t="s">
        <v>49</v>
      </c>
      <c r="E303" s="78" t="s">
        <v>49</v>
      </c>
      <c r="F303" s="78" t="s">
        <v>49</v>
      </c>
      <c r="G303" s="36">
        <v>3235</v>
      </c>
      <c r="H303" s="68">
        <v>818</v>
      </c>
      <c r="I303" s="68">
        <v>899</v>
      </c>
      <c r="J303" s="68">
        <v>910</v>
      </c>
      <c r="K303" s="68">
        <f>L303-J303-I303-H303</f>
        <v>965</v>
      </c>
      <c r="L303" s="36">
        <v>3592</v>
      </c>
      <c r="M303" s="68">
        <v>923</v>
      </c>
      <c r="N303" s="68">
        <v>920</v>
      </c>
      <c r="O303" s="68">
        <v>941</v>
      </c>
      <c r="P303" s="68">
        <f>Q303-O303-N303-M303</f>
        <v>970</v>
      </c>
      <c r="Q303" s="36">
        <v>3754</v>
      </c>
      <c r="R303" s="68">
        <v>902</v>
      </c>
      <c r="S303" s="68">
        <v>927</v>
      </c>
      <c r="T303" s="68">
        <v>926</v>
      </c>
      <c r="U303" s="68">
        <f>V303-T303-S303-R303</f>
        <v>832</v>
      </c>
      <c r="V303" s="36">
        <v>3587</v>
      </c>
      <c r="W303" s="68">
        <v>831</v>
      </c>
      <c r="X303" s="68">
        <v>752</v>
      </c>
      <c r="Y303" s="68">
        <v>716</v>
      </c>
      <c r="Z303" s="68">
        <f>AA303-Y303-X303-W303</f>
        <v>741</v>
      </c>
      <c r="AA303" s="36">
        <v>3040</v>
      </c>
      <c r="AB303" s="68">
        <v>676</v>
      </c>
      <c r="AC303" s="68">
        <v>627</v>
      </c>
      <c r="AD303" s="68">
        <v>675</v>
      </c>
      <c r="AE303" s="68">
        <f>AF303-AD303-AC303-AB303</f>
        <v>733</v>
      </c>
      <c r="AF303" s="36">
        <v>2711</v>
      </c>
      <c r="AG303" s="68">
        <v>681</v>
      </c>
      <c r="AH303" s="68">
        <v>612</v>
      </c>
      <c r="AI303" s="68">
        <v>601</v>
      </c>
      <c r="AJ303" s="68">
        <f>AK303-AI303-AH303-AG303</f>
        <v>643</v>
      </c>
      <c r="AK303" s="36">
        <v>2537</v>
      </c>
      <c r="AL303" s="68">
        <v>607</v>
      </c>
      <c r="AM303" s="68">
        <v>588</v>
      </c>
      <c r="AN303" s="68">
        <v>586</v>
      </c>
      <c r="AO303" s="68">
        <v>602</v>
      </c>
      <c r="AP303" s="36">
        <v>2383</v>
      </c>
      <c r="AQ303" s="68">
        <v>579</v>
      </c>
      <c r="AR303" s="68">
        <v>560</v>
      </c>
      <c r="AS303" s="68">
        <v>536</v>
      </c>
      <c r="AT303" s="68">
        <v>573</v>
      </c>
      <c r="AU303" s="36">
        <v>2248</v>
      </c>
      <c r="AV303" s="68">
        <v>553</v>
      </c>
      <c r="AW303" s="68">
        <v>529</v>
      </c>
      <c r="AX303" s="68">
        <v>534</v>
      </c>
      <c r="AY303" s="68">
        <v>555</v>
      </c>
      <c r="AZ303" s="36">
        <v>2171</v>
      </c>
      <c r="BA303" s="68">
        <v>531</v>
      </c>
      <c r="BB303" s="68">
        <v>523</v>
      </c>
      <c r="BC303" s="68">
        <v>521</v>
      </c>
      <c r="BD303" s="68"/>
      <c r="BE303" s="36"/>
      <c r="BF303" s="68"/>
      <c r="BG303" s="68"/>
      <c r="BH303" s="68"/>
    </row>
    <row r="304" spans="1:60" ht="9.75" hidden="1" customHeight="1">
      <c r="A304" s="69" t="s">
        <v>7</v>
      </c>
      <c r="B304" s="23"/>
      <c r="C304" s="70"/>
      <c r="D304" s="70"/>
      <c r="E304" s="70"/>
      <c r="F304" s="70"/>
      <c r="G304" s="23"/>
      <c r="H304" s="70"/>
      <c r="I304" s="70">
        <f>I303/H303-1</f>
        <v>9.9022004889975479E-2</v>
      </c>
      <c r="J304" s="70">
        <f>J303/I303-1</f>
        <v>1.2235817575083408E-2</v>
      </c>
      <c r="K304" s="70">
        <f>K303/J303-1</f>
        <v>6.0439560439560447E-2</v>
      </c>
      <c r="L304" s="23"/>
      <c r="M304" s="70">
        <f>M303/K303-1</f>
        <v>-4.3523316062176187E-2</v>
      </c>
      <c r="N304" s="70">
        <f>N303/M303-1</f>
        <v>-3.25027085590468E-3</v>
      </c>
      <c r="O304" s="70">
        <f>O303/N303-1</f>
        <v>2.2826086956521774E-2</v>
      </c>
      <c r="P304" s="70">
        <f>P303/O303-1</f>
        <v>3.0818278427205081E-2</v>
      </c>
      <c r="Q304" s="23"/>
      <c r="R304" s="70">
        <f>R303/P303-1</f>
        <v>-7.0103092783505128E-2</v>
      </c>
      <c r="S304" s="70">
        <f>S303/R303-1</f>
        <v>2.7716186252771724E-2</v>
      </c>
      <c r="T304" s="70">
        <f>T303/S303-1</f>
        <v>-1.0787486515642097E-3</v>
      </c>
      <c r="U304" s="70">
        <f>U303/T303-1</f>
        <v>-0.10151187904967607</v>
      </c>
      <c r="V304" s="23"/>
      <c r="W304" s="70">
        <f>W303/U303-1</f>
        <v>-1.2019230769231282E-3</v>
      </c>
      <c r="X304" s="70">
        <f>X303/W303-1</f>
        <v>-9.5066185318892882E-2</v>
      </c>
      <c r="Y304" s="70">
        <f>Y303/X303-1</f>
        <v>-4.7872340425531901E-2</v>
      </c>
      <c r="Z304" s="70">
        <f>Z303/Y303-1</f>
        <v>3.4916201117318524E-2</v>
      </c>
      <c r="AA304" s="23"/>
      <c r="AB304" s="70">
        <f>AB303/Z303-1</f>
        <v>-8.7719298245614086E-2</v>
      </c>
      <c r="AC304" s="70">
        <f>AC303/AB303-1</f>
        <v>-7.2485207100591698E-2</v>
      </c>
      <c r="AD304" s="70">
        <f>AD303/AC303-1</f>
        <v>7.6555023923444931E-2</v>
      </c>
      <c r="AE304" s="70">
        <f>AE303/AD303-1</f>
        <v>8.5925925925925961E-2</v>
      </c>
      <c r="AF304" s="23"/>
      <c r="AG304" s="70">
        <f>AG303/AE303-1</f>
        <v>-7.0941336971350633E-2</v>
      </c>
      <c r="AH304" s="70">
        <f>AH303/AG303-1</f>
        <v>-0.10132158590308371</v>
      </c>
      <c r="AI304" s="70">
        <f>AI303/AH303-1</f>
        <v>-1.7973856209150374E-2</v>
      </c>
      <c r="AJ304" s="70">
        <f>AJ303/AI303-1</f>
        <v>6.9883527454242866E-2</v>
      </c>
      <c r="AK304" s="23"/>
      <c r="AL304" s="70">
        <v>-5.5987558320373276E-2</v>
      </c>
      <c r="AM304" s="70">
        <v>-3.1301482701812211E-2</v>
      </c>
      <c r="AN304" s="70">
        <v>-3.4013605442176909E-3</v>
      </c>
      <c r="AO304" s="70">
        <v>2.7303754266211566E-2</v>
      </c>
      <c r="AP304" s="23"/>
      <c r="AQ304" s="70">
        <v>-3.8205980066445155E-2</v>
      </c>
      <c r="AR304" s="70">
        <v>-3.2815198618307395E-2</v>
      </c>
      <c r="AS304" s="70">
        <v>-4.2857142857142816E-2</v>
      </c>
      <c r="AT304" s="70">
        <v>6.9029850746268551E-2</v>
      </c>
      <c r="AU304" s="23"/>
      <c r="AV304" s="70">
        <v>-3.4904013961605584E-2</v>
      </c>
      <c r="AW304" s="70">
        <v>-4.339963833634719E-2</v>
      </c>
      <c r="AX304" s="70">
        <v>9.4517958412099201E-3</v>
      </c>
      <c r="AY304" s="70">
        <v>3.9325842696629199E-2</v>
      </c>
      <c r="AZ304" s="23"/>
      <c r="BA304" s="70">
        <v>-4.3243243243243246E-2</v>
      </c>
      <c r="BB304" s="70">
        <v>-1.5065913370998163E-2</v>
      </c>
      <c r="BC304" s="70">
        <v>-3.8240917782026429E-3</v>
      </c>
      <c r="BD304" s="70"/>
      <c r="BE304" s="23"/>
      <c r="BF304" s="70"/>
      <c r="BG304" s="70"/>
      <c r="BH304" s="70"/>
    </row>
    <row r="305" spans="1:60" ht="9.75" hidden="1" customHeight="1">
      <c r="A305" s="69" t="s">
        <v>8</v>
      </c>
      <c r="B305" s="23"/>
      <c r="C305" s="71"/>
      <c r="D305" s="71"/>
      <c r="E305" s="71"/>
      <c r="F305" s="71"/>
      <c r="G305" s="23">
        <f>G303/B303-1</f>
        <v>-3.3462802509710232E-2</v>
      </c>
      <c r="H305" s="71"/>
      <c r="I305" s="71"/>
      <c r="J305" s="71"/>
      <c r="K305" s="71"/>
      <c r="L305" s="23">
        <f t="shared" ref="L305:AD305" si="256">L303/G303-1</f>
        <v>0.11035548686244212</v>
      </c>
      <c r="M305" s="71">
        <f t="shared" si="256"/>
        <v>0.12836185819070911</v>
      </c>
      <c r="N305" s="71">
        <f t="shared" si="256"/>
        <v>2.3359288097886566E-2</v>
      </c>
      <c r="O305" s="71">
        <f t="shared" si="256"/>
        <v>3.4065934065934167E-2</v>
      </c>
      <c r="P305" s="71">
        <f t="shared" si="256"/>
        <v>5.1813471502590858E-3</v>
      </c>
      <c r="Q305" s="23">
        <f t="shared" si="256"/>
        <v>4.5100222717149308E-2</v>
      </c>
      <c r="R305" s="71">
        <f t="shared" si="256"/>
        <v>-2.2751895991332649E-2</v>
      </c>
      <c r="S305" s="71">
        <f t="shared" si="256"/>
        <v>7.6086956521739246E-3</v>
      </c>
      <c r="T305" s="71">
        <f t="shared" si="256"/>
        <v>-1.5940488841657774E-2</v>
      </c>
      <c r="U305" s="71">
        <f t="shared" si="256"/>
        <v>-0.14226804123711345</v>
      </c>
      <c r="V305" s="23">
        <f t="shared" si="256"/>
        <v>-4.4485881726158749E-2</v>
      </c>
      <c r="W305" s="71">
        <f t="shared" si="256"/>
        <v>-7.8713968957871416E-2</v>
      </c>
      <c r="X305" s="71">
        <f t="shared" si="256"/>
        <v>-0.18878101402373249</v>
      </c>
      <c r="Y305" s="71">
        <f t="shared" si="256"/>
        <v>-0.22678185745140389</v>
      </c>
      <c r="Z305" s="71">
        <f t="shared" si="256"/>
        <v>-0.109375</v>
      </c>
      <c r="AA305" s="23">
        <f t="shared" si="256"/>
        <v>-0.15249512127125731</v>
      </c>
      <c r="AB305" s="71">
        <f t="shared" si="256"/>
        <v>-0.18652226233453673</v>
      </c>
      <c r="AC305" s="71">
        <f t="shared" si="256"/>
        <v>-0.16622340425531912</v>
      </c>
      <c r="AD305" s="71">
        <f t="shared" si="256"/>
        <v>-5.7262569832402188E-2</v>
      </c>
      <c r="AE305" s="71">
        <f t="shared" ref="AE305:AJ305" si="257">AE303/Z303-1</f>
        <v>-1.0796221322537103E-2</v>
      </c>
      <c r="AF305" s="23">
        <f t="shared" si="257"/>
        <v>-0.10822368421052631</v>
      </c>
      <c r="AG305" s="71">
        <f t="shared" si="257"/>
        <v>7.3964497041421051E-3</v>
      </c>
      <c r="AH305" s="71">
        <f t="shared" si="257"/>
        <v>-2.3923444976076569E-2</v>
      </c>
      <c r="AI305" s="71">
        <f t="shared" si="257"/>
        <v>-0.10962962962962963</v>
      </c>
      <c r="AJ305" s="71">
        <f t="shared" si="257"/>
        <v>-0.12278308321964526</v>
      </c>
      <c r="AK305" s="23">
        <v>-6.4182958317963834E-2</v>
      </c>
      <c r="AL305" s="71">
        <v>-0.10866372980910421</v>
      </c>
      <c r="AM305" s="71">
        <v>-3.9215686274509776E-2</v>
      </c>
      <c r="AN305" s="71">
        <v>-2.4958402662229595E-2</v>
      </c>
      <c r="AO305" s="71">
        <v>-6.3763608087091805E-2</v>
      </c>
      <c r="AP305" s="23">
        <v>-6.0701616081986653E-2</v>
      </c>
      <c r="AQ305" s="71">
        <v>-4.6128500823723217E-2</v>
      </c>
      <c r="AR305" s="71">
        <v>-4.7619047619047672E-2</v>
      </c>
      <c r="AS305" s="71">
        <v>-8.5324232081911311E-2</v>
      </c>
      <c r="AT305" s="71">
        <v>-4.8172757475083094E-2</v>
      </c>
      <c r="AU305" s="23">
        <v>-5.6651279899286644E-2</v>
      </c>
      <c r="AV305" s="71">
        <v>-4.4905008635578558E-2</v>
      </c>
      <c r="AW305" s="71">
        <v>-5.5357142857142883E-2</v>
      </c>
      <c r="AX305" s="71">
        <v>-3.7313432835820448E-3</v>
      </c>
      <c r="AY305" s="71">
        <v>-3.1413612565445059E-2</v>
      </c>
      <c r="AZ305" s="23">
        <v>-3.4252669039145922E-2</v>
      </c>
      <c r="BA305" s="71">
        <v>-3.9783001808318286E-2</v>
      </c>
      <c r="BB305" s="71">
        <v>-1.1342155009451793E-2</v>
      </c>
      <c r="BC305" s="71">
        <v>-2.4344569288389462E-2</v>
      </c>
      <c r="BD305" s="71"/>
      <c r="BE305" s="23">
        <v>-1</v>
      </c>
      <c r="BF305" s="71"/>
      <c r="BG305" s="71"/>
      <c r="BH305" s="71"/>
    </row>
    <row r="306" spans="1:60" hidden="1">
      <c r="A306" s="67" t="s">
        <v>98</v>
      </c>
      <c r="B306" s="36">
        <v>1337</v>
      </c>
      <c r="C306" s="78" t="s">
        <v>49</v>
      </c>
      <c r="D306" s="78" t="s">
        <v>49</v>
      </c>
      <c r="E306" s="78" t="s">
        <v>49</v>
      </c>
      <c r="F306" s="78" t="s">
        <v>49</v>
      </c>
      <c r="G306" s="36">
        <v>1478</v>
      </c>
      <c r="H306" s="68">
        <v>447</v>
      </c>
      <c r="I306" s="68">
        <v>447</v>
      </c>
      <c r="J306" s="68">
        <v>462</v>
      </c>
      <c r="K306" s="68">
        <f>L306-J306-I306-H306</f>
        <v>428</v>
      </c>
      <c r="L306" s="36">
        <v>1784</v>
      </c>
      <c r="M306" s="68">
        <v>470</v>
      </c>
      <c r="N306" s="68">
        <v>509</v>
      </c>
      <c r="O306" s="68">
        <v>501</v>
      </c>
      <c r="P306" s="68">
        <f>Q306-O306-N306-M306</f>
        <v>498</v>
      </c>
      <c r="Q306" s="36">
        <v>1978</v>
      </c>
      <c r="R306" s="68">
        <v>548</v>
      </c>
      <c r="S306" s="68">
        <v>511</v>
      </c>
      <c r="T306" s="68">
        <v>495</v>
      </c>
      <c r="U306" s="68">
        <f>V306-T306-S306-R306</f>
        <v>407</v>
      </c>
      <c r="V306" s="36">
        <v>1961</v>
      </c>
      <c r="W306" s="68">
        <v>413</v>
      </c>
      <c r="X306" s="68">
        <v>396</v>
      </c>
      <c r="Y306" s="68">
        <v>333</v>
      </c>
      <c r="Z306" s="68">
        <f>AA306-Y306-X306-W306</f>
        <v>286</v>
      </c>
      <c r="AA306" s="36">
        <v>1428</v>
      </c>
      <c r="AB306" s="68">
        <f>AB288-AB303</f>
        <v>288</v>
      </c>
      <c r="AC306" s="68">
        <f>AC288-AC303</f>
        <v>288</v>
      </c>
      <c r="AD306" s="68">
        <f>AD288-AD303</f>
        <v>272</v>
      </c>
      <c r="AE306" s="68">
        <f>AF306-AD306-AC306-AB306</f>
        <v>250</v>
      </c>
      <c r="AF306" s="36">
        <f>AF288-AF303</f>
        <v>1098</v>
      </c>
      <c r="AG306" s="68">
        <v>236</v>
      </c>
      <c r="AH306" s="68">
        <v>231</v>
      </c>
      <c r="AI306" s="68">
        <v>223</v>
      </c>
      <c r="AJ306" s="68">
        <f>AK306-AI306-AH306-AG306</f>
        <v>192</v>
      </c>
      <c r="AK306" s="36">
        <v>882</v>
      </c>
      <c r="AL306" s="68">
        <v>120</v>
      </c>
      <c r="AM306" s="68">
        <v>133</v>
      </c>
      <c r="AN306" s="68">
        <v>143</v>
      </c>
      <c r="AO306" s="68">
        <v>111</v>
      </c>
      <c r="AP306" s="36">
        <v>507</v>
      </c>
      <c r="AQ306" s="68">
        <v>92</v>
      </c>
      <c r="AR306" s="68">
        <v>98</v>
      </c>
      <c r="AS306" s="68">
        <v>113</v>
      </c>
      <c r="AT306" s="68">
        <v>79</v>
      </c>
      <c r="AU306" s="36">
        <v>382</v>
      </c>
      <c r="AV306" s="68">
        <v>75</v>
      </c>
      <c r="AW306" s="68">
        <v>103</v>
      </c>
      <c r="AX306" s="68">
        <v>101</v>
      </c>
      <c r="AY306" s="68">
        <v>96</v>
      </c>
      <c r="AZ306" s="36">
        <v>375</v>
      </c>
      <c r="BA306" s="68">
        <v>88</v>
      </c>
      <c r="BB306" s="68">
        <v>79</v>
      </c>
      <c r="BC306" s="68">
        <v>83</v>
      </c>
      <c r="BD306" s="68"/>
      <c r="BE306" s="36"/>
      <c r="BF306" s="68"/>
      <c r="BG306" s="68"/>
      <c r="BH306" s="68"/>
    </row>
    <row r="307" spans="1:60" ht="10.5" hidden="1" customHeight="1">
      <c r="A307" s="69" t="s">
        <v>7</v>
      </c>
      <c r="B307" s="23"/>
      <c r="C307" s="70"/>
      <c r="D307" s="70"/>
      <c r="E307" s="70"/>
      <c r="F307" s="70"/>
      <c r="G307" s="23"/>
      <c r="H307" s="70"/>
      <c r="I307" s="70">
        <f>I306/H306-1</f>
        <v>0</v>
      </c>
      <c r="J307" s="70">
        <f>J306/I306-1</f>
        <v>3.3557046979865834E-2</v>
      </c>
      <c r="K307" s="70">
        <f>K306/J306-1</f>
        <v>-7.3593073593073544E-2</v>
      </c>
      <c r="L307" s="23"/>
      <c r="M307" s="70">
        <f>M306/K306-1</f>
        <v>9.8130841121495394E-2</v>
      </c>
      <c r="N307" s="70">
        <f>N306/M306-1</f>
        <v>8.2978723404255383E-2</v>
      </c>
      <c r="O307" s="70">
        <f>O306/N306-1</f>
        <v>-1.5717092337917515E-2</v>
      </c>
      <c r="P307" s="70">
        <f>P306/O306-1</f>
        <v>-5.9880239520958556E-3</v>
      </c>
      <c r="Q307" s="23"/>
      <c r="R307" s="70">
        <f>R306/P306-1</f>
        <v>0.10040160642570273</v>
      </c>
      <c r="S307" s="70">
        <f>S306/R306-1</f>
        <v>-6.7518248175182483E-2</v>
      </c>
      <c r="T307" s="70">
        <f>T306/S306-1</f>
        <v>-3.131115459882583E-2</v>
      </c>
      <c r="U307" s="70">
        <f>U306/T306-1</f>
        <v>-0.17777777777777781</v>
      </c>
      <c r="V307" s="23"/>
      <c r="W307" s="70">
        <f>W306/U306-1</f>
        <v>1.4742014742014753E-2</v>
      </c>
      <c r="X307" s="70">
        <f>X306/W306-1</f>
        <v>-4.1162227602905554E-2</v>
      </c>
      <c r="Y307" s="70">
        <f>Y306/X306-1</f>
        <v>-0.15909090909090906</v>
      </c>
      <c r="Z307" s="70">
        <f>Z306/Y306-1</f>
        <v>-0.14114114114114118</v>
      </c>
      <c r="AA307" s="23"/>
      <c r="AB307" s="70">
        <f>AB306/Z306-1</f>
        <v>6.9930069930070893E-3</v>
      </c>
      <c r="AC307" s="70">
        <f>AC306/AB306-1</f>
        <v>0</v>
      </c>
      <c r="AD307" s="70">
        <f>AD306/AC306-1</f>
        <v>-5.555555555555558E-2</v>
      </c>
      <c r="AE307" s="70">
        <f>AE306/AD306-1</f>
        <v>-8.0882352941176516E-2</v>
      </c>
      <c r="AF307" s="23"/>
      <c r="AG307" s="70">
        <f>AG306/AE306-1</f>
        <v>-5.600000000000005E-2</v>
      </c>
      <c r="AH307" s="70">
        <f>AH306/AG306-1</f>
        <v>-2.1186440677966156E-2</v>
      </c>
      <c r="AI307" s="70">
        <f>AI306/AH306-1</f>
        <v>-3.4632034632034681E-2</v>
      </c>
      <c r="AJ307" s="70">
        <f>AJ306/AI306-1</f>
        <v>-0.13901345291479816</v>
      </c>
      <c r="AK307" s="23"/>
      <c r="AL307" s="70">
        <v>-0.375</v>
      </c>
      <c r="AM307" s="70">
        <v>0.10833333333333339</v>
      </c>
      <c r="AN307" s="70">
        <v>7.5187969924812137E-2</v>
      </c>
      <c r="AO307" s="70">
        <v>-0.22377622377622375</v>
      </c>
      <c r="AP307" s="23"/>
      <c r="AQ307" s="70">
        <v>-0.1711711711711712</v>
      </c>
      <c r="AR307" s="70">
        <v>6.5217391304347894E-2</v>
      </c>
      <c r="AS307" s="70">
        <v>0.15306122448979598</v>
      </c>
      <c r="AT307" s="70">
        <v>-0.30088495575221241</v>
      </c>
      <c r="AU307" s="23"/>
      <c r="AV307" s="70">
        <v>-5.0632911392405111E-2</v>
      </c>
      <c r="AW307" s="70">
        <v>0.37333333333333329</v>
      </c>
      <c r="AX307" s="70">
        <v>-1.9417475728155331E-2</v>
      </c>
      <c r="AY307" s="70">
        <v>-4.9504950495049549E-2</v>
      </c>
      <c r="AZ307" s="23"/>
      <c r="BA307" s="70">
        <v>-8.333333333333337E-2</v>
      </c>
      <c r="BB307" s="70">
        <v>-0.10227272727272729</v>
      </c>
      <c r="BC307" s="70">
        <v>5.0632911392405111E-2</v>
      </c>
      <c r="BD307" s="70"/>
      <c r="BE307" s="23"/>
      <c r="BF307" s="70"/>
      <c r="BG307" s="70"/>
      <c r="BH307" s="70"/>
    </row>
    <row r="308" spans="1:60" ht="9.75" hidden="1" customHeight="1">
      <c r="A308" s="69" t="s">
        <v>8</v>
      </c>
      <c r="B308" s="23"/>
      <c r="C308" s="71"/>
      <c r="D308" s="71"/>
      <c r="E308" s="71"/>
      <c r="F308" s="71"/>
      <c r="G308" s="23">
        <f>G306/B306-1</f>
        <v>0.10545998504113685</v>
      </c>
      <c r="H308" s="71"/>
      <c r="I308" s="71"/>
      <c r="J308" s="71"/>
      <c r="K308" s="71"/>
      <c r="L308" s="23">
        <f t="shared" ref="L308:AD308" si="258">L306/G306-1</f>
        <v>0.20703653585926918</v>
      </c>
      <c r="M308" s="71">
        <f t="shared" si="258"/>
        <v>5.1454138702460961E-2</v>
      </c>
      <c r="N308" s="71">
        <f t="shared" si="258"/>
        <v>0.13870246085011195</v>
      </c>
      <c r="O308" s="71">
        <f t="shared" si="258"/>
        <v>8.4415584415584499E-2</v>
      </c>
      <c r="P308" s="71">
        <f t="shared" si="258"/>
        <v>0.16355140186915884</v>
      </c>
      <c r="Q308" s="23">
        <f t="shared" si="258"/>
        <v>0.10874439461883401</v>
      </c>
      <c r="R308" s="71">
        <f t="shared" si="258"/>
        <v>0.16595744680851054</v>
      </c>
      <c r="S308" s="71">
        <f t="shared" si="258"/>
        <v>3.9292730844793233E-3</v>
      </c>
      <c r="T308" s="71">
        <f t="shared" si="258"/>
        <v>-1.19760479041916E-2</v>
      </c>
      <c r="U308" s="71">
        <f t="shared" si="258"/>
        <v>-0.18273092369477917</v>
      </c>
      <c r="V308" s="23">
        <f t="shared" si="258"/>
        <v>-8.5945399393326793E-3</v>
      </c>
      <c r="W308" s="71">
        <f t="shared" si="258"/>
        <v>-0.2463503649635036</v>
      </c>
      <c r="X308" s="71">
        <f t="shared" si="258"/>
        <v>-0.22504892367906071</v>
      </c>
      <c r="Y308" s="71">
        <f t="shared" si="258"/>
        <v>-0.32727272727272727</v>
      </c>
      <c r="Z308" s="71">
        <f t="shared" si="258"/>
        <v>-0.29729729729729726</v>
      </c>
      <c r="AA308" s="23">
        <f t="shared" si="258"/>
        <v>-0.27180010198878124</v>
      </c>
      <c r="AB308" s="71">
        <f t="shared" si="258"/>
        <v>-0.30266343825665865</v>
      </c>
      <c r="AC308" s="71">
        <f t="shared" si="258"/>
        <v>-0.27272727272727271</v>
      </c>
      <c r="AD308" s="71">
        <f t="shared" si="258"/>
        <v>-0.18318318318318316</v>
      </c>
      <c r="AE308" s="71">
        <f t="shared" ref="AE308:AJ308" si="259">AE306/Z306-1</f>
        <v>-0.12587412587412583</v>
      </c>
      <c r="AF308" s="23">
        <f t="shared" si="259"/>
        <v>-0.23109243697478987</v>
      </c>
      <c r="AG308" s="71">
        <f t="shared" si="259"/>
        <v>-0.18055555555555558</v>
      </c>
      <c r="AH308" s="71">
        <f t="shared" si="259"/>
        <v>-0.19791666666666663</v>
      </c>
      <c r="AI308" s="71">
        <f t="shared" si="259"/>
        <v>-0.18014705882352944</v>
      </c>
      <c r="AJ308" s="71">
        <f t="shared" si="259"/>
        <v>-0.23199999999999998</v>
      </c>
      <c r="AK308" s="23">
        <v>-0.19672131147540983</v>
      </c>
      <c r="AL308" s="71">
        <v>-0.49152542372881358</v>
      </c>
      <c r="AM308" s="71">
        <v>-0.4242424242424242</v>
      </c>
      <c r="AN308" s="71">
        <v>-0.35874439461883412</v>
      </c>
      <c r="AO308" s="71">
        <v>-0.421875</v>
      </c>
      <c r="AP308" s="23">
        <v>-0.42517006802721091</v>
      </c>
      <c r="AQ308" s="71">
        <v>-0.23333333333333328</v>
      </c>
      <c r="AR308" s="71">
        <v>-0.26315789473684215</v>
      </c>
      <c r="AS308" s="71">
        <v>-0.20979020979020979</v>
      </c>
      <c r="AT308" s="71">
        <v>-0.28828828828828834</v>
      </c>
      <c r="AU308" s="23">
        <v>-0.24654832347140043</v>
      </c>
      <c r="AV308" s="71">
        <v>-0.18478260869565222</v>
      </c>
      <c r="AW308" s="71">
        <v>5.1020408163265252E-2</v>
      </c>
      <c r="AX308" s="71">
        <v>-0.10619469026548678</v>
      </c>
      <c r="AY308" s="71">
        <v>0.21518987341772156</v>
      </c>
      <c r="AZ308" s="23">
        <v>-1.8324607329842979E-2</v>
      </c>
      <c r="BA308" s="71">
        <v>0.17333333333333334</v>
      </c>
      <c r="BB308" s="71">
        <v>-0.23300970873786409</v>
      </c>
      <c r="BC308" s="71">
        <v>-0.17821782178217827</v>
      </c>
      <c r="BD308" s="71"/>
      <c r="BE308" s="23">
        <v>-1</v>
      </c>
      <c r="BF308" s="71"/>
      <c r="BG308" s="71"/>
      <c r="BH308" s="71"/>
    </row>
    <row r="309" spans="1:60" hidden="1">
      <c r="A309" s="67" t="s">
        <v>80</v>
      </c>
      <c r="B309" s="36">
        <v>430</v>
      </c>
      <c r="C309" s="78" t="s">
        <v>49</v>
      </c>
      <c r="D309" s="78" t="s">
        <v>49</v>
      </c>
      <c r="E309" s="78" t="s">
        <v>49</v>
      </c>
      <c r="F309" s="78" t="s">
        <v>49</v>
      </c>
      <c r="G309" s="36">
        <v>405</v>
      </c>
      <c r="H309" s="68">
        <v>113</v>
      </c>
      <c r="I309" s="68">
        <v>96</v>
      </c>
      <c r="J309" s="68">
        <v>116</v>
      </c>
      <c r="K309" s="68">
        <f>L309-J309-I309-H309</f>
        <v>136</v>
      </c>
      <c r="L309" s="36">
        <v>461</v>
      </c>
      <c r="M309" s="68">
        <v>119</v>
      </c>
      <c r="N309" s="68">
        <v>117</v>
      </c>
      <c r="O309" s="68">
        <v>115</v>
      </c>
      <c r="P309" s="68">
        <f>Q309-O309-N309-M309</f>
        <v>117</v>
      </c>
      <c r="Q309" s="36">
        <v>468</v>
      </c>
      <c r="R309" s="68">
        <v>117</v>
      </c>
      <c r="S309" s="68">
        <v>125</v>
      </c>
      <c r="T309" s="68">
        <v>125</v>
      </c>
      <c r="U309" s="68">
        <f>V309-T309-S309-R309</f>
        <v>113</v>
      </c>
      <c r="V309" s="36">
        <v>480</v>
      </c>
      <c r="W309" s="68">
        <v>116</v>
      </c>
      <c r="X309" s="68">
        <v>111</v>
      </c>
      <c r="Y309" s="68">
        <v>105</v>
      </c>
      <c r="Z309" s="68">
        <f>AA309-Y309-X309-W309</f>
        <v>90</v>
      </c>
      <c r="AA309" s="36">
        <v>422</v>
      </c>
      <c r="AB309" s="68">
        <v>86</v>
      </c>
      <c r="AC309" s="68">
        <v>75</v>
      </c>
      <c r="AD309" s="68">
        <v>69</v>
      </c>
      <c r="AE309" s="68">
        <f>AF309-AD309-AC309-AB309</f>
        <v>90</v>
      </c>
      <c r="AF309" s="36">
        <v>320</v>
      </c>
      <c r="AG309" s="68">
        <v>83</v>
      </c>
      <c r="AH309" s="68">
        <v>76</v>
      </c>
      <c r="AI309" s="68">
        <v>76</v>
      </c>
      <c r="AJ309" s="68">
        <f>AK309-AI309-AH309-AG309</f>
        <v>74</v>
      </c>
      <c r="AK309" s="36">
        <v>309</v>
      </c>
      <c r="AL309" s="68">
        <v>63</v>
      </c>
      <c r="AM309" s="68">
        <v>57</v>
      </c>
      <c r="AN309" s="68">
        <v>59</v>
      </c>
      <c r="AO309" s="68">
        <v>68</v>
      </c>
      <c r="AP309" s="36">
        <v>247</v>
      </c>
      <c r="AQ309" s="68">
        <v>66</v>
      </c>
      <c r="AR309" s="68">
        <v>68</v>
      </c>
      <c r="AS309" s="68">
        <v>65</v>
      </c>
      <c r="AT309" s="68">
        <v>61</v>
      </c>
      <c r="AU309" s="36">
        <v>260</v>
      </c>
      <c r="AV309" s="68">
        <v>48</v>
      </c>
      <c r="AW309" s="68">
        <v>51</v>
      </c>
      <c r="AX309" s="68">
        <v>58</v>
      </c>
      <c r="AY309" s="68">
        <v>58</v>
      </c>
      <c r="AZ309" s="36">
        <v>215</v>
      </c>
      <c r="BA309" s="68">
        <v>62</v>
      </c>
      <c r="BB309" s="68">
        <v>56</v>
      </c>
      <c r="BC309" s="68">
        <v>58</v>
      </c>
      <c r="BD309" s="68"/>
      <c r="BE309" s="36"/>
      <c r="BF309" s="68"/>
      <c r="BG309" s="68"/>
      <c r="BH309" s="68"/>
    </row>
    <row r="310" spans="1:60" hidden="1">
      <c r="A310" s="69" t="s">
        <v>7</v>
      </c>
      <c r="B310" s="23"/>
      <c r="C310" s="70"/>
      <c r="D310" s="70"/>
      <c r="E310" s="70"/>
      <c r="F310" s="70"/>
      <c r="G310" s="23"/>
      <c r="H310" s="70"/>
      <c r="I310" s="70">
        <f>I309/H309-1</f>
        <v>-0.15044247787610621</v>
      </c>
      <c r="J310" s="70">
        <f>J309/I309-1</f>
        <v>0.20833333333333326</v>
      </c>
      <c r="K310" s="70">
        <f>K309/J309-1</f>
        <v>0.17241379310344818</v>
      </c>
      <c r="L310" s="23"/>
      <c r="M310" s="70">
        <f>M309/K309-1</f>
        <v>-0.125</v>
      </c>
      <c r="N310" s="70">
        <f>N309/M309-1</f>
        <v>-1.6806722689075682E-2</v>
      </c>
      <c r="O310" s="70">
        <f>O309/N309-1</f>
        <v>-1.7094017094017144E-2</v>
      </c>
      <c r="P310" s="70">
        <f>P309/O309-1</f>
        <v>1.7391304347825987E-2</v>
      </c>
      <c r="Q310" s="23"/>
      <c r="R310" s="70">
        <f>R309/P309-1</f>
        <v>0</v>
      </c>
      <c r="S310" s="70">
        <f>S309/R309-1</f>
        <v>6.8376068376068355E-2</v>
      </c>
      <c r="T310" s="70">
        <f>T309/S309-1</f>
        <v>0</v>
      </c>
      <c r="U310" s="70">
        <f>U309/T309-1</f>
        <v>-9.5999999999999974E-2</v>
      </c>
      <c r="V310" s="23"/>
      <c r="W310" s="70">
        <f>W309/U309-1</f>
        <v>2.6548672566371723E-2</v>
      </c>
      <c r="X310" s="70">
        <f>X309/W309-1</f>
        <v>-4.31034482758621E-2</v>
      </c>
      <c r="Y310" s="70">
        <f>Y309/X309-1</f>
        <v>-5.4054054054054057E-2</v>
      </c>
      <c r="Z310" s="70">
        <f>Z309/Y309-1</f>
        <v>-0.1428571428571429</v>
      </c>
      <c r="AA310" s="23"/>
      <c r="AB310" s="70">
        <f>AB309/Z309-1</f>
        <v>-4.4444444444444398E-2</v>
      </c>
      <c r="AC310" s="70">
        <f>AC309/AB309-1</f>
        <v>-0.12790697674418605</v>
      </c>
      <c r="AD310" s="70">
        <f>AD309/AC309-1</f>
        <v>-7.999999999999996E-2</v>
      </c>
      <c r="AE310" s="70">
        <f>AE309/AD309-1</f>
        <v>0.30434782608695654</v>
      </c>
      <c r="AF310" s="23"/>
      <c r="AG310" s="70">
        <f>AG309/AE309-1</f>
        <v>-7.7777777777777724E-2</v>
      </c>
      <c r="AH310" s="70">
        <f>AH309/AG309-1</f>
        <v>-8.4337349397590411E-2</v>
      </c>
      <c r="AI310" s="70">
        <f>AI309/AH309-1</f>
        <v>0</v>
      </c>
      <c r="AJ310" s="70">
        <f>AJ309/AI309-1</f>
        <v>-2.6315789473684181E-2</v>
      </c>
      <c r="AK310" s="23"/>
      <c r="AL310" s="70">
        <v>-0.14864864864864868</v>
      </c>
      <c r="AM310" s="70">
        <v>-9.5238095238095233E-2</v>
      </c>
      <c r="AN310" s="70">
        <v>3.5087719298245723E-2</v>
      </c>
      <c r="AO310" s="70">
        <v>0.15254237288135597</v>
      </c>
      <c r="AP310" s="23"/>
      <c r="AQ310" s="70">
        <v>-2.9411764705882359E-2</v>
      </c>
      <c r="AR310" s="70">
        <v>3.0303030303030276E-2</v>
      </c>
      <c r="AS310" s="70">
        <v>-4.4117647058823484E-2</v>
      </c>
      <c r="AT310" s="70">
        <v>-6.1538461538461542E-2</v>
      </c>
      <c r="AU310" s="23"/>
      <c r="AV310" s="70">
        <v>-0.21311475409836067</v>
      </c>
      <c r="AW310" s="70">
        <v>6.25E-2</v>
      </c>
      <c r="AX310" s="70">
        <v>0.13725490196078427</v>
      </c>
      <c r="AY310" s="70">
        <v>0</v>
      </c>
      <c r="AZ310" s="23"/>
      <c r="BA310" s="70">
        <v>6.8965517241379226E-2</v>
      </c>
      <c r="BB310" s="70">
        <v>-9.6774193548387122E-2</v>
      </c>
      <c r="BC310" s="70">
        <v>3.5714285714285809E-2</v>
      </c>
      <c r="BD310" s="70"/>
      <c r="BE310" s="23"/>
      <c r="BF310" s="70"/>
      <c r="BG310" s="70"/>
      <c r="BH310" s="70"/>
    </row>
    <row r="311" spans="1:60" hidden="1">
      <c r="A311" s="69" t="s">
        <v>8</v>
      </c>
      <c r="B311" s="23"/>
      <c r="C311" s="71"/>
      <c r="D311" s="71"/>
      <c r="E311" s="71"/>
      <c r="F311" s="71"/>
      <c r="G311" s="23">
        <f>G309/B309-1</f>
        <v>-5.8139534883720922E-2</v>
      </c>
      <c r="H311" s="71"/>
      <c r="I311" s="71"/>
      <c r="J311" s="71"/>
      <c r="K311" s="71"/>
      <c r="L311" s="23">
        <f t="shared" ref="L311:AD311" si="260">L309/G309-1</f>
        <v>0.13827160493827151</v>
      </c>
      <c r="M311" s="71">
        <f t="shared" si="260"/>
        <v>5.3097345132743445E-2</v>
      </c>
      <c r="N311" s="71">
        <f t="shared" si="260"/>
        <v>0.21875</v>
      </c>
      <c r="O311" s="71">
        <f t="shared" si="260"/>
        <v>-8.6206896551723755E-3</v>
      </c>
      <c r="P311" s="71">
        <f t="shared" si="260"/>
        <v>-0.13970588235294112</v>
      </c>
      <c r="Q311" s="23">
        <f t="shared" si="260"/>
        <v>1.5184381778741818E-2</v>
      </c>
      <c r="R311" s="71">
        <f t="shared" si="260"/>
        <v>-1.6806722689075682E-2</v>
      </c>
      <c r="S311" s="71">
        <f t="shared" si="260"/>
        <v>6.8376068376068355E-2</v>
      </c>
      <c r="T311" s="71">
        <f t="shared" si="260"/>
        <v>8.6956521739130377E-2</v>
      </c>
      <c r="U311" s="71">
        <f t="shared" si="260"/>
        <v>-3.4188034188034178E-2</v>
      </c>
      <c r="V311" s="23">
        <f t="shared" si="260"/>
        <v>2.564102564102555E-2</v>
      </c>
      <c r="W311" s="71">
        <f t="shared" si="260"/>
        <v>-8.5470085470085166E-3</v>
      </c>
      <c r="X311" s="71">
        <f t="shared" si="260"/>
        <v>-0.11199999999999999</v>
      </c>
      <c r="Y311" s="71">
        <f t="shared" si="260"/>
        <v>-0.16000000000000003</v>
      </c>
      <c r="Z311" s="71">
        <f t="shared" si="260"/>
        <v>-0.20353982300884954</v>
      </c>
      <c r="AA311" s="23">
        <f t="shared" si="260"/>
        <v>-0.12083333333333335</v>
      </c>
      <c r="AB311" s="71">
        <f t="shared" si="260"/>
        <v>-0.25862068965517238</v>
      </c>
      <c r="AC311" s="71">
        <f t="shared" si="260"/>
        <v>-0.32432432432432434</v>
      </c>
      <c r="AD311" s="71">
        <f t="shared" si="260"/>
        <v>-0.34285714285714286</v>
      </c>
      <c r="AE311" s="71">
        <f t="shared" ref="AE311:AJ311" si="261">AE309/Z309-1</f>
        <v>0</v>
      </c>
      <c r="AF311" s="23">
        <f t="shared" si="261"/>
        <v>-0.24170616113744081</v>
      </c>
      <c r="AG311" s="71">
        <f t="shared" si="261"/>
        <v>-3.4883720930232509E-2</v>
      </c>
      <c r="AH311" s="71">
        <f t="shared" si="261"/>
        <v>1.3333333333333419E-2</v>
      </c>
      <c r="AI311" s="71">
        <f t="shared" si="261"/>
        <v>0.10144927536231885</v>
      </c>
      <c r="AJ311" s="71">
        <f t="shared" si="261"/>
        <v>-0.17777777777777781</v>
      </c>
      <c r="AK311" s="23">
        <v>-3.4375000000000044E-2</v>
      </c>
      <c r="AL311" s="71">
        <v>-0.24096385542168675</v>
      </c>
      <c r="AM311" s="71">
        <v>-0.25</v>
      </c>
      <c r="AN311" s="71">
        <v>-0.22368421052631582</v>
      </c>
      <c r="AO311" s="71">
        <v>-8.108108108108103E-2</v>
      </c>
      <c r="AP311" s="23">
        <v>-0.20064724919093846</v>
      </c>
      <c r="AQ311" s="71">
        <v>4.7619047619047672E-2</v>
      </c>
      <c r="AR311" s="71">
        <v>0.19298245614035081</v>
      </c>
      <c r="AS311" s="71">
        <v>0.10169491525423724</v>
      </c>
      <c r="AT311" s="71">
        <v>-0.1029411764705882</v>
      </c>
      <c r="AU311" s="23">
        <v>5.2631578947368363E-2</v>
      </c>
      <c r="AV311" s="71">
        <v>-0.27272727272727271</v>
      </c>
      <c r="AW311" s="71">
        <v>-0.25</v>
      </c>
      <c r="AX311" s="71">
        <v>-0.10769230769230764</v>
      </c>
      <c r="AY311" s="71">
        <v>-4.9180327868852514E-2</v>
      </c>
      <c r="AZ311" s="23">
        <v>-0.17307692307692313</v>
      </c>
      <c r="BA311" s="71">
        <v>0.29166666666666674</v>
      </c>
      <c r="BB311" s="71">
        <v>9.8039215686274606E-2</v>
      </c>
      <c r="BC311" s="71">
        <v>0</v>
      </c>
      <c r="BD311" s="71"/>
      <c r="BE311" s="23">
        <v>-1</v>
      </c>
      <c r="BF311" s="71"/>
      <c r="BG311" s="71"/>
      <c r="BH311" s="71"/>
    </row>
    <row r="312" spans="1:60" hidden="1">
      <c r="A312" s="67" t="s">
        <v>81</v>
      </c>
      <c r="B312" s="36">
        <v>102</v>
      </c>
      <c r="C312" s="78" t="s">
        <v>49</v>
      </c>
      <c r="D312" s="78" t="s">
        <v>49</v>
      </c>
      <c r="E312" s="78" t="s">
        <v>49</v>
      </c>
      <c r="F312" s="78" t="s">
        <v>49</v>
      </c>
      <c r="G312" s="36">
        <v>140</v>
      </c>
      <c r="H312" s="68">
        <v>32</v>
      </c>
      <c r="I312" s="68">
        <v>30</v>
      </c>
      <c r="J312" s="68">
        <v>30</v>
      </c>
      <c r="K312" s="68">
        <f>L312-J312-I312-H312</f>
        <v>41</v>
      </c>
      <c r="L312" s="36">
        <v>133</v>
      </c>
      <c r="M312" s="68">
        <v>29</v>
      </c>
      <c r="N312" s="68">
        <v>30</v>
      </c>
      <c r="O312" s="68">
        <v>30</v>
      </c>
      <c r="P312" s="68">
        <f>Q312-O312-N312-M312</f>
        <v>38</v>
      </c>
      <c r="Q312" s="36">
        <v>127</v>
      </c>
      <c r="R312" s="68">
        <v>32</v>
      </c>
      <c r="S312" s="68">
        <v>29</v>
      </c>
      <c r="T312" s="68">
        <v>28</v>
      </c>
      <c r="U312" s="68">
        <f>V312-T312-S312-R312</f>
        <v>32</v>
      </c>
      <c r="V312" s="36">
        <v>121</v>
      </c>
      <c r="W312" s="68">
        <v>30</v>
      </c>
      <c r="X312" s="68">
        <v>26</v>
      </c>
      <c r="Y312" s="68">
        <v>29</v>
      </c>
      <c r="Z312" s="68">
        <f>AA312-Y312-X312-W312</f>
        <v>29</v>
      </c>
      <c r="AA312" s="36">
        <v>114</v>
      </c>
      <c r="AB312" s="68">
        <v>28</v>
      </c>
      <c r="AC312" s="68">
        <v>27</v>
      </c>
      <c r="AD312" s="68">
        <v>31</v>
      </c>
      <c r="AE312" s="68">
        <f>AF312-AD312-AC312-AB312</f>
        <v>23</v>
      </c>
      <c r="AF312" s="36">
        <v>109</v>
      </c>
      <c r="AG312" s="68">
        <v>27</v>
      </c>
      <c r="AH312" s="68">
        <v>28</v>
      </c>
      <c r="AI312" s="68">
        <v>25</v>
      </c>
      <c r="AJ312" s="68">
        <f>AK312-AI312-AH312-AG312</f>
        <v>26</v>
      </c>
      <c r="AK312" s="36">
        <v>106</v>
      </c>
      <c r="AL312" s="68">
        <v>25</v>
      </c>
      <c r="AM312" s="68">
        <v>23</v>
      </c>
      <c r="AN312" s="68">
        <v>23</v>
      </c>
      <c r="AO312" s="68">
        <v>27</v>
      </c>
      <c r="AP312" s="36">
        <v>98</v>
      </c>
      <c r="AQ312" s="68">
        <v>25</v>
      </c>
      <c r="AR312" s="68">
        <v>22</v>
      </c>
      <c r="AS312" s="68">
        <v>21</v>
      </c>
      <c r="AT312" s="68">
        <v>21</v>
      </c>
      <c r="AU312" s="36">
        <v>89</v>
      </c>
      <c r="AV312" s="68">
        <v>22</v>
      </c>
      <c r="AW312" s="68">
        <v>22</v>
      </c>
      <c r="AX312" s="68">
        <v>21</v>
      </c>
      <c r="AY312" s="68">
        <v>23</v>
      </c>
      <c r="AZ312" s="36">
        <v>88</v>
      </c>
      <c r="BA312" s="68">
        <v>24</v>
      </c>
      <c r="BB312" s="68">
        <v>21</v>
      </c>
      <c r="BC312" s="68">
        <v>21</v>
      </c>
      <c r="BD312" s="68"/>
      <c r="BE312" s="36"/>
      <c r="BF312" s="68"/>
      <c r="BG312" s="68"/>
      <c r="BH312" s="68"/>
    </row>
    <row r="313" spans="1:60" hidden="1">
      <c r="A313" s="69" t="s">
        <v>7</v>
      </c>
      <c r="B313" s="23"/>
      <c r="C313" s="70"/>
      <c r="D313" s="70"/>
      <c r="E313" s="70"/>
      <c r="F313" s="70"/>
      <c r="G313" s="23"/>
      <c r="H313" s="70"/>
      <c r="I313" s="70">
        <f>I312/H312-1</f>
        <v>-6.25E-2</v>
      </c>
      <c r="J313" s="70">
        <f>J312/I312-1</f>
        <v>0</v>
      </c>
      <c r="K313" s="70">
        <f>K312/J312-1</f>
        <v>0.3666666666666667</v>
      </c>
      <c r="L313" s="23"/>
      <c r="M313" s="70">
        <f>M312/K312-1</f>
        <v>-0.29268292682926833</v>
      </c>
      <c r="N313" s="70">
        <f>N312/M312-1</f>
        <v>3.4482758620689724E-2</v>
      </c>
      <c r="O313" s="70">
        <f>O312/N312-1</f>
        <v>0</v>
      </c>
      <c r="P313" s="70">
        <f>P312/O312-1</f>
        <v>0.26666666666666661</v>
      </c>
      <c r="Q313" s="23"/>
      <c r="R313" s="70">
        <f>R312/P312-1</f>
        <v>-0.15789473684210531</v>
      </c>
      <c r="S313" s="70">
        <f>S312/R312-1</f>
        <v>-9.375E-2</v>
      </c>
      <c r="T313" s="70">
        <f>T312/S312-1</f>
        <v>-3.4482758620689613E-2</v>
      </c>
      <c r="U313" s="70">
        <f>U312/T312-1</f>
        <v>0.14285714285714279</v>
      </c>
      <c r="V313" s="23"/>
      <c r="W313" s="70">
        <f>W312/U312-1</f>
        <v>-6.25E-2</v>
      </c>
      <c r="X313" s="70">
        <f>X312/W312-1</f>
        <v>-0.1333333333333333</v>
      </c>
      <c r="Y313" s="70">
        <f>Y312/X312-1</f>
        <v>0.11538461538461542</v>
      </c>
      <c r="Z313" s="70">
        <f>Z312/Y312-1</f>
        <v>0</v>
      </c>
      <c r="AA313" s="23"/>
      <c r="AB313" s="70">
        <f>AB312/Z312-1</f>
        <v>-3.4482758620689613E-2</v>
      </c>
      <c r="AC313" s="70">
        <f>AC312/AB312-1</f>
        <v>-3.5714285714285698E-2</v>
      </c>
      <c r="AD313" s="70">
        <f>AD312/AC312-1</f>
        <v>0.14814814814814814</v>
      </c>
      <c r="AE313" s="70">
        <f>AE312/AD312-1</f>
        <v>-0.25806451612903225</v>
      </c>
      <c r="AF313" s="23"/>
      <c r="AG313" s="70">
        <f>AG312/AE312-1</f>
        <v>0.17391304347826098</v>
      </c>
      <c r="AH313" s="70">
        <f>AH312/AG312-1</f>
        <v>3.7037037037036979E-2</v>
      </c>
      <c r="AI313" s="70">
        <f>AI312/AH312-1</f>
        <v>-0.1071428571428571</v>
      </c>
      <c r="AJ313" s="70">
        <f>AJ312/AI312-1</f>
        <v>4.0000000000000036E-2</v>
      </c>
      <c r="AK313" s="23"/>
      <c r="AL313" s="70">
        <v>-3.8461538461538436E-2</v>
      </c>
      <c r="AM313" s="70">
        <v>-7.999999999999996E-2</v>
      </c>
      <c r="AN313" s="70">
        <v>0</v>
      </c>
      <c r="AO313" s="70">
        <v>0.17391304347826098</v>
      </c>
      <c r="AP313" s="23"/>
      <c r="AQ313" s="70">
        <v>-7.407407407407407E-2</v>
      </c>
      <c r="AR313" s="70">
        <v>-0.12</v>
      </c>
      <c r="AS313" s="70">
        <v>-4.5454545454545414E-2</v>
      </c>
      <c r="AT313" s="70">
        <v>0</v>
      </c>
      <c r="AU313" s="23"/>
      <c r="AV313" s="70">
        <v>4.7619047619047672E-2</v>
      </c>
      <c r="AW313" s="70">
        <v>0</v>
      </c>
      <c r="AX313" s="70">
        <v>-4.5454545454545414E-2</v>
      </c>
      <c r="AY313" s="70">
        <v>9.5238095238095344E-2</v>
      </c>
      <c r="AZ313" s="23"/>
      <c r="BA313" s="70">
        <v>4.3478260869565188E-2</v>
      </c>
      <c r="BB313" s="70">
        <v>-0.125</v>
      </c>
      <c r="BC313" s="70">
        <v>0</v>
      </c>
      <c r="BD313" s="70"/>
      <c r="BE313" s="23"/>
      <c r="BF313" s="70"/>
      <c r="BG313" s="70"/>
      <c r="BH313" s="70"/>
    </row>
    <row r="314" spans="1:60" hidden="1">
      <c r="A314" s="69" t="s">
        <v>8</v>
      </c>
      <c r="B314" s="23"/>
      <c r="C314" s="71"/>
      <c r="D314" s="71"/>
      <c r="E314" s="71"/>
      <c r="F314" s="71"/>
      <c r="G314" s="23">
        <f>G312/B312-1</f>
        <v>0.37254901960784315</v>
      </c>
      <c r="H314" s="71"/>
      <c r="I314" s="71"/>
      <c r="J314" s="71"/>
      <c r="K314" s="71"/>
      <c r="L314" s="23">
        <f t="shared" ref="L314:AD314" si="262">L312/G312-1</f>
        <v>-5.0000000000000044E-2</v>
      </c>
      <c r="M314" s="71">
        <f t="shared" si="262"/>
        <v>-9.375E-2</v>
      </c>
      <c r="N314" s="71">
        <f t="shared" si="262"/>
        <v>0</v>
      </c>
      <c r="O314" s="71">
        <f t="shared" si="262"/>
        <v>0</v>
      </c>
      <c r="P314" s="71">
        <f t="shared" si="262"/>
        <v>-7.3170731707317027E-2</v>
      </c>
      <c r="Q314" s="23">
        <f t="shared" si="262"/>
        <v>-4.5112781954887216E-2</v>
      </c>
      <c r="R314" s="71">
        <f t="shared" si="262"/>
        <v>0.10344827586206895</v>
      </c>
      <c r="S314" s="71">
        <f t="shared" si="262"/>
        <v>-3.3333333333333326E-2</v>
      </c>
      <c r="T314" s="71">
        <f t="shared" si="262"/>
        <v>-6.6666666666666652E-2</v>
      </c>
      <c r="U314" s="71">
        <f t="shared" si="262"/>
        <v>-0.15789473684210531</v>
      </c>
      <c r="V314" s="23">
        <f t="shared" si="262"/>
        <v>-4.7244094488189003E-2</v>
      </c>
      <c r="W314" s="71">
        <f t="shared" si="262"/>
        <v>-6.25E-2</v>
      </c>
      <c r="X314" s="71">
        <f t="shared" si="262"/>
        <v>-0.10344827586206895</v>
      </c>
      <c r="Y314" s="71">
        <f t="shared" si="262"/>
        <v>3.5714285714285809E-2</v>
      </c>
      <c r="Z314" s="71">
        <f t="shared" si="262"/>
        <v>-9.375E-2</v>
      </c>
      <c r="AA314" s="23">
        <f t="shared" si="262"/>
        <v>-5.7851239669421517E-2</v>
      </c>
      <c r="AB314" s="71">
        <f t="shared" si="262"/>
        <v>-6.6666666666666652E-2</v>
      </c>
      <c r="AC314" s="71">
        <f t="shared" si="262"/>
        <v>3.8461538461538547E-2</v>
      </c>
      <c r="AD314" s="71">
        <f t="shared" si="262"/>
        <v>6.8965517241379226E-2</v>
      </c>
      <c r="AE314" s="71">
        <f t="shared" ref="AE314:AJ314" si="263">AE312/Z312-1</f>
        <v>-0.2068965517241379</v>
      </c>
      <c r="AF314" s="23">
        <f t="shared" si="263"/>
        <v>-4.3859649122807043E-2</v>
      </c>
      <c r="AG314" s="71">
        <f t="shared" si="263"/>
        <v>-3.5714285714285698E-2</v>
      </c>
      <c r="AH314" s="71">
        <f t="shared" si="263"/>
        <v>3.7037037037036979E-2</v>
      </c>
      <c r="AI314" s="71">
        <f t="shared" si="263"/>
        <v>-0.19354838709677424</v>
      </c>
      <c r="AJ314" s="71">
        <f t="shared" si="263"/>
        <v>0.13043478260869557</v>
      </c>
      <c r="AK314" s="23">
        <v>-2.752293577981646E-2</v>
      </c>
      <c r="AL314" s="71">
        <v>-7.407407407407407E-2</v>
      </c>
      <c r="AM314" s="71">
        <v>-0.1785714285714286</v>
      </c>
      <c r="AN314" s="71">
        <v>-7.999999999999996E-2</v>
      </c>
      <c r="AO314" s="71">
        <v>3.8461538461538547E-2</v>
      </c>
      <c r="AP314" s="23">
        <v>-7.547169811320753E-2</v>
      </c>
      <c r="AQ314" s="71">
        <v>0</v>
      </c>
      <c r="AR314" s="71">
        <v>-4.3478260869565188E-2</v>
      </c>
      <c r="AS314" s="71">
        <v>-8.6956521739130488E-2</v>
      </c>
      <c r="AT314" s="71">
        <v>-0.22222222222222221</v>
      </c>
      <c r="AU314" s="23">
        <v>-9.1836734693877542E-2</v>
      </c>
      <c r="AV314" s="71">
        <v>-0.12</v>
      </c>
      <c r="AW314" s="71">
        <v>0</v>
      </c>
      <c r="AX314" s="71">
        <v>0</v>
      </c>
      <c r="AY314" s="71">
        <v>9.5238095238095344E-2</v>
      </c>
      <c r="AZ314" s="23">
        <v>-1.1235955056179803E-2</v>
      </c>
      <c r="BA314" s="71">
        <v>9.0909090909090828E-2</v>
      </c>
      <c r="BB314" s="71">
        <v>-4.5454545454545414E-2</v>
      </c>
      <c r="BC314" s="71">
        <v>0</v>
      </c>
      <c r="BD314" s="71"/>
      <c r="BE314" s="23">
        <v>-1</v>
      </c>
      <c r="BF314" s="71"/>
      <c r="BG314" s="71"/>
      <c r="BH314" s="71"/>
    </row>
    <row r="315" spans="1:60">
      <c r="A315" s="67" t="s">
        <v>259</v>
      </c>
      <c r="B315" s="36">
        <f>398+81</f>
        <v>479</v>
      </c>
      <c r="C315" s="68">
        <v>129</v>
      </c>
      <c r="D315" s="68">
        <v>130</v>
      </c>
      <c r="E315" s="68">
        <v>129</v>
      </c>
      <c r="F315" s="68">
        <f>G315-E315-D315-C315</f>
        <v>135</v>
      </c>
      <c r="G315" s="36">
        <f>424+99</f>
        <v>523</v>
      </c>
      <c r="H315" s="68">
        <v>139</v>
      </c>
      <c r="I315" s="68">
        <f>114+37</f>
        <v>151</v>
      </c>
      <c r="J315" s="68">
        <v>155</v>
      </c>
      <c r="K315" s="68">
        <f>L315-J315-I315-H315</f>
        <v>158</v>
      </c>
      <c r="L315" s="36">
        <f>456+147</f>
        <v>603</v>
      </c>
      <c r="M315" s="68">
        <f>110+39</f>
        <v>149</v>
      </c>
      <c r="N315" s="68">
        <f>109+40</f>
        <v>149</v>
      </c>
      <c r="O315" s="68">
        <f>110+39</f>
        <v>149</v>
      </c>
      <c r="P315" s="68">
        <f>Q315-O315-N315-M315</f>
        <v>154</v>
      </c>
      <c r="Q315" s="36">
        <f>444+157</f>
        <v>601</v>
      </c>
      <c r="R315" s="68">
        <v>139</v>
      </c>
      <c r="S315" s="68">
        <v>143</v>
      </c>
      <c r="T315" s="68">
        <v>139</v>
      </c>
      <c r="U315" s="68">
        <f>V315-T315-S315-R315</f>
        <v>140</v>
      </c>
      <c r="V315" s="36">
        <f>410+151</f>
        <v>561</v>
      </c>
      <c r="W315" s="68">
        <v>135</v>
      </c>
      <c r="X315" s="68">
        <f>105+32</f>
        <v>137</v>
      </c>
      <c r="Y315" s="68">
        <v>130</v>
      </c>
      <c r="Z315" s="68">
        <f>AA315-Y315-X315-W315</f>
        <v>129</v>
      </c>
      <c r="AA315" s="36">
        <v>531</v>
      </c>
      <c r="AB315" s="68">
        <f>98+23</f>
        <v>121</v>
      </c>
      <c r="AC315" s="68">
        <f>91+22</f>
        <v>113</v>
      </c>
      <c r="AD315" s="68">
        <v>111</v>
      </c>
      <c r="AE315" s="68">
        <f>AF315-AD315-AC315-AB315</f>
        <v>113</v>
      </c>
      <c r="AF315" s="36">
        <v>458</v>
      </c>
      <c r="AG315" s="68">
        <f>87+19</f>
        <v>106</v>
      </c>
      <c r="AH315" s="68">
        <v>105</v>
      </c>
      <c r="AI315" s="68">
        <v>108</v>
      </c>
      <c r="AJ315" s="68">
        <f>AK315-AI315-AH315-AG315</f>
        <v>111</v>
      </c>
      <c r="AK315" s="36">
        <v>430</v>
      </c>
      <c r="AL315" s="68">
        <v>104</v>
      </c>
      <c r="AM315" s="68">
        <v>106</v>
      </c>
      <c r="AN315" s="68">
        <v>109</v>
      </c>
      <c r="AO315" s="68">
        <v>100</v>
      </c>
      <c r="AP315" s="36">
        <v>419</v>
      </c>
      <c r="AQ315" s="68">
        <v>104</v>
      </c>
      <c r="AR315" s="68">
        <v>95</v>
      </c>
      <c r="AS315" s="68">
        <v>92</v>
      </c>
      <c r="AT315" s="68">
        <v>89</v>
      </c>
      <c r="AU315" s="36">
        <v>380</v>
      </c>
      <c r="AV315" s="68">
        <v>94</v>
      </c>
      <c r="AW315" s="68">
        <v>99</v>
      </c>
      <c r="AX315" s="68">
        <v>100</v>
      </c>
      <c r="AY315" s="68">
        <v>90</v>
      </c>
      <c r="AZ315" s="36">
        <v>383</v>
      </c>
      <c r="BA315" s="68">
        <v>158</v>
      </c>
      <c r="BB315" s="68">
        <v>159</v>
      </c>
      <c r="BC315" s="68">
        <v>161</v>
      </c>
      <c r="BD315" s="68">
        <v>177</v>
      </c>
      <c r="BE315" s="36">
        <v>655</v>
      </c>
      <c r="BF315" s="68">
        <v>157</v>
      </c>
      <c r="BG315" s="68">
        <v>156</v>
      </c>
      <c r="BH315" s="68">
        <v>157</v>
      </c>
    </row>
    <row r="316" spans="1:60">
      <c r="A316" s="80" t="s">
        <v>7</v>
      </c>
      <c r="B316" s="23"/>
      <c r="C316" s="70"/>
      <c r="D316" s="70">
        <f>D315/C315-1</f>
        <v>7.7519379844961378E-3</v>
      </c>
      <c r="E316" s="70">
        <f>E315/D315-1</f>
        <v>-7.692307692307665E-3</v>
      </c>
      <c r="F316" s="70">
        <f>F315/E315-1</f>
        <v>4.6511627906976827E-2</v>
      </c>
      <c r="G316" s="23"/>
      <c r="H316" s="70">
        <f>H315/F315-1</f>
        <v>2.9629629629629672E-2</v>
      </c>
      <c r="I316" s="70">
        <f>I315/H315-1</f>
        <v>8.6330935251798468E-2</v>
      </c>
      <c r="J316" s="70">
        <f>J315/I315-1</f>
        <v>2.6490066225165476E-2</v>
      </c>
      <c r="K316" s="70">
        <f>K315/J315-1</f>
        <v>1.9354838709677358E-2</v>
      </c>
      <c r="L316" s="23"/>
      <c r="M316" s="70">
        <f>M315/K315-1</f>
        <v>-5.6962025316455667E-2</v>
      </c>
      <c r="N316" s="70">
        <f>N315/M315-1</f>
        <v>0</v>
      </c>
      <c r="O316" s="70">
        <f>O315/N315-1</f>
        <v>0</v>
      </c>
      <c r="P316" s="70">
        <f>P315/O315-1</f>
        <v>3.3557046979865834E-2</v>
      </c>
      <c r="Q316" s="23"/>
      <c r="R316" s="70">
        <f>R315/P315-1</f>
        <v>-9.740259740259738E-2</v>
      </c>
      <c r="S316" s="70">
        <f>S315/R315-1</f>
        <v>2.877697841726623E-2</v>
      </c>
      <c r="T316" s="70">
        <f>T315/S315-1</f>
        <v>-2.7972027972028024E-2</v>
      </c>
      <c r="U316" s="70">
        <f>U315/T315-1</f>
        <v>7.194244604316502E-3</v>
      </c>
      <c r="V316" s="23"/>
      <c r="W316" s="70">
        <f>W315/U315-1</f>
        <v>-3.5714285714285698E-2</v>
      </c>
      <c r="X316" s="70">
        <f>X315/W315-1</f>
        <v>1.4814814814814836E-2</v>
      </c>
      <c r="Y316" s="70">
        <f>Y315/X315-1</f>
        <v>-5.1094890510948954E-2</v>
      </c>
      <c r="Z316" s="70">
        <f>Z315/Y315-1</f>
        <v>-7.692307692307665E-3</v>
      </c>
      <c r="AA316" s="23"/>
      <c r="AB316" s="70">
        <f>AB315/Z315-1</f>
        <v>-6.2015503875968991E-2</v>
      </c>
      <c r="AC316" s="70">
        <f>AC315/AB315-1</f>
        <v>-6.6115702479338845E-2</v>
      </c>
      <c r="AD316" s="70">
        <f>AD315/AC315-1</f>
        <v>-1.7699115044247815E-2</v>
      </c>
      <c r="AE316" s="70">
        <f>AE315/AD315-1</f>
        <v>1.8018018018018056E-2</v>
      </c>
      <c r="AF316" s="23"/>
      <c r="AG316" s="70">
        <f>AG315/AE315-1</f>
        <v>-6.1946902654867242E-2</v>
      </c>
      <c r="AH316" s="70">
        <f>AH315/AG315-1</f>
        <v>-9.4339622641509413E-3</v>
      </c>
      <c r="AI316" s="70">
        <f>AI315/AH315-1</f>
        <v>2.857142857142847E-2</v>
      </c>
      <c r="AJ316" s="70">
        <f>AJ315/AI315-1</f>
        <v>2.7777777777777679E-2</v>
      </c>
      <c r="AK316" s="23"/>
      <c r="AL316" s="70">
        <v>-6.3063063063063085E-2</v>
      </c>
      <c r="AM316" s="70">
        <v>1.9230769230769162E-2</v>
      </c>
      <c r="AN316" s="70">
        <v>2.8301886792452935E-2</v>
      </c>
      <c r="AO316" s="70">
        <v>-8.256880733944949E-2</v>
      </c>
      <c r="AP316" s="23"/>
      <c r="AQ316" s="70">
        <v>4.0000000000000036E-2</v>
      </c>
      <c r="AR316" s="70">
        <v>-8.6538461538461564E-2</v>
      </c>
      <c r="AS316" s="70">
        <v>-3.157894736842104E-2</v>
      </c>
      <c r="AT316" s="70">
        <v>-3.2608695652173947E-2</v>
      </c>
      <c r="AU316" s="23"/>
      <c r="AV316" s="70">
        <v>5.6179775280898792E-2</v>
      </c>
      <c r="AW316" s="70">
        <v>5.3191489361702038E-2</v>
      </c>
      <c r="AX316" s="70">
        <v>1.0101010101010166E-2</v>
      </c>
      <c r="AY316" s="70">
        <v>-9.9999999999999978E-2</v>
      </c>
      <c r="AZ316" s="23"/>
      <c r="BA316" s="70">
        <v>0.75555555555555554</v>
      </c>
      <c r="BB316" s="70">
        <v>6.3291139240506666E-3</v>
      </c>
      <c r="BC316" s="70">
        <v>1.2578616352201255E-2</v>
      </c>
      <c r="BD316" s="70">
        <v>9.9378881987577605E-2</v>
      </c>
      <c r="BE316" s="23"/>
      <c r="BF316" s="70">
        <v>-0.11299435028248583</v>
      </c>
      <c r="BG316" s="70">
        <v>-6.3694267515923553E-3</v>
      </c>
      <c r="BH316" s="70">
        <v>6.4102564102563875E-3</v>
      </c>
    </row>
    <row r="317" spans="1:60">
      <c r="A317" s="80" t="s">
        <v>8</v>
      </c>
      <c r="B317" s="23"/>
      <c r="C317" s="71"/>
      <c r="D317" s="71"/>
      <c r="E317" s="71"/>
      <c r="F317" s="71"/>
      <c r="G317" s="23">
        <f t="shared" ref="G317:N317" si="264">G315/B315-1</f>
        <v>9.1858037578288032E-2</v>
      </c>
      <c r="H317" s="71">
        <f t="shared" si="264"/>
        <v>7.7519379844961156E-2</v>
      </c>
      <c r="I317" s="71">
        <f t="shared" si="264"/>
        <v>0.16153846153846163</v>
      </c>
      <c r="J317" s="71">
        <f t="shared" si="264"/>
        <v>0.20155038759689914</v>
      </c>
      <c r="K317" s="71">
        <f t="shared" si="264"/>
        <v>0.17037037037037028</v>
      </c>
      <c r="L317" s="23">
        <f t="shared" si="264"/>
        <v>0.15296367112810705</v>
      </c>
      <c r="M317" s="71">
        <f t="shared" si="264"/>
        <v>7.1942446043165464E-2</v>
      </c>
      <c r="N317" s="71">
        <f t="shared" si="264"/>
        <v>-1.3245033112582738E-2</v>
      </c>
      <c r="O317" s="71">
        <f t="shared" ref="O317:Y317" si="265">O315/J315-1</f>
        <v>-3.8709677419354827E-2</v>
      </c>
      <c r="P317" s="71">
        <f t="shared" si="265"/>
        <v>-2.5316455696202556E-2</v>
      </c>
      <c r="Q317" s="23">
        <f t="shared" si="265"/>
        <v>-3.3167495854062867E-3</v>
      </c>
      <c r="R317" s="71">
        <f t="shared" si="265"/>
        <v>-6.7114093959731558E-2</v>
      </c>
      <c r="S317" s="71">
        <f t="shared" si="265"/>
        <v>-4.0268456375838979E-2</v>
      </c>
      <c r="T317" s="71">
        <f t="shared" si="265"/>
        <v>-6.7114093959731558E-2</v>
      </c>
      <c r="U317" s="71">
        <f t="shared" si="265"/>
        <v>-9.0909090909090939E-2</v>
      </c>
      <c r="V317" s="23">
        <f t="shared" si="265"/>
        <v>-6.6555740432612365E-2</v>
      </c>
      <c r="W317" s="71">
        <f t="shared" si="265"/>
        <v>-2.877697841726623E-2</v>
      </c>
      <c r="X317" s="71">
        <f t="shared" si="265"/>
        <v>-4.1958041958041981E-2</v>
      </c>
      <c r="Y317" s="71">
        <f t="shared" si="265"/>
        <v>-6.4748201438848962E-2</v>
      </c>
      <c r="Z317" s="71">
        <f t="shared" ref="Z317:AI317" si="266">Z315/U315-1</f>
        <v>-7.8571428571428625E-2</v>
      </c>
      <c r="AA317" s="23">
        <f t="shared" si="266"/>
        <v>-5.3475935828876997E-2</v>
      </c>
      <c r="AB317" s="71">
        <f t="shared" si="266"/>
        <v>-0.10370370370370374</v>
      </c>
      <c r="AC317" s="71">
        <f t="shared" si="266"/>
        <v>-0.17518248175182483</v>
      </c>
      <c r="AD317" s="71">
        <f t="shared" si="266"/>
        <v>-0.14615384615384619</v>
      </c>
      <c r="AE317" s="71">
        <f t="shared" si="266"/>
        <v>-0.12403100775193798</v>
      </c>
      <c r="AF317" s="23">
        <f t="shared" si="266"/>
        <v>-0.13747645951035781</v>
      </c>
      <c r="AG317" s="71">
        <f t="shared" si="266"/>
        <v>-0.12396694214876036</v>
      </c>
      <c r="AH317" s="71">
        <f t="shared" si="266"/>
        <v>-7.0796460176991149E-2</v>
      </c>
      <c r="AI317" s="71">
        <f t="shared" si="266"/>
        <v>-2.7027027027026973E-2</v>
      </c>
      <c r="AJ317" s="71">
        <f t="shared" ref="AJ317" si="267">AJ315/AE315-1</f>
        <v>-1.7699115044247815E-2</v>
      </c>
      <c r="AK317" s="23">
        <v>-6.1135371179039333E-2</v>
      </c>
      <c r="AL317" s="71">
        <v>-1.8867924528301883E-2</v>
      </c>
      <c r="AM317" s="71">
        <v>9.52380952380949E-3</v>
      </c>
      <c r="AN317" s="71">
        <v>9.2592592592593004E-3</v>
      </c>
      <c r="AO317" s="71">
        <v>-9.9099099099099086E-2</v>
      </c>
      <c r="AP317" s="23">
        <v>-2.5581395348837188E-2</v>
      </c>
      <c r="AQ317" s="71">
        <v>0</v>
      </c>
      <c r="AR317" s="71">
        <v>-0.10377358490566035</v>
      </c>
      <c r="AS317" s="71">
        <v>-0.15596330275229353</v>
      </c>
      <c r="AT317" s="71">
        <v>-0.10999999999999999</v>
      </c>
      <c r="AU317" s="23">
        <v>-9.3078758949880713E-2</v>
      </c>
      <c r="AV317" s="71">
        <v>-9.6153846153846145E-2</v>
      </c>
      <c r="AW317" s="71">
        <v>4.2105263157894646E-2</v>
      </c>
      <c r="AX317" s="71">
        <v>8.6956521739130377E-2</v>
      </c>
      <c r="AY317" s="71">
        <v>1.1235955056179803E-2</v>
      </c>
      <c r="AZ317" s="23">
        <v>7.8947368421051767E-3</v>
      </c>
      <c r="BA317" s="71">
        <v>0.68085106382978733</v>
      </c>
      <c r="BB317" s="71">
        <v>0.60606060606060597</v>
      </c>
      <c r="BC317" s="71">
        <v>0.6100000000000001</v>
      </c>
      <c r="BD317" s="71">
        <v>0.96666666666666656</v>
      </c>
      <c r="BE317" s="23">
        <v>0.71018276762402088</v>
      </c>
      <c r="BF317" s="71">
        <v>-6.3291139240506666E-3</v>
      </c>
      <c r="BG317" s="71">
        <v>-1.8867924528301883E-2</v>
      </c>
      <c r="BH317" s="71">
        <v>-2.4844720496894457E-2</v>
      </c>
    </row>
    <row r="318" spans="1:60">
      <c r="A318" s="67" t="s">
        <v>92</v>
      </c>
      <c r="B318" s="36">
        <v>598</v>
      </c>
      <c r="C318" s="78" t="s">
        <v>49</v>
      </c>
      <c r="D318" s="78" t="s">
        <v>49</v>
      </c>
      <c r="E318" s="78" t="s">
        <v>49</v>
      </c>
      <c r="F318" s="78" t="s">
        <v>49</v>
      </c>
      <c r="G318" s="36">
        <v>638</v>
      </c>
      <c r="H318" s="78" t="s">
        <v>49</v>
      </c>
      <c r="I318" s="78" t="s">
        <v>49</v>
      </c>
      <c r="J318" s="78" t="s">
        <v>49</v>
      </c>
      <c r="K318" s="78" t="s">
        <v>49</v>
      </c>
      <c r="L318" s="36">
        <v>601</v>
      </c>
      <c r="M318" s="78" t="s">
        <v>49</v>
      </c>
      <c r="N318" s="78" t="s">
        <v>49</v>
      </c>
      <c r="O318" s="78" t="s">
        <v>49</v>
      </c>
      <c r="P318" s="78" t="s">
        <v>49</v>
      </c>
      <c r="Q318" s="36">
        <v>590</v>
      </c>
      <c r="R318" s="78" t="s">
        <v>49</v>
      </c>
      <c r="S318" s="78" t="s">
        <v>49</v>
      </c>
      <c r="T318" s="78" t="s">
        <v>49</v>
      </c>
      <c r="U318" s="78" t="s">
        <v>49</v>
      </c>
      <c r="V318" s="36">
        <v>602</v>
      </c>
      <c r="W318" s="78" t="s">
        <v>49</v>
      </c>
      <c r="X318" s="78" t="s">
        <v>49</v>
      </c>
      <c r="Y318" s="78" t="s">
        <v>49</v>
      </c>
      <c r="Z318" s="78" t="s">
        <v>49</v>
      </c>
      <c r="AA318" s="36">
        <v>491</v>
      </c>
      <c r="AB318" s="68">
        <v>114</v>
      </c>
      <c r="AC318" s="68">
        <v>109</v>
      </c>
      <c r="AD318" s="68">
        <v>111</v>
      </c>
      <c r="AE318" s="68">
        <f>AF318-AD318-AC318-AB318</f>
        <v>105</v>
      </c>
      <c r="AF318" s="36">
        <v>439</v>
      </c>
      <c r="AG318" s="68">
        <v>109</v>
      </c>
      <c r="AH318" s="68">
        <v>103</v>
      </c>
      <c r="AI318" s="68">
        <v>100</v>
      </c>
      <c r="AJ318" s="68">
        <f>AK318-AI318-AH318-AG318</f>
        <v>105</v>
      </c>
      <c r="AK318" s="36">
        <v>417</v>
      </c>
      <c r="AL318" s="68">
        <v>96</v>
      </c>
      <c r="AM318" s="68">
        <v>96</v>
      </c>
      <c r="AN318" s="68">
        <v>90</v>
      </c>
      <c r="AO318" s="68">
        <v>99</v>
      </c>
      <c r="AP318" s="36">
        <v>381</v>
      </c>
      <c r="AQ318" s="68">
        <v>96</v>
      </c>
      <c r="AR318" s="68">
        <v>94</v>
      </c>
      <c r="AS318" s="68">
        <v>94</v>
      </c>
      <c r="AT318" s="68">
        <v>94</v>
      </c>
      <c r="AU318" s="36">
        <v>378</v>
      </c>
      <c r="AV318" s="68">
        <v>98</v>
      </c>
      <c r="AW318" s="68">
        <v>94</v>
      </c>
      <c r="AX318" s="68">
        <v>94</v>
      </c>
      <c r="AY318" s="68">
        <v>98</v>
      </c>
      <c r="AZ318" s="36">
        <v>384</v>
      </c>
      <c r="BA318" s="68">
        <v>100</v>
      </c>
      <c r="BB318" s="68">
        <v>95</v>
      </c>
      <c r="BC318" s="68">
        <v>94</v>
      </c>
      <c r="BD318" s="68">
        <v>90</v>
      </c>
      <c r="BE318" s="36">
        <v>379</v>
      </c>
      <c r="BF318" s="68">
        <v>94</v>
      </c>
      <c r="BG318" s="68">
        <v>95</v>
      </c>
      <c r="BH318" s="68">
        <v>89</v>
      </c>
    </row>
    <row r="319" spans="1:60">
      <c r="A319" s="69" t="s">
        <v>7</v>
      </c>
      <c r="B319" s="23"/>
      <c r="C319" s="71"/>
      <c r="D319" s="71"/>
      <c r="E319" s="71"/>
      <c r="F319" s="71"/>
      <c r="G319" s="23"/>
      <c r="H319" s="71"/>
      <c r="I319" s="71"/>
      <c r="J319" s="71"/>
      <c r="K319" s="71"/>
      <c r="L319" s="23"/>
      <c r="M319" s="71"/>
      <c r="N319" s="71"/>
      <c r="O319" s="71"/>
      <c r="P319" s="71"/>
      <c r="Q319" s="23"/>
      <c r="R319" s="71"/>
      <c r="S319" s="71"/>
      <c r="T319" s="71"/>
      <c r="U319" s="71"/>
      <c r="V319" s="23"/>
      <c r="W319" s="71"/>
      <c r="X319" s="71"/>
      <c r="Y319" s="71"/>
      <c r="Z319" s="71"/>
      <c r="AA319" s="23"/>
      <c r="AB319" s="70"/>
      <c r="AC319" s="70">
        <f>AC318/AB318-1</f>
        <v>-4.3859649122807043E-2</v>
      </c>
      <c r="AD319" s="70">
        <f>AD318/AC318-1</f>
        <v>1.8348623853210899E-2</v>
      </c>
      <c r="AE319" s="70">
        <f>AE318/AD318-1</f>
        <v>-5.4054054054054057E-2</v>
      </c>
      <c r="AF319" s="23"/>
      <c r="AG319" s="70">
        <f>AG318/AE318-1</f>
        <v>3.8095238095238182E-2</v>
      </c>
      <c r="AH319" s="70">
        <f>AH318/AG318-1</f>
        <v>-5.5045871559633031E-2</v>
      </c>
      <c r="AI319" s="70">
        <f>AI318/AH318-1</f>
        <v>-2.9126213592232997E-2</v>
      </c>
      <c r="AJ319" s="70">
        <f>AJ318/AI318-1</f>
        <v>5.0000000000000044E-2</v>
      </c>
      <c r="AK319" s="23"/>
      <c r="AL319" s="70">
        <v>-8.5714285714285743E-2</v>
      </c>
      <c r="AM319" s="70">
        <v>0</v>
      </c>
      <c r="AN319" s="70">
        <v>-6.25E-2</v>
      </c>
      <c r="AO319" s="70">
        <v>0.10000000000000009</v>
      </c>
      <c r="AP319" s="23"/>
      <c r="AQ319" s="70">
        <v>-3.0303030303030276E-2</v>
      </c>
      <c r="AR319" s="70">
        <v>-2.083333333333337E-2</v>
      </c>
      <c r="AS319" s="70">
        <v>0</v>
      </c>
      <c r="AT319" s="70">
        <v>0</v>
      </c>
      <c r="AU319" s="23"/>
      <c r="AV319" s="70">
        <v>4.2553191489361764E-2</v>
      </c>
      <c r="AW319" s="70">
        <v>-4.081632653061229E-2</v>
      </c>
      <c r="AX319" s="70">
        <v>0</v>
      </c>
      <c r="AY319" s="70">
        <v>4.2553191489361764E-2</v>
      </c>
      <c r="AZ319" s="23"/>
      <c r="BA319" s="70">
        <v>2.0408163265306145E-2</v>
      </c>
      <c r="BB319" s="70">
        <v>-5.0000000000000044E-2</v>
      </c>
      <c r="BC319" s="70">
        <v>-1.0526315789473717E-2</v>
      </c>
      <c r="BD319" s="70">
        <v>-4.2553191489361653E-2</v>
      </c>
      <c r="BE319" s="23"/>
      <c r="BF319" s="70">
        <v>4.4444444444444509E-2</v>
      </c>
      <c r="BG319" s="70">
        <v>1.0638297872340496E-2</v>
      </c>
      <c r="BH319" s="70">
        <v>-6.315789473684208E-2</v>
      </c>
    </row>
    <row r="320" spans="1:60">
      <c r="A320" s="69" t="s">
        <v>8</v>
      </c>
      <c r="B320" s="23"/>
      <c r="C320" s="71"/>
      <c r="D320" s="71"/>
      <c r="E320" s="71"/>
      <c r="F320" s="71"/>
      <c r="G320" s="23">
        <f>G318/B318-1</f>
        <v>6.6889632107023367E-2</v>
      </c>
      <c r="H320" s="71"/>
      <c r="I320" s="71"/>
      <c r="J320" s="71"/>
      <c r="K320" s="71"/>
      <c r="L320" s="23">
        <f>L318/G318-1</f>
        <v>-5.7993730407523536E-2</v>
      </c>
      <c r="M320" s="71"/>
      <c r="N320" s="71"/>
      <c r="O320" s="71"/>
      <c r="P320" s="71"/>
      <c r="Q320" s="23">
        <f>Q318/L318-1</f>
        <v>-1.830282861896837E-2</v>
      </c>
      <c r="R320" s="71"/>
      <c r="S320" s="71"/>
      <c r="T320" s="71"/>
      <c r="U320" s="71"/>
      <c r="V320" s="23">
        <f>V318/Q318-1</f>
        <v>2.0338983050847359E-2</v>
      </c>
      <c r="W320" s="71"/>
      <c r="X320" s="71"/>
      <c r="Y320" s="71"/>
      <c r="Z320" s="71"/>
      <c r="AA320" s="23">
        <f>AA318/V318-1</f>
        <v>-0.18438538205980071</v>
      </c>
      <c r="AB320" s="71"/>
      <c r="AC320" s="71"/>
      <c r="AD320" s="71"/>
      <c r="AE320" s="71"/>
      <c r="AF320" s="23">
        <f t="shared" ref="AF320" si="268">AF318/AA318-1</f>
        <v>-0.1059063136456212</v>
      </c>
      <c r="AG320" s="71">
        <f t="shared" ref="AG320" si="269">AG318/AB318-1</f>
        <v>-4.3859649122807043E-2</v>
      </c>
      <c r="AH320" s="71">
        <f t="shared" ref="AH320" si="270">AH318/AC318-1</f>
        <v>-5.5045871559633031E-2</v>
      </c>
      <c r="AI320" s="71">
        <f t="shared" ref="AI320" si="271">AI318/AD318-1</f>
        <v>-9.9099099099099086E-2</v>
      </c>
      <c r="AJ320" s="71">
        <f t="shared" ref="AJ320" si="272">AJ318/AE318-1</f>
        <v>0</v>
      </c>
      <c r="AK320" s="23">
        <v>-5.0113895216400861E-2</v>
      </c>
      <c r="AL320" s="71">
        <v>-0.11926605504587151</v>
      </c>
      <c r="AM320" s="71">
        <v>-6.7961165048543659E-2</v>
      </c>
      <c r="AN320" s="71">
        <v>-9.9999999999999978E-2</v>
      </c>
      <c r="AO320" s="71">
        <v>-5.7142857142857162E-2</v>
      </c>
      <c r="AP320" s="23">
        <v>-8.633093525179858E-2</v>
      </c>
      <c r="AQ320" s="71">
        <v>0</v>
      </c>
      <c r="AR320" s="71">
        <v>-2.083333333333337E-2</v>
      </c>
      <c r="AS320" s="71">
        <v>4.4444444444444509E-2</v>
      </c>
      <c r="AT320" s="71">
        <v>-5.0505050505050497E-2</v>
      </c>
      <c r="AU320" s="23">
        <v>-7.8740157480314821E-3</v>
      </c>
      <c r="AV320" s="71">
        <v>2.0833333333333259E-2</v>
      </c>
      <c r="AW320" s="71">
        <v>0</v>
      </c>
      <c r="AX320" s="71">
        <v>0</v>
      </c>
      <c r="AY320" s="71">
        <v>4.2553191489361764E-2</v>
      </c>
      <c r="AZ320" s="23">
        <v>1.5873015873015817E-2</v>
      </c>
      <c r="BA320" s="71">
        <v>2.0408163265306145E-2</v>
      </c>
      <c r="BB320" s="71">
        <v>1.0638297872340496E-2</v>
      </c>
      <c r="BC320" s="71">
        <v>0</v>
      </c>
      <c r="BD320" s="71">
        <v>-8.1632653061224469E-2</v>
      </c>
      <c r="BE320" s="23">
        <v>-1.302083333333337E-2</v>
      </c>
      <c r="BF320" s="71">
        <v>-6.0000000000000053E-2</v>
      </c>
      <c r="BG320" s="71">
        <v>0</v>
      </c>
      <c r="BH320" s="71">
        <v>-5.3191489361702149E-2</v>
      </c>
    </row>
    <row r="321" spans="1:62" ht="12.75" customHeight="1">
      <c r="A321" s="67" t="s">
        <v>299</v>
      </c>
      <c r="B321" s="36">
        <v>2802</v>
      </c>
      <c r="C321" s="78" t="s">
        <v>49</v>
      </c>
      <c r="D321" s="78" t="s">
        <v>49</v>
      </c>
      <c r="E321" s="78" t="s">
        <v>49</v>
      </c>
      <c r="F321" s="78" t="s">
        <v>49</v>
      </c>
      <c r="G321" s="36">
        <v>2619</v>
      </c>
      <c r="H321" s="78" t="s">
        <v>49</v>
      </c>
      <c r="I321" s="78" t="s">
        <v>49</v>
      </c>
      <c r="J321" s="78" t="s">
        <v>49</v>
      </c>
      <c r="K321" s="78" t="s">
        <v>49</v>
      </c>
      <c r="L321" s="36">
        <v>2982</v>
      </c>
      <c r="M321" s="78" t="s">
        <v>49</v>
      </c>
      <c r="N321" s="78" t="s">
        <v>49</v>
      </c>
      <c r="O321" s="78" t="s">
        <v>49</v>
      </c>
      <c r="P321" s="78" t="s">
        <v>49</v>
      </c>
      <c r="Q321" s="36">
        <v>3158</v>
      </c>
      <c r="R321" s="78" t="s">
        <v>49</v>
      </c>
      <c r="S321" s="78" t="s">
        <v>49</v>
      </c>
      <c r="T321" s="78" t="s">
        <v>49</v>
      </c>
      <c r="U321" s="78" t="s">
        <v>49</v>
      </c>
      <c r="V321" s="36">
        <v>3025</v>
      </c>
      <c r="W321" s="78" t="s">
        <v>49</v>
      </c>
      <c r="X321" s="78" t="s">
        <v>49</v>
      </c>
      <c r="Y321" s="78" t="s">
        <v>49</v>
      </c>
      <c r="Z321" s="78" t="s">
        <v>49</v>
      </c>
      <c r="AA321" s="36">
        <v>2554</v>
      </c>
      <c r="AB321" s="68">
        <v>555</v>
      </c>
      <c r="AC321" s="68">
        <v>507</v>
      </c>
      <c r="AD321" s="68">
        <v>553</v>
      </c>
      <c r="AE321" s="68">
        <f>AF321-AD321-AC321-AB321</f>
        <v>628</v>
      </c>
      <c r="AF321" s="36">
        <v>2243</v>
      </c>
      <c r="AG321" s="68">
        <v>576</v>
      </c>
      <c r="AH321" s="68">
        <v>508</v>
      </c>
      <c r="AI321" s="68">
        <v>494</v>
      </c>
      <c r="AJ321" s="68">
        <f>AK321-AI321-AH321-AG321</f>
        <v>527</v>
      </c>
      <c r="AK321" s="36">
        <v>2105</v>
      </c>
      <c r="AL321" s="68">
        <v>495</v>
      </c>
      <c r="AM321" s="68">
        <v>466</v>
      </c>
      <c r="AN321" s="68">
        <v>469</v>
      </c>
      <c r="AO321" s="68">
        <v>498</v>
      </c>
      <c r="AP321" s="36">
        <v>1928</v>
      </c>
      <c r="AQ321" s="68">
        <v>470</v>
      </c>
      <c r="AR321" s="68">
        <v>461</v>
      </c>
      <c r="AS321" s="68">
        <v>436</v>
      </c>
      <c r="AT321" s="68">
        <v>471</v>
      </c>
      <c r="AU321" s="36">
        <v>1838</v>
      </c>
      <c r="AV321" s="68">
        <v>431</v>
      </c>
      <c r="AW321" s="68">
        <v>409</v>
      </c>
      <c r="AX321" s="68">
        <v>419</v>
      </c>
      <c r="AY321" s="68">
        <v>439</v>
      </c>
      <c r="AZ321" s="36">
        <v>1698</v>
      </c>
      <c r="BA321" s="68">
        <v>359</v>
      </c>
      <c r="BB321" s="68">
        <v>345</v>
      </c>
      <c r="BC321" s="68">
        <v>344</v>
      </c>
      <c r="BD321" s="68">
        <v>354</v>
      </c>
      <c r="BE321" s="36">
        <v>1402</v>
      </c>
      <c r="BF321" s="68">
        <v>337</v>
      </c>
      <c r="BG321" s="68">
        <v>324</v>
      </c>
      <c r="BH321" s="68">
        <v>348</v>
      </c>
      <c r="BJ321" s="233"/>
    </row>
    <row r="322" spans="1:62" ht="12.75" customHeight="1">
      <c r="A322" s="69" t="s">
        <v>7</v>
      </c>
      <c r="B322" s="23"/>
      <c r="C322" s="71"/>
      <c r="D322" s="71"/>
      <c r="E322" s="71"/>
      <c r="F322" s="71"/>
      <c r="G322" s="23"/>
      <c r="H322" s="71"/>
      <c r="I322" s="71"/>
      <c r="J322" s="71"/>
      <c r="K322" s="71"/>
      <c r="L322" s="23"/>
      <c r="M322" s="71"/>
      <c r="N322" s="71"/>
      <c r="O322" s="71"/>
      <c r="P322" s="71"/>
      <c r="Q322" s="23"/>
      <c r="R322" s="71"/>
      <c r="S322" s="71"/>
      <c r="T322" s="71"/>
      <c r="U322" s="71"/>
      <c r="V322" s="23"/>
      <c r="W322" s="71"/>
      <c r="X322" s="71"/>
      <c r="Y322" s="71"/>
      <c r="Z322" s="71"/>
      <c r="AA322" s="23"/>
      <c r="AB322" s="70"/>
      <c r="AC322" s="70">
        <f>AC321/AB321-1</f>
        <v>-8.6486486486486491E-2</v>
      </c>
      <c r="AD322" s="70">
        <f>AD321/AC321-1</f>
        <v>9.0729783037475364E-2</v>
      </c>
      <c r="AE322" s="70">
        <f>AE321/AD321-1</f>
        <v>0.13562386980108498</v>
      </c>
      <c r="AF322" s="23"/>
      <c r="AG322" s="70">
        <f>AG321/AE321-1</f>
        <v>-8.2802547770700619E-2</v>
      </c>
      <c r="AH322" s="70">
        <f>AH321/AG321-1</f>
        <v>-0.11805555555555558</v>
      </c>
      <c r="AI322" s="70">
        <f>AI321/AH321-1</f>
        <v>-2.7559055118110187E-2</v>
      </c>
      <c r="AJ322" s="70">
        <f>AJ321/AI321-1</f>
        <v>6.68016194331984E-2</v>
      </c>
      <c r="AK322" s="23"/>
      <c r="AL322" s="70">
        <v>-6.0721062618595778E-2</v>
      </c>
      <c r="AM322" s="70">
        <v>-5.858585858585863E-2</v>
      </c>
      <c r="AN322" s="70">
        <v>6.4377682403433667E-3</v>
      </c>
      <c r="AO322" s="70">
        <v>6.1833688699360234E-2</v>
      </c>
      <c r="AP322" s="23"/>
      <c r="AQ322" s="70">
        <v>-5.6224899598393607E-2</v>
      </c>
      <c r="AR322" s="70">
        <v>-1.9148936170212738E-2</v>
      </c>
      <c r="AS322" s="70">
        <v>-5.4229934924078127E-2</v>
      </c>
      <c r="AT322" s="70">
        <v>8.0275229357798183E-2</v>
      </c>
      <c r="AU322" s="23"/>
      <c r="AV322" s="70">
        <v>-8.4925690021231404E-2</v>
      </c>
      <c r="AW322" s="70">
        <v>-5.1044083526682105E-2</v>
      </c>
      <c r="AX322" s="70">
        <v>2.4449877750611249E-2</v>
      </c>
      <c r="AY322" s="70">
        <v>4.7732696897374804E-2</v>
      </c>
      <c r="AZ322" s="23"/>
      <c r="BA322" s="70">
        <v>-0.1822323462414579</v>
      </c>
      <c r="BB322" s="70">
        <v>-3.8997214484679632E-2</v>
      </c>
      <c r="BC322" s="70">
        <v>-2.8985507246376274E-3</v>
      </c>
      <c r="BD322" s="70">
        <v>2.9069767441860517E-2</v>
      </c>
      <c r="BE322" s="23"/>
      <c r="BF322" s="70">
        <v>-4.8022598870056443E-2</v>
      </c>
      <c r="BG322" s="70">
        <v>-3.857566765578635E-2</v>
      </c>
      <c r="BH322" s="70">
        <v>7.4074074074074181E-2</v>
      </c>
    </row>
    <row r="323" spans="1:62" ht="12.75" customHeight="1">
      <c r="A323" s="69" t="s">
        <v>8</v>
      </c>
      <c r="B323" s="23"/>
      <c r="C323" s="71"/>
      <c r="D323" s="71"/>
      <c r="E323" s="71"/>
      <c r="F323" s="71"/>
      <c r="G323" s="23">
        <f t="shared" ref="G323" si="273">G321/B321-1</f>
        <v>-6.5310492505353368E-2</v>
      </c>
      <c r="H323" s="71"/>
      <c r="I323" s="71"/>
      <c r="J323" s="71"/>
      <c r="K323" s="71"/>
      <c r="L323" s="23">
        <f t="shared" ref="L323" si="274">L321/G321-1</f>
        <v>0.13860252004581897</v>
      </c>
      <c r="M323" s="71"/>
      <c r="N323" s="71"/>
      <c r="O323" s="71"/>
      <c r="P323" s="71"/>
      <c r="Q323" s="23">
        <f t="shared" ref="Q323" si="275">Q321/L321-1</f>
        <v>5.9020791415157703E-2</v>
      </c>
      <c r="R323" s="71"/>
      <c r="S323" s="71"/>
      <c r="T323" s="71"/>
      <c r="U323" s="71"/>
      <c r="V323" s="23">
        <f t="shared" ref="V323" si="276">V321/Q321-1</f>
        <v>-4.2115262824572564E-2</v>
      </c>
      <c r="W323" s="71"/>
      <c r="X323" s="71"/>
      <c r="Y323" s="71"/>
      <c r="Z323" s="71"/>
      <c r="AA323" s="23">
        <f t="shared" ref="AA323" si="277">AA321/V321-1</f>
        <v>-0.15570247933884296</v>
      </c>
      <c r="AB323" s="71"/>
      <c r="AC323" s="71"/>
      <c r="AD323" s="71"/>
      <c r="AE323" s="71"/>
      <c r="AF323" s="23">
        <f t="shared" ref="AF323" si="278">AF321/AA321-1</f>
        <v>-0.12176977290524671</v>
      </c>
      <c r="AG323" s="71">
        <f t="shared" ref="AG323" si="279">AG321/AB321-1</f>
        <v>3.7837837837837895E-2</v>
      </c>
      <c r="AH323" s="71">
        <f t="shared" ref="AH323" si="280">AH321/AC321-1</f>
        <v>1.9723865877712132E-3</v>
      </c>
      <c r="AI323" s="71">
        <f t="shared" ref="AI323" si="281">AI321/AD321-1</f>
        <v>-0.10669077757685352</v>
      </c>
      <c r="AJ323" s="71">
        <f t="shared" ref="AJ323" si="282">AJ321/AE321-1</f>
        <v>-0.16082802547770703</v>
      </c>
      <c r="AK323" s="23">
        <v>-6.1524743646901525E-2</v>
      </c>
      <c r="AL323" s="71">
        <v>-0.140625</v>
      </c>
      <c r="AM323" s="71">
        <v>-8.2677165354330673E-2</v>
      </c>
      <c r="AN323" s="71">
        <v>-5.0607287449392691E-2</v>
      </c>
      <c r="AO323" s="71">
        <v>-5.502846299810249E-2</v>
      </c>
      <c r="AP323" s="23">
        <v>-8.4085510688836074E-2</v>
      </c>
      <c r="AQ323" s="71">
        <v>-5.0505050505050497E-2</v>
      </c>
      <c r="AR323" s="71">
        <v>-1.0729613733905574E-2</v>
      </c>
      <c r="AS323" s="71">
        <v>-7.0362473347547971E-2</v>
      </c>
      <c r="AT323" s="71">
        <v>-5.4216867469879526E-2</v>
      </c>
      <c r="AU323" s="23">
        <v>-4.6680497925311148E-2</v>
      </c>
      <c r="AV323" s="71">
        <v>-8.2978723404255272E-2</v>
      </c>
      <c r="AW323" s="71">
        <v>-0.11279826464208242</v>
      </c>
      <c r="AX323" s="71">
        <v>-3.8990825688073438E-2</v>
      </c>
      <c r="AY323" s="71">
        <v>-6.7940552016985123E-2</v>
      </c>
      <c r="AZ323" s="23">
        <v>-7.6169749727965197E-2</v>
      </c>
      <c r="BA323" s="71">
        <v>-0.16705336426914152</v>
      </c>
      <c r="BB323" s="71">
        <v>-0.15647921760391204</v>
      </c>
      <c r="BC323" s="71">
        <v>-0.17899761336515518</v>
      </c>
      <c r="BD323" s="71">
        <v>-0.193621867881549</v>
      </c>
      <c r="BE323" s="23">
        <v>-0.17432273262661957</v>
      </c>
      <c r="BF323" s="71">
        <v>-6.1281337047353723E-2</v>
      </c>
      <c r="BG323" s="71">
        <v>-6.0869565217391286E-2</v>
      </c>
      <c r="BH323" s="71">
        <v>1.1627906976744207E-2</v>
      </c>
    </row>
    <row r="324" spans="1:62">
      <c r="A324" s="67" t="s">
        <v>159</v>
      </c>
      <c r="B324" s="61" t="s">
        <v>141</v>
      </c>
      <c r="C324" s="147" t="s">
        <v>141</v>
      </c>
      <c r="D324" s="147" t="s">
        <v>141</v>
      </c>
      <c r="E324" s="147" t="s">
        <v>141</v>
      </c>
      <c r="F324" s="147" t="s">
        <v>141</v>
      </c>
      <c r="G324" s="61" t="s">
        <v>141</v>
      </c>
      <c r="H324" s="147" t="s">
        <v>141</v>
      </c>
      <c r="I324" s="147" t="s">
        <v>141</v>
      </c>
      <c r="J324" s="147" t="s">
        <v>141</v>
      </c>
      <c r="K324" s="147" t="s">
        <v>141</v>
      </c>
      <c r="L324" s="61" t="s">
        <v>141</v>
      </c>
      <c r="M324" s="147" t="s">
        <v>141</v>
      </c>
      <c r="N324" s="147" t="s">
        <v>141</v>
      </c>
      <c r="O324" s="147" t="s">
        <v>141</v>
      </c>
      <c r="P324" s="147" t="s">
        <v>141</v>
      </c>
      <c r="Q324" s="61" t="s">
        <v>141</v>
      </c>
      <c r="R324" s="147" t="s">
        <v>141</v>
      </c>
      <c r="S324" s="147" t="s">
        <v>141</v>
      </c>
      <c r="T324" s="147" t="s">
        <v>141</v>
      </c>
      <c r="U324" s="147" t="s">
        <v>141</v>
      </c>
      <c r="V324" s="61" t="s">
        <v>141</v>
      </c>
      <c r="W324" s="147" t="s">
        <v>141</v>
      </c>
      <c r="X324" s="147" t="s">
        <v>141</v>
      </c>
      <c r="Y324" s="147" t="s">
        <v>141</v>
      </c>
      <c r="Z324" s="147" t="s">
        <v>141</v>
      </c>
      <c r="AA324" s="61" t="s">
        <v>141</v>
      </c>
      <c r="AB324" s="147" t="s">
        <v>141</v>
      </c>
      <c r="AC324" s="147" t="s">
        <v>141</v>
      </c>
      <c r="AD324" s="147" t="s">
        <v>141</v>
      </c>
      <c r="AE324" s="68">
        <v>61</v>
      </c>
      <c r="AF324" s="36">
        <v>61</v>
      </c>
      <c r="AG324" s="147" t="s">
        <v>141</v>
      </c>
      <c r="AH324" s="147" t="s">
        <v>141</v>
      </c>
      <c r="AI324" s="147" t="s">
        <v>141</v>
      </c>
      <c r="AJ324" s="147">
        <v>18</v>
      </c>
      <c r="AK324" s="36">
        <v>18</v>
      </c>
      <c r="AL324" s="147" t="s">
        <v>141</v>
      </c>
      <c r="AM324" s="147" t="s">
        <v>141</v>
      </c>
      <c r="AN324" s="147" t="s">
        <v>141</v>
      </c>
      <c r="AO324" s="147">
        <v>5</v>
      </c>
      <c r="AP324" s="36">
        <v>5</v>
      </c>
      <c r="AQ324" s="147" t="s">
        <v>141</v>
      </c>
      <c r="AR324" s="147" t="s">
        <v>141</v>
      </c>
      <c r="AS324" s="147" t="s">
        <v>141</v>
      </c>
      <c r="AT324" s="147">
        <v>2</v>
      </c>
      <c r="AU324" s="36">
        <v>2</v>
      </c>
      <c r="AV324" s="147" t="s">
        <v>141</v>
      </c>
      <c r="AW324" s="147" t="s">
        <v>141</v>
      </c>
      <c r="AX324" s="147" t="s">
        <v>141</v>
      </c>
      <c r="AY324" s="147" t="s">
        <v>141</v>
      </c>
      <c r="AZ324" s="61">
        <v>9</v>
      </c>
      <c r="BA324" s="147" t="s">
        <v>141</v>
      </c>
      <c r="BB324" s="147">
        <v>1</v>
      </c>
      <c r="BC324" s="147">
        <v>7</v>
      </c>
      <c r="BD324" s="147">
        <v>1</v>
      </c>
      <c r="BE324" s="61">
        <v>9</v>
      </c>
      <c r="BF324" s="147" t="s">
        <v>141</v>
      </c>
      <c r="BG324" s="147">
        <v>3</v>
      </c>
      <c r="BH324" s="147">
        <v>2</v>
      </c>
    </row>
    <row r="325" spans="1:62" s="35" customFormat="1" ht="16.2" customHeight="1">
      <c r="A325" s="67" t="s">
        <v>261</v>
      </c>
      <c r="B325" s="36">
        <v>805</v>
      </c>
      <c r="C325" s="68">
        <v>215</v>
      </c>
      <c r="D325" s="68">
        <v>266</v>
      </c>
      <c r="E325" s="68">
        <v>293</v>
      </c>
      <c r="F325" s="68">
        <f>G325-E325-D325-C325</f>
        <v>159</v>
      </c>
      <c r="G325" s="36">
        <v>933</v>
      </c>
      <c r="H325" s="68">
        <v>302</v>
      </c>
      <c r="I325" s="68">
        <v>321</v>
      </c>
      <c r="J325" s="68">
        <v>316</v>
      </c>
      <c r="K325" s="68">
        <f>L325-J325-I325-H325</f>
        <v>251</v>
      </c>
      <c r="L325" s="36">
        <v>1190</v>
      </c>
      <c r="M325" s="68">
        <v>322</v>
      </c>
      <c r="N325" s="68">
        <v>362</v>
      </c>
      <c r="O325" s="68">
        <v>356</v>
      </c>
      <c r="P325" s="68">
        <f>Q325-O325-N325-M325</f>
        <v>343</v>
      </c>
      <c r="Q325" s="36">
        <v>1383</v>
      </c>
      <c r="R325" s="68">
        <v>399</v>
      </c>
      <c r="S325" s="68">
        <v>357</v>
      </c>
      <c r="T325" s="68">
        <v>342</v>
      </c>
      <c r="U325" s="68">
        <f>V325-T325-S325-R325</f>
        <v>262</v>
      </c>
      <c r="V325" s="36">
        <v>1360</v>
      </c>
      <c r="W325" s="68">
        <v>267</v>
      </c>
      <c r="X325" s="68">
        <v>259</v>
      </c>
      <c r="Y325" s="68">
        <v>199</v>
      </c>
      <c r="Z325" s="68">
        <f>AA325-Y325-X325-W325</f>
        <v>167</v>
      </c>
      <c r="AA325" s="36">
        <v>892</v>
      </c>
      <c r="AB325" s="68">
        <f>AB306-AB309-AB312</f>
        <v>174</v>
      </c>
      <c r="AC325" s="68">
        <f>AC306-AC309-AC312</f>
        <v>186</v>
      </c>
      <c r="AD325" s="68">
        <f>AD306-AD309-AD312</f>
        <v>172</v>
      </c>
      <c r="AE325" s="68">
        <f>AF325-AD325-AC325-AB325</f>
        <v>76</v>
      </c>
      <c r="AF325" s="36">
        <f>AF306-AF309-AF312-61</f>
        <v>608</v>
      </c>
      <c r="AG325" s="68">
        <v>126</v>
      </c>
      <c r="AH325" s="68">
        <v>127</v>
      </c>
      <c r="AI325" s="68">
        <v>122</v>
      </c>
      <c r="AJ325" s="68">
        <f>AK325-AI325-AH325-AG325</f>
        <v>74</v>
      </c>
      <c r="AK325" s="36">
        <v>449</v>
      </c>
      <c r="AL325" s="68">
        <v>32</v>
      </c>
      <c r="AM325" s="68">
        <v>53</v>
      </c>
      <c r="AN325" s="68">
        <v>61</v>
      </c>
      <c r="AO325" s="68">
        <v>11</v>
      </c>
      <c r="AP325" s="36">
        <v>157</v>
      </c>
      <c r="AQ325" s="68">
        <v>1</v>
      </c>
      <c r="AR325" s="68">
        <v>8</v>
      </c>
      <c r="AS325" s="68">
        <v>27</v>
      </c>
      <c r="AT325" s="216">
        <v>-4</v>
      </c>
      <c r="AU325" s="36">
        <v>32</v>
      </c>
      <c r="AV325" s="68">
        <v>5</v>
      </c>
      <c r="AW325" s="68">
        <v>30</v>
      </c>
      <c r="AX325" s="68">
        <v>22</v>
      </c>
      <c r="AY325" s="68">
        <v>15</v>
      </c>
      <c r="AZ325" s="36">
        <v>72</v>
      </c>
      <c r="BA325" s="68">
        <v>2</v>
      </c>
      <c r="BB325" s="68">
        <v>2</v>
      </c>
      <c r="BC325" s="182">
        <v>-2</v>
      </c>
      <c r="BD325" s="182">
        <v>-4</v>
      </c>
      <c r="BE325" s="174">
        <v>-2</v>
      </c>
      <c r="BF325" s="182">
        <v>-10</v>
      </c>
      <c r="BG325" s="182">
        <v>-8</v>
      </c>
      <c r="BH325" s="182">
        <v>16</v>
      </c>
    </row>
    <row r="326" spans="1:62">
      <c r="A326" s="69" t="s">
        <v>7</v>
      </c>
      <c r="B326" s="23"/>
      <c r="C326" s="70"/>
      <c r="D326" s="70">
        <f>D325/C325-1</f>
        <v>0.23720930232558146</v>
      </c>
      <c r="E326" s="70">
        <f>E325/D325-1</f>
        <v>0.10150375939849621</v>
      </c>
      <c r="F326" s="70">
        <f>F325/E325-1</f>
        <v>-0.4573378839590444</v>
      </c>
      <c r="G326" s="23"/>
      <c r="H326" s="70">
        <f>H325/F325-1</f>
        <v>0.89937106918238996</v>
      </c>
      <c r="I326" s="70">
        <f>I325/H325-1</f>
        <v>6.29139072847682E-2</v>
      </c>
      <c r="J326" s="70">
        <f>J325/I325-1</f>
        <v>-1.5576323987538943E-2</v>
      </c>
      <c r="K326" s="70">
        <f>K325/J325-1</f>
        <v>-0.20569620253164556</v>
      </c>
      <c r="L326" s="23"/>
      <c r="M326" s="70">
        <f>M325/K325-1</f>
        <v>0.28286852589641431</v>
      </c>
      <c r="N326" s="70">
        <f>N325/M325-1</f>
        <v>0.12422360248447206</v>
      </c>
      <c r="O326" s="70">
        <f>O325/N325-1</f>
        <v>-1.6574585635359074E-2</v>
      </c>
      <c r="P326" s="70">
        <f>P325/O325-1</f>
        <v>-3.6516853932584303E-2</v>
      </c>
      <c r="Q326" s="23"/>
      <c r="R326" s="70">
        <f>R325/P325-1</f>
        <v>0.16326530612244894</v>
      </c>
      <c r="S326" s="70">
        <f>S325/R325-1</f>
        <v>-0.10526315789473684</v>
      </c>
      <c r="T326" s="70">
        <f>T325/S325-1</f>
        <v>-4.2016806722689037E-2</v>
      </c>
      <c r="U326" s="70">
        <f>U325/T325-1</f>
        <v>-0.23391812865497075</v>
      </c>
      <c r="V326" s="23"/>
      <c r="W326" s="70">
        <f>W325/U325-1</f>
        <v>1.9083969465648831E-2</v>
      </c>
      <c r="X326" s="70">
        <f>X325/W325-1</f>
        <v>-2.9962546816479363E-2</v>
      </c>
      <c r="Y326" s="70">
        <f>Y325/X325-1</f>
        <v>-0.23166023166023164</v>
      </c>
      <c r="Z326" s="70">
        <f>Z325/Y325-1</f>
        <v>-0.16080402010050254</v>
      </c>
      <c r="AA326" s="23"/>
      <c r="AB326" s="70">
        <f>AB325/Z325-1</f>
        <v>4.1916167664670656E-2</v>
      </c>
      <c r="AC326" s="70">
        <f>AC325/AB325-1</f>
        <v>6.8965517241379226E-2</v>
      </c>
      <c r="AD326" s="70">
        <f>AD325/AC325-1</f>
        <v>-7.5268817204301119E-2</v>
      </c>
      <c r="AE326" s="70">
        <f>AE325/AD325-1</f>
        <v>-0.55813953488372092</v>
      </c>
      <c r="AF326" s="23"/>
      <c r="AG326" s="70">
        <f>AG325/AE325-1</f>
        <v>0.65789473684210531</v>
      </c>
      <c r="AH326" s="70">
        <f>AH325/AG325-1</f>
        <v>7.9365079365079083E-3</v>
      </c>
      <c r="AI326" s="70">
        <f>AI325/AH325-1</f>
        <v>-3.9370078740157521E-2</v>
      </c>
      <c r="AJ326" s="70">
        <f>AJ325/AI325-1</f>
        <v>-0.39344262295081966</v>
      </c>
      <c r="AK326" s="23"/>
      <c r="AL326" s="70">
        <v>-0.56756756756756754</v>
      </c>
      <c r="AM326" s="70">
        <v>0.65625</v>
      </c>
      <c r="AN326" s="70">
        <v>0.15094339622641506</v>
      </c>
      <c r="AO326" s="70">
        <v>-0.81967213114754101</v>
      </c>
      <c r="AP326" s="23"/>
      <c r="AQ326" s="70">
        <v>-0.90909090909090906</v>
      </c>
      <c r="AR326" s="70">
        <v>7</v>
      </c>
      <c r="AS326" s="70">
        <v>2.375</v>
      </c>
      <c r="AT326" s="70">
        <v>-1.1481481481481481</v>
      </c>
      <c r="AU326" s="23"/>
      <c r="AV326" s="83" t="s">
        <v>40</v>
      </c>
      <c r="AW326" s="70">
        <v>5</v>
      </c>
      <c r="AX326" s="70">
        <v>-0.26666666666666672</v>
      </c>
      <c r="AY326" s="70">
        <v>-0.31818181818181823</v>
      </c>
      <c r="AZ326" s="23"/>
      <c r="BA326" s="70">
        <v>-0.8666666666666667</v>
      </c>
      <c r="BB326" s="70">
        <v>0</v>
      </c>
      <c r="BC326" s="83" t="s">
        <v>40</v>
      </c>
      <c r="BD326" s="70">
        <v>1</v>
      </c>
      <c r="BE326" s="23"/>
      <c r="BF326" s="70">
        <v>1.5</v>
      </c>
      <c r="BG326" s="70">
        <v>-0.19999999999999996</v>
      </c>
      <c r="BH326" s="83" t="s">
        <v>40</v>
      </c>
    </row>
    <row r="327" spans="1:62">
      <c r="A327" s="69" t="s">
        <v>8</v>
      </c>
      <c r="B327" s="23"/>
      <c r="C327" s="71"/>
      <c r="D327" s="71"/>
      <c r="E327" s="71"/>
      <c r="F327" s="71"/>
      <c r="G327" s="23">
        <f t="shared" ref="G327:N327" si="283">G325/B325-1</f>
        <v>0.15900621118012426</v>
      </c>
      <c r="H327" s="71">
        <f t="shared" si="283"/>
        <v>0.40465116279069768</v>
      </c>
      <c r="I327" s="71">
        <f t="shared" si="283"/>
        <v>0.20676691729323315</v>
      </c>
      <c r="J327" s="71">
        <f t="shared" si="283"/>
        <v>7.8498293515358419E-2</v>
      </c>
      <c r="K327" s="71">
        <f t="shared" si="283"/>
        <v>0.57861635220125796</v>
      </c>
      <c r="L327" s="23">
        <f t="shared" si="283"/>
        <v>0.27545551982851024</v>
      </c>
      <c r="M327" s="71">
        <f t="shared" si="283"/>
        <v>6.6225165562913801E-2</v>
      </c>
      <c r="N327" s="71">
        <f t="shared" si="283"/>
        <v>0.12772585669781922</v>
      </c>
      <c r="O327" s="71">
        <f t="shared" ref="O327:Y327" si="284">O325/J325-1</f>
        <v>0.12658227848101267</v>
      </c>
      <c r="P327" s="71">
        <f t="shared" si="284"/>
        <v>0.36653386454183257</v>
      </c>
      <c r="Q327" s="23">
        <f t="shared" si="284"/>
        <v>0.16218487394957992</v>
      </c>
      <c r="R327" s="71">
        <f t="shared" si="284"/>
        <v>0.23913043478260865</v>
      </c>
      <c r="S327" s="71">
        <f t="shared" si="284"/>
        <v>-1.3812154696132617E-2</v>
      </c>
      <c r="T327" s="71">
        <f t="shared" si="284"/>
        <v>-3.9325842696629199E-2</v>
      </c>
      <c r="U327" s="71">
        <f t="shared" si="284"/>
        <v>-0.23615160349854225</v>
      </c>
      <c r="V327" s="23">
        <f t="shared" si="284"/>
        <v>-1.6630513376717282E-2</v>
      </c>
      <c r="W327" s="71">
        <f t="shared" si="284"/>
        <v>-0.33082706766917291</v>
      </c>
      <c r="X327" s="71">
        <f t="shared" si="284"/>
        <v>-0.27450980392156865</v>
      </c>
      <c r="Y327" s="71">
        <f t="shared" si="284"/>
        <v>-0.41812865497076024</v>
      </c>
      <c r="Z327" s="71">
        <f t="shared" ref="Z327:AI327" si="285">Z325/U325-1</f>
        <v>-0.36259541984732824</v>
      </c>
      <c r="AA327" s="23">
        <f t="shared" si="285"/>
        <v>-0.34411764705882353</v>
      </c>
      <c r="AB327" s="71">
        <f t="shared" si="285"/>
        <v>-0.348314606741573</v>
      </c>
      <c r="AC327" s="71">
        <f t="shared" si="285"/>
        <v>-0.28185328185328185</v>
      </c>
      <c r="AD327" s="71">
        <f t="shared" si="285"/>
        <v>-0.13567839195979903</v>
      </c>
      <c r="AE327" s="71">
        <f t="shared" si="285"/>
        <v>-0.54491017964071853</v>
      </c>
      <c r="AF327" s="23">
        <f t="shared" si="285"/>
        <v>-0.31838565022421528</v>
      </c>
      <c r="AG327" s="71">
        <f t="shared" si="285"/>
        <v>-0.27586206896551724</v>
      </c>
      <c r="AH327" s="71">
        <f t="shared" si="285"/>
        <v>-0.31720430107526887</v>
      </c>
      <c r="AI327" s="71">
        <f t="shared" si="285"/>
        <v>-0.29069767441860461</v>
      </c>
      <c r="AJ327" s="71">
        <f t="shared" ref="AJ327" si="286">AJ325/AE325-1</f>
        <v>-2.6315789473684181E-2</v>
      </c>
      <c r="AK327" s="23">
        <v>-0.26151315789473684</v>
      </c>
      <c r="AL327" s="71">
        <v>-0.74603174603174605</v>
      </c>
      <c r="AM327" s="71">
        <v>-0.58267716535433078</v>
      </c>
      <c r="AN327" s="71">
        <v>-0.5</v>
      </c>
      <c r="AO327" s="71">
        <v>-0.85135135135135132</v>
      </c>
      <c r="AP327" s="23">
        <v>-0.65033407572383073</v>
      </c>
      <c r="AQ327" s="71">
        <v>-0.96875</v>
      </c>
      <c r="AR327" s="71">
        <v>-0.84905660377358494</v>
      </c>
      <c r="AS327" s="71">
        <v>-0.55737704918032782</v>
      </c>
      <c r="AT327" s="71">
        <v>-1.3636363636363638</v>
      </c>
      <c r="AU327" s="23">
        <v>-0.79617834394904463</v>
      </c>
      <c r="AV327" s="71">
        <v>4</v>
      </c>
      <c r="AW327" s="71">
        <v>2.75</v>
      </c>
      <c r="AX327" s="71">
        <v>-0.18518518518518523</v>
      </c>
      <c r="AY327" s="71">
        <v>-4.75</v>
      </c>
      <c r="AZ327" s="23">
        <v>1.25</v>
      </c>
      <c r="BA327" s="71">
        <v>-0.6</v>
      </c>
      <c r="BB327" s="71">
        <v>-0.93333333333333335</v>
      </c>
      <c r="BC327" s="71">
        <v>-1.0909090909090908</v>
      </c>
      <c r="BD327" s="83" t="s">
        <v>40</v>
      </c>
      <c r="BE327" s="90" t="s">
        <v>40</v>
      </c>
      <c r="BF327" s="83" t="s">
        <v>40</v>
      </c>
      <c r="BG327" s="83" t="s">
        <v>40</v>
      </c>
      <c r="BH327" s="83" t="s">
        <v>40</v>
      </c>
    </row>
    <row r="328" spans="1:62" s="35" customFormat="1">
      <c r="A328" s="67" t="s">
        <v>39</v>
      </c>
      <c r="B328" s="36">
        <v>585</v>
      </c>
      <c r="C328" s="68">
        <v>163</v>
      </c>
      <c r="D328" s="68">
        <v>180</v>
      </c>
      <c r="E328" s="68">
        <v>211</v>
      </c>
      <c r="F328" s="68">
        <f>G328-E328-D328-C328</f>
        <v>128</v>
      </c>
      <c r="G328" s="36">
        <v>682</v>
      </c>
      <c r="H328" s="68">
        <v>230</v>
      </c>
      <c r="I328" s="68">
        <v>233</v>
      </c>
      <c r="J328" s="68">
        <v>231</v>
      </c>
      <c r="K328" s="68">
        <f>L328-J328-I328-H328</f>
        <v>181</v>
      </c>
      <c r="L328" s="36">
        <v>875</v>
      </c>
      <c r="M328" s="68">
        <v>259</v>
      </c>
      <c r="N328" s="68">
        <v>267</v>
      </c>
      <c r="O328" s="68">
        <v>239</v>
      </c>
      <c r="P328" s="68">
        <f>Q328-O328-N328-M328</f>
        <v>268</v>
      </c>
      <c r="Q328" s="36">
        <v>1033</v>
      </c>
      <c r="R328" s="68">
        <v>310</v>
      </c>
      <c r="S328" s="68">
        <v>279</v>
      </c>
      <c r="T328" s="68">
        <v>263</v>
      </c>
      <c r="U328" s="68">
        <f>V328-T328-S328-R328</f>
        <v>204</v>
      </c>
      <c r="V328" s="36">
        <v>1056</v>
      </c>
      <c r="W328" s="68">
        <v>216</v>
      </c>
      <c r="X328" s="68">
        <v>194</v>
      </c>
      <c r="Y328" s="68">
        <v>154</v>
      </c>
      <c r="Z328" s="68">
        <f>AA328-Y328-X328-W328</f>
        <v>134</v>
      </c>
      <c r="AA328" s="36">
        <v>698</v>
      </c>
      <c r="AB328" s="68">
        <v>153</v>
      </c>
      <c r="AC328" s="68">
        <v>161</v>
      </c>
      <c r="AD328" s="68">
        <v>140</v>
      </c>
      <c r="AE328" s="68">
        <f>AF328-AD328-AC328-AB328</f>
        <v>67</v>
      </c>
      <c r="AF328" s="36">
        <v>521</v>
      </c>
      <c r="AG328" s="68">
        <v>108</v>
      </c>
      <c r="AH328" s="68">
        <v>106</v>
      </c>
      <c r="AI328" s="68">
        <v>100</v>
      </c>
      <c r="AJ328" s="68">
        <f>AK328-AI328-AH328-AG328</f>
        <v>59</v>
      </c>
      <c r="AK328" s="36">
        <v>373</v>
      </c>
      <c r="AL328" s="68">
        <v>36</v>
      </c>
      <c r="AM328" s="68">
        <v>49</v>
      </c>
      <c r="AN328" s="68">
        <v>55</v>
      </c>
      <c r="AO328" s="68">
        <v>11</v>
      </c>
      <c r="AP328" s="36">
        <v>151</v>
      </c>
      <c r="AQ328" s="68">
        <v>13</v>
      </c>
      <c r="AR328" s="68">
        <v>13</v>
      </c>
      <c r="AS328" s="68">
        <v>32</v>
      </c>
      <c r="AT328" s="68">
        <v>3</v>
      </c>
      <c r="AU328" s="36">
        <v>61</v>
      </c>
      <c r="AV328" s="68">
        <v>16</v>
      </c>
      <c r="AW328" s="68">
        <v>34</v>
      </c>
      <c r="AX328" s="68">
        <v>24</v>
      </c>
      <c r="AY328" s="68">
        <v>21</v>
      </c>
      <c r="AZ328" s="36">
        <v>95</v>
      </c>
      <c r="BA328" s="68">
        <v>9</v>
      </c>
      <c r="BB328" s="68">
        <v>7</v>
      </c>
      <c r="BC328" s="68">
        <v>6</v>
      </c>
      <c r="BD328" s="68">
        <v>2</v>
      </c>
      <c r="BE328" s="36">
        <v>24</v>
      </c>
      <c r="BF328" s="68">
        <v>2</v>
      </c>
      <c r="BG328" s="68">
        <v>2</v>
      </c>
      <c r="BH328" s="68">
        <v>18</v>
      </c>
    </row>
    <row r="329" spans="1:62">
      <c r="A329" s="69" t="s">
        <v>7</v>
      </c>
      <c r="B329" s="23"/>
      <c r="C329" s="70"/>
      <c r="D329" s="70">
        <f>D328/C328-1</f>
        <v>0.10429447852760743</v>
      </c>
      <c r="E329" s="70">
        <f>E328/D328-1</f>
        <v>0.17222222222222228</v>
      </c>
      <c r="F329" s="70">
        <f>F328/E328-1</f>
        <v>-0.39336492890995256</v>
      </c>
      <c r="G329" s="23"/>
      <c r="H329" s="70">
        <f>H328/F328-1</f>
        <v>0.796875</v>
      </c>
      <c r="I329" s="70">
        <f>I328/H328-1</f>
        <v>1.304347826086949E-2</v>
      </c>
      <c r="J329" s="70">
        <f>J328/I328-1</f>
        <v>-8.5836909871244149E-3</v>
      </c>
      <c r="K329" s="70">
        <f>K328/J328-1</f>
        <v>-0.21645021645021645</v>
      </c>
      <c r="L329" s="23"/>
      <c r="M329" s="70">
        <f>M328/K328-1</f>
        <v>0.43093922651933703</v>
      </c>
      <c r="N329" s="70">
        <f>N328/M328-1</f>
        <v>3.0888030888030826E-2</v>
      </c>
      <c r="O329" s="70">
        <f>O328/N328-1</f>
        <v>-0.10486891385767794</v>
      </c>
      <c r="P329" s="70">
        <f>P328/O328-1</f>
        <v>0.12133891213389125</v>
      </c>
      <c r="Q329" s="23"/>
      <c r="R329" s="70">
        <f>R328/P328-1</f>
        <v>0.15671641791044766</v>
      </c>
      <c r="S329" s="70">
        <f>S328/R328-1</f>
        <v>-9.9999999999999978E-2</v>
      </c>
      <c r="T329" s="70">
        <f>T328/S328-1</f>
        <v>-5.7347670250896043E-2</v>
      </c>
      <c r="U329" s="70">
        <f>U328/T328-1</f>
        <v>-0.2243346007604563</v>
      </c>
      <c r="V329" s="23"/>
      <c r="W329" s="70">
        <f>W328/U328-1</f>
        <v>5.8823529411764719E-2</v>
      </c>
      <c r="X329" s="70">
        <f>X328/W328-1</f>
        <v>-0.10185185185185186</v>
      </c>
      <c r="Y329" s="70">
        <f>Y328/X328-1</f>
        <v>-0.20618556701030932</v>
      </c>
      <c r="Z329" s="70">
        <f>Z328/Y328-1</f>
        <v>-0.12987012987012991</v>
      </c>
      <c r="AA329" s="23"/>
      <c r="AB329" s="70">
        <f>AB328/Z328-1</f>
        <v>0.14179104477611948</v>
      </c>
      <c r="AC329" s="70">
        <f>AC328/AB328-1</f>
        <v>5.2287581699346442E-2</v>
      </c>
      <c r="AD329" s="70">
        <f>AD328/AC328-1</f>
        <v>-0.13043478260869568</v>
      </c>
      <c r="AE329" s="70">
        <f>AE328/AD328-1</f>
        <v>-0.52142857142857135</v>
      </c>
      <c r="AF329" s="23"/>
      <c r="AG329" s="70">
        <f>AG328/AE328-1</f>
        <v>0.61194029850746268</v>
      </c>
      <c r="AH329" s="70">
        <f>AH328/AG328-1</f>
        <v>-1.851851851851849E-2</v>
      </c>
      <c r="AI329" s="70">
        <f>AI328/AH328-1</f>
        <v>-5.6603773584905648E-2</v>
      </c>
      <c r="AJ329" s="70">
        <f>AJ328/AI328-1</f>
        <v>-0.41000000000000003</v>
      </c>
      <c r="AK329" s="23"/>
      <c r="AL329" s="70">
        <v>-0.38983050847457623</v>
      </c>
      <c r="AM329" s="70">
        <v>0.36111111111111116</v>
      </c>
      <c r="AN329" s="70">
        <v>0.12244897959183665</v>
      </c>
      <c r="AO329" s="70">
        <v>-0.8</v>
      </c>
      <c r="AP329" s="23"/>
      <c r="AQ329" s="70">
        <v>0.18181818181818188</v>
      </c>
      <c r="AR329" s="70">
        <v>0</v>
      </c>
      <c r="AS329" s="70">
        <v>1.4615384615384617</v>
      </c>
      <c r="AT329" s="70">
        <v>-0.90625</v>
      </c>
      <c r="AU329" s="23"/>
      <c r="AV329" s="70">
        <v>4.333333333333333</v>
      </c>
      <c r="AW329" s="70">
        <v>1.125</v>
      </c>
      <c r="AX329" s="70">
        <v>-0.29411764705882348</v>
      </c>
      <c r="AY329" s="70">
        <v>-0.125</v>
      </c>
      <c r="AZ329" s="23"/>
      <c r="BA329" s="70">
        <v>-0.5714285714285714</v>
      </c>
      <c r="BB329" s="70">
        <v>-0.22222222222222221</v>
      </c>
      <c r="BC329" s="70">
        <v>-0.1428571428571429</v>
      </c>
      <c r="BD329" s="70">
        <v>-0.66666666666666674</v>
      </c>
      <c r="BE329" s="23"/>
      <c r="BF329" s="70">
        <v>0</v>
      </c>
      <c r="BG329" s="70">
        <v>0</v>
      </c>
      <c r="BH329" s="70">
        <v>8</v>
      </c>
    </row>
    <row r="330" spans="1:62">
      <c r="A330" s="69" t="s">
        <v>8</v>
      </c>
      <c r="B330" s="23"/>
      <c r="C330" s="71"/>
      <c r="D330" s="71"/>
      <c r="E330" s="71"/>
      <c r="F330" s="71"/>
      <c r="G330" s="23">
        <f t="shared" ref="G330:N330" si="287">G328/B328-1</f>
        <v>0.16581196581196589</v>
      </c>
      <c r="H330" s="71">
        <f t="shared" si="287"/>
        <v>0.41104294478527614</v>
      </c>
      <c r="I330" s="71">
        <f t="shared" si="287"/>
        <v>0.29444444444444451</v>
      </c>
      <c r="J330" s="71">
        <f t="shared" si="287"/>
        <v>9.4786729857819996E-2</v>
      </c>
      <c r="K330" s="71">
        <f t="shared" si="287"/>
        <v>0.4140625</v>
      </c>
      <c r="L330" s="23">
        <f t="shared" si="287"/>
        <v>0.28299120234604103</v>
      </c>
      <c r="M330" s="71">
        <f t="shared" si="287"/>
        <v>0.12608695652173907</v>
      </c>
      <c r="N330" s="71">
        <f t="shared" si="287"/>
        <v>0.14592274678111594</v>
      </c>
      <c r="O330" s="71">
        <f t="shared" ref="O330:Y330" si="288">O328/J328-1</f>
        <v>3.463203463203457E-2</v>
      </c>
      <c r="P330" s="71">
        <f t="shared" si="288"/>
        <v>0.48066298342541436</v>
      </c>
      <c r="Q330" s="23">
        <f t="shared" si="288"/>
        <v>0.1805714285714286</v>
      </c>
      <c r="R330" s="71">
        <f t="shared" si="288"/>
        <v>0.19691119691119696</v>
      </c>
      <c r="S330" s="71">
        <f t="shared" si="288"/>
        <v>4.4943820224719211E-2</v>
      </c>
      <c r="T330" s="71">
        <f t="shared" si="288"/>
        <v>0.10041841004184104</v>
      </c>
      <c r="U330" s="71">
        <f t="shared" si="288"/>
        <v>-0.23880597014925375</v>
      </c>
      <c r="V330" s="23">
        <f t="shared" si="288"/>
        <v>2.2265246853823806E-2</v>
      </c>
      <c r="W330" s="71">
        <f t="shared" si="288"/>
        <v>-0.3032258064516129</v>
      </c>
      <c r="X330" s="71">
        <f t="shared" si="288"/>
        <v>-0.30465949820788529</v>
      </c>
      <c r="Y330" s="71">
        <f t="shared" si="288"/>
        <v>-0.4144486692015209</v>
      </c>
      <c r="Z330" s="71">
        <f t="shared" ref="Z330:AI330" si="289">Z328/U328-1</f>
        <v>-0.34313725490196079</v>
      </c>
      <c r="AA330" s="23">
        <f t="shared" si="289"/>
        <v>-0.33901515151515149</v>
      </c>
      <c r="AB330" s="71">
        <f t="shared" si="289"/>
        <v>-0.29166666666666663</v>
      </c>
      <c r="AC330" s="71">
        <f t="shared" si="289"/>
        <v>-0.17010309278350511</v>
      </c>
      <c r="AD330" s="71">
        <f t="shared" si="289"/>
        <v>-9.0909090909090939E-2</v>
      </c>
      <c r="AE330" s="71">
        <f t="shared" si="289"/>
        <v>-0.5</v>
      </c>
      <c r="AF330" s="23">
        <f t="shared" si="289"/>
        <v>-0.25358166189111753</v>
      </c>
      <c r="AG330" s="71">
        <f t="shared" si="289"/>
        <v>-0.29411764705882348</v>
      </c>
      <c r="AH330" s="71">
        <f t="shared" si="289"/>
        <v>-0.34161490683229812</v>
      </c>
      <c r="AI330" s="71">
        <f t="shared" si="289"/>
        <v>-0.2857142857142857</v>
      </c>
      <c r="AJ330" s="71">
        <f t="shared" ref="AJ330" si="290">AJ328/AE328-1</f>
        <v>-0.11940298507462688</v>
      </c>
      <c r="AK330" s="23">
        <v>-0.28406909788867563</v>
      </c>
      <c r="AL330" s="71">
        <v>-0.66666666666666674</v>
      </c>
      <c r="AM330" s="71">
        <v>-0.53773584905660377</v>
      </c>
      <c r="AN330" s="71">
        <v>-0.44999999999999996</v>
      </c>
      <c r="AO330" s="71">
        <v>-0.81355932203389836</v>
      </c>
      <c r="AP330" s="23">
        <v>-0.5951742627345844</v>
      </c>
      <c r="AQ330" s="71">
        <v>-0.63888888888888884</v>
      </c>
      <c r="AR330" s="71">
        <v>-0.73469387755102034</v>
      </c>
      <c r="AS330" s="71">
        <v>-0.41818181818181821</v>
      </c>
      <c r="AT330" s="71">
        <v>-0.72727272727272729</v>
      </c>
      <c r="AU330" s="23">
        <v>-0.5960264900662251</v>
      </c>
      <c r="AV330" s="71">
        <v>0.23076923076923084</v>
      </c>
      <c r="AW330" s="71">
        <v>1.6153846153846154</v>
      </c>
      <c r="AX330" s="71">
        <v>-0.25</v>
      </c>
      <c r="AY330" s="71">
        <v>6</v>
      </c>
      <c r="AZ330" s="23">
        <v>0.55737704918032782</v>
      </c>
      <c r="BA330" s="71">
        <v>-0.4375</v>
      </c>
      <c r="BB330" s="71">
        <v>-0.79411764705882359</v>
      </c>
      <c r="BC330" s="71">
        <v>-0.75</v>
      </c>
      <c r="BD330" s="71">
        <v>-0.90476190476190477</v>
      </c>
      <c r="BE330" s="23">
        <v>-0.74736842105263157</v>
      </c>
      <c r="BF330" s="71">
        <v>-0.77777777777777779</v>
      </c>
      <c r="BG330" s="71">
        <v>-0.7142857142857143</v>
      </c>
      <c r="BH330" s="71">
        <v>2</v>
      </c>
    </row>
    <row r="331" spans="1:62" s="35" customFormat="1">
      <c r="A331" s="67" t="s">
        <v>250</v>
      </c>
      <c r="B331" s="36">
        <f>B315+B325</f>
        <v>1284</v>
      </c>
      <c r="C331" s="75">
        <f>C315+C325</f>
        <v>344</v>
      </c>
      <c r="D331" s="75">
        <f>D315+D325</f>
        <v>396</v>
      </c>
      <c r="E331" s="75">
        <f>E315+E325</f>
        <v>422</v>
      </c>
      <c r="F331" s="68">
        <f>G331-E331-D331-C331</f>
        <v>294</v>
      </c>
      <c r="G331" s="36">
        <f>G315+G325</f>
        <v>1456</v>
      </c>
      <c r="H331" s="75">
        <f>H315+H325</f>
        <v>441</v>
      </c>
      <c r="I331" s="75">
        <f>I315+I325</f>
        <v>472</v>
      </c>
      <c r="J331" s="75">
        <f>J315+J325</f>
        <v>471</v>
      </c>
      <c r="K331" s="68">
        <f>L331-J331-I331-H331</f>
        <v>410</v>
      </c>
      <c r="L331" s="36">
        <v>1794</v>
      </c>
      <c r="M331" s="75">
        <f>M315+M325</f>
        <v>471</v>
      </c>
      <c r="N331" s="75">
        <f>N315+N325</f>
        <v>511</v>
      </c>
      <c r="O331" s="75">
        <f>O315+O325</f>
        <v>505</v>
      </c>
      <c r="P331" s="68">
        <f>Q331-O331-N331-M331</f>
        <v>497</v>
      </c>
      <c r="Q331" s="36">
        <f>Q325+Q315</f>
        <v>1984</v>
      </c>
      <c r="R331" s="75">
        <v>539</v>
      </c>
      <c r="S331" s="75">
        <f>S315+S325</f>
        <v>500</v>
      </c>
      <c r="T331" s="75">
        <f>T315+T325</f>
        <v>481</v>
      </c>
      <c r="U331" s="68">
        <f>V331-T331-S331-R331</f>
        <v>401</v>
      </c>
      <c r="V331" s="36">
        <f>V325+V315</f>
        <v>1921</v>
      </c>
      <c r="W331" s="75">
        <f>W325+W315</f>
        <v>402</v>
      </c>
      <c r="X331" s="75">
        <f>X325+X315</f>
        <v>396</v>
      </c>
      <c r="Y331" s="75">
        <f>Y325+Y315</f>
        <v>329</v>
      </c>
      <c r="Z331" s="68">
        <f>AA331-Y331-X331-W331</f>
        <v>296</v>
      </c>
      <c r="AA331" s="36">
        <f>AA325+AA315</f>
        <v>1423</v>
      </c>
      <c r="AB331" s="75">
        <f>AB325+AB315</f>
        <v>295</v>
      </c>
      <c r="AC331" s="75">
        <f>AC325+AC315</f>
        <v>299</v>
      </c>
      <c r="AD331" s="75">
        <f>AD325+AD315</f>
        <v>283</v>
      </c>
      <c r="AE331" s="68">
        <f>AF331-AD331-AC331-AB331</f>
        <v>188</v>
      </c>
      <c r="AF331" s="36">
        <v>1065</v>
      </c>
      <c r="AG331" s="75">
        <f>AG325+AG315</f>
        <v>232</v>
      </c>
      <c r="AH331" s="75">
        <f>AH325+AH315</f>
        <v>232</v>
      </c>
      <c r="AI331" s="75">
        <v>231</v>
      </c>
      <c r="AJ331" s="68">
        <f>AK331-AI331-AH331-AG331</f>
        <v>184</v>
      </c>
      <c r="AK331" s="36">
        <v>879</v>
      </c>
      <c r="AL331" s="75">
        <v>136</v>
      </c>
      <c r="AM331" s="75">
        <v>159</v>
      </c>
      <c r="AN331" s="75">
        <v>170</v>
      </c>
      <c r="AO331" s="68">
        <v>111</v>
      </c>
      <c r="AP331" s="36">
        <v>576</v>
      </c>
      <c r="AQ331" s="75">
        <v>105</v>
      </c>
      <c r="AR331" s="75">
        <v>103</v>
      </c>
      <c r="AS331" s="75">
        <v>119</v>
      </c>
      <c r="AT331" s="68">
        <v>85</v>
      </c>
      <c r="AU331" s="36">
        <v>412</v>
      </c>
      <c r="AV331" s="75">
        <v>99</v>
      </c>
      <c r="AW331" s="75">
        <v>129</v>
      </c>
      <c r="AX331" s="75">
        <v>122</v>
      </c>
      <c r="AY331" s="68">
        <v>105</v>
      </c>
      <c r="AZ331" s="36">
        <v>455</v>
      </c>
      <c r="BA331" s="75">
        <v>160</v>
      </c>
      <c r="BB331" s="75">
        <v>161</v>
      </c>
      <c r="BC331" s="75">
        <v>159</v>
      </c>
      <c r="BD331" s="68">
        <v>173</v>
      </c>
      <c r="BE331" s="36">
        <v>653</v>
      </c>
      <c r="BF331" s="75">
        <v>147</v>
      </c>
      <c r="BG331" s="75">
        <v>148</v>
      </c>
      <c r="BH331" s="75">
        <v>173</v>
      </c>
    </row>
    <row r="332" spans="1:62">
      <c r="A332" s="69" t="s">
        <v>7</v>
      </c>
      <c r="B332" s="23"/>
      <c r="C332" s="70"/>
      <c r="D332" s="70">
        <f>D331/C331-1</f>
        <v>0.15116279069767447</v>
      </c>
      <c r="E332" s="70">
        <f>E331/D331-1</f>
        <v>6.5656565656565746E-2</v>
      </c>
      <c r="F332" s="70">
        <f>F331/E331-1</f>
        <v>-0.30331753554502372</v>
      </c>
      <c r="G332" s="23"/>
      <c r="H332" s="70">
        <f>H331/F331-1</f>
        <v>0.5</v>
      </c>
      <c r="I332" s="70">
        <f>I331/H331-1</f>
        <v>7.029478458049887E-2</v>
      </c>
      <c r="J332" s="70">
        <f>J331/I331-1</f>
        <v>-2.1186440677966045E-3</v>
      </c>
      <c r="K332" s="70">
        <f>K331/J331-1</f>
        <v>-0.12951167728237789</v>
      </c>
      <c r="L332" s="23"/>
      <c r="M332" s="70">
        <f>M331/K331-1</f>
        <v>0.14878048780487796</v>
      </c>
      <c r="N332" s="70">
        <f>N331/M331-1</f>
        <v>8.4925690021231404E-2</v>
      </c>
      <c r="O332" s="70">
        <f>O331/N331-1</f>
        <v>-1.1741682974559686E-2</v>
      </c>
      <c r="P332" s="70">
        <f>P331/O331-1</f>
        <v>-1.5841584158415856E-2</v>
      </c>
      <c r="Q332" s="23"/>
      <c r="R332" s="70">
        <f>R331/P331-1</f>
        <v>8.4507042253521236E-2</v>
      </c>
      <c r="S332" s="70">
        <f>S331/R331-1</f>
        <v>-7.235621521335811E-2</v>
      </c>
      <c r="T332" s="70">
        <f>T331/S331-1</f>
        <v>-3.8000000000000034E-2</v>
      </c>
      <c r="U332" s="70">
        <f>U331/T331-1</f>
        <v>-0.16632016632016633</v>
      </c>
      <c r="V332" s="23"/>
      <c r="W332" s="70">
        <f>W331/U331-1</f>
        <v>2.4937655860348684E-3</v>
      </c>
      <c r="X332" s="70">
        <f>X331/W331-1</f>
        <v>-1.4925373134328401E-2</v>
      </c>
      <c r="Y332" s="70">
        <f>Y331/X331-1</f>
        <v>-0.16919191919191923</v>
      </c>
      <c r="Z332" s="70">
        <f>Z331/Y331-1</f>
        <v>-0.10030395136778114</v>
      </c>
      <c r="AA332" s="23"/>
      <c r="AB332" s="70">
        <f>AB331/Z331-1</f>
        <v>-3.3783783783783994E-3</v>
      </c>
      <c r="AC332" s="70">
        <f>AC331/AB331-1</f>
        <v>1.3559322033898313E-2</v>
      </c>
      <c r="AD332" s="70">
        <f>AD331/AC331-1</f>
        <v>-5.3511705685618693E-2</v>
      </c>
      <c r="AE332" s="70">
        <f>AE331/AD331-1</f>
        <v>-0.33568904593639581</v>
      </c>
      <c r="AF332" s="23"/>
      <c r="AG332" s="70">
        <f>AG331/AE331-1</f>
        <v>0.23404255319148937</v>
      </c>
      <c r="AH332" s="70">
        <f>AH331/AG331-1</f>
        <v>0</v>
      </c>
      <c r="AI332" s="70">
        <f>AI331/AH331-1</f>
        <v>-4.3103448275861878E-3</v>
      </c>
      <c r="AJ332" s="70">
        <f>AJ331/AI331-1</f>
        <v>-0.20346320346320346</v>
      </c>
      <c r="AK332" s="23"/>
      <c r="AL332" s="70">
        <v>-0.26086956521739135</v>
      </c>
      <c r="AM332" s="70">
        <v>0.16911764705882359</v>
      </c>
      <c r="AN332" s="70">
        <v>6.9182389937106903E-2</v>
      </c>
      <c r="AO332" s="70">
        <v>-0.34705882352941175</v>
      </c>
      <c r="AP332" s="23"/>
      <c r="AQ332" s="70">
        <v>-5.4054054054054057E-2</v>
      </c>
      <c r="AR332" s="70">
        <v>-1.9047619047619091E-2</v>
      </c>
      <c r="AS332" s="70">
        <v>0.15533980582524265</v>
      </c>
      <c r="AT332" s="70">
        <v>-0.2857142857142857</v>
      </c>
      <c r="AU332" s="23"/>
      <c r="AV332" s="70">
        <v>0.16470588235294126</v>
      </c>
      <c r="AW332" s="70">
        <v>0.30303030303030298</v>
      </c>
      <c r="AX332" s="70">
        <v>-5.4263565891472854E-2</v>
      </c>
      <c r="AY332" s="70">
        <v>-0.13934426229508201</v>
      </c>
      <c r="AZ332" s="23"/>
      <c r="BA332" s="70">
        <v>0.52380952380952372</v>
      </c>
      <c r="BB332" s="70">
        <v>6.2500000000000888E-3</v>
      </c>
      <c r="BC332" s="70">
        <v>-1.2422360248447228E-2</v>
      </c>
      <c r="BD332" s="70">
        <v>8.8050314465408785E-2</v>
      </c>
      <c r="BE332" s="23"/>
      <c r="BF332" s="70">
        <v>-0.1502890173410405</v>
      </c>
      <c r="BG332" s="70">
        <v>6.8027210884353817E-3</v>
      </c>
      <c r="BH332" s="70">
        <v>0.16891891891891886</v>
      </c>
    </row>
    <row r="333" spans="1:62">
      <c r="A333" s="69" t="s">
        <v>8</v>
      </c>
      <c r="B333" s="23"/>
      <c r="C333" s="71"/>
      <c r="D333" s="71"/>
      <c r="E333" s="71"/>
      <c r="F333" s="71"/>
      <c r="G333" s="23">
        <f t="shared" ref="G333:N333" si="291">G331/B331-1</f>
        <v>0.13395638629283479</v>
      </c>
      <c r="H333" s="71">
        <f t="shared" si="291"/>
        <v>0.28197674418604657</v>
      </c>
      <c r="I333" s="71">
        <f t="shared" si="291"/>
        <v>0.19191919191919182</v>
      </c>
      <c r="J333" s="71">
        <f t="shared" si="291"/>
        <v>0.11611374407582931</v>
      </c>
      <c r="K333" s="71">
        <f t="shared" si="291"/>
        <v>0.39455782312925169</v>
      </c>
      <c r="L333" s="23">
        <f t="shared" si="291"/>
        <v>0.23214285714285721</v>
      </c>
      <c r="M333" s="71">
        <f t="shared" si="291"/>
        <v>6.8027210884353817E-2</v>
      </c>
      <c r="N333" s="71">
        <f t="shared" si="291"/>
        <v>8.2627118644067687E-2</v>
      </c>
      <c r="O333" s="71">
        <f t="shared" ref="O333:Y333" si="292">O331/J331-1</f>
        <v>7.2186836518046693E-2</v>
      </c>
      <c r="P333" s="71">
        <f t="shared" si="292"/>
        <v>0.21219512195121948</v>
      </c>
      <c r="Q333" s="23">
        <f t="shared" si="292"/>
        <v>0.10590858416945381</v>
      </c>
      <c r="R333" s="71">
        <f t="shared" si="292"/>
        <v>0.14437367303609339</v>
      </c>
      <c r="S333" s="71">
        <f t="shared" si="292"/>
        <v>-2.1526418786692814E-2</v>
      </c>
      <c r="T333" s="71">
        <f t="shared" si="292"/>
        <v>-4.7524752475247567E-2</v>
      </c>
      <c r="U333" s="71">
        <f t="shared" si="292"/>
        <v>-0.19315895372233405</v>
      </c>
      <c r="V333" s="23">
        <f t="shared" si="292"/>
        <v>-3.1754032258064502E-2</v>
      </c>
      <c r="W333" s="71">
        <f t="shared" si="292"/>
        <v>-0.25417439703153988</v>
      </c>
      <c r="X333" s="71">
        <f t="shared" si="292"/>
        <v>-0.20799999999999996</v>
      </c>
      <c r="Y333" s="71">
        <f t="shared" si="292"/>
        <v>-0.31600831600831603</v>
      </c>
      <c r="Z333" s="71">
        <f t="shared" ref="Z333:AI333" si="293">Z331/U331-1</f>
        <v>-0.26184538653366585</v>
      </c>
      <c r="AA333" s="23">
        <f t="shared" si="293"/>
        <v>-0.25923997917751174</v>
      </c>
      <c r="AB333" s="71">
        <f t="shared" si="293"/>
        <v>-0.26616915422885568</v>
      </c>
      <c r="AC333" s="71">
        <f t="shared" si="293"/>
        <v>-0.24494949494949492</v>
      </c>
      <c r="AD333" s="71">
        <f t="shared" si="293"/>
        <v>-0.13981762917933127</v>
      </c>
      <c r="AE333" s="71">
        <f t="shared" si="293"/>
        <v>-0.36486486486486491</v>
      </c>
      <c r="AF333" s="23">
        <f t="shared" si="293"/>
        <v>-0.25158116654954321</v>
      </c>
      <c r="AG333" s="71">
        <f t="shared" si="293"/>
        <v>-0.21355932203389827</v>
      </c>
      <c r="AH333" s="71">
        <f t="shared" si="293"/>
        <v>-0.22408026755852839</v>
      </c>
      <c r="AI333" s="71">
        <f t="shared" si="293"/>
        <v>-0.18374558303886923</v>
      </c>
      <c r="AJ333" s="71">
        <f t="shared" ref="AJ333" si="294">AJ331/AE331-1</f>
        <v>-2.1276595744680882E-2</v>
      </c>
      <c r="AK333" s="23">
        <v>-0.17464788732394365</v>
      </c>
      <c r="AL333" s="71">
        <v>-0.41379310344827591</v>
      </c>
      <c r="AM333" s="71">
        <v>-0.31465517241379315</v>
      </c>
      <c r="AN333" s="71">
        <v>-0.26406926406926412</v>
      </c>
      <c r="AO333" s="71">
        <v>-0.39673913043478259</v>
      </c>
      <c r="AP333" s="23">
        <v>-0.34470989761092152</v>
      </c>
      <c r="AQ333" s="71">
        <v>-0.2279411764705882</v>
      </c>
      <c r="AR333" s="71">
        <v>-0.35220125786163525</v>
      </c>
      <c r="AS333" s="71">
        <v>-0.30000000000000004</v>
      </c>
      <c r="AT333" s="71">
        <v>-0.23423423423423428</v>
      </c>
      <c r="AU333" s="23">
        <v>-0.28472222222222221</v>
      </c>
      <c r="AV333" s="71">
        <v>-5.7142857142857162E-2</v>
      </c>
      <c r="AW333" s="71">
        <v>0.25242718446601953</v>
      </c>
      <c r="AX333" s="71">
        <v>2.5210084033613356E-2</v>
      </c>
      <c r="AY333" s="71">
        <v>0.23529411764705888</v>
      </c>
      <c r="AZ333" s="23">
        <v>0.10436893203883502</v>
      </c>
      <c r="BA333" s="71">
        <v>0.61616161616161613</v>
      </c>
      <c r="BB333" s="71">
        <v>0.24806201550387597</v>
      </c>
      <c r="BC333" s="71">
        <v>0.30327868852459017</v>
      </c>
      <c r="BD333" s="71">
        <v>0.64761904761904754</v>
      </c>
      <c r="BE333" s="23">
        <v>0.43516483516483517</v>
      </c>
      <c r="BF333" s="71">
        <v>-8.1250000000000044E-2</v>
      </c>
      <c r="BG333" s="71">
        <v>-8.0745341614906874E-2</v>
      </c>
      <c r="BH333" s="71">
        <v>8.8050314465408785E-2</v>
      </c>
    </row>
    <row r="334" spans="1:62" ht="24">
      <c r="A334" s="87" t="s">
        <v>270</v>
      </c>
      <c r="B334" s="23"/>
      <c r="C334" s="71"/>
      <c r="D334" s="71"/>
      <c r="E334" s="71"/>
      <c r="F334" s="71"/>
      <c r="G334" s="23"/>
      <c r="H334" s="71"/>
      <c r="I334" s="71"/>
      <c r="J334" s="71"/>
      <c r="K334" s="71"/>
      <c r="L334" s="23"/>
      <c r="M334" s="71"/>
      <c r="N334" s="71"/>
      <c r="O334" s="71"/>
      <c r="P334" s="71"/>
      <c r="Q334" s="23"/>
      <c r="R334" s="71"/>
      <c r="S334" s="71"/>
      <c r="T334" s="71"/>
      <c r="U334" s="71"/>
      <c r="V334" s="23"/>
      <c r="W334" s="71"/>
      <c r="X334" s="71"/>
      <c r="Y334" s="71"/>
      <c r="Z334" s="71"/>
      <c r="AA334" s="23"/>
      <c r="AB334" s="147">
        <f>AB331</f>
        <v>295</v>
      </c>
      <c r="AC334" s="147">
        <f>AC331</f>
        <v>299</v>
      </c>
      <c r="AD334" s="147">
        <f>AD331</f>
        <v>283</v>
      </c>
      <c r="AE334" s="147">
        <f>AF334-AD334-AC334-AB334</f>
        <v>249</v>
      </c>
      <c r="AF334" s="61">
        <f>AF331+AF324</f>
        <v>1126</v>
      </c>
      <c r="AG334" s="147">
        <f>AG331</f>
        <v>232</v>
      </c>
      <c r="AH334" s="147">
        <f>AH331</f>
        <v>232</v>
      </c>
      <c r="AI334" s="147">
        <f>AI331</f>
        <v>231</v>
      </c>
      <c r="AJ334" s="147">
        <f>AK334-AI334-AH334-AG334</f>
        <v>202</v>
      </c>
      <c r="AK334" s="61">
        <v>897</v>
      </c>
      <c r="AL334" s="147">
        <v>136</v>
      </c>
      <c r="AM334" s="147">
        <v>159</v>
      </c>
      <c r="AN334" s="147">
        <v>170</v>
      </c>
      <c r="AO334" s="147">
        <v>116</v>
      </c>
      <c r="AP334" s="61">
        <v>581</v>
      </c>
      <c r="AQ334" s="147">
        <v>105</v>
      </c>
      <c r="AR334" s="147">
        <v>103</v>
      </c>
      <c r="AS334" s="147">
        <v>119</v>
      </c>
      <c r="AT334" s="147">
        <v>87</v>
      </c>
      <c r="AU334" s="61">
        <v>414</v>
      </c>
      <c r="AV334" s="147">
        <v>99</v>
      </c>
      <c r="AW334" s="147">
        <v>129</v>
      </c>
      <c r="AX334" s="147">
        <v>122</v>
      </c>
      <c r="AY334" s="147">
        <v>114</v>
      </c>
      <c r="AZ334" s="61">
        <v>464</v>
      </c>
      <c r="BA334" s="147">
        <v>160</v>
      </c>
      <c r="BB334" s="147">
        <v>161</v>
      </c>
      <c r="BC334" s="147">
        <v>166</v>
      </c>
      <c r="BD334" s="147">
        <v>175</v>
      </c>
      <c r="BE334" s="61">
        <v>662</v>
      </c>
      <c r="BF334" s="147">
        <v>147</v>
      </c>
      <c r="BG334" s="147">
        <v>151</v>
      </c>
      <c r="BH334" s="147">
        <v>175</v>
      </c>
    </row>
    <row r="335" spans="1:62" hidden="1">
      <c r="A335" s="67" t="s">
        <v>252</v>
      </c>
      <c r="B335" s="23"/>
      <c r="C335" s="71"/>
      <c r="D335" s="71"/>
      <c r="E335" s="71"/>
      <c r="F335" s="71"/>
      <c r="G335" s="23"/>
      <c r="H335" s="71"/>
      <c r="I335" s="71"/>
      <c r="J335" s="71"/>
      <c r="K335" s="71"/>
      <c r="L335" s="23"/>
      <c r="M335" s="71"/>
      <c r="N335" s="71"/>
      <c r="O335" s="71"/>
      <c r="P335" s="71"/>
      <c r="Q335" s="23"/>
      <c r="R335" s="71"/>
      <c r="S335" s="71"/>
      <c r="T335" s="71"/>
      <c r="U335" s="71"/>
      <c r="V335" s="23"/>
      <c r="W335" s="71"/>
      <c r="X335" s="71"/>
      <c r="Y335" s="71"/>
      <c r="Z335" s="71"/>
      <c r="AA335" s="23"/>
      <c r="AB335" s="71"/>
      <c r="AC335" s="71"/>
      <c r="AD335" s="71"/>
      <c r="AE335" s="71"/>
      <c r="AF335" s="23"/>
      <c r="AG335" s="71"/>
      <c r="AH335" s="71"/>
      <c r="AI335" s="71"/>
      <c r="AJ335" s="71"/>
      <c r="AK335" s="23"/>
      <c r="AL335" s="71"/>
      <c r="AM335" s="71"/>
      <c r="AN335" s="71"/>
      <c r="AO335" s="71"/>
      <c r="AP335" s="23"/>
      <c r="AQ335" s="71"/>
      <c r="AR335" s="71"/>
      <c r="AS335" s="71"/>
      <c r="AT335" s="71"/>
      <c r="AU335" s="23"/>
      <c r="AV335" s="71"/>
      <c r="AW335" s="71"/>
      <c r="AX335" s="71"/>
      <c r="AY335" s="71"/>
      <c r="AZ335" s="23"/>
      <c r="BA335" s="75">
        <v>98</v>
      </c>
      <c r="BB335" s="75">
        <v>98</v>
      </c>
      <c r="BC335" s="75">
        <v>96</v>
      </c>
      <c r="BD335" s="68">
        <v>101</v>
      </c>
      <c r="BE335" s="36">
        <v>393</v>
      </c>
      <c r="BF335" s="75"/>
      <c r="BG335" s="75"/>
      <c r="BH335" s="75"/>
    </row>
    <row r="336" spans="1:62">
      <c r="A336" s="39" t="s">
        <v>24</v>
      </c>
      <c r="B336" s="40"/>
      <c r="C336" s="52"/>
      <c r="D336" s="52"/>
      <c r="E336" s="52"/>
      <c r="F336" s="52"/>
      <c r="G336" s="40"/>
      <c r="H336" s="52"/>
      <c r="I336" s="52"/>
      <c r="J336" s="52"/>
      <c r="K336" s="52"/>
      <c r="L336" s="40"/>
      <c r="M336" s="52"/>
      <c r="N336" s="52"/>
      <c r="O336" s="52"/>
      <c r="P336" s="52"/>
      <c r="Q336" s="40"/>
      <c r="R336" s="52"/>
      <c r="S336" s="52"/>
      <c r="T336" s="52"/>
      <c r="U336" s="52"/>
      <c r="V336" s="40"/>
      <c r="W336" s="52"/>
      <c r="X336" s="52"/>
      <c r="Y336" s="52"/>
      <c r="Z336" s="52"/>
      <c r="AA336" s="40"/>
      <c r="AB336" s="52"/>
      <c r="AC336" s="52"/>
      <c r="AD336" s="52"/>
      <c r="AE336" s="52"/>
      <c r="AF336" s="40"/>
      <c r="AG336" s="52"/>
      <c r="AH336" s="52"/>
      <c r="AI336" s="52"/>
      <c r="AJ336" s="52"/>
      <c r="AK336" s="40"/>
      <c r="AL336" s="52"/>
      <c r="AM336" s="52"/>
      <c r="AN336" s="52"/>
      <c r="AO336" s="52"/>
      <c r="AP336" s="40"/>
      <c r="AQ336" s="52"/>
      <c r="AR336" s="52"/>
      <c r="AS336" s="52"/>
      <c r="AT336" s="52"/>
      <c r="AU336" s="40"/>
      <c r="AV336" s="52"/>
      <c r="AW336" s="52"/>
      <c r="AX336" s="52"/>
      <c r="AY336" s="52"/>
      <c r="AZ336" s="40"/>
      <c r="BA336" s="52"/>
      <c r="BB336" s="52"/>
      <c r="BC336" s="52"/>
      <c r="BD336" s="52"/>
      <c r="BE336" s="40"/>
      <c r="BF336" s="52"/>
      <c r="BG336" s="52"/>
      <c r="BH336" s="52"/>
    </row>
    <row r="337" spans="1:60" s="35" customFormat="1">
      <c r="A337" s="67" t="s">
        <v>12</v>
      </c>
      <c r="B337" s="63">
        <v>1228</v>
      </c>
      <c r="C337" s="68">
        <v>256</v>
      </c>
      <c r="D337" s="68">
        <v>344</v>
      </c>
      <c r="E337" s="68">
        <v>379</v>
      </c>
      <c r="F337" s="68">
        <f>G337-E337-D337-C337</f>
        <v>298</v>
      </c>
      <c r="G337" s="63">
        <v>1277</v>
      </c>
      <c r="H337" s="68">
        <v>375</v>
      </c>
      <c r="I337" s="68">
        <v>290</v>
      </c>
      <c r="J337" s="68">
        <v>395</v>
      </c>
      <c r="K337" s="68">
        <f>L337-J337-I337-H337</f>
        <v>55</v>
      </c>
      <c r="L337" s="63">
        <v>1115</v>
      </c>
      <c r="M337" s="68">
        <v>350</v>
      </c>
      <c r="N337" s="68">
        <v>378</v>
      </c>
      <c r="O337" s="68">
        <v>400</v>
      </c>
      <c r="P337" s="68">
        <f>Q337-O337-N337-M337</f>
        <v>91</v>
      </c>
      <c r="Q337" s="63">
        <v>1219</v>
      </c>
      <c r="R337" s="68">
        <v>308</v>
      </c>
      <c r="S337" s="68">
        <v>101</v>
      </c>
      <c r="T337" s="68">
        <v>168</v>
      </c>
      <c r="U337" s="68">
        <f>V337-T337-S337-R337</f>
        <v>223</v>
      </c>
      <c r="V337" s="63">
        <v>800</v>
      </c>
      <c r="W337" s="68">
        <v>294</v>
      </c>
      <c r="X337" s="68">
        <v>556</v>
      </c>
      <c r="Y337" s="68">
        <v>490</v>
      </c>
      <c r="Z337" s="68">
        <f>AA337-Y337-X337-W337</f>
        <v>388</v>
      </c>
      <c r="AA337" s="63">
        <v>1728</v>
      </c>
      <c r="AB337" s="68">
        <v>354</v>
      </c>
      <c r="AC337" s="68">
        <v>468</v>
      </c>
      <c r="AD337" s="68">
        <v>442</v>
      </c>
      <c r="AE337" s="68">
        <f>AF337-AD337-AC337-AB337</f>
        <v>327</v>
      </c>
      <c r="AF337" s="63">
        <v>1591</v>
      </c>
      <c r="AG337" s="68">
        <v>349</v>
      </c>
      <c r="AH337" s="68">
        <v>420</v>
      </c>
      <c r="AI337" s="68">
        <v>286</v>
      </c>
      <c r="AJ337" s="68">
        <f>AK337-AI337-AH337-AG337</f>
        <v>158</v>
      </c>
      <c r="AK337" s="63">
        <v>1213</v>
      </c>
      <c r="AL337" s="68">
        <v>351</v>
      </c>
      <c r="AM337" s="68">
        <v>202</v>
      </c>
      <c r="AN337" s="68">
        <v>163</v>
      </c>
      <c r="AO337" s="68">
        <v>14</v>
      </c>
      <c r="AP337" s="63">
        <v>730</v>
      </c>
      <c r="AQ337" s="68">
        <v>185</v>
      </c>
      <c r="AR337" s="68">
        <v>180</v>
      </c>
      <c r="AS337" s="68">
        <v>152</v>
      </c>
      <c r="AT337" s="68">
        <v>65</v>
      </c>
      <c r="AU337" s="63">
        <v>582</v>
      </c>
      <c r="AV337" s="68">
        <v>117</v>
      </c>
      <c r="AW337" s="68">
        <v>193</v>
      </c>
      <c r="AX337" s="68">
        <v>209</v>
      </c>
      <c r="AY337" s="68">
        <v>86</v>
      </c>
      <c r="AZ337" s="63">
        <v>605</v>
      </c>
      <c r="BA337" s="68">
        <v>239</v>
      </c>
      <c r="BB337" s="68">
        <v>181</v>
      </c>
      <c r="BC337" s="68">
        <v>194</v>
      </c>
      <c r="BD337" s="68">
        <v>156</v>
      </c>
      <c r="BE337" s="63">
        <v>770</v>
      </c>
      <c r="BF337" s="68">
        <v>195</v>
      </c>
      <c r="BG337" s="68">
        <v>136</v>
      </c>
      <c r="BH337" s="68">
        <v>200</v>
      </c>
    </row>
    <row r="338" spans="1:60">
      <c r="A338" s="80" t="s">
        <v>7</v>
      </c>
      <c r="B338" s="23"/>
      <c r="C338" s="70"/>
      <c r="D338" s="70">
        <f>D337/C337-1</f>
        <v>0.34375</v>
      </c>
      <c r="E338" s="70">
        <f>E337/D337-1</f>
        <v>0.10174418604651159</v>
      </c>
      <c r="F338" s="70">
        <f>F337/E337-1</f>
        <v>-0.21372031662269131</v>
      </c>
      <c r="G338" s="23"/>
      <c r="H338" s="70">
        <f>H337/F337-1</f>
        <v>0.25838926174496635</v>
      </c>
      <c r="I338" s="70">
        <f>I337/H337-1</f>
        <v>-0.22666666666666668</v>
      </c>
      <c r="J338" s="70">
        <f>J337/I337-1</f>
        <v>0.36206896551724133</v>
      </c>
      <c r="K338" s="70">
        <f>K337/J337-1</f>
        <v>-0.86075949367088611</v>
      </c>
      <c r="L338" s="23"/>
      <c r="M338" s="70">
        <f>M337/K337-1</f>
        <v>5.3636363636363633</v>
      </c>
      <c r="N338" s="70">
        <f>N337/M337-1</f>
        <v>8.0000000000000071E-2</v>
      </c>
      <c r="O338" s="70">
        <f>O337/N337-1</f>
        <v>5.8201058201058142E-2</v>
      </c>
      <c r="P338" s="70">
        <f>P337/O337-1</f>
        <v>-0.77249999999999996</v>
      </c>
      <c r="Q338" s="23"/>
      <c r="R338" s="70">
        <f>R337/P337-1</f>
        <v>2.3846153846153846</v>
      </c>
      <c r="S338" s="70">
        <f>S337/R337-1</f>
        <v>-0.67207792207792205</v>
      </c>
      <c r="T338" s="70">
        <f>T337/S337-1</f>
        <v>0.66336633663366329</v>
      </c>
      <c r="U338" s="70">
        <f>U337/T337-1</f>
        <v>0.32738095238095233</v>
      </c>
      <c r="V338" s="23"/>
      <c r="W338" s="70">
        <f>W337/U337-1</f>
        <v>0.31838565022421528</v>
      </c>
      <c r="X338" s="70">
        <f>X337/W337-1</f>
        <v>0.89115646258503411</v>
      </c>
      <c r="Y338" s="70">
        <f>Y337/X337-1</f>
        <v>-0.11870503597122306</v>
      </c>
      <c r="Z338" s="70">
        <f>Z337/Y337-1</f>
        <v>-0.2081632653061225</v>
      </c>
      <c r="AA338" s="23"/>
      <c r="AB338" s="70">
        <f>AB337/Z337-1</f>
        <v>-8.7628865979381465E-2</v>
      </c>
      <c r="AC338" s="70">
        <f>AC337/AB337-1</f>
        <v>0.32203389830508478</v>
      </c>
      <c r="AD338" s="70">
        <f>AD337/AC337-1</f>
        <v>-5.555555555555558E-2</v>
      </c>
      <c r="AE338" s="70">
        <f>AE337/AD337-1</f>
        <v>-0.26018099547511309</v>
      </c>
      <c r="AF338" s="23"/>
      <c r="AG338" s="70">
        <f>AG337/AE337-1</f>
        <v>6.7278287461773667E-2</v>
      </c>
      <c r="AH338" s="70">
        <f>AH337/AG337-1</f>
        <v>0.20343839541547282</v>
      </c>
      <c r="AI338" s="70">
        <f>AI337/AH337-1</f>
        <v>-0.31904761904761902</v>
      </c>
      <c r="AJ338" s="70">
        <f>AJ337/AI337-1</f>
        <v>-0.44755244755244761</v>
      </c>
      <c r="AK338" s="23"/>
      <c r="AL338" s="70">
        <v>1.221518987341772</v>
      </c>
      <c r="AM338" s="70">
        <v>-0.42450142450142447</v>
      </c>
      <c r="AN338" s="70">
        <v>-0.19306930693069302</v>
      </c>
      <c r="AO338" s="70">
        <v>-0.91411042944785281</v>
      </c>
      <c r="AP338" s="23"/>
      <c r="AQ338" s="70">
        <v>12.214285714285714</v>
      </c>
      <c r="AR338" s="70">
        <v>-2.7027027027026973E-2</v>
      </c>
      <c r="AS338" s="70">
        <v>-0.15555555555555556</v>
      </c>
      <c r="AT338" s="70">
        <v>-0.57236842105263164</v>
      </c>
      <c r="AU338" s="23"/>
      <c r="AV338" s="70">
        <v>0.8</v>
      </c>
      <c r="AW338" s="70">
        <v>0.64957264957264949</v>
      </c>
      <c r="AX338" s="70">
        <v>8.290155440414515E-2</v>
      </c>
      <c r="AY338" s="70">
        <v>-0.58851674641148333</v>
      </c>
      <c r="AZ338" s="23"/>
      <c r="BA338" s="70">
        <v>1.7790697674418605</v>
      </c>
      <c r="BB338" s="70">
        <v>-0.24267782426778239</v>
      </c>
      <c r="BC338" s="70">
        <v>7.182320441988943E-2</v>
      </c>
      <c r="BD338" s="70">
        <v>-0.19587628865979378</v>
      </c>
      <c r="BE338" s="23"/>
      <c r="BF338" s="70">
        <v>0.25</v>
      </c>
      <c r="BG338" s="70">
        <v>-0.3025641025641026</v>
      </c>
      <c r="BH338" s="70">
        <v>0.47058823529411775</v>
      </c>
    </row>
    <row r="339" spans="1:60">
      <c r="A339" s="80" t="s">
        <v>8</v>
      </c>
      <c r="B339" s="23"/>
      <c r="C339" s="71"/>
      <c r="D339" s="71"/>
      <c r="E339" s="71"/>
      <c r="F339" s="71"/>
      <c r="G339" s="23">
        <f t="shared" ref="G339:N339" si="295">G337/B337-1</f>
        <v>3.9902280130293066E-2</v>
      </c>
      <c r="H339" s="71">
        <f t="shared" si="295"/>
        <v>0.46484375</v>
      </c>
      <c r="I339" s="71">
        <f t="shared" si="295"/>
        <v>-0.15697674418604646</v>
      </c>
      <c r="J339" s="71">
        <f t="shared" si="295"/>
        <v>4.2216358839050061E-2</v>
      </c>
      <c r="K339" s="71">
        <f t="shared" si="295"/>
        <v>-0.81543624161073824</v>
      </c>
      <c r="L339" s="23">
        <f t="shared" si="295"/>
        <v>-0.12685982772122162</v>
      </c>
      <c r="M339" s="71">
        <f t="shared" si="295"/>
        <v>-6.6666666666666652E-2</v>
      </c>
      <c r="N339" s="71">
        <f t="shared" si="295"/>
        <v>0.30344827586206891</v>
      </c>
      <c r="O339" s="71">
        <f t="shared" ref="O339:Y339" si="296">O337/J337-1</f>
        <v>1.2658227848101333E-2</v>
      </c>
      <c r="P339" s="71">
        <f t="shared" si="296"/>
        <v>0.65454545454545454</v>
      </c>
      <c r="Q339" s="23">
        <f t="shared" si="296"/>
        <v>9.3273542600896819E-2</v>
      </c>
      <c r="R339" s="71">
        <f t="shared" si="296"/>
        <v>-0.12</v>
      </c>
      <c r="S339" s="71">
        <f t="shared" si="296"/>
        <v>-0.73280423280423279</v>
      </c>
      <c r="T339" s="71">
        <f t="shared" si="296"/>
        <v>-0.58000000000000007</v>
      </c>
      <c r="U339" s="71">
        <f t="shared" si="296"/>
        <v>1.4505494505494507</v>
      </c>
      <c r="V339" s="23">
        <f t="shared" si="296"/>
        <v>-0.34372436423297781</v>
      </c>
      <c r="W339" s="71">
        <f t="shared" si="296"/>
        <v>-4.5454545454545414E-2</v>
      </c>
      <c r="X339" s="71">
        <f t="shared" si="296"/>
        <v>4.5049504950495045</v>
      </c>
      <c r="Y339" s="71">
        <f t="shared" si="296"/>
        <v>1.9166666666666665</v>
      </c>
      <c r="Z339" s="71">
        <f t="shared" ref="Z339:AI339" si="297">Z337/U337-1</f>
        <v>0.73991031390134521</v>
      </c>
      <c r="AA339" s="23">
        <f t="shared" si="297"/>
        <v>1.1600000000000001</v>
      </c>
      <c r="AB339" s="71">
        <f t="shared" si="297"/>
        <v>0.20408163265306123</v>
      </c>
      <c r="AC339" s="71">
        <f t="shared" si="297"/>
        <v>-0.15827338129496404</v>
      </c>
      <c r="AD339" s="71">
        <f t="shared" si="297"/>
        <v>-9.7959183673469341E-2</v>
      </c>
      <c r="AE339" s="71">
        <f t="shared" si="297"/>
        <v>-0.15721649484536082</v>
      </c>
      <c r="AF339" s="23">
        <f t="shared" si="297"/>
        <v>-7.928240740740744E-2</v>
      </c>
      <c r="AG339" s="71">
        <f t="shared" si="297"/>
        <v>-1.4124293785310771E-2</v>
      </c>
      <c r="AH339" s="71">
        <f t="shared" si="297"/>
        <v>-0.10256410256410253</v>
      </c>
      <c r="AI339" s="71">
        <f t="shared" si="297"/>
        <v>-0.3529411764705882</v>
      </c>
      <c r="AJ339" s="71">
        <f t="shared" ref="AJ339" si="298">AJ337/AE337-1</f>
        <v>-0.51681957186544336</v>
      </c>
      <c r="AK339" s="23">
        <v>-0.23758642363293525</v>
      </c>
      <c r="AL339" s="71">
        <v>5.7306590257879542E-3</v>
      </c>
      <c r="AM339" s="71">
        <v>-0.51904761904761898</v>
      </c>
      <c r="AN339" s="71">
        <v>-0.43006993006993011</v>
      </c>
      <c r="AO339" s="71">
        <v>-0.91139240506329111</v>
      </c>
      <c r="AP339" s="23">
        <v>-0.39818631492168177</v>
      </c>
      <c r="AQ339" s="71">
        <v>-0.47293447293447288</v>
      </c>
      <c r="AR339" s="71">
        <v>-0.1089108910891089</v>
      </c>
      <c r="AS339" s="71">
        <v>-6.7484662576687171E-2</v>
      </c>
      <c r="AT339" s="71">
        <v>3.6428571428571432</v>
      </c>
      <c r="AU339" s="23">
        <v>-0.20273972602739732</v>
      </c>
      <c r="AV339" s="71">
        <v>-0.36756756756756759</v>
      </c>
      <c r="AW339" s="71">
        <v>7.2222222222222188E-2</v>
      </c>
      <c r="AX339" s="71">
        <v>0.375</v>
      </c>
      <c r="AY339" s="71">
        <v>0.32307692307692304</v>
      </c>
      <c r="AZ339" s="23">
        <v>3.9518900343642693E-2</v>
      </c>
      <c r="BA339" s="71">
        <v>1.0427350427350426</v>
      </c>
      <c r="BB339" s="71">
        <v>-6.2176165803108807E-2</v>
      </c>
      <c r="BC339" s="71">
        <v>-7.1770334928229707E-2</v>
      </c>
      <c r="BD339" s="71">
        <v>0.81395348837209291</v>
      </c>
      <c r="BE339" s="23">
        <v>0.27272727272727271</v>
      </c>
      <c r="BF339" s="71">
        <v>-0.18410041841004188</v>
      </c>
      <c r="BG339" s="71">
        <v>-0.24861878453038677</v>
      </c>
      <c r="BH339" s="71">
        <v>3.0927835051546282E-2</v>
      </c>
    </row>
    <row r="340" spans="1:60" hidden="1">
      <c r="A340" s="67" t="s">
        <v>46</v>
      </c>
      <c r="B340" s="36">
        <f>433+7</f>
        <v>440</v>
      </c>
      <c r="C340" s="68">
        <v>108</v>
      </c>
      <c r="D340" s="68">
        <v>374</v>
      </c>
      <c r="E340" s="68">
        <v>172</v>
      </c>
      <c r="F340" s="68">
        <f>G340-E340-D340-C340</f>
        <v>257</v>
      </c>
      <c r="G340" s="36">
        <f>302+609</f>
        <v>911</v>
      </c>
      <c r="H340" s="68">
        <v>165</v>
      </c>
      <c r="I340" s="68">
        <v>127</v>
      </c>
      <c r="J340" s="68">
        <v>107</v>
      </c>
      <c r="K340" s="68">
        <f>L340-J340-I340-H340</f>
        <v>109</v>
      </c>
      <c r="L340" s="36">
        <v>508</v>
      </c>
      <c r="M340" s="68">
        <v>110</v>
      </c>
      <c r="N340" s="68">
        <v>112</v>
      </c>
      <c r="O340" s="68">
        <v>99</v>
      </c>
      <c r="P340" s="68">
        <v>110</v>
      </c>
      <c r="Q340" s="36">
        <f>P340+O340+N340+M340</f>
        <v>431</v>
      </c>
      <c r="R340" s="68">
        <v>122</v>
      </c>
      <c r="S340" s="68">
        <v>109</v>
      </c>
      <c r="T340" s="68">
        <v>98</v>
      </c>
      <c r="U340" s="68">
        <f>V340-T340-S340-R340</f>
        <v>113</v>
      </c>
      <c r="V340" s="36">
        <v>442</v>
      </c>
      <c r="W340" s="68">
        <v>121</v>
      </c>
      <c r="X340" s="68">
        <v>113</v>
      </c>
      <c r="Y340" s="68">
        <v>77</v>
      </c>
      <c r="Z340" s="68">
        <f>AA340-Y340-X340-W340</f>
        <v>86</v>
      </c>
      <c r="AA340" s="36">
        <f>342+55</f>
        <v>397</v>
      </c>
      <c r="AB340" s="68">
        <v>56</v>
      </c>
      <c r="AC340" s="68">
        <v>91</v>
      </c>
      <c r="AD340" s="68">
        <v>94</v>
      </c>
      <c r="AE340" s="68">
        <v>94</v>
      </c>
      <c r="AF340" s="36">
        <f>AE340+AD340+AC340+AB340</f>
        <v>335</v>
      </c>
      <c r="AG340" s="68">
        <v>67</v>
      </c>
      <c r="AH340" s="68">
        <v>96</v>
      </c>
      <c r="AI340" s="68">
        <v>87</v>
      </c>
      <c r="AJ340" s="68">
        <f>AK340-AI340-AH340-AG340</f>
        <v>89</v>
      </c>
      <c r="AK340" s="36">
        <v>339</v>
      </c>
      <c r="AL340" s="68">
        <v>97</v>
      </c>
      <c r="AM340" s="68">
        <v>196</v>
      </c>
      <c r="AN340" s="68">
        <v>70</v>
      </c>
      <c r="AO340" s="68">
        <v>56</v>
      </c>
      <c r="AP340" s="36">
        <v>419</v>
      </c>
      <c r="AQ340" s="68">
        <v>57</v>
      </c>
      <c r="AR340" s="68">
        <v>77</v>
      </c>
      <c r="AS340" s="68">
        <v>66</v>
      </c>
      <c r="AT340" s="68"/>
      <c r="AU340" s="36"/>
      <c r="AV340" s="68"/>
      <c r="AW340" s="68"/>
      <c r="AX340" s="68"/>
      <c r="AY340" s="68"/>
      <c r="AZ340" s="36"/>
      <c r="BA340" s="68"/>
      <c r="BB340" s="68"/>
      <c r="BC340" s="68"/>
      <c r="BD340" s="68"/>
      <c r="BE340" s="36"/>
      <c r="BF340" s="68"/>
      <c r="BG340" s="68"/>
      <c r="BH340" s="68"/>
    </row>
    <row r="341" spans="1:60" hidden="1">
      <c r="A341" s="69" t="s">
        <v>7</v>
      </c>
      <c r="B341" s="23"/>
      <c r="C341" s="70"/>
      <c r="D341" s="70">
        <f>D340/C340-1</f>
        <v>2.4629629629629628</v>
      </c>
      <c r="E341" s="70">
        <f>E340/D340-1</f>
        <v>-0.54010695187165769</v>
      </c>
      <c r="F341" s="70">
        <f>F340/E340-1</f>
        <v>0.4941860465116279</v>
      </c>
      <c r="G341" s="23"/>
      <c r="H341" s="70">
        <f>H340/F340-1</f>
        <v>-0.357976653696498</v>
      </c>
      <c r="I341" s="70">
        <f>I340/H340-1</f>
        <v>-0.23030303030303034</v>
      </c>
      <c r="J341" s="70">
        <f>J340/I340-1</f>
        <v>-0.15748031496062997</v>
      </c>
      <c r="K341" s="70">
        <f>K340/J340-1</f>
        <v>1.8691588785046731E-2</v>
      </c>
      <c r="L341" s="23"/>
      <c r="M341" s="70">
        <f>M340/K340-1</f>
        <v>9.1743119266054496E-3</v>
      </c>
      <c r="N341" s="70">
        <f>N340/M340-1</f>
        <v>1.8181818181818077E-2</v>
      </c>
      <c r="O341" s="70">
        <f>O340/N340-1</f>
        <v>-0.1160714285714286</v>
      </c>
      <c r="P341" s="70">
        <f>P340/O340-1</f>
        <v>0.11111111111111116</v>
      </c>
      <c r="Q341" s="23"/>
      <c r="R341" s="70">
        <f>R340/P340-1</f>
        <v>0.10909090909090913</v>
      </c>
      <c r="S341" s="70">
        <f>S340/R340-1</f>
        <v>-0.10655737704918034</v>
      </c>
      <c r="T341" s="70">
        <f>T340/S340-1</f>
        <v>-0.1009174311926605</v>
      </c>
      <c r="U341" s="70">
        <f>U340/T340-1</f>
        <v>0.15306122448979598</v>
      </c>
      <c r="V341" s="23"/>
      <c r="W341" s="70">
        <f>W340/U340-1</f>
        <v>7.079646017699126E-2</v>
      </c>
      <c r="X341" s="70">
        <f>X340/W340-1</f>
        <v>-6.6115702479338845E-2</v>
      </c>
      <c r="Y341" s="70">
        <f>Y340/X340-1</f>
        <v>-0.31858407079646023</v>
      </c>
      <c r="Z341" s="70">
        <f>Z340/Y340-1</f>
        <v>0.11688311688311681</v>
      </c>
      <c r="AA341" s="23"/>
      <c r="AB341" s="70">
        <f>AB340/Z340-1</f>
        <v>-0.34883720930232553</v>
      </c>
      <c r="AC341" s="70">
        <f>AC340/AB340-1</f>
        <v>0.625</v>
      </c>
      <c r="AD341" s="70">
        <f>AD340/AC340-1</f>
        <v>3.2967032967033072E-2</v>
      </c>
      <c r="AE341" s="70">
        <f>AE340/AD340-1</f>
        <v>0</v>
      </c>
      <c r="AF341" s="23"/>
      <c r="AG341" s="70">
        <f>AG340/AE340-1</f>
        <v>-0.28723404255319152</v>
      </c>
      <c r="AH341" s="70">
        <f>AH340/AG340-1</f>
        <v>0.43283582089552231</v>
      </c>
      <c r="AI341" s="70">
        <f>AI340/AH340-1</f>
        <v>-9.375E-2</v>
      </c>
      <c r="AJ341" s="70">
        <f>AJ340/AI340-1</f>
        <v>2.2988505747126409E-2</v>
      </c>
      <c r="AK341" s="23"/>
      <c r="AL341" s="70">
        <v>8.98876404494382E-2</v>
      </c>
      <c r="AM341" s="70">
        <v>1.0206185567010309</v>
      </c>
      <c r="AN341" s="70">
        <v>-0.64285714285714279</v>
      </c>
      <c r="AO341" s="70">
        <v>-0.19999999999999996</v>
      </c>
      <c r="AP341" s="23"/>
      <c r="AQ341" s="70">
        <v>1.7857142857142794E-2</v>
      </c>
      <c r="AR341" s="70">
        <v>0.35087719298245612</v>
      </c>
      <c r="AS341" s="70">
        <v>-0.1428571428571429</v>
      </c>
      <c r="AT341" s="70"/>
      <c r="AU341" s="23"/>
      <c r="AV341" s="70"/>
      <c r="AW341" s="70"/>
      <c r="AX341" s="70"/>
      <c r="AY341" s="70"/>
      <c r="AZ341" s="23"/>
      <c r="BA341" s="70"/>
      <c r="BB341" s="70"/>
      <c r="BC341" s="70"/>
      <c r="BD341" s="70"/>
      <c r="BE341" s="23"/>
      <c r="BF341" s="70"/>
      <c r="BG341" s="70"/>
      <c r="BH341" s="70"/>
    </row>
    <row r="342" spans="1:60" hidden="1">
      <c r="A342" s="69" t="s">
        <v>8</v>
      </c>
      <c r="B342" s="23"/>
      <c r="C342" s="71"/>
      <c r="D342" s="71"/>
      <c r="E342" s="71"/>
      <c r="F342" s="71"/>
      <c r="G342" s="23">
        <f t="shared" ref="G342:N342" si="299">G340/B340-1</f>
        <v>1.0704545454545453</v>
      </c>
      <c r="H342" s="71">
        <f t="shared" si="299"/>
        <v>0.52777777777777768</v>
      </c>
      <c r="I342" s="71">
        <f t="shared" si="299"/>
        <v>-0.66042780748663099</v>
      </c>
      <c r="J342" s="71">
        <f t="shared" si="299"/>
        <v>-0.37790697674418605</v>
      </c>
      <c r="K342" s="71">
        <f t="shared" si="299"/>
        <v>-0.57587548638132291</v>
      </c>
      <c r="L342" s="23">
        <f t="shared" si="299"/>
        <v>-0.44237102085620195</v>
      </c>
      <c r="M342" s="71">
        <f t="shared" si="299"/>
        <v>-0.33333333333333337</v>
      </c>
      <c r="N342" s="71">
        <f t="shared" si="299"/>
        <v>-0.11811023622047245</v>
      </c>
      <c r="O342" s="71">
        <f t="shared" ref="O342:Y342" si="300">O340/J340-1</f>
        <v>-7.4766355140186924E-2</v>
      </c>
      <c r="P342" s="71">
        <f t="shared" si="300"/>
        <v>9.1743119266054496E-3</v>
      </c>
      <c r="Q342" s="23">
        <f t="shared" si="300"/>
        <v>-0.15157480314960625</v>
      </c>
      <c r="R342" s="71">
        <f t="shared" si="300"/>
        <v>0.10909090909090913</v>
      </c>
      <c r="S342" s="71">
        <f t="shared" si="300"/>
        <v>-2.6785714285714302E-2</v>
      </c>
      <c r="T342" s="71">
        <f t="shared" si="300"/>
        <v>-1.0101010101010055E-2</v>
      </c>
      <c r="U342" s="71">
        <f t="shared" si="300"/>
        <v>2.7272727272727337E-2</v>
      </c>
      <c r="V342" s="23">
        <f t="shared" si="300"/>
        <v>2.5522041763341052E-2</v>
      </c>
      <c r="W342" s="71">
        <f t="shared" si="300"/>
        <v>-8.1967213114754189E-3</v>
      </c>
      <c r="X342" s="71">
        <f t="shared" si="300"/>
        <v>3.669724770642202E-2</v>
      </c>
      <c r="Y342" s="71">
        <f t="shared" si="300"/>
        <v>-0.2142857142857143</v>
      </c>
      <c r="Z342" s="71">
        <f t="shared" ref="Z342:AI342" si="301">Z340/U340-1</f>
        <v>-0.23893805309734517</v>
      </c>
      <c r="AA342" s="23">
        <f t="shared" si="301"/>
        <v>-0.10180995475113119</v>
      </c>
      <c r="AB342" s="71">
        <f t="shared" si="301"/>
        <v>-0.53719008264462809</v>
      </c>
      <c r="AC342" s="71">
        <f t="shared" si="301"/>
        <v>-0.19469026548672563</v>
      </c>
      <c r="AD342" s="71">
        <f t="shared" si="301"/>
        <v>0.22077922077922074</v>
      </c>
      <c r="AE342" s="71">
        <f t="shared" si="301"/>
        <v>9.3023255813953432E-2</v>
      </c>
      <c r="AF342" s="23">
        <f t="shared" si="301"/>
        <v>-0.15617128463476071</v>
      </c>
      <c r="AG342" s="71">
        <f t="shared" si="301"/>
        <v>0.1964285714285714</v>
      </c>
      <c r="AH342" s="71">
        <f t="shared" si="301"/>
        <v>5.4945054945054972E-2</v>
      </c>
      <c r="AI342" s="71">
        <f t="shared" si="301"/>
        <v>-7.4468085106383031E-2</v>
      </c>
      <c r="AJ342" s="71">
        <f t="shared" ref="AJ342" si="302">AJ340/AE340-1</f>
        <v>-5.3191489361702149E-2</v>
      </c>
      <c r="AK342" s="23">
        <v>1.1940298507462588E-2</v>
      </c>
      <c r="AL342" s="71">
        <v>0.44776119402985071</v>
      </c>
      <c r="AM342" s="71">
        <v>1.0416666666666665</v>
      </c>
      <c r="AN342" s="71">
        <v>-0.1954022988505747</v>
      </c>
      <c r="AO342" s="71">
        <v>-0.3707865168539326</v>
      </c>
      <c r="AP342" s="23">
        <v>0.2359882005899705</v>
      </c>
      <c r="AQ342" s="71">
        <v>-0.41237113402061853</v>
      </c>
      <c r="AR342" s="71">
        <v>-0.60714285714285721</v>
      </c>
      <c r="AS342" s="71">
        <v>-5.7142857142857162E-2</v>
      </c>
      <c r="AT342" s="71"/>
      <c r="AU342" s="23"/>
      <c r="AV342" s="71"/>
      <c r="AW342" s="71"/>
      <c r="AX342" s="71"/>
      <c r="AY342" s="71"/>
      <c r="AZ342" s="23"/>
      <c r="BA342" s="71"/>
      <c r="BB342" s="71"/>
      <c r="BC342" s="71"/>
      <c r="BD342" s="71"/>
      <c r="BE342" s="23"/>
      <c r="BF342" s="71"/>
      <c r="BG342" s="71"/>
      <c r="BH342" s="71"/>
    </row>
    <row r="343" spans="1:60">
      <c r="A343" s="67" t="s">
        <v>47</v>
      </c>
      <c r="B343" s="28">
        <f>296+85</f>
        <v>381</v>
      </c>
      <c r="C343" s="68">
        <v>103</v>
      </c>
      <c r="D343" s="68">
        <f>164+18</f>
        <v>182</v>
      </c>
      <c r="E343" s="68">
        <v>350</v>
      </c>
      <c r="F343" s="68">
        <f>G343-E343-D343-C343</f>
        <v>163</v>
      </c>
      <c r="G343" s="28">
        <f>538+260</f>
        <v>798</v>
      </c>
      <c r="H343" s="68">
        <v>149</v>
      </c>
      <c r="I343" s="68">
        <f>139+24</f>
        <v>163</v>
      </c>
      <c r="J343" s="68">
        <v>146</v>
      </c>
      <c r="K343" s="68">
        <f>L343-J343-I343-H343</f>
        <v>101</v>
      </c>
      <c r="L343" s="28">
        <f>457+102</f>
        <v>559</v>
      </c>
      <c r="M343" s="68">
        <f>68+24</f>
        <v>92</v>
      </c>
      <c r="N343" s="68">
        <f>86+28</f>
        <v>114</v>
      </c>
      <c r="O343" s="68">
        <f>73+26</f>
        <v>99</v>
      </c>
      <c r="P343" s="68">
        <f>Q343-O343-N343-M343</f>
        <v>92</v>
      </c>
      <c r="Q343" s="28">
        <f>292+105</f>
        <v>397</v>
      </c>
      <c r="R343" s="68">
        <v>133</v>
      </c>
      <c r="S343" s="68">
        <v>86</v>
      </c>
      <c r="T343" s="68">
        <f>83+24</f>
        <v>107</v>
      </c>
      <c r="U343" s="68">
        <f>V343-T343-S343-R343</f>
        <v>93</v>
      </c>
      <c r="V343" s="28">
        <f>321+98</f>
        <v>419</v>
      </c>
      <c r="W343" s="68">
        <v>115</v>
      </c>
      <c r="X343" s="68">
        <f>94+15</f>
        <v>109</v>
      </c>
      <c r="Y343" s="68">
        <v>84</v>
      </c>
      <c r="Z343" s="68">
        <f>AA343-Y343-X343-W343</f>
        <v>76</v>
      </c>
      <c r="AA343" s="94">
        <v>384</v>
      </c>
      <c r="AB343" s="68">
        <v>66</v>
      </c>
      <c r="AC343" s="68">
        <f>71+13</f>
        <v>84</v>
      </c>
      <c r="AD343" s="68">
        <v>92</v>
      </c>
      <c r="AE343" s="68">
        <f>AF343-AD343-AC343-AB343</f>
        <v>78</v>
      </c>
      <c r="AF343" s="94">
        <v>320</v>
      </c>
      <c r="AG343" s="68">
        <f>62+11</f>
        <v>73</v>
      </c>
      <c r="AH343" s="68">
        <v>90</v>
      </c>
      <c r="AI343" s="68">
        <f>71+13</f>
        <v>84</v>
      </c>
      <c r="AJ343" s="68">
        <f>AK343-AI343-AH343-AG343</f>
        <v>82</v>
      </c>
      <c r="AK343" s="94">
        <v>329</v>
      </c>
      <c r="AL343" s="68">
        <v>73</v>
      </c>
      <c r="AM343" s="68">
        <v>199</v>
      </c>
      <c r="AN343" s="68">
        <v>91</v>
      </c>
      <c r="AO343" s="68">
        <v>65</v>
      </c>
      <c r="AP343" s="94">
        <v>428</v>
      </c>
      <c r="AQ343" s="68">
        <v>52</v>
      </c>
      <c r="AR343" s="68">
        <v>63</v>
      </c>
      <c r="AS343" s="68">
        <v>64</v>
      </c>
      <c r="AT343" s="68">
        <v>64</v>
      </c>
      <c r="AU343" s="94">
        <v>243</v>
      </c>
      <c r="AV343" s="68">
        <v>73</v>
      </c>
      <c r="AW343" s="68">
        <v>82</v>
      </c>
      <c r="AX343" s="68">
        <v>78</v>
      </c>
      <c r="AY343" s="68">
        <v>77</v>
      </c>
      <c r="AZ343" s="94">
        <v>310</v>
      </c>
      <c r="BA343" s="68">
        <v>69</v>
      </c>
      <c r="BB343" s="68">
        <v>90</v>
      </c>
      <c r="BC343" s="68">
        <v>73</v>
      </c>
      <c r="BD343" s="68">
        <v>78</v>
      </c>
      <c r="BE343" s="94">
        <v>310</v>
      </c>
      <c r="BF343" s="68">
        <v>63</v>
      </c>
      <c r="BG343" s="68">
        <v>83</v>
      </c>
      <c r="BH343" s="68">
        <v>72</v>
      </c>
    </row>
    <row r="344" spans="1:60">
      <c r="A344" s="69" t="s">
        <v>7</v>
      </c>
      <c r="B344" s="23"/>
      <c r="C344" s="70"/>
      <c r="D344" s="70">
        <f>D343/C343-1</f>
        <v>0.76699029126213603</v>
      </c>
      <c r="E344" s="70">
        <f>E343/D343-1</f>
        <v>0.92307692307692313</v>
      </c>
      <c r="F344" s="70">
        <f>F343/E343-1</f>
        <v>-0.53428571428571425</v>
      </c>
      <c r="G344" s="23"/>
      <c r="H344" s="70">
        <f>H343/F343-1</f>
        <v>-8.5889570552147187E-2</v>
      </c>
      <c r="I344" s="70">
        <f>I343/H343-1</f>
        <v>9.3959731543624248E-2</v>
      </c>
      <c r="J344" s="70">
        <f>J343/I343-1</f>
        <v>-0.10429447852760731</v>
      </c>
      <c r="K344" s="70">
        <f>K343/J343-1</f>
        <v>-0.30821917808219179</v>
      </c>
      <c r="L344" s="23"/>
      <c r="M344" s="70">
        <f>M343/K343-1</f>
        <v>-8.9108910891089077E-2</v>
      </c>
      <c r="N344" s="70">
        <f>N343/M343-1</f>
        <v>0.23913043478260865</v>
      </c>
      <c r="O344" s="70">
        <f>O343/N343-1</f>
        <v>-0.13157894736842102</v>
      </c>
      <c r="P344" s="70">
        <f>P343/O343-1</f>
        <v>-7.0707070707070718E-2</v>
      </c>
      <c r="Q344" s="23"/>
      <c r="R344" s="70">
        <f>R343/P343-1</f>
        <v>0.44565217391304346</v>
      </c>
      <c r="S344" s="70">
        <f>S343/R343-1</f>
        <v>-0.35338345864661658</v>
      </c>
      <c r="T344" s="70">
        <f>T343/S343-1</f>
        <v>0.2441860465116279</v>
      </c>
      <c r="U344" s="70">
        <f>U343/T343-1</f>
        <v>-0.13084112149532712</v>
      </c>
      <c r="V344" s="23"/>
      <c r="W344" s="70">
        <f>W343/U343-1</f>
        <v>0.23655913978494625</v>
      </c>
      <c r="X344" s="70">
        <f>X343/W343-1</f>
        <v>-5.2173913043478293E-2</v>
      </c>
      <c r="Y344" s="70">
        <f>Y343/X343-1</f>
        <v>-0.22935779816513757</v>
      </c>
      <c r="Z344" s="70">
        <f>Z343/Y343-1</f>
        <v>-9.5238095238095233E-2</v>
      </c>
      <c r="AA344" s="23"/>
      <c r="AB344" s="70">
        <f>AB343/Z343-1</f>
        <v>-0.13157894736842102</v>
      </c>
      <c r="AC344" s="70">
        <f>AC343/AB343-1</f>
        <v>0.27272727272727271</v>
      </c>
      <c r="AD344" s="70">
        <f>AD343/AC343-1</f>
        <v>9.5238095238095344E-2</v>
      </c>
      <c r="AE344" s="70">
        <f>AE343/AD343-1</f>
        <v>-0.15217391304347827</v>
      </c>
      <c r="AF344" s="23"/>
      <c r="AG344" s="70">
        <f>AG343/AE343-1</f>
        <v>-6.4102564102564097E-2</v>
      </c>
      <c r="AH344" s="70">
        <f>AH343/AG343-1</f>
        <v>0.23287671232876717</v>
      </c>
      <c r="AI344" s="70">
        <f>AI343/AH343-1</f>
        <v>-6.6666666666666652E-2</v>
      </c>
      <c r="AJ344" s="70">
        <f>AJ343/AI343-1</f>
        <v>-2.3809523809523836E-2</v>
      </c>
      <c r="AK344" s="23"/>
      <c r="AL344" s="70">
        <v>-0.1097560975609756</v>
      </c>
      <c r="AM344" s="70">
        <v>1.7260273972602738</v>
      </c>
      <c r="AN344" s="70">
        <v>-0.542713567839196</v>
      </c>
      <c r="AO344" s="70">
        <v>-0.2857142857142857</v>
      </c>
      <c r="AP344" s="23"/>
      <c r="AQ344" s="70">
        <v>-0.19999999999999996</v>
      </c>
      <c r="AR344" s="70">
        <v>0.21153846153846145</v>
      </c>
      <c r="AS344" s="70">
        <v>1.5873015873015817E-2</v>
      </c>
      <c r="AT344" s="70">
        <v>0</v>
      </c>
      <c r="AU344" s="23"/>
      <c r="AV344" s="70">
        <v>0.140625</v>
      </c>
      <c r="AW344" s="70">
        <v>0.12328767123287676</v>
      </c>
      <c r="AX344" s="70">
        <v>-4.8780487804878092E-2</v>
      </c>
      <c r="AY344" s="70">
        <v>-1.2820512820512775E-2</v>
      </c>
      <c r="AZ344" s="23"/>
      <c r="BA344" s="70">
        <v>-0.10389610389610393</v>
      </c>
      <c r="BB344" s="70">
        <v>0.30434782608695654</v>
      </c>
      <c r="BC344" s="70">
        <v>-0.18888888888888888</v>
      </c>
      <c r="BD344" s="70">
        <v>6.8493150684931559E-2</v>
      </c>
      <c r="BE344" s="23"/>
      <c r="BF344" s="70">
        <v>-0.19230769230769229</v>
      </c>
      <c r="BG344" s="70">
        <v>0.31746031746031744</v>
      </c>
      <c r="BH344" s="70">
        <v>-0.13253012048192769</v>
      </c>
    </row>
    <row r="345" spans="1:60">
      <c r="A345" s="69" t="s">
        <v>8</v>
      </c>
      <c r="B345" s="23"/>
      <c r="C345" s="71"/>
      <c r="D345" s="71"/>
      <c r="E345" s="71"/>
      <c r="F345" s="71"/>
      <c r="G345" s="23">
        <f t="shared" ref="G345:N345" si="303">G343/B343-1</f>
        <v>1.0944881889763778</v>
      </c>
      <c r="H345" s="71">
        <f t="shared" si="303"/>
        <v>0.44660194174757284</v>
      </c>
      <c r="I345" s="71">
        <f t="shared" si="303"/>
        <v>-0.10439560439560436</v>
      </c>
      <c r="J345" s="71">
        <f t="shared" si="303"/>
        <v>-0.58285714285714285</v>
      </c>
      <c r="K345" s="71">
        <f t="shared" si="303"/>
        <v>-0.38036809815950923</v>
      </c>
      <c r="L345" s="23">
        <f t="shared" si="303"/>
        <v>-0.29949874686716793</v>
      </c>
      <c r="M345" s="71">
        <f t="shared" si="303"/>
        <v>-0.3825503355704698</v>
      </c>
      <c r="N345" s="71">
        <f t="shared" si="303"/>
        <v>-0.30061349693251538</v>
      </c>
      <c r="O345" s="71">
        <f t="shared" ref="O345:Y345" si="304">O343/J343-1</f>
        <v>-0.32191780821917804</v>
      </c>
      <c r="P345" s="71">
        <f t="shared" si="304"/>
        <v>-8.9108910891089077E-2</v>
      </c>
      <c r="Q345" s="23">
        <f t="shared" si="304"/>
        <v>-0.28980322003577819</v>
      </c>
      <c r="R345" s="71">
        <f t="shared" si="304"/>
        <v>0.44565217391304346</v>
      </c>
      <c r="S345" s="71">
        <f t="shared" si="304"/>
        <v>-0.24561403508771928</v>
      </c>
      <c r="T345" s="71">
        <f t="shared" si="304"/>
        <v>8.0808080808080884E-2</v>
      </c>
      <c r="U345" s="71">
        <f t="shared" si="304"/>
        <v>1.0869565217391353E-2</v>
      </c>
      <c r="V345" s="23">
        <f t="shared" si="304"/>
        <v>5.5415617128463435E-2</v>
      </c>
      <c r="W345" s="71">
        <f t="shared" si="304"/>
        <v>-0.13533834586466165</v>
      </c>
      <c r="X345" s="71">
        <f t="shared" si="304"/>
        <v>0.26744186046511631</v>
      </c>
      <c r="Y345" s="71">
        <f t="shared" si="304"/>
        <v>-0.21495327102803741</v>
      </c>
      <c r="Z345" s="71">
        <f t="shared" ref="Z345:AI345" si="305">Z343/U343-1</f>
        <v>-0.18279569892473113</v>
      </c>
      <c r="AA345" s="23">
        <f t="shared" si="305"/>
        <v>-8.3532219570405686E-2</v>
      </c>
      <c r="AB345" s="71">
        <f t="shared" si="305"/>
        <v>-0.42608695652173911</v>
      </c>
      <c r="AC345" s="71">
        <f t="shared" si="305"/>
        <v>-0.22935779816513757</v>
      </c>
      <c r="AD345" s="71">
        <f t="shared" si="305"/>
        <v>9.5238095238095344E-2</v>
      </c>
      <c r="AE345" s="71">
        <f t="shared" si="305"/>
        <v>2.6315789473684292E-2</v>
      </c>
      <c r="AF345" s="23">
        <f t="shared" si="305"/>
        <v>-0.16666666666666663</v>
      </c>
      <c r="AG345" s="71">
        <f t="shared" si="305"/>
        <v>0.10606060606060597</v>
      </c>
      <c r="AH345" s="71">
        <f t="shared" si="305"/>
        <v>7.1428571428571397E-2</v>
      </c>
      <c r="AI345" s="71">
        <f t="shared" si="305"/>
        <v>-8.6956521739130488E-2</v>
      </c>
      <c r="AJ345" s="71">
        <f t="shared" ref="AJ345" si="306">AJ343/AE343-1</f>
        <v>5.1282051282051322E-2</v>
      </c>
      <c r="AK345" s="23">
        <v>2.8124999999999956E-2</v>
      </c>
      <c r="AL345" s="71">
        <v>0</v>
      </c>
      <c r="AM345" s="71">
        <v>1.2111111111111112</v>
      </c>
      <c r="AN345" s="71">
        <v>8.3333333333333259E-2</v>
      </c>
      <c r="AO345" s="71">
        <v>-0.20731707317073167</v>
      </c>
      <c r="AP345" s="23">
        <v>0.30091185410334353</v>
      </c>
      <c r="AQ345" s="71">
        <v>-0.28767123287671237</v>
      </c>
      <c r="AR345" s="71">
        <v>-0.68341708542713575</v>
      </c>
      <c r="AS345" s="71">
        <v>-0.29670329670329665</v>
      </c>
      <c r="AT345" s="71">
        <v>-1.538461538461533E-2</v>
      </c>
      <c r="AU345" s="23">
        <v>-0.43224299065420557</v>
      </c>
      <c r="AV345" s="71">
        <v>0.40384615384615374</v>
      </c>
      <c r="AW345" s="71">
        <v>0.30158730158730163</v>
      </c>
      <c r="AX345" s="71">
        <v>0.21875</v>
      </c>
      <c r="AY345" s="71">
        <v>0.203125</v>
      </c>
      <c r="AZ345" s="23">
        <v>0.27572016460905346</v>
      </c>
      <c r="BA345" s="71">
        <v>-5.4794520547945202E-2</v>
      </c>
      <c r="BB345" s="71">
        <v>9.7560975609756184E-2</v>
      </c>
      <c r="BC345" s="71">
        <v>-6.4102564102564097E-2</v>
      </c>
      <c r="BD345" s="71">
        <v>1.298701298701288E-2</v>
      </c>
      <c r="BE345" s="23">
        <v>0</v>
      </c>
      <c r="BF345" s="71">
        <v>-8.6956521739130488E-2</v>
      </c>
      <c r="BG345" s="71">
        <v>-7.7777777777777724E-2</v>
      </c>
      <c r="BH345" s="71">
        <v>-1.3698630136986356E-2</v>
      </c>
    </row>
    <row r="346" spans="1:60" s="35" customFormat="1">
      <c r="A346" s="67" t="s">
        <v>48</v>
      </c>
      <c r="B346" s="28">
        <f>B343-5</f>
        <v>376</v>
      </c>
      <c r="C346" s="68">
        <f>C343-1</f>
        <v>102</v>
      </c>
      <c r="D346" s="68">
        <f>D343-1</f>
        <v>181</v>
      </c>
      <c r="E346" s="68">
        <v>350</v>
      </c>
      <c r="F346" s="68">
        <f>G346-E346-D346-C346</f>
        <v>162</v>
      </c>
      <c r="G346" s="28">
        <f>G343-3</f>
        <v>795</v>
      </c>
      <c r="H346" s="68">
        <v>149</v>
      </c>
      <c r="I346" s="68">
        <f>I343-4</f>
        <v>159</v>
      </c>
      <c r="J346" s="68">
        <v>146</v>
      </c>
      <c r="K346" s="68">
        <f>L346-J346-I346-H346</f>
        <v>101</v>
      </c>
      <c r="L346" s="28">
        <f>L343-4</f>
        <v>555</v>
      </c>
      <c r="M346" s="68">
        <f>M343</f>
        <v>92</v>
      </c>
      <c r="N346" s="68">
        <f>N343</f>
        <v>114</v>
      </c>
      <c r="O346" s="68">
        <f>O343</f>
        <v>99</v>
      </c>
      <c r="P346" s="68">
        <f>Q346-O346-N346-M346</f>
        <v>92</v>
      </c>
      <c r="Q346" s="28">
        <f>Q343</f>
        <v>397</v>
      </c>
      <c r="R346" s="68">
        <f>R343</f>
        <v>133</v>
      </c>
      <c r="S346" s="68">
        <v>86</v>
      </c>
      <c r="T346" s="68">
        <f>T343-36</f>
        <v>71</v>
      </c>
      <c r="U346" s="68">
        <f>V346-T346-S346-R346</f>
        <v>92</v>
      </c>
      <c r="V346" s="28">
        <f>V343-1-36</f>
        <v>382</v>
      </c>
      <c r="W346" s="68">
        <f>W343</f>
        <v>115</v>
      </c>
      <c r="X346" s="68">
        <f>X343</f>
        <v>109</v>
      </c>
      <c r="Y346" s="68">
        <f>Y343</f>
        <v>84</v>
      </c>
      <c r="Z346" s="68">
        <f>AA346-Y346-X346-W346</f>
        <v>73</v>
      </c>
      <c r="AA346" s="94">
        <f>AA343-3</f>
        <v>381</v>
      </c>
      <c r="AB346" s="68">
        <f>AB343</f>
        <v>66</v>
      </c>
      <c r="AC346" s="68">
        <f>AC343</f>
        <v>84</v>
      </c>
      <c r="AD346" s="68">
        <v>88</v>
      </c>
      <c r="AE346" s="68">
        <v>77</v>
      </c>
      <c r="AF346" s="94">
        <v>315</v>
      </c>
      <c r="AG346" s="68">
        <f>AG343</f>
        <v>73</v>
      </c>
      <c r="AH346" s="68">
        <f>AH343-5</f>
        <v>85</v>
      </c>
      <c r="AI346" s="68">
        <f>AI343-1</f>
        <v>83</v>
      </c>
      <c r="AJ346" s="68">
        <f>AK346-AI346-AH346-AG346</f>
        <v>80</v>
      </c>
      <c r="AK346" s="94">
        <v>321</v>
      </c>
      <c r="AL346" s="68">
        <v>72</v>
      </c>
      <c r="AM346" s="68">
        <v>199</v>
      </c>
      <c r="AN346" s="68">
        <v>90</v>
      </c>
      <c r="AO346" s="68">
        <v>65</v>
      </c>
      <c r="AP346" s="94">
        <v>426</v>
      </c>
      <c r="AQ346" s="68">
        <v>51</v>
      </c>
      <c r="AR346" s="68">
        <v>63</v>
      </c>
      <c r="AS346" s="68">
        <v>64</v>
      </c>
      <c r="AT346" s="68">
        <v>63</v>
      </c>
      <c r="AU346" s="94">
        <v>241</v>
      </c>
      <c r="AV346" s="68">
        <v>73</v>
      </c>
      <c r="AW346" s="68">
        <v>82</v>
      </c>
      <c r="AX346" s="68">
        <v>78</v>
      </c>
      <c r="AY346" s="68">
        <v>76</v>
      </c>
      <c r="AZ346" s="94">
        <v>309</v>
      </c>
      <c r="BA346" s="68">
        <v>69</v>
      </c>
      <c r="BB346" s="68">
        <v>90</v>
      </c>
      <c r="BC346" s="68">
        <v>69</v>
      </c>
      <c r="BD346" s="68">
        <v>78</v>
      </c>
      <c r="BE346" s="94">
        <v>306</v>
      </c>
      <c r="BF346" s="68">
        <v>63</v>
      </c>
      <c r="BG346" s="68">
        <v>82</v>
      </c>
      <c r="BH346" s="68">
        <v>72</v>
      </c>
    </row>
    <row r="347" spans="1:60">
      <c r="A347" s="69" t="s">
        <v>7</v>
      </c>
      <c r="B347" s="23"/>
      <c r="C347" s="70"/>
      <c r="D347" s="70">
        <f>D346/C346-1</f>
        <v>0.77450980392156854</v>
      </c>
      <c r="E347" s="70">
        <f>E346/D346-1</f>
        <v>0.93370165745856348</v>
      </c>
      <c r="F347" s="70">
        <f>F346/E346-1</f>
        <v>-0.53714285714285714</v>
      </c>
      <c r="G347" s="23"/>
      <c r="H347" s="70">
        <f>H346/F346-1</f>
        <v>-8.0246913580246937E-2</v>
      </c>
      <c r="I347" s="70">
        <f>I346/H346-1</f>
        <v>6.7114093959731447E-2</v>
      </c>
      <c r="J347" s="70">
        <f>J346/I346-1</f>
        <v>-8.1761006289308158E-2</v>
      </c>
      <c r="K347" s="70">
        <f>K346/J346-1</f>
        <v>-0.30821917808219179</v>
      </c>
      <c r="L347" s="23"/>
      <c r="M347" s="70">
        <f>M346/K346-1</f>
        <v>-8.9108910891089077E-2</v>
      </c>
      <c r="N347" s="70">
        <f>N346/M346-1</f>
        <v>0.23913043478260865</v>
      </c>
      <c r="O347" s="70">
        <f>O346/N346-1</f>
        <v>-0.13157894736842102</v>
      </c>
      <c r="P347" s="70">
        <f>P346/O346-1</f>
        <v>-7.0707070707070718E-2</v>
      </c>
      <c r="Q347" s="23"/>
      <c r="R347" s="70">
        <f>R346/P346-1</f>
        <v>0.44565217391304346</v>
      </c>
      <c r="S347" s="70">
        <f>S346/R346-1</f>
        <v>-0.35338345864661658</v>
      </c>
      <c r="T347" s="70">
        <f>T346/S346-1</f>
        <v>-0.17441860465116277</v>
      </c>
      <c r="U347" s="70">
        <f>U346/T346-1</f>
        <v>0.29577464788732399</v>
      </c>
      <c r="V347" s="23"/>
      <c r="W347" s="70">
        <f>W346/U346-1</f>
        <v>0.25</v>
      </c>
      <c r="X347" s="70">
        <f>X346/W346-1</f>
        <v>-5.2173913043478293E-2</v>
      </c>
      <c r="Y347" s="70">
        <f>Y346/X346-1</f>
        <v>-0.22935779816513757</v>
      </c>
      <c r="Z347" s="70">
        <f>Z346/Y346-1</f>
        <v>-0.13095238095238093</v>
      </c>
      <c r="AA347" s="23"/>
      <c r="AB347" s="70">
        <f>AB346/Z346-1</f>
        <v>-9.589041095890416E-2</v>
      </c>
      <c r="AC347" s="70">
        <f>AC346/AB346-1</f>
        <v>0.27272727272727271</v>
      </c>
      <c r="AD347" s="70">
        <f>AD346/AC346-1</f>
        <v>4.7619047619047672E-2</v>
      </c>
      <c r="AE347" s="70">
        <f>AE346/AD346-1</f>
        <v>-0.125</v>
      </c>
      <c r="AF347" s="23"/>
      <c r="AG347" s="70">
        <f>AG346/AE346-1</f>
        <v>-5.1948051948051965E-2</v>
      </c>
      <c r="AH347" s="70">
        <f>AH346/AG346-1</f>
        <v>0.16438356164383561</v>
      </c>
      <c r="AI347" s="70">
        <f>AI346/AH346-1</f>
        <v>-2.352941176470591E-2</v>
      </c>
      <c r="AJ347" s="70">
        <f>AJ346/AI346-1</f>
        <v>-3.6144578313253017E-2</v>
      </c>
      <c r="AK347" s="23"/>
      <c r="AL347" s="70">
        <v>-9.9999999999999978E-2</v>
      </c>
      <c r="AM347" s="70">
        <v>1.7638888888888888</v>
      </c>
      <c r="AN347" s="70">
        <v>-0.54773869346733672</v>
      </c>
      <c r="AO347" s="70">
        <v>-0.27777777777777779</v>
      </c>
      <c r="AP347" s="23"/>
      <c r="AQ347" s="70">
        <v>-0.2153846153846154</v>
      </c>
      <c r="AR347" s="70">
        <v>0.23529411764705888</v>
      </c>
      <c r="AS347" s="70">
        <v>1.5873015873015817E-2</v>
      </c>
      <c r="AT347" s="70">
        <v>-1.5625E-2</v>
      </c>
      <c r="AU347" s="23"/>
      <c r="AV347" s="70">
        <v>0.15873015873015883</v>
      </c>
      <c r="AW347" s="70">
        <v>0.12328767123287676</v>
      </c>
      <c r="AX347" s="70">
        <v>-4.8780487804878092E-2</v>
      </c>
      <c r="AY347" s="70">
        <v>-2.5641025641025661E-2</v>
      </c>
      <c r="AZ347" s="23"/>
      <c r="BA347" s="70">
        <v>-9.210526315789469E-2</v>
      </c>
      <c r="BB347" s="70">
        <v>0.30434782608695654</v>
      </c>
      <c r="BC347" s="70">
        <v>-0.23333333333333328</v>
      </c>
      <c r="BD347" s="70">
        <v>0.13043478260869557</v>
      </c>
      <c r="BE347" s="23"/>
      <c r="BF347" s="70">
        <v>-0.19230769230769229</v>
      </c>
      <c r="BG347" s="70">
        <v>0.30158730158730163</v>
      </c>
      <c r="BH347" s="70">
        <v>-0.12195121951219512</v>
      </c>
    </row>
    <row r="348" spans="1:60">
      <c r="A348" s="69" t="s">
        <v>8</v>
      </c>
      <c r="B348" s="23"/>
      <c r="C348" s="71"/>
      <c r="D348" s="71"/>
      <c r="E348" s="71"/>
      <c r="F348" s="71"/>
      <c r="G348" s="23">
        <f t="shared" ref="G348:N348" si="307">G346/B346-1</f>
        <v>1.1143617021276597</v>
      </c>
      <c r="H348" s="71">
        <f t="shared" si="307"/>
        <v>0.46078431372549011</v>
      </c>
      <c r="I348" s="71">
        <f t="shared" si="307"/>
        <v>-0.12154696132596687</v>
      </c>
      <c r="J348" s="71">
        <f t="shared" si="307"/>
        <v>-0.58285714285714285</v>
      </c>
      <c r="K348" s="71">
        <f t="shared" si="307"/>
        <v>-0.37654320987654322</v>
      </c>
      <c r="L348" s="23">
        <f t="shared" si="307"/>
        <v>-0.30188679245283023</v>
      </c>
      <c r="M348" s="71">
        <f t="shared" si="307"/>
        <v>-0.3825503355704698</v>
      </c>
      <c r="N348" s="71">
        <f t="shared" si="307"/>
        <v>-0.28301886792452835</v>
      </c>
      <c r="O348" s="71">
        <f t="shared" ref="O348:Y348" si="308">O346/J346-1</f>
        <v>-0.32191780821917804</v>
      </c>
      <c r="P348" s="71">
        <f t="shared" si="308"/>
        <v>-8.9108910891089077E-2</v>
      </c>
      <c r="Q348" s="23">
        <f t="shared" si="308"/>
        <v>-0.28468468468468466</v>
      </c>
      <c r="R348" s="71">
        <f t="shared" si="308"/>
        <v>0.44565217391304346</v>
      </c>
      <c r="S348" s="71">
        <f t="shared" si="308"/>
        <v>-0.24561403508771928</v>
      </c>
      <c r="T348" s="71">
        <f t="shared" si="308"/>
        <v>-0.28282828282828287</v>
      </c>
      <c r="U348" s="71">
        <f t="shared" si="308"/>
        <v>0</v>
      </c>
      <c r="V348" s="23">
        <f t="shared" si="308"/>
        <v>-3.7783375314861423E-2</v>
      </c>
      <c r="W348" s="71">
        <f t="shared" si="308"/>
        <v>-0.13533834586466165</v>
      </c>
      <c r="X348" s="71">
        <f t="shared" si="308"/>
        <v>0.26744186046511631</v>
      </c>
      <c r="Y348" s="71">
        <f t="shared" si="308"/>
        <v>0.18309859154929575</v>
      </c>
      <c r="Z348" s="71">
        <f t="shared" ref="Z348:AI348" si="309">Z346/U346-1</f>
        <v>-0.20652173913043481</v>
      </c>
      <c r="AA348" s="23">
        <f t="shared" si="309"/>
        <v>-2.6178010471203939E-3</v>
      </c>
      <c r="AB348" s="71">
        <f t="shared" si="309"/>
        <v>-0.42608695652173911</v>
      </c>
      <c r="AC348" s="71">
        <f t="shared" si="309"/>
        <v>-0.22935779816513757</v>
      </c>
      <c r="AD348" s="71">
        <f t="shared" si="309"/>
        <v>4.7619047619047672E-2</v>
      </c>
      <c r="AE348" s="71">
        <f t="shared" si="309"/>
        <v>5.4794520547945202E-2</v>
      </c>
      <c r="AF348" s="23">
        <f t="shared" si="309"/>
        <v>-0.17322834645669294</v>
      </c>
      <c r="AG348" s="71">
        <f t="shared" si="309"/>
        <v>0.10606060606060597</v>
      </c>
      <c r="AH348" s="71">
        <f t="shared" si="309"/>
        <v>1.1904761904761862E-2</v>
      </c>
      <c r="AI348" s="71">
        <f t="shared" si="309"/>
        <v>-5.6818181818181768E-2</v>
      </c>
      <c r="AJ348" s="71">
        <f t="shared" ref="AJ348" si="310">AJ346/AE346-1</f>
        <v>3.8961038961038863E-2</v>
      </c>
      <c r="AK348" s="23">
        <v>1.904761904761898E-2</v>
      </c>
      <c r="AL348" s="71">
        <v>-1.3698630136986356E-2</v>
      </c>
      <c r="AM348" s="71">
        <v>1.3411764705882354</v>
      </c>
      <c r="AN348" s="71">
        <v>8.43373493975903E-2</v>
      </c>
      <c r="AO348" s="71">
        <v>-0.1875</v>
      </c>
      <c r="AP348" s="23">
        <v>0.32710280373831768</v>
      </c>
      <c r="AQ348" s="71">
        <v>-0.29166666666666663</v>
      </c>
      <c r="AR348" s="71">
        <v>-0.68341708542713575</v>
      </c>
      <c r="AS348" s="71">
        <v>-0.28888888888888886</v>
      </c>
      <c r="AT348" s="71">
        <v>-3.0769230769230771E-2</v>
      </c>
      <c r="AU348" s="23">
        <v>-0.43427230046948362</v>
      </c>
      <c r="AV348" s="71">
        <v>0.43137254901960786</v>
      </c>
      <c r="AW348" s="71">
        <v>0.30158730158730163</v>
      </c>
      <c r="AX348" s="71">
        <v>0.21875</v>
      </c>
      <c r="AY348" s="71">
        <v>0.20634920634920628</v>
      </c>
      <c r="AZ348" s="23">
        <v>0.28215767634854783</v>
      </c>
      <c r="BA348" s="71">
        <v>-5.4794520547945202E-2</v>
      </c>
      <c r="BB348" s="71">
        <v>9.7560975609756184E-2</v>
      </c>
      <c r="BC348" s="71">
        <v>-0.11538461538461542</v>
      </c>
      <c r="BD348" s="71">
        <v>2.6315789473684292E-2</v>
      </c>
      <c r="BE348" s="23">
        <v>-9.7087378640776656E-3</v>
      </c>
      <c r="BF348" s="71">
        <v>-8.6956521739130488E-2</v>
      </c>
      <c r="BG348" s="71">
        <v>-8.8888888888888906E-2</v>
      </c>
      <c r="BH348" s="71">
        <v>4.3478260869565188E-2</v>
      </c>
    </row>
    <row r="349" spans="1:60">
      <c r="A349" s="67" t="s">
        <v>251</v>
      </c>
      <c r="B349" s="23"/>
      <c r="C349" s="71"/>
      <c r="D349" s="71"/>
      <c r="E349" s="71"/>
      <c r="F349" s="71"/>
      <c r="G349" s="23"/>
      <c r="H349" s="71"/>
      <c r="I349" s="71"/>
      <c r="J349" s="71"/>
      <c r="K349" s="71"/>
      <c r="L349" s="23"/>
      <c r="M349" s="71"/>
      <c r="N349" s="71"/>
      <c r="O349" s="71"/>
      <c r="P349" s="71"/>
      <c r="Q349" s="23"/>
      <c r="R349" s="71"/>
      <c r="S349" s="71"/>
      <c r="T349" s="71"/>
      <c r="U349" s="71"/>
      <c r="V349" s="23"/>
      <c r="W349" s="71"/>
      <c r="X349" s="71"/>
      <c r="Y349" s="71"/>
      <c r="Z349" s="71"/>
      <c r="AA349" s="23"/>
      <c r="AB349" s="71"/>
      <c r="AC349" s="71"/>
      <c r="AD349" s="71"/>
      <c r="AE349" s="71"/>
      <c r="AF349" s="23"/>
      <c r="AG349" s="71"/>
      <c r="AH349" s="71"/>
      <c r="AI349" s="71"/>
      <c r="AJ349" s="71"/>
      <c r="AK349" s="23"/>
      <c r="AL349" s="71"/>
      <c r="AM349" s="71"/>
      <c r="AN349" s="71"/>
      <c r="AO349" s="71"/>
      <c r="AP349" s="23"/>
      <c r="AQ349" s="71"/>
      <c r="AR349" s="71"/>
      <c r="AS349" s="71"/>
      <c r="AT349" s="71"/>
      <c r="AU349" s="23"/>
      <c r="AV349" s="71"/>
      <c r="AW349" s="71"/>
      <c r="AX349" s="71"/>
      <c r="AY349" s="71"/>
      <c r="AZ349" s="23"/>
      <c r="BA349" s="68">
        <v>75</v>
      </c>
      <c r="BB349" s="68">
        <v>50</v>
      </c>
      <c r="BC349" s="68">
        <v>64</v>
      </c>
      <c r="BD349" s="68">
        <v>70</v>
      </c>
      <c r="BE349" s="94">
        <v>259</v>
      </c>
      <c r="BF349" s="68">
        <v>69</v>
      </c>
      <c r="BG349" s="68">
        <v>46</v>
      </c>
      <c r="BH349" s="68">
        <v>76</v>
      </c>
    </row>
    <row r="350" spans="1:60" s="35" customFormat="1" ht="18" customHeight="1">
      <c r="A350" s="67" t="s">
        <v>13</v>
      </c>
      <c r="B350" s="28">
        <f>B337-B346</f>
        <v>852</v>
      </c>
      <c r="C350" s="75">
        <f>C337-C346</f>
        <v>154</v>
      </c>
      <c r="D350" s="75">
        <f>D337-D346</f>
        <v>163</v>
      </c>
      <c r="E350" s="75">
        <f>E337-E346</f>
        <v>29</v>
      </c>
      <c r="F350" s="68">
        <f>G350-E350-D350-C350</f>
        <v>136</v>
      </c>
      <c r="G350" s="28">
        <f>G337-G346</f>
        <v>482</v>
      </c>
      <c r="H350" s="75">
        <f>H337-H346</f>
        <v>226</v>
      </c>
      <c r="I350" s="75">
        <f>I337-I346</f>
        <v>131</v>
      </c>
      <c r="J350" s="75">
        <f>J337-J346</f>
        <v>249</v>
      </c>
      <c r="K350" s="68">
        <v>-45</v>
      </c>
      <c r="L350" s="28">
        <f>L337-L346</f>
        <v>560</v>
      </c>
      <c r="M350" s="75">
        <f>M337-M346</f>
        <v>258</v>
      </c>
      <c r="N350" s="75">
        <f>N337-N346</f>
        <v>264</v>
      </c>
      <c r="O350" s="75">
        <f>O337-O346</f>
        <v>301</v>
      </c>
      <c r="P350" s="68">
        <f>Q350-O350-N350-M350</f>
        <v>-1</v>
      </c>
      <c r="Q350" s="94">
        <f>Q337-Q346</f>
        <v>822</v>
      </c>
      <c r="R350" s="75">
        <f>R337-R346</f>
        <v>175</v>
      </c>
      <c r="S350" s="75">
        <f>S337-S346</f>
        <v>15</v>
      </c>
      <c r="T350" s="75">
        <f>T337-T346</f>
        <v>97</v>
      </c>
      <c r="U350" s="68">
        <f>V350-T350-S350-R350</f>
        <v>131</v>
      </c>
      <c r="V350" s="94">
        <f>V337-V346</f>
        <v>418</v>
      </c>
      <c r="W350" s="75">
        <f>W337-W346</f>
        <v>179</v>
      </c>
      <c r="X350" s="75">
        <f>X337-X346</f>
        <v>447</v>
      </c>
      <c r="Y350" s="75">
        <f>Y337-Y346</f>
        <v>406</v>
      </c>
      <c r="Z350" s="68">
        <f>AA350-Y350-X350-W350</f>
        <v>315</v>
      </c>
      <c r="AA350" s="94">
        <f>AA337-AA346</f>
        <v>1347</v>
      </c>
      <c r="AB350" s="75">
        <f>AB337-AB346</f>
        <v>288</v>
      </c>
      <c r="AC350" s="75">
        <f>AC337-AC346</f>
        <v>384</v>
      </c>
      <c r="AD350" s="75">
        <f>AD337-AD346</f>
        <v>354</v>
      </c>
      <c r="AE350" s="68">
        <f>AF350-AD350-AC350-AB350</f>
        <v>250</v>
      </c>
      <c r="AF350" s="94">
        <f>AF337-AF346</f>
        <v>1276</v>
      </c>
      <c r="AG350" s="75">
        <f>AG337-AG346</f>
        <v>276</v>
      </c>
      <c r="AH350" s="75">
        <f>AH337-AH346</f>
        <v>335</v>
      </c>
      <c r="AI350" s="75">
        <f>AI337-AI346</f>
        <v>203</v>
      </c>
      <c r="AJ350" s="68">
        <f>AK350-AI350-AH350-AG350</f>
        <v>78</v>
      </c>
      <c r="AK350" s="94">
        <v>892</v>
      </c>
      <c r="AL350" s="75">
        <v>279</v>
      </c>
      <c r="AM350" s="75">
        <v>3</v>
      </c>
      <c r="AN350" s="75">
        <v>73</v>
      </c>
      <c r="AO350" s="68">
        <v>-51</v>
      </c>
      <c r="AP350" s="94">
        <v>304</v>
      </c>
      <c r="AQ350" s="75">
        <v>134</v>
      </c>
      <c r="AR350" s="75">
        <v>117</v>
      </c>
      <c r="AS350" s="75">
        <v>88</v>
      </c>
      <c r="AT350" s="68">
        <v>2</v>
      </c>
      <c r="AU350" s="94">
        <v>341</v>
      </c>
      <c r="AV350" s="75">
        <v>44</v>
      </c>
      <c r="AW350" s="75">
        <v>111</v>
      </c>
      <c r="AX350" s="75">
        <v>131</v>
      </c>
      <c r="AY350" s="68">
        <v>10</v>
      </c>
      <c r="AZ350" s="94">
        <v>296</v>
      </c>
      <c r="BA350" s="75">
        <v>95</v>
      </c>
      <c r="BB350" s="75">
        <v>41</v>
      </c>
      <c r="BC350" s="75">
        <v>61</v>
      </c>
      <c r="BD350" s="68">
        <v>8</v>
      </c>
      <c r="BE350" s="94">
        <v>205</v>
      </c>
      <c r="BF350" s="75">
        <v>63</v>
      </c>
      <c r="BG350" s="75">
        <v>8</v>
      </c>
      <c r="BH350" s="75">
        <v>52</v>
      </c>
    </row>
    <row r="351" spans="1:60">
      <c r="A351" s="69" t="s">
        <v>7</v>
      </c>
      <c r="B351" s="23"/>
      <c r="C351" s="70"/>
      <c r="D351" s="70">
        <f>D350/C350-1</f>
        <v>5.8441558441558517E-2</v>
      </c>
      <c r="E351" s="70">
        <f>E350/D350-1</f>
        <v>-0.82208588957055218</v>
      </c>
      <c r="F351" s="70">
        <f>F350/E350-1</f>
        <v>3.6896551724137927</v>
      </c>
      <c r="G351" s="23"/>
      <c r="H351" s="70">
        <f>H350/F350-1</f>
        <v>0.66176470588235303</v>
      </c>
      <c r="I351" s="70">
        <f>I350/H350-1</f>
        <v>-0.42035398230088494</v>
      </c>
      <c r="J351" s="70">
        <f>J350/I350-1</f>
        <v>0.9007633587786259</v>
      </c>
      <c r="K351" s="70">
        <f>K350/J350-1</f>
        <v>-1.1807228915662651</v>
      </c>
      <c r="L351" s="23"/>
      <c r="M351" s="70">
        <f>M350/K350-1</f>
        <v>-6.7333333333333334</v>
      </c>
      <c r="N351" s="70">
        <f>N350/M350-1</f>
        <v>2.3255813953488413E-2</v>
      </c>
      <c r="O351" s="70">
        <f>O350/N350-1</f>
        <v>0.14015151515151514</v>
      </c>
      <c r="P351" s="70">
        <f>P350/O350-1</f>
        <v>-1.0033222591362125</v>
      </c>
      <c r="Q351" s="23"/>
      <c r="R351" s="115" t="s">
        <v>40</v>
      </c>
      <c r="S351" s="70">
        <f>S350/R350-1</f>
        <v>-0.91428571428571426</v>
      </c>
      <c r="T351" s="70">
        <f>T350/S350-1</f>
        <v>5.4666666666666668</v>
      </c>
      <c r="U351" s="70">
        <f>U350/T350-1</f>
        <v>0.35051546391752586</v>
      </c>
      <c r="V351" s="23"/>
      <c r="W351" s="70">
        <f>W350/U350-1</f>
        <v>0.36641221374045796</v>
      </c>
      <c r="X351" s="70">
        <f>X350/W350-1</f>
        <v>1.4972067039106145</v>
      </c>
      <c r="Y351" s="70">
        <f>Y350/X350-1</f>
        <v>-9.1722595078299829E-2</v>
      </c>
      <c r="Z351" s="70">
        <f>Z350/Y350-1</f>
        <v>-0.22413793103448276</v>
      </c>
      <c r="AA351" s="23"/>
      <c r="AB351" s="70">
        <f>AB350/Z350-1</f>
        <v>-8.5714285714285743E-2</v>
      </c>
      <c r="AC351" s="70">
        <f>AC350/AB350-1</f>
        <v>0.33333333333333326</v>
      </c>
      <c r="AD351" s="70">
        <f>AD350/AC350-1</f>
        <v>-7.8125E-2</v>
      </c>
      <c r="AE351" s="70">
        <f>AE350/AD350-1</f>
        <v>-0.29378531073446323</v>
      </c>
      <c r="AF351" s="23"/>
      <c r="AG351" s="70">
        <f>AG350/AE350-1</f>
        <v>0.10400000000000009</v>
      </c>
      <c r="AH351" s="70">
        <f>AH350/AG350-1</f>
        <v>0.21376811594202905</v>
      </c>
      <c r="AI351" s="70">
        <f>AI350/AH350-1</f>
        <v>-0.39402985074626862</v>
      </c>
      <c r="AJ351" s="70">
        <f>AJ350/AI350-1</f>
        <v>-0.61576354679802958</v>
      </c>
      <c r="AK351" s="23"/>
      <c r="AL351" s="70">
        <v>2.5769230769230771</v>
      </c>
      <c r="AM351" s="70">
        <v>-0.989247311827957</v>
      </c>
      <c r="AN351" s="70">
        <v>23.333333333333332</v>
      </c>
      <c r="AO351" s="83" t="s">
        <v>40</v>
      </c>
      <c r="AP351" s="23"/>
      <c r="AQ351" s="83" t="s">
        <v>40</v>
      </c>
      <c r="AR351" s="70">
        <v>-0.12686567164179108</v>
      </c>
      <c r="AS351" s="70">
        <v>-0.24786324786324787</v>
      </c>
      <c r="AT351" s="70">
        <v>-0.97727272727272729</v>
      </c>
      <c r="AU351" s="23"/>
      <c r="AV351" s="70">
        <v>21</v>
      </c>
      <c r="AW351" s="70">
        <v>1.5227272727272729</v>
      </c>
      <c r="AX351" s="70">
        <v>0.18018018018018012</v>
      </c>
      <c r="AY351" s="70">
        <v>-0.92366412213740456</v>
      </c>
      <c r="AZ351" s="23"/>
      <c r="BA351" s="70">
        <v>8.5</v>
      </c>
      <c r="BB351" s="70">
        <v>-0.56842105263157894</v>
      </c>
      <c r="BC351" s="70">
        <v>0.48780487804878048</v>
      </c>
      <c r="BD351" s="70">
        <v>-0.86885245901639341</v>
      </c>
      <c r="BE351" s="23"/>
      <c r="BF351" s="70">
        <v>6.875</v>
      </c>
      <c r="BG351" s="70">
        <v>-0.87301587301587302</v>
      </c>
      <c r="BH351" s="70">
        <v>5.5</v>
      </c>
    </row>
    <row r="352" spans="1:60">
      <c r="A352" s="69" t="s">
        <v>8</v>
      </c>
      <c r="B352" s="23"/>
      <c r="C352" s="71"/>
      <c r="D352" s="71"/>
      <c r="E352" s="71"/>
      <c r="F352" s="71"/>
      <c r="G352" s="23">
        <f t="shared" ref="G352:N352" si="311">G350/B350-1</f>
        <v>-0.43427230046948362</v>
      </c>
      <c r="H352" s="71">
        <f t="shared" si="311"/>
        <v>0.46753246753246747</v>
      </c>
      <c r="I352" s="71">
        <f t="shared" si="311"/>
        <v>-0.19631901840490795</v>
      </c>
      <c r="J352" s="71">
        <f t="shared" si="311"/>
        <v>7.5862068965517242</v>
      </c>
      <c r="K352" s="71">
        <f t="shared" si="311"/>
        <v>-1.3308823529411764</v>
      </c>
      <c r="L352" s="23">
        <f t="shared" si="311"/>
        <v>0.16182572614107893</v>
      </c>
      <c r="M352" s="71">
        <f t="shared" si="311"/>
        <v>0.1415929203539823</v>
      </c>
      <c r="N352" s="71">
        <f t="shared" si="311"/>
        <v>1.0152671755725189</v>
      </c>
      <c r="O352" s="71">
        <f t="shared" ref="O352:Y352" si="312">O350/J350-1</f>
        <v>0.20883534136546178</v>
      </c>
      <c r="P352" s="71">
        <f t="shared" si="312"/>
        <v>-0.97777777777777775</v>
      </c>
      <c r="Q352" s="23">
        <f t="shared" si="312"/>
        <v>0.46785714285714275</v>
      </c>
      <c r="R352" s="71">
        <f t="shared" si="312"/>
        <v>-0.32170542635658916</v>
      </c>
      <c r="S352" s="71">
        <f t="shared" si="312"/>
        <v>-0.94318181818181823</v>
      </c>
      <c r="T352" s="71">
        <f t="shared" si="312"/>
        <v>-0.67774086378737541</v>
      </c>
      <c r="U352" s="81" t="s">
        <v>40</v>
      </c>
      <c r="V352" s="23">
        <f t="shared" si="312"/>
        <v>-0.4914841849148418</v>
      </c>
      <c r="W352" s="71">
        <f t="shared" si="312"/>
        <v>2.2857142857142909E-2</v>
      </c>
      <c r="X352" s="71">
        <f t="shared" si="312"/>
        <v>28.8</v>
      </c>
      <c r="Y352" s="71">
        <f t="shared" si="312"/>
        <v>3.1855670103092786</v>
      </c>
      <c r="Z352" s="71">
        <f t="shared" ref="Z352:AI352" si="313">Z350/U350-1</f>
        <v>1.4045801526717558</v>
      </c>
      <c r="AA352" s="23">
        <f t="shared" si="313"/>
        <v>2.2224880382775121</v>
      </c>
      <c r="AB352" s="71">
        <f t="shared" si="313"/>
        <v>0.6089385474860336</v>
      </c>
      <c r="AC352" s="71">
        <f t="shared" si="313"/>
        <v>-0.14093959731543626</v>
      </c>
      <c r="AD352" s="71">
        <f t="shared" si="313"/>
        <v>-0.1280788177339901</v>
      </c>
      <c r="AE352" s="71">
        <f t="shared" si="313"/>
        <v>-0.20634920634920639</v>
      </c>
      <c r="AF352" s="23">
        <f t="shared" si="313"/>
        <v>-5.2709725315515987E-2</v>
      </c>
      <c r="AG352" s="71">
        <f t="shared" si="313"/>
        <v>-4.166666666666663E-2</v>
      </c>
      <c r="AH352" s="71">
        <f t="shared" si="313"/>
        <v>-0.12760416666666663</v>
      </c>
      <c r="AI352" s="71">
        <f t="shared" si="313"/>
        <v>-0.42655367231638419</v>
      </c>
      <c r="AJ352" s="71">
        <f t="shared" ref="AJ352" si="314">AJ350/AE350-1</f>
        <v>-0.68799999999999994</v>
      </c>
      <c r="AK352" s="23">
        <v>-0.30094043887147337</v>
      </c>
      <c r="AL352" s="71">
        <v>1.0869565217391353E-2</v>
      </c>
      <c r="AM352" s="71">
        <v>-0.991044776119403</v>
      </c>
      <c r="AN352" s="71">
        <v>-0.64039408866995073</v>
      </c>
      <c r="AO352" s="83" t="s">
        <v>40</v>
      </c>
      <c r="AP352" s="23">
        <v>-0.65919282511210764</v>
      </c>
      <c r="AQ352" s="71">
        <v>-0.51971326164874554</v>
      </c>
      <c r="AR352" s="71">
        <v>38</v>
      </c>
      <c r="AS352" s="71">
        <v>0.20547945205479445</v>
      </c>
      <c r="AT352" s="71">
        <v>-1.0392156862745099</v>
      </c>
      <c r="AU352" s="23">
        <v>0.12171052631578938</v>
      </c>
      <c r="AV352" s="71">
        <v>-0.67164179104477606</v>
      </c>
      <c r="AW352" s="71">
        <v>-5.1282051282051322E-2</v>
      </c>
      <c r="AX352" s="71">
        <v>0.48863636363636354</v>
      </c>
      <c r="AY352" s="71">
        <v>4</v>
      </c>
      <c r="AZ352" s="23">
        <v>-0.13196480938416422</v>
      </c>
      <c r="BA352" s="71">
        <v>1.1590909090909092</v>
      </c>
      <c r="BB352" s="71">
        <v>-0.63063063063063063</v>
      </c>
      <c r="BC352" s="71">
        <v>-0.53435114503816794</v>
      </c>
      <c r="BD352" s="71">
        <v>-0.19999999999999996</v>
      </c>
      <c r="BE352" s="23">
        <v>-0.30743243243243246</v>
      </c>
      <c r="BF352" s="71">
        <v>-0.33684210526315794</v>
      </c>
      <c r="BG352" s="71">
        <v>-0.80487804878048785</v>
      </c>
      <c r="BH352" s="71">
        <v>-0.14754098360655743</v>
      </c>
    </row>
    <row r="353" spans="1:60">
      <c r="A353" s="49" t="s">
        <v>19</v>
      </c>
      <c r="B353" s="39"/>
      <c r="C353" s="51"/>
      <c r="D353" s="51"/>
      <c r="E353" s="51"/>
      <c r="F353" s="51"/>
      <c r="G353" s="39"/>
      <c r="H353" s="51"/>
      <c r="I353" s="51"/>
      <c r="J353" s="51"/>
      <c r="K353" s="51"/>
      <c r="L353" s="39"/>
      <c r="M353" s="51"/>
      <c r="N353" s="51"/>
      <c r="O353" s="51"/>
      <c r="P353" s="51"/>
      <c r="Q353" s="39"/>
      <c r="R353" s="51"/>
      <c r="S353" s="51"/>
      <c r="T353" s="51"/>
      <c r="U353" s="51"/>
      <c r="V353" s="39"/>
      <c r="W353" s="51"/>
      <c r="X353" s="51"/>
      <c r="Y353" s="51"/>
      <c r="Z353" s="51"/>
      <c r="AA353" s="39"/>
      <c r="AB353" s="51"/>
      <c r="AC353" s="51"/>
      <c r="AD353" s="51"/>
      <c r="AE353" s="51"/>
      <c r="AF353" s="39"/>
      <c r="AG353" s="51"/>
      <c r="AH353" s="51"/>
      <c r="AI353" s="51"/>
      <c r="AJ353" s="51"/>
      <c r="AK353" s="39"/>
      <c r="AL353" s="51"/>
      <c r="AM353" s="51"/>
      <c r="AN353" s="51"/>
      <c r="AO353" s="51"/>
      <c r="AP353" s="39"/>
      <c r="AQ353" s="51"/>
      <c r="AR353" s="51"/>
      <c r="AS353" s="51"/>
      <c r="AT353" s="51"/>
      <c r="AU353" s="39"/>
      <c r="AV353" s="51"/>
      <c r="AW353" s="51"/>
      <c r="AX353" s="51"/>
      <c r="AY353" s="51"/>
      <c r="AZ353" s="39"/>
      <c r="BA353" s="51"/>
      <c r="BB353" s="51"/>
      <c r="BC353" s="51"/>
      <c r="BD353" s="51"/>
      <c r="BE353" s="39"/>
      <c r="BF353" s="51"/>
      <c r="BG353" s="51"/>
      <c r="BH353" s="51"/>
    </row>
    <row r="354" spans="1:60" s="35" customFormat="1">
      <c r="A354" s="67" t="s">
        <v>28</v>
      </c>
      <c r="B354" s="54">
        <f t="shared" ref="B354:AG354" si="315">B325/B288</f>
        <v>0.17186165670367207</v>
      </c>
      <c r="C354" s="76">
        <f t="shared" si="315"/>
        <v>0.18329070758738278</v>
      </c>
      <c r="D354" s="76">
        <f t="shared" si="315"/>
        <v>0.22390572390572391</v>
      </c>
      <c r="E354" s="76">
        <f t="shared" si="315"/>
        <v>0.2413509060955519</v>
      </c>
      <c r="F354" s="76">
        <f t="shared" si="315"/>
        <v>0.13971880492091387</v>
      </c>
      <c r="G354" s="54">
        <f t="shared" si="315"/>
        <v>0.19796308084022915</v>
      </c>
      <c r="H354" s="76">
        <f t="shared" si="315"/>
        <v>0.23873517786561266</v>
      </c>
      <c r="I354" s="76">
        <f t="shared" si="315"/>
        <v>0.23848439821693909</v>
      </c>
      <c r="J354" s="76">
        <f t="shared" si="315"/>
        <v>0.23032069970845481</v>
      </c>
      <c r="K354" s="76">
        <f t="shared" si="315"/>
        <v>0.18018664752333094</v>
      </c>
      <c r="L354" s="54">
        <f t="shared" si="315"/>
        <v>0.22135416666666666</v>
      </c>
      <c r="M354" s="76">
        <f t="shared" si="315"/>
        <v>0.23115577889447236</v>
      </c>
      <c r="N354" s="76">
        <f t="shared" si="315"/>
        <v>0.25332400279916023</v>
      </c>
      <c r="O354" s="76">
        <f t="shared" si="315"/>
        <v>0.24687933425797504</v>
      </c>
      <c r="P354" s="76">
        <f t="shared" si="315"/>
        <v>0.23365122615803816</v>
      </c>
      <c r="Q354" s="54">
        <f t="shared" si="315"/>
        <v>0.24127704117236567</v>
      </c>
      <c r="R354" s="76">
        <f t="shared" si="315"/>
        <v>0.27517241379310342</v>
      </c>
      <c r="S354" s="76">
        <f t="shared" si="315"/>
        <v>0.2482614742698192</v>
      </c>
      <c r="T354" s="76">
        <f t="shared" si="315"/>
        <v>0.2406755805770584</v>
      </c>
      <c r="U354" s="76">
        <f t="shared" si="315"/>
        <v>0.21146085552865213</v>
      </c>
      <c r="V354" s="54">
        <f t="shared" si="315"/>
        <v>0.24513338139870222</v>
      </c>
      <c r="W354" s="76">
        <f t="shared" si="315"/>
        <v>0.21463022508038584</v>
      </c>
      <c r="X354" s="76">
        <f t="shared" si="315"/>
        <v>0.22560975609756098</v>
      </c>
      <c r="Y354" s="76">
        <f t="shared" si="315"/>
        <v>0.18970448045757865</v>
      </c>
      <c r="Z354" s="76">
        <f t="shared" si="315"/>
        <v>0.16260954235637781</v>
      </c>
      <c r="AA354" s="54">
        <f t="shared" si="315"/>
        <v>0.19964189794091317</v>
      </c>
      <c r="AB354" s="76">
        <f t="shared" si="315"/>
        <v>0.18049792531120332</v>
      </c>
      <c r="AC354" s="76">
        <f t="shared" si="315"/>
        <v>0.20327868852459016</v>
      </c>
      <c r="AD354" s="76">
        <f t="shared" si="315"/>
        <v>0.18162618796198521</v>
      </c>
      <c r="AE354" s="76">
        <f t="shared" si="315"/>
        <v>7.7314343845371308E-2</v>
      </c>
      <c r="AF354" s="54">
        <f t="shared" si="315"/>
        <v>0.15962194801785246</v>
      </c>
      <c r="AG354" s="76">
        <f t="shared" si="315"/>
        <v>0.13740458015267176</v>
      </c>
      <c r="AH354" s="76">
        <f t="shared" ref="AH354:AJ354" si="316">AH325/AH288</f>
        <v>0.15065243179122181</v>
      </c>
      <c r="AI354" s="76">
        <f t="shared" si="316"/>
        <v>0.14805825242718446</v>
      </c>
      <c r="AJ354" s="76">
        <f t="shared" si="316"/>
        <v>8.862275449101796E-2</v>
      </c>
      <c r="AK354" s="54">
        <v>0.1313249488154431</v>
      </c>
      <c r="AL354" s="76">
        <v>4.4016506189821183E-2</v>
      </c>
      <c r="AM354" s="76">
        <v>7.3509015256588067E-2</v>
      </c>
      <c r="AN354" s="76">
        <v>8.3676268861454045E-2</v>
      </c>
      <c r="AO354" s="76">
        <v>1.5427769985974754E-2</v>
      </c>
      <c r="AP354" s="54">
        <v>5.4325259515570934E-2</v>
      </c>
      <c r="AQ354" s="76">
        <v>1.4903129657228018E-3</v>
      </c>
      <c r="AR354" s="76">
        <v>1.2158054711246201E-2</v>
      </c>
      <c r="AS354" s="76">
        <v>4.1602465331278891E-2</v>
      </c>
      <c r="AT354" s="76">
        <v>-6.1349693251533744E-3</v>
      </c>
      <c r="AU354" s="54">
        <v>1.2167300380228136E-2</v>
      </c>
      <c r="AV354" s="76">
        <v>7.9617834394904458E-3</v>
      </c>
      <c r="AW354" s="76">
        <v>4.746835443037975E-2</v>
      </c>
      <c r="AX354" s="76">
        <v>3.4645669291338582E-2</v>
      </c>
      <c r="AY354" s="76">
        <v>2.3041474654377881E-2</v>
      </c>
      <c r="AZ354" s="54">
        <v>2.8279654359780047E-2</v>
      </c>
      <c r="BA354" s="76">
        <v>3.2310177705977385E-3</v>
      </c>
      <c r="BB354" s="76">
        <v>3.3222591362126247E-3</v>
      </c>
      <c r="BC354" s="76">
        <v>-3.3112582781456954E-3</v>
      </c>
      <c r="BD354" s="76">
        <v>-6.4724919093851136E-3</v>
      </c>
      <c r="BE354" s="54">
        <v>-8.1866557511256651E-4</v>
      </c>
      <c r="BF354" s="76">
        <v>-1.7301038062283738E-2</v>
      </c>
      <c r="BG354" s="76">
        <v>-1.4035087719298246E-2</v>
      </c>
      <c r="BH354" s="76">
        <v>2.6143790849673203E-2</v>
      </c>
    </row>
    <row r="355" spans="1:60" s="35" customFormat="1">
      <c r="A355" s="67" t="s">
        <v>36</v>
      </c>
      <c r="B355" s="54">
        <f t="shared" ref="B355:AG355" si="317">B328/B288</f>
        <v>0.1248932536293766</v>
      </c>
      <c r="C355" s="76">
        <f t="shared" si="317"/>
        <v>0.13895993179880647</v>
      </c>
      <c r="D355" s="76">
        <f t="shared" si="317"/>
        <v>0.15151515151515152</v>
      </c>
      <c r="E355" s="76">
        <f t="shared" si="317"/>
        <v>0.17380560131795716</v>
      </c>
      <c r="F355" s="76">
        <f t="shared" si="317"/>
        <v>0.11247803163444639</v>
      </c>
      <c r="G355" s="54">
        <f t="shared" si="317"/>
        <v>0.14470613197538723</v>
      </c>
      <c r="H355" s="76">
        <f t="shared" si="317"/>
        <v>0.18181818181818182</v>
      </c>
      <c r="I355" s="76">
        <f t="shared" si="317"/>
        <v>0.17310549777117384</v>
      </c>
      <c r="J355" s="76">
        <f t="shared" si="317"/>
        <v>0.1683673469387755</v>
      </c>
      <c r="K355" s="76">
        <f t="shared" si="317"/>
        <v>0.12993539124192391</v>
      </c>
      <c r="L355" s="54">
        <f t="shared" si="317"/>
        <v>0.16276041666666666</v>
      </c>
      <c r="M355" s="76">
        <f t="shared" si="317"/>
        <v>0.18592964824120603</v>
      </c>
      <c r="N355" s="76">
        <f t="shared" si="317"/>
        <v>0.1868439468159552</v>
      </c>
      <c r="O355" s="76">
        <f t="shared" si="317"/>
        <v>0.16574202496532595</v>
      </c>
      <c r="P355" s="76">
        <f t="shared" si="317"/>
        <v>0.18256130790190736</v>
      </c>
      <c r="Q355" s="54">
        <f t="shared" si="317"/>
        <v>0.18021632937892534</v>
      </c>
      <c r="R355" s="76">
        <f t="shared" si="317"/>
        <v>0.21379310344827587</v>
      </c>
      <c r="S355" s="76">
        <f t="shared" si="317"/>
        <v>0.19401947148817802</v>
      </c>
      <c r="T355" s="76">
        <f t="shared" si="317"/>
        <v>0.18508092892329345</v>
      </c>
      <c r="U355" s="76">
        <f t="shared" si="317"/>
        <v>0.16464891041162227</v>
      </c>
      <c r="V355" s="54">
        <f t="shared" si="317"/>
        <v>0.19033886085075702</v>
      </c>
      <c r="W355" s="76">
        <f t="shared" si="317"/>
        <v>0.17363344051446947</v>
      </c>
      <c r="X355" s="76">
        <f t="shared" si="317"/>
        <v>0.16898954703832753</v>
      </c>
      <c r="Y355" s="76">
        <f t="shared" si="317"/>
        <v>0.14680648236415633</v>
      </c>
      <c r="Z355" s="76">
        <f t="shared" si="317"/>
        <v>0.13047711781888996</v>
      </c>
      <c r="AA355" s="54">
        <f t="shared" si="317"/>
        <v>0.15622202327663384</v>
      </c>
      <c r="AB355" s="76">
        <f t="shared" si="317"/>
        <v>0.15871369294605808</v>
      </c>
      <c r="AC355" s="76">
        <f t="shared" si="317"/>
        <v>0.17595628415300546</v>
      </c>
      <c r="AD355" s="76">
        <f t="shared" si="317"/>
        <v>0.14783526927138332</v>
      </c>
      <c r="AE355" s="76">
        <f t="shared" si="317"/>
        <v>6.8158697863682602E-2</v>
      </c>
      <c r="AF355" s="54">
        <f t="shared" si="317"/>
        <v>0.1367813074297716</v>
      </c>
      <c r="AG355" s="76">
        <f t="shared" si="317"/>
        <v>0.11777535441657579</v>
      </c>
      <c r="AH355" s="76">
        <f t="shared" ref="AH355:AJ355" si="318">AH328/AH288</f>
        <v>0.12574139976275209</v>
      </c>
      <c r="AI355" s="76">
        <f t="shared" si="318"/>
        <v>0.12135922330097088</v>
      </c>
      <c r="AJ355" s="76">
        <f t="shared" si="318"/>
        <v>7.0658682634730532E-2</v>
      </c>
      <c r="AK355" s="54">
        <v>0.1090962269669494</v>
      </c>
      <c r="AL355" s="76">
        <v>4.951856946354883E-2</v>
      </c>
      <c r="AM355" s="76">
        <v>6.7961165048543687E-2</v>
      </c>
      <c r="AN355" s="76">
        <v>7.5445816186556922E-2</v>
      </c>
      <c r="AO355" s="76">
        <v>1.5427769985974754E-2</v>
      </c>
      <c r="AP355" s="54">
        <v>5.2249134948096888E-2</v>
      </c>
      <c r="AQ355" s="76">
        <v>1.9374068554396422E-2</v>
      </c>
      <c r="AR355" s="76">
        <v>1.9756838905775075E-2</v>
      </c>
      <c r="AS355" s="76">
        <v>4.930662557781202E-2</v>
      </c>
      <c r="AT355" s="76">
        <v>4.601226993865031E-3</v>
      </c>
      <c r="AU355" s="54">
        <v>2.3193916349809884E-2</v>
      </c>
      <c r="AV355" s="76">
        <v>2.5477707006369428E-2</v>
      </c>
      <c r="AW355" s="76">
        <v>5.3797468354430382E-2</v>
      </c>
      <c r="AX355" s="76">
        <v>3.7795275590551181E-2</v>
      </c>
      <c r="AY355" s="76">
        <v>3.2258064516129031E-2</v>
      </c>
      <c r="AZ355" s="54">
        <v>3.7313432835820892E-2</v>
      </c>
      <c r="BA355" s="76">
        <v>1.4539579967689823E-2</v>
      </c>
      <c r="BB355" s="76">
        <v>1.1627906976744186E-2</v>
      </c>
      <c r="BC355" s="76">
        <v>9.9337748344370865E-3</v>
      </c>
      <c r="BD355" s="76">
        <v>3.2362459546925568E-3</v>
      </c>
      <c r="BE355" s="54">
        <v>9.8239869013507976E-3</v>
      </c>
      <c r="BF355" s="76">
        <v>3.4602076124567475E-3</v>
      </c>
      <c r="BG355" s="76">
        <v>3.5087719298245615E-3</v>
      </c>
      <c r="BH355" s="76">
        <v>2.9411764705882353E-2</v>
      </c>
    </row>
    <row r="356" spans="1:60" s="35" customFormat="1">
      <c r="A356" s="67" t="s">
        <v>10</v>
      </c>
      <c r="B356" s="54">
        <f t="shared" ref="B356:M356" si="319">B331/B288</f>
        <v>0.27412467976088811</v>
      </c>
      <c r="C356" s="76">
        <f t="shared" si="319"/>
        <v>0.29326513213981242</v>
      </c>
      <c r="D356" s="76">
        <f t="shared" si="319"/>
        <v>0.33333333333333331</v>
      </c>
      <c r="E356" s="76">
        <f t="shared" si="319"/>
        <v>0.34761120263591433</v>
      </c>
      <c r="F356" s="76">
        <f t="shared" si="319"/>
        <v>0.25834797891036909</v>
      </c>
      <c r="G356" s="54">
        <f t="shared" si="319"/>
        <v>0.30893273923191172</v>
      </c>
      <c r="H356" s="76">
        <f t="shared" si="319"/>
        <v>0.34861660079051382</v>
      </c>
      <c r="I356" s="76">
        <f t="shared" si="319"/>
        <v>0.35066864784546803</v>
      </c>
      <c r="J356" s="76">
        <f t="shared" si="319"/>
        <v>0.3432944606413994</v>
      </c>
      <c r="K356" s="76">
        <f t="shared" si="319"/>
        <v>0.29432878679109836</v>
      </c>
      <c r="L356" s="54">
        <f t="shared" si="319"/>
        <v>0.33370535714285715</v>
      </c>
      <c r="M356" s="76">
        <f t="shared" si="319"/>
        <v>0.33811916726489588</v>
      </c>
      <c r="N356" s="76">
        <v>0.35799999999999998</v>
      </c>
      <c r="O356" s="76">
        <f t="shared" ref="O356:Z356" si="320">O331/O288</f>
        <v>0.35020804438280168</v>
      </c>
      <c r="P356" s="76">
        <f t="shared" si="320"/>
        <v>0.33855585831062668</v>
      </c>
      <c r="Q356" s="54">
        <f t="shared" si="320"/>
        <v>0.34612700628053034</v>
      </c>
      <c r="R356" s="76">
        <f t="shared" si="320"/>
        <v>0.37172413793103448</v>
      </c>
      <c r="S356" s="76">
        <f t="shared" si="320"/>
        <v>0.34770514603616132</v>
      </c>
      <c r="T356" s="76">
        <f t="shared" si="320"/>
        <v>0.33849401829697395</v>
      </c>
      <c r="U356" s="76">
        <f t="shared" si="320"/>
        <v>0.32364810330912025</v>
      </c>
      <c r="V356" s="54">
        <f t="shared" si="320"/>
        <v>0.34625090122566693</v>
      </c>
      <c r="W356" s="76">
        <f t="shared" si="320"/>
        <v>0.32315112540192925</v>
      </c>
      <c r="X356" s="76">
        <f t="shared" si="320"/>
        <v>0.34494773519163763</v>
      </c>
      <c r="Y356" s="76">
        <f t="shared" si="320"/>
        <v>0.31363203050524308</v>
      </c>
      <c r="Z356" s="76">
        <f t="shared" si="320"/>
        <v>0.28821811100292111</v>
      </c>
      <c r="AA356" s="54">
        <v>0.31900000000000001</v>
      </c>
      <c r="AB356" s="76">
        <f t="shared" ref="AB356:AJ356" si="321">AB331/AB288</f>
        <v>0.30601659751037347</v>
      </c>
      <c r="AC356" s="76">
        <f t="shared" si="321"/>
        <v>0.32677595628415301</v>
      </c>
      <c r="AD356" s="76">
        <f t="shared" si="321"/>
        <v>0.29883843717001057</v>
      </c>
      <c r="AE356" s="76">
        <f t="shared" si="321"/>
        <v>0.19125127161749747</v>
      </c>
      <c r="AF356" s="54">
        <f t="shared" si="321"/>
        <v>0.27960094512995537</v>
      </c>
      <c r="AG356" s="76">
        <f t="shared" si="321"/>
        <v>0.25299890948745912</v>
      </c>
      <c r="AH356" s="76">
        <f t="shared" si="321"/>
        <v>0.27520759193357058</v>
      </c>
      <c r="AI356" s="76">
        <f t="shared" si="321"/>
        <v>0.2803398058252427</v>
      </c>
      <c r="AJ356" s="76">
        <f t="shared" si="321"/>
        <v>0.22035928143712574</v>
      </c>
      <c r="AK356" s="54">
        <v>0.25709271716876281</v>
      </c>
      <c r="AL356" s="76">
        <v>0.18707015130674004</v>
      </c>
      <c r="AM356" s="76">
        <v>0.22052704576976423</v>
      </c>
      <c r="AN356" s="76">
        <v>0.23319615912208505</v>
      </c>
      <c r="AO356" s="76">
        <v>0.15568022440392706</v>
      </c>
      <c r="AP356" s="54">
        <v>0.19930795847750865</v>
      </c>
      <c r="AQ356" s="76">
        <v>0.15648286140089418</v>
      </c>
      <c r="AR356" s="76">
        <v>0.15653495440729484</v>
      </c>
      <c r="AS356" s="76">
        <v>0.18335901386748846</v>
      </c>
      <c r="AT356" s="76">
        <v>0.1303680981595092</v>
      </c>
      <c r="AU356" s="54">
        <v>0.15665399239543726</v>
      </c>
      <c r="AV356" s="76">
        <v>0.15764331210191082</v>
      </c>
      <c r="AW356" s="76">
        <v>0.20411392405063292</v>
      </c>
      <c r="AX356" s="76">
        <v>0.1921259842519685</v>
      </c>
      <c r="AY356" s="76">
        <v>0.16129032258064516</v>
      </c>
      <c r="AZ356" s="54">
        <v>0.17871170463472114</v>
      </c>
      <c r="BA356" s="76">
        <v>0.25848142164781907</v>
      </c>
      <c r="BB356" s="76">
        <v>0.26800000000000002</v>
      </c>
      <c r="BC356" s="76">
        <v>0.26400000000000001</v>
      </c>
      <c r="BD356" s="76">
        <v>0.27993527508090615</v>
      </c>
      <c r="BE356" s="54">
        <v>0.26729431027425299</v>
      </c>
      <c r="BF356" s="76">
        <v>0.25432525951557095</v>
      </c>
      <c r="BG356" s="76">
        <v>0.25900000000000001</v>
      </c>
      <c r="BH356" s="76">
        <v>0.2826797385620915</v>
      </c>
    </row>
    <row r="357" spans="1:60" s="35" customFormat="1">
      <c r="A357" s="67" t="s">
        <v>18</v>
      </c>
      <c r="B357" s="54">
        <f t="shared" ref="B357:AG357" si="322">B343/B288</f>
        <v>8.1340734415029883E-2</v>
      </c>
      <c r="C357" s="76">
        <f t="shared" si="322"/>
        <v>8.780903665814152E-2</v>
      </c>
      <c r="D357" s="76">
        <f t="shared" si="322"/>
        <v>0.1531986531986532</v>
      </c>
      <c r="E357" s="76">
        <f t="shared" si="322"/>
        <v>0.28830313014827019</v>
      </c>
      <c r="F357" s="76">
        <f t="shared" si="322"/>
        <v>0.14323374340949033</v>
      </c>
      <c r="G357" s="54">
        <f t="shared" si="322"/>
        <v>0.16931890515595163</v>
      </c>
      <c r="H357" s="76">
        <f t="shared" si="322"/>
        <v>0.11778656126482213</v>
      </c>
      <c r="I357" s="76">
        <f t="shared" si="322"/>
        <v>0.12109955423476969</v>
      </c>
      <c r="J357" s="76">
        <f t="shared" si="322"/>
        <v>0.10641399416909621</v>
      </c>
      <c r="K357" s="76">
        <f t="shared" si="322"/>
        <v>7.2505384063173015E-2</v>
      </c>
      <c r="L357" s="54">
        <f t="shared" si="322"/>
        <v>0.10398065476190477</v>
      </c>
      <c r="M357" s="76">
        <f t="shared" si="322"/>
        <v>6.604450825556353E-2</v>
      </c>
      <c r="N357" s="76">
        <f t="shared" si="322"/>
        <v>7.9776067179846047E-2</v>
      </c>
      <c r="O357" s="76">
        <f t="shared" si="322"/>
        <v>6.8654646324549234E-2</v>
      </c>
      <c r="P357" s="76">
        <f t="shared" si="322"/>
        <v>6.2670299727520432E-2</v>
      </c>
      <c r="Q357" s="54">
        <f t="shared" si="322"/>
        <v>6.9260293091416611E-2</v>
      </c>
      <c r="R357" s="76">
        <f t="shared" si="322"/>
        <v>9.1724137931034483E-2</v>
      </c>
      <c r="S357" s="76">
        <f t="shared" si="322"/>
        <v>5.9805285118219746E-2</v>
      </c>
      <c r="T357" s="76">
        <f t="shared" si="322"/>
        <v>7.5299085151301903E-2</v>
      </c>
      <c r="U357" s="76">
        <f t="shared" si="322"/>
        <v>7.5060532687651338E-2</v>
      </c>
      <c r="V357" s="54">
        <f t="shared" si="322"/>
        <v>7.5522710886806052E-2</v>
      </c>
      <c r="W357" s="76">
        <f t="shared" si="322"/>
        <v>9.2443729903536984E-2</v>
      </c>
      <c r="X357" s="76">
        <f t="shared" si="322"/>
        <v>9.4947735191637628E-2</v>
      </c>
      <c r="Y357" s="76">
        <f t="shared" si="322"/>
        <v>8.0076263107721646E-2</v>
      </c>
      <c r="Z357" s="76">
        <f t="shared" si="322"/>
        <v>7.4001947419668937E-2</v>
      </c>
      <c r="AA357" s="54">
        <f t="shared" si="322"/>
        <v>8.5944494180841546E-2</v>
      </c>
      <c r="AB357" s="76">
        <f t="shared" si="322"/>
        <v>6.8464730290456438E-2</v>
      </c>
      <c r="AC357" s="76">
        <f t="shared" si="322"/>
        <v>9.1803278688524587E-2</v>
      </c>
      <c r="AD357" s="76">
        <f t="shared" si="322"/>
        <v>9.714889123548047E-2</v>
      </c>
      <c r="AE357" s="76">
        <f t="shared" si="322"/>
        <v>7.9348931841302137E-2</v>
      </c>
      <c r="AF357" s="54">
        <f t="shared" si="322"/>
        <v>8.4011551588343392E-2</v>
      </c>
      <c r="AG357" s="76">
        <f t="shared" si="322"/>
        <v>7.9607415485278082E-2</v>
      </c>
      <c r="AH357" s="76">
        <f t="shared" ref="AH357:AJ357" si="323">AH343/AH288</f>
        <v>0.10676156583629894</v>
      </c>
      <c r="AI357" s="76">
        <f t="shared" si="323"/>
        <v>0.10194174757281553</v>
      </c>
      <c r="AJ357" s="76">
        <f t="shared" si="323"/>
        <v>9.8203592814371257E-2</v>
      </c>
      <c r="AK357" s="54">
        <v>9.6226966949400403E-2</v>
      </c>
      <c r="AL357" s="76">
        <v>0.10041265474552957</v>
      </c>
      <c r="AM357" s="76">
        <v>0.27600554785020803</v>
      </c>
      <c r="AN357" s="76">
        <v>0.12482853223593965</v>
      </c>
      <c r="AO357" s="76">
        <v>9.1164095371669002E-2</v>
      </c>
      <c r="AP357" s="54">
        <v>0.14809688581314878</v>
      </c>
      <c r="AQ357" s="76">
        <v>7.7496274217585689E-2</v>
      </c>
      <c r="AR357" s="76">
        <v>9.5744680851063829E-2</v>
      </c>
      <c r="AS357" s="76">
        <v>9.861325115562404E-2</v>
      </c>
      <c r="AT357" s="76">
        <v>9.815950920245399E-2</v>
      </c>
      <c r="AU357" s="54">
        <v>9.2395437262357411E-2</v>
      </c>
      <c r="AV357" s="76">
        <v>0.11624203821656051</v>
      </c>
      <c r="AW357" s="76">
        <v>0.12974683544303797</v>
      </c>
      <c r="AX357" s="76">
        <v>0.12283464566929134</v>
      </c>
      <c r="AY357" s="76">
        <v>0.11827956989247312</v>
      </c>
      <c r="AZ357" s="54">
        <v>0.12175962293794187</v>
      </c>
      <c r="BA357" s="76">
        <v>0.11147011308562198</v>
      </c>
      <c r="BB357" s="76">
        <v>0.14950166112956811</v>
      </c>
      <c r="BC357" s="76">
        <v>0.12086092715231789</v>
      </c>
      <c r="BD357" s="76">
        <v>0.12621359223300971</v>
      </c>
      <c r="BE357" s="54">
        <v>0.12689316414244781</v>
      </c>
      <c r="BF357" s="76">
        <v>0.10899653979238755</v>
      </c>
      <c r="BG357" s="76">
        <v>0.14561403508771931</v>
      </c>
      <c r="BH357" s="76">
        <v>0.11764705882352941</v>
      </c>
    </row>
    <row r="358" spans="1:60" ht="12.75" hidden="1" customHeight="1">
      <c r="A358" s="67" t="s">
        <v>138</v>
      </c>
      <c r="B358" s="119" t="s">
        <v>41</v>
      </c>
      <c r="C358" s="78" t="s">
        <v>49</v>
      </c>
      <c r="D358" s="78" t="s">
        <v>49</v>
      </c>
      <c r="E358" s="78" t="s">
        <v>49</v>
      </c>
      <c r="F358" s="78" t="s">
        <v>49</v>
      </c>
      <c r="G358" s="119" t="s">
        <v>41</v>
      </c>
      <c r="H358" s="78" t="s">
        <v>49</v>
      </c>
      <c r="I358" s="78" t="s">
        <v>49</v>
      </c>
      <c r="J358" s="78" t="s">
        <v>49</v>
      </c>
      <c r="K358" s="78" t="s">
        <v>49</v>
      </c>
      <c r="L358" s="36">
        <v>51</v>
      </c>
      <c r="M358" s="78" t="s">
        <v>49</v>
      </c>
      <c r="N358" s="78" t="s">
        <v>49</v>
      </c>
      <c r="O358" s="78" t="s">
        <v>49</v>
      </c>
      <c r="P358" s="78" t="s">
        <v>49</v>
      </c>
      <c r="Q358" s="36">
        <v>53</v>
      </c>
      <c r="R358" s="68">
        <v>20</v>
      </c>
      <c r="S358" s="68">
        <v>18</v>
      </c>
      <c r="T358" s="68">
        <v>20</v>
      </c>
      <c r="U358" s="68">
        <f>V358-R358-S358-T358</f>
        <v>18</v>
      </c>
      <c r="V358" s="36">
        <v>76</v>
      </c>
      <c r="W358" s="68">
        <v>28</v>
      </c>
      <c r="X358" s="68">
        <v>26</v>
      </c>
      <c r="Y358" s="68">
        <v>16</v>
      </c>
      <c r="Z358" s="68">
        <f>AA358-W358-X358-Y358</f>
        <v>11</v>
      </c>
      <c r="AA358" s="36">
        <v>81</v>
      </c>
      <c r="AB358" s="68">
        <v>7</v>
      </c>
      <c r="AC358" s="68">
        <v>6</v>
      </c>
      <c r="AD358" s="68">
        <v>6</v>
      </c>
      <c r="AE358" s="68">
        <f>AF358-AB358-AC358-AD358</f>
        <v>7</v>
      </c>
      <c r="AF358" s="36">
        <v>26</v>
      </c>
      <c r="AG358" s="68">
        <v>0</v>
      </c>
      <c r="AH358" s="74">
        <v>0</v>
      </c>
      <c r="AI358" s="74">
        <v>0</v>
      </c>
      <c r="AJ358" s="74">
        <v>0</v>
      </c>
      <c r="AK358" s="61"/>
      <c r="AL358" s="74"/>
      <c r="AM358" s="74"/>
      <c r="AN358" s="74"/>
      <c r="AO358" s="74"/>
      <c r="AP358" s="61"/>
      <c r="AQ358" s="74"/>
      <c r="AR358" s="74"/>
      <c r="AS358" s="74"/>
      <c r="AT358" s="74"/>
      <c r="AU358" s="61"/>
      <c r="AV358" s="74"/>
      <c r="AW358" s="74"/>
      <c r="AX358" s="74"/>
      <c r="AY358" s="74"/>
      <c r="AZ358" s="61"/>
      <c r="BA358" s="74"/>
      <c r="BB358" s="74"/>
      <c r="BC358" s="74"/>
      <c r="BD358" s="74"/>
      <c r="BE358" s="61"/>
      <c r="BF358" s="74"/>
      <c r="BG358" s="74"/>
      <c r="BH358" s="74"/>
    </row>
    <row r="359" spans="1:60" ht="12.75" hidden="1" customHeight="1">
      <c r="A359" s="69" t="s">
        <v>7</v>
      </c>
      <c r="B359" s="23"/>
      <c r="C359" s="70"/>
      <c r="D359" s="70"/>
      <c r="E359" s="70"/>
      <c r="F359" s="70"/>
      <c r="G359" s="23"/>
      <c r="H359" s="70"/>
      <c r="I359" s="70"/>
      <c r="J359" s="70"/>
      <c r="K359" s="70"/>
      <c r="L359" s="23"/>
      <c r="M359" s="70"/>
      <c r="N359" s="70"/>
      <c r="O359" s="70"/>
      <c r="P359" s="70"/>
      <c r="Q359" s="23"/>
      <c r="R359" s="70"/>
      <c r="S359" s="70">
        <f>S358/R358-1</f>
        <v>-9.9999999999999978E-2</v>
      </c>
      <c r="T359" s="70">
        <f>T358/S358-1</f>
        <v>0.11111111111111116</v>
      </c>
      <c r="U359" s="70">
        <f>U358/T358-1</f>
        <v>-9.9999999999999978E-2</v>
      </c>
      <c r="V359" s="23"/>
      <c r="W359" s="70">
        <f>W358/U358-1</f>
        <v>0.55555555555555558</v>
      </c>
      <c r="X359" s="70">
        <f>X358/W358-1</f>
        <v>-7.1428571428571397E-2</v>
      </c>
      <c r="Y359" s="70">
        <f>Y358/X358-1</f>
        <v>-0.38461538461538458</v>
      </c>
      <c r="Z359" s="70">
        <f>Z358/Y358-1</f>
        <v>-0.3125</v>
      </c>
      <c r="AA359" s="23"/>
      <c r="AB359" s="70">
        <f>AB358/Z358-1</f>
        <v>-0.36363636363636365</v>
      </c>
      <c r="AC359" s="70">
        <f>AC358/AB358-1</f>
        <v>-0.1428571428571429</v>
      </c>
      <c r="AD359" s="70">
        <f>AD358/AC358-1</f>
        <v>0</v>
      </c>
      <c r="AE359" s="70">
        <f>AE358/AD358-1</f>
        <v>0.16666666666666674</v>
      </c>
      <c r="AF359" s="23"/>
      <c r="AG359" s="83" t="s">
        <v>40</v>
      </c>
      <c r="AH359" s="83" t="s">
        <v>40</v>
      </c>
      <c r="AI359" s="83" t="s">
        <v>40</v>
      </c>
      <c r="AJ359" s="83" t="s">
        <v>40</v>
      </c>
      <c r="AK359" s="23"/>
      <c r="AL359" s="83"/>
      <c r="AM359" s="83"/>
      <c r="AN359" s="83"/>
      <c r="AO359" s="83"/>
      <c r="AP359" s="23"/>
      <c r="AQ359" s="83"/>
      <c r="AR359" s="83"/>
      <c r="AS359" s="83"/>
      <c r="AT359" s="83"/>
      <c r="AU359" s="23"/>
      <c r="AV359" s="83"/>
      <c r="AW359" s="83"/>
      <c r="AX359" s="83"/>
      <c r="AY359" s="83"/>
      <c r="AZ359" s="23"/>
      <c r="BA359" s="83"/>
      <c r="BB359" s="83"/>
      <c r="BC359" s="83"/>
      <c r="BD359" s="83"/>
      <c r="BE359" s="23"/>
      <c r="BF359" s="83"/>
      <c r="BG359" s="83"/>
      <c r="BH359" s="83"/>
    </row>
    <row r="360" spans="1:60" ht="11.7" hidden="1" customHeight="1">
      <c r="A360" s="69" t="s">
        <v>8</v>
      </c>
      <c r="B360" s="23"/>
      <c r="C360" s="71"/>
      <c r="D360" s="71"/>
      <c r="E360" s="71"/>
      <c r="F360" s="71"/>
      <c r="G360" s="23"/>
      <c r="H360" s="71"/>
      <c r="I360" s="71"/>
      <c r="J360" s="71"/>
      <c r="K360" s="71"/>
      <c r="L360" s="23"/>
      <c r="M360" s="71"/>
      <c r="N360" s="71"/>
      <c r="O360" s="71"/>
      <c r="P360" s="71"/>
      <c r="Q360" s="23">
        <f>Q358/L358-1</f>
        <v>3.9215686274509887E-2</v>
      </c>
      <c r="R360" s="71"/>
      <c r="S360" s="71"/>
      <c r="T360" s="71"/>
      <c r="U360" s="71"/>
      <c r="V360" s="23">
        <f t="shared" ref="V360" si="324">V358/Q358-1</f>
        <v>0.4339622641509433</v>
      </c>
      <c r="W360" s="71">
        <f t="shared" ref="W360" si="325">W358/R358-1</f>
        <v>0.39999999999999991</v>
      </c>
      <c r="X360" s="71">
        <f t="shared" ref="X360" si="326">X358/S358-1</f>
        <v>0.44444444444444442</v>
      </c>
      <c r="Y360" s="71">
        <f t="shared" ref="Y360" si="327">Y358/T358-1</f>
        <v>-0.19999999999999996</v>
      </c>
      <c r="Z360" s="71">
        <f t="shared" ref="Z360" si="328">Z358/U358-1</f>
        <v>-0.38888888888888884</v>
      </c>
      <c r="AA360" s="23">
        <f t="shared" ref="AA360" si="329">AA358/V358-1</f>
        <v>6.578947368421062E-2</v>
      </c>
      <c r="AB360" s="71">
        <f t="shared" ref="AB360" si="330">AB358/W358-1</f>
        <v>-0.75</v>
      </c>
      <c r="AC360" s="71">
        <f t="shared" ref="AC360" si="331">AC358/X358-1</f>
        <v>-0.76923076923076916</v>
      </c>
      <c r="AD360" s="71">
        <f t="shared" ref="AD360" si="332">AD358/Y358-1</f>
        <v>-0.625</v>
      </c>
      <c r="AE360" s="71">
        <f>AE358/Z358-1</f>
        <v>-0.36363636363636365</v>
      </c>
      <c r="AF360" s="23">
        <f>AF358/AA358-1</f>
        <v>-0.67901234567901236</v>
      </c>
      <c r="AG360" s="83" t="s">
        <v>40</v>
      </c>
      <c r="AH360" s="83" t="s">
        <v>40</v>
      </c>
      <c r="AI360" s="83" t="s">
        <v>40</v>
      </c>
      <c r="AJ360" s="83" t="s">
        <v>40</v>
      </c>
      <c r="AK360" s="90"/>
      <c r="AL360" s="83"/>
      <c r="AM360" s="83"/>
      <c r="AN360" s="83"/>
      <c r="AO360" s="83"/>
      <c r="AP360" s="90"/>
      <c r="AQ360" s="83"/>
      <c r="AR360" s="83"/>
      <c r="AS360" s="83"/>
      <c r="AT360" s="83"/>
      <c r="AU360" s="90"/>
      <c r="AV360" s="83"/>
      <c r="AW360" s="83"/>
      <c r="AX360" s="83"/>
      <c r="AY360" s="83"/>
      <c r="AZ360" s="90"/>
      <c r="BA360" s="83"/>
      <c r="BB360" s="83"/>
      <c r="BC360" s="83"/>
      <c r="BD360" s="83"/>
      <c r="BE360" s="90"/>
      <c r="BF360" s="83"/>
      <c r="BG360" s="83"/>
      <c r="BH360" s="83"/>
    </row>
    <row r="361" spans="1:60" ht="6"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row>
    <row r="362" spans="1:60" ht="21">
      <c r="A362" s="34" t="s">
        <v>15</v>
      </c>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row>
    <row r="363" spans="1:60">
      <c r="A363" s="39" t="s">
        <v>72</v>
      </c>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row>
    <row r="364" spans="1:60" s="35" customFormat="1">
      <c r="A364" s="67" t="s">
        <v>59</v>
      </c>
      <c r="B364" s="36">
        <v>1303.623</v>
      </c>
      <c r="C364" s="68">
        <v>313.89999999999998</v>
      </c>
      <c r="D364" s="68">
        <v>325.858</v>
      </c>
      <c r="E364" s="68">
        <v>328.83300000000003</v>
      </c>
      <c r="F364" s="68">
        <f>G364-E364-D364-C364</f>
        <v>337.18799999999999</v>
      </c>
      <c r="G364" s="36">
        <v>1305.779</v>
      </c>
      <c r="H364" s="68">
        <v>324.49</v>
      </c>
      <c r="I364" s="68">
        <v>326.71300000000002</v>
      </c>
      <c r="J364" s="68">
        <v>332.48399999999998</v>
      </c>
      <c r="K364" s="68">
        <f>L364-J364-I364-H364</f>
        <v>333.98099999999999</v>
      </c>
      <c r="L364" s="36">
        <v>1317.6679999999999</v>
      </c>
      <c r="M364" s="68">
        <v>343.12</v>
      </c>
      <c r="N364" s="68">
        <v>340</v>
      </c>
      <c r="O364" s="68">
        <v>347.37700000000001</v>
      </c>
      <c r="P364" s="68">
        <f>Q364-O364-N364-M364</f>
        <v>349.97200000000009</v>
      </c>
      <c r="Q364" s="36">
        <v>1380.4690000000001</v>
      </c>
      <c r="R364" s="68">
        <v>329.40699999999998</v>
      </c>
      <c r="S364" s="68">
        <v>332.44099999999997</v>
      </c>
      <c r="T364" s="68">
        <v>350.678</v>
      </c>
      <c r="U364" s="68">
        <f>V364-T364-S364-R364</f>
        <v>341.07600000000019</v>
      </c>
      <c r="V364" s="36">
        <v>1353.6020000000001</v>
      </c>
      <c r="W364" s="68">
        <v>332.22199999999998</v>
      </c>
      <c r="X364" s="68">
        <v>329.83300000000003</v>
      </c>
      <c r="Y364" s="68">
        <v>338.55399999999997</v>
      </c>
      <c r="Z364" s="68">
        <f>AA364-Y364-X364-W364</f>
        <v>339.50800000000004</v>
      </c>
      <c r="AA364" s="36">
        <v>1340.117</v>
      </c>
      <c r="AB364" s="68">
        <v>345.57600000000002</v>
      </c>
      <c r="AC364" s="68">
        <v>358.74400000000003</v>
      </c>
      <c r="AD364" s="68">
        <v>359.62400000000002</v>
      </c>
      <c r="AE364" s="68">
        <f>AF364-AD364-AC364-AB364</f>
        <v>368.81699999999989</v>
      </c>
      <c r="AF364" s="36">
        <v>1432.761</v>
      </c>
      <c r="AG364" s="68">
        <v>355</v>
      </c>
      <c r="AH364" s="68">
        <v>365</v>
      </c>
      <c r="AI364" s="68">
        <v>385</v>
      </c>
      <c r="AJ364" s="68">
        <f>AK364-AI364-AH364-AG364</f>
        <v>399</v>
      </c>
      <c r="AK364" s="36">
        <v>1504</v>
      </c>
      <c r="AL364" s="68">
        <v>393</v>
      </c>
      <c r="AM364" s="68">
        <v>391</v>
      </c>
      <c r="AN364" s="68">
        <v>389</v>
      </c>
      <c r="AO364" s="68">
        <v>405</v>
      </c>
      <c r="AP364" s="36">
        <v>1578</v>
      </c>
      <c r="AQ364" s="68">
        <v>395</v>
      </c>
      <c r="AR364" s="68">
        <v>377</v>
      </c>
      <c r="AS364" s="68">
        <v>384</v>
      </c>
      <c r="AT364" s="68">
        <v>392</v>
      </c>
      <c r="AU364" s="36">
        <v>1548</v>
      </c>
      <c r="AV364" s="68">
        <v>384</v>
      </c>
      <c r="AW364" s="68">
        <v>407</v>
      </c>
      <c r="AX364" s="68">
        <v>367</v>
      </c>
      <c r="AY364" s="68">
        <v>379</v>
      </c>
      <c r="AZ364" s="36">
        <v>1537</v>
      </c>
      <c r="BA364" s="68">
        <v>352</v>
      </c>
      <c r="BB364" s="68">
        <v>336</v>
      </c>
      <c r="BC364" s="68">
        <v>333</v>
      </c>
      <c r="BD364" s="68">
        <v>370</v>
      </c>
      <c r="BE364" s="36">
        <v>1391</v>
      </c>
      <c r="BF364" s="68">
        <v>341</v>
      </c>
      <c r="BG364" s="68">
        <v>339</v>
      </c>
      <c r="BH364" s="68">
        <v>329</v>
      </c>
    </row>
    <row r="365" spans="1:60" ht="10.5" customHeight="1">
      <c r="A365" s="69" t="s">
        <v>7</v>
      </c>
      <c r="B365" s="23"/>
      <c r="C365" s="70"/>
      <c r="D365" s="70">
        <f>D364/C364-1</f>
        <v>3.8094934692577409E-2</v>
      </c>
      <c r="E365" s="70">
        <f>E364/D364-1</f>
        <v>9.1297436306612134E-3</v>
      </c>
      <c r="F365" s="70">
        <f>F364/E364-1</f>
        <v>2.5408033865214064E-2</v>
      </c>
      <c r="G365" s="23"/>
      <c r="H365" s="70">
        <f>H364/F364-1</f>
        <v>-3.7658516910447526E-2</v>
      </c>
      <c r="I365" s="70">
        <f>I364/H364-1</f>
        <v>6.8507504083330506E-3</v>
      </c>
      <c r="J365" s="70">
        <f>J364/I364-1</f>
        <v>1.7663821151897796E-2</v>
      </c>
      <c r="K365" s="70">
        <f>K364/J364-1</f>
        <v>4.5024722994189137E-3</v>
      </c>
      <c r="L365" s="23"/>
      <c r="M365" s="70">
        <f>M364/K364-1</f>
        <v>2.7363832074279726E-2</v>
      </c>
      <c r="N365" s="70">
        <f>N364/M364-1</f>
        <v>-9.0930286780135372E-3</v>
      </c>
      <c r="O365" s="70">
        <f>O364/N364-1</f>
        <v>2.1697058823529458E-2</v>
      </c>
      <c r="P365" s="70">
        <f>P364/O364-1</f>
        <v>7.4702700524216237E-3</v>
      </c>
      <c r="Q365" s="23"/>
      <c r="R365" s="70">
        <f>R364/P364-1</f>
        <v>-5.8761843804647551E-2</v>
      </c>
      <c r="S365" s="70">
        <f>S364/R364-1</f>
        <v>9.2104903660212845E-3</v>
      </c>
      <c r="T365" s="70">
        <f>T364/S364-1</f>
        <v>5.4857854476433543E-2</v>
      </c>
      <c r="U365" s="70">
        <f>U364/T364-1</f>
        <v>-2.7381244332406962E-2</v>
      </c>
      <c r="V365" s="23"/>
      <c r="W365" s="70">
        <f>W364/U364-1</f>
        <v>-2.5959023795283809E-2</v>
      </c>
      <c r="X365" s="70">
        <f>X364/W364-1</f>
        <v>-7.1909747096818855E-3</v>
      </c>
      <c r="Y365" s="70">
        <f>Y364/X364-1</f>
        <v>2.6440653300306316E-2</v>
      </c>
      <c r="Z365" s="70">
        <v>2.8178665737226272E-3</v>
      </c>
      <c r="AA365" s="23"/>
      <c r="AB365" s="70">
        <f>AB364/Z364-1</f>
        <v>1.7872921993001611E-2</v>
      </c>
      <c r="AC365" s="70">
        <f>AC364/AB364-1</f>
        <v>3.8104497997546227E-2</v>
      </c>
      <c r="AD365" s="70">
        <f>AD364/AC364-1</f>
        <v>2.4530026983029529E-3</v>
      </c>
      <c r="AE365" s="70">
        <f>AE364/AD364-1</f>
        <v>2.5562810046047657E-2</v>
      </c>
      <c r="AF365" s="23"/>
      <c r="AG365" s="70">
        <f>AG364/AE364-1</f>
        <v>-3.7463023667563822E-2</v>
      </c>
      <c r="AH365" s="70">
        <f>AH364/AG364-1</f>
        <v>2.8169014084507005E-2</v>
      </c>
      <c r="AI365" s="70">
        <f>AI364/AH364-1</f>
        <v>5.4794520547945202E-2</v>
      </c>
      <c r="AJ365" s="70">
        <f>AJ364/AI364-1</f>
        <v>3.6363636363636376E-2</v>
      </c>
      <c r="AK365" s="23"/>
      <c r="AL365" s="70">
        <v>-1.5037593984962405E-2</v>
      </c>
      <c r="AM365" s="70">
        <v>-5.0890585241730735E-3</v>
      </c>
      <c r="AN365" s="70">
        <v>-5.1150895140664732E-3</v>
      </c>
      <c r="AO365" s="70">
        <v>4.1131105398457546E-2</v>
      </c>
      <c r="AP365" s="23"/>
      <c r="AQ365" s="70">
        <v>-2.4691358024691357E-2</v>
      </c>
      <c r="AR365" s="70">
        <v>-4.5569620253164578E-2</v>
      </c>
      <c r="AS365" s="70">
        <v>1.8567639257294433E-2</v>
      </c>
      <c r="AT365" s="70">
        <v>2.0833333333333259E-2</v>
      </c>
      <c r="AU365" s="23"/>
      <c r="AV365" s="70">
        <v>-2.0408163265306145E-2</v>
      </c>
      <c r="AW365" s="70">
        <v>5.9895833333333259E-2</v>
      </c>
      <c r="AX365" s="70">
        <v>-9.8280098280098316E-2</v>
      </c>
      <c r="AY365" s="70">
        <v>3.2697547683923744E-2</v>
      </c>
      <c r="AZ365" s="23"/>
      <c r="BA365" s="70">
        <v>-7.1240105540897103E-2</v>
      </c>
      <c r="BB365" s="70">
        <v>-4.5454545454545414E-2</v>
      </c>
      <c r="BC365" s="70">
        <v>-8.9285714285713969E-3</v>
      </c>
      <c r="BD365" s="70">
        <v>0.11111111111111116</v>
      </c>
      <c r="BE365" s="23"/>
      <c r="BF365" s="70">
        <v>-7.8378378378378355E-2</v>
      </c>
      <c r="BG365" s="70">
        <v>-5.8651026392961825E-3</v>
      </c>
      <c r="BH365" s="70">
        <v>-2.9498525073746285E-2</v>
      </c>
    </row>
    <row r="366" spans="1:60" ht="11.25" customHeight="1">
      <c r="A366" s="69" t="s">
        <v>8</v>
      </c>
      <c r="B366" s="23"/>
      <c r="C366" s="71"/>
      <c r="D366" s="71"/>
      <c r="E366" s="71"/>
      <c r="F366" s="71"/>
      <c r="G366" s="23">
        <f t="shared" ref="G366:Y366" si="333">G364/B364-1</f>
        <v>1.6538523791003179E-3</v>
      </c>
      <c r="H366" s="71">
        <f t="shared" si="333"/>
        <v>3.3736858872252418E-2</v>
      </c>
      <c r="I366" s="71">
        <f t="shared" si="333"/>
        <v>2.6238422871311951E-3</v>
      </c>
      <c r="J366" s="71">
        <f t="shared" si="333"/>
        <v>1.1102900256360959E-2</v>
      </c>
      <c r="K366" s="71">
        <f t="shared" si="333"/>
        <v>-9.5110146268549967E-3</v>
      </c>
      <c r="L366" s="23">
        <f t="shared" si="333"/>
        <v>9.1049097894819742E-3</v>
      </c>
      <c r="M366" s="71">
        <f t="shared" si="333"/>
        <v>5.741317143825686E-2</v>
      </c>
      <c r="N366" s="71">
        <f t="shared" si="333"/>
        <v>4.0668721477259862E-2</v>
      </c>
      <c r="O366" s="71">
        <f t="shared" si="333"/>
        <v>4.479313290263609E-2</v>
      </c>
      <c r="P366" s="71">
        <f t="shared" si="333"/>
        <v>4.7879969219806195E-2</v>
      </c>
      <c r="Q366" s="23">
        <f t="shared" si="333"/>
        <v>4.7660715749339166E-2</v>
      </c>
      <c r="R366" s="71">
        <f t="shared" si="333"/>
        <v>-3.9965609699230686E-2</v>
      </c>
      <c r="S366" s="71">
        <f t="shared" si="333"/>
        <v>-2.2232352941176536E-2</v>
      </c>
      <c r="T366" s="71">
        <f t="shared" si="333"/>
        <v>9.5026441013652541E-3</v>
      </c>
      <c r="U366" s="71">
        <f t="shared" si="333"/>
        <v>-2.5419176391253906E-2</v>
      </c>
      <c r="V366" s="23">
        <f t="shared" si="333"/>
        <v>-1.9462226243399883E-2</v>
      </c>
      <c r="W366" s="71">
        <f t="shared" si="333"/>
        <v>8.545659321143706E-3</v>
      </c>
      <c r="X366" s="71">
        <f t="shared" si="333"/>
        <v>-7.8450010678584592E-3</v>
      </c>
      <c r="Y366" s="71">
        <f t="shared" si="333"/>
        <v>-3.4573027107488996E-2</v>
      </c>
      <c r="Z366" s="71">
        <v>-4.5972158697772381E-3</v>
      </c>
      <c r="AA366" s="23">
        <f t="shared" ref="AA366:AI366" si="334">AA364/V364-1</f>
        <v>-9.9623079753133892E-3</v>
      </c>
      <c r="AB366" s="71">
        <f t="shared" si="334"/>
        <v>4.0196013509039341E-2</v>
      </c>
      <c r="AC366" s="71">
        <f t="shared" si="334"/>
        <v>8.765344886654769E-2</v>
      </c>
      <c r="AD366" s="71">
        <f t="shared" si="334"/>
        <v>6.2235271182736085E-2</v>
      </c>
      <c r="AE366" s="71">
        <f t="shared" si="334"/>
        <v>8.6327862671865985E-2</v>
      </c>
      <c r="AF366" s="23">
        <f t="shared" si="334"/>
        <v>6.913127734369473E-2</v>
      </c>
      <c r="AG366" s="71">
        <f t="shared" si="334"/>
        <v>2.7270412297150104E-2</v>
      </c>
      <c r="AH366" s="71">
        <f t="shared" si="334"/>
        <v>1.743861918248113E-2</v>
      </c>
      <c r="AI366" s="71">
        <f t="shared" si="334"/>
        <v>7.0562587591484371E-2</v>
      </c>
      <c r="AJ366" s="71">
        <f t="shared" ref="AJ366" si="335">AJ364/AE364-1</f>
        <v>8.1837333962371916E-2</v>
      </c>
      <c r="AK366" s="23">
        <v>4.9721481810294899E-2</v>
      </c>
      <c r="AL366" s="71">
        <v>0.10704225352112684</v>
      </c>
      <c r="AM366" s="71">
        <v>7.1232876712328697E-2</v>
      </c>
      <c r="AN366" s="71">
        <v>1.0389610389610393E-2</v>
      </c>
      <c r="AO366" s="71">
        <v>1.5037593984962516E-2</v>
      </c>
      <c r="AP366" s="23">
        <v>4.9202127659574435E-2</v>
      </c>
      <c r="AQ366" s="71">
        <v>5.0890585241729624E-3</v>
      </c>
      <c r="AR366" s="71">
        <v>-3.5805626598465423E-2</v>
      </c>
      <c r="AS366" s="71">
        <v>-1.2853470437018011E-2</v>
      </c>
      <c r="AT366" s="71">
        <v>-3.2098765432098775E-2</v>
      </c>
      <c r="AU366" s="23">
        <v>-1.9011406844106515E-2</v>
      </c>
      <c r="AV366" s="71">
        <v>-2.7848101265822822E-2</v>
      </c>
      <c r="AW366" s="71">
        <v>7.9575596816976235E-2</v>
      </c>
      <c r="AX366" s="71">
        <v>-4.427083333333337E-2</v>
      </c>
      <c r="AY366" s="71">
        <v>-3.3163265306122458E-2</v>
      </c>
      <c r="AZ366" s="23">
        <v>-7.10594315245483E-3</v>
      </c>
      <c r="BA366" s="71">
        <v>-8.333333333333337E-2</v>
      </c>
      <c r="BB366" s="71">
        <v>-0.1744471744471745</v>
      </c>
      <c r="BC366" s="71">
        <v>-9.2643051771117202E-2</v>
      </c>
      <c r="BD366" s="71">
        <v>-2.3746701846965701E-2</v>
      </c>
      <c r="BE366" s="23">
        <v>-9.4990240728692221E-2</v>
      </c>
      <c r="BF366" s="71">
        <v>-3.125E-2</v>
      </c>
      <c r="BG366" s="71">
        <v>8.9285714285713969E-3</v>
      </c>
      <c r="BH366" s="71">
        <v>-1.2012012012011963E-2</v>
      </c>
    </row>
    <row r="367" spans="1:60" ht="3.75" customHeight="1">
      <c r="A367" s="39"/>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row>
    <row r="368" spans="1:60">
      <c r="A368" s="67" t="s">
        <v>135</v>
      </c>
      <c r="B368" s="119" t="s">
        <v>41</v>
      </c>
      <c r="C368" s="78" t="s">
        <v>49</v>
      </c>
      <c r="D368" s="78" t="s">
        <v>49</v>
      </c>
      <c r="E368" s="78" t="s">
        <v>49</v>
      </c>
      <c r="F368" s="78" t="s">
        <v>49</v>
      </c>
      <c r="G368" s="36">
        <v>502</v>
      </c>
      <c r="H368" s="78" t="s">
        <v>49</v>
      </c>
      <c r="I368" s="78" t="s">
        <v>49</v>
      </c>
      <c r="J368" s="78" t="s">
        <v>49</v>
      </c>
      <c r="K368" s="78" t="s">
        <v>49</v>
      </c>
      <c r="L368" s="36">
        <v>502</v>
      </c>
      <c r="M368" s="78" t="s">
        <v>49</v>
      </c>
      <c r="N368" s="78" t="s">
        <v>49</v>
      </c>
      <c r="O368" s="78" t="s">
        <v>49</v>
      </c>
      <c r="P368" s="78" t="s">
        <v>49</v>
      </c>
      <c r="Q368" s="36">
        <v>501</v>
      </c>
      <c r="R368" s="78" t="s">
        <v>49</v>
      </c>
      <c r="S368" s="78" t="s">
        <v>49</v>
      </c>
      <c r="T368" s="78" t="s">
        <v>49</v>
      </c>
      <c r="U368" s="78" t="s">
        <v>49</v>
      </c>
      <c r="V368" s="36">
        <v>413</v>
      </c>
      <c r="W368" s="78" t="s">
        <v>49</v>
      </c>
      <c r="X368" s="78" t="s">
        <v>49</v>
      </c>
      <c r="Y368" s="78" t="s">
        <v>49</v>
      </c>
      <c r="Z368" s="78" t="s">
        <v>49</v>
      </c>
      <c r="AA368" s="36">
        <v>383</v>
      </c>
      <c r="AB368" s="78" t="s">
        <v>49</v>
      </c>
      <c r="AC368" s="78" t="s">
        <v>49</v>
      </c>
      <c r="AD368" s="78" t="s">
        <v>49</v>
      </c>
      <c r="AE368" s="78" t="s">
        <v>49</v>
      </c>
      <c r="AF368" s="36">
        <v>401</v>
      </c>
      <c r="AG368" s="78" t="s">
        <v>49</v>
      </c>
      <c r="AH368" s="78" t="s">
        <v>49</v>
      </c>
      <c r="AI368" s="78" t="s">
        <v>49</v>
      </c>
      <c r="AJ368" s="78" t="s">
        <v>49</v>
      </c>
      <c r="AK368" s="36">
        <v>395</v>
      </c>
      <c r="AL368" s="78" t="s">
        <v>49</v>
      </c>
      <c r="AM368" s="78" t="s">
        <v>49</v>
      </c>
      <c r="AN368" s="78" t="s">
        <v>49</v>
      </c>
      <c r="AO368" s="78" t="s">
        <v>49</v>
      </c>
      <c r="AP368" s="36">
        <v>379</v>
      </c>
      <c r="AQ368" s="78" t="s">
        <v>49</v>
      </c>
      <c r="AR368" s="78" t="s">
        <v>49</v>
      </c>
      <c r="AS368" s="78" t="s">
        <v>49</v>
      </c>
      <c r="AT368" s="78" t="s">
        <v>49</v>
      </c>
      <c r="AU368" s="36">
        <v>325</v>
      </c>
      <c r="AV368" s="78" t="s">
        <v>49</v>
      </c>
      <c r="AW368" s="78" t="s">
        <v>49</v>
      </c>
      <c r="AX368" s="78" t="s">
        <v>49</v>
      </c>
      <c r="AY368" s="78" t="s">
        <v>49</v>
      </c>
      <c r="AZ368" s="36">
        <v>268</v>
      </c>
      <c r="BA368" s="78" t="s">
        <v>49</v>
      </c>
      <c r="BB368" s="78" t="s">
        <v>49</v>
      </c>
      <c r="BC368" s="78" t="s">
        <v>49</v>
      </c>
      <c r="BD368" s="78" t="s">
        <v>49</v>
      </c>
      <c r="BE368" s="36">
        <v>225</v>
      </c>
      <c r="BF368" s="78" t="s">
        <v>49</v>
      </c>
      <c r="BG368" s="78" t="s">
        <v>49</v>
      </c>
      <c r="BH368" s="78" t="s">
        <v>49</v>
      </c>
    </row>
    <row r="369" spans="1:60" ht="9.75" customHeight="1">
      <c r="A369" s="69" t="s">
        <v>133</v>
      </c>
      <c r="B369" s="23"/>
      <c r="C369" s="71"/>
      <c r="D369" s="71"/>
      <c r="E369" s="71"/>
      <c r="F369" s="71"/>
      <c r="G369" s="23">
        <f>G368/G364</f>
        <v>0.38444484097232379</v>
      </c>
      <c r="H369" s="71"/>
      <c r="I369" s="71"/>
      <c r="J369" s="71"/>
      <c r="K369" s="71"/>
      <c r="L369" s="23">
        <f>L368/L364</f>
        <v>0.3809760880586005</v>
      </c>
      <c r="M369" s="71"/>
      <c r="N369" s="71"/>
      <c r="O369" s="71"/>
      <c r="P369" s="71"/>
      <c r="Q369" s="23">
        <f>Q368/Q364</f>
        <v>0.36292013801106726</v>
      </c>
      <c r="R369" s="71"/>
      <c r="S369" s="71"/>
      <c r="T369" s="71"/>
      <c r="U369" s="71"/>
      <c r="V369" s="23">
        <f>V368/V364</f>
        <v>0.30511184232883815</v>
      </c>
      <c r="W369" s="71"/>
      <c r="X369" s="71"/>
      <c r="Y369" s="71"/>
      <c r="Z369" s="71"/>
      <c r="AA369" s="23">
        <f>AA368/AA364</f>
        <v>0.2857959416976279</v>
      </c>
      <c r="AB369" s="71"/>
      <c r="AC369" s="71"/>
      <c r="AD369" s="71"/>
      <c r="AE369" s="71"/>
      <c r="AF369" s="23">
        <f>AF368/AF364</f>
        <v>0.27987919827521829</v>
      </c>
      <c r="AG369" s="71"/>
      <c r="AH369" s="71"/>
      <c r="AI369" s="71"/>
      <c r="AJ369" s="71"/>
      <c r="AK369" s="23">
        <v>0.26263297872340424</v>
      </c>
      <c r="AL369" s="71"/>
      <c r="AM369" s="71"/>
      <c r="AN369" s="71"/>
      <c r="AO369" s="71"/>
      <c r="AP369" s="23">
        <v>0.24017743979721165</v>
      </c>
      <c r="AQ369" s="71"/>
      <c r="AR369" s="71"/>
      <c r="AS369" s="71"/>
      <c r="AT369" s="71"/>
      <c r="AU369" s="23">
        <v>0.2099483204134367</v>
      </c>
      <c r="AV369" s="71"/>
      <c r="AW369" s="71"/>
      <c r="AX369" s="71"/>
      <c r="AY369" s="71"/>
      <c r="AZ369" s="23">
        <v>0.17436564736499674</v>
      </c>
      <c r="BA369" s="71"/>
      <c r="BB369" s="71"/>
      <c r="BC369" s="71"/>
      <c r="BD369" s="71"/>
      <c r="BE369" s="23">
        <v>0.16175413371675054</v>
      </c>
      <c r="BF369" s="71"/>
      <c r="BG369" s="71"/>
      <c r="BH369" s="71"/>
    </row>
    <row r="370" spans="1:60" ht="11.25" customHeight="1">
      <c r="A370" s="67" t="s">
        <v>136</v>
      </c>
      <c r="B370" s="119" t="s">
        <v>41</v>
      </c>
      <c r="C370" s="78" t="s">
        <v>49</v>
      </c>
      <c r="D370" s="78" t="s">
        <v>49</v>
      </c>
      <c r="E370" s="78" t="s">
        <v>49</v>
      </c>
      <c r="F370" s="78" t="s">
        <v>49</v>
      </c>
      <c r="G370" s="36">
        <v>804</v>
      </c>
      <c r="H370" s="78" t="s">
        <v>49</v>
      </c>
      <c r="I370" s="78" t="s">
        <v>49</v>
      </c>
      <c r="J370" s="78" t="s">
        <v>49</v>
      </c>
      <c r="K370" s="78" t="s">
        <v>49</v>
      </c>
      <c r="L370" s="36">
        <v>816</v>
      </c>
      <c r="M370" s="78" t="s">
        <v>49</v>
      </c>
      <c r="N370" s="78" t="s">
        <v>49</v>
      </c>
      <c r="O370" s="78" t="s">
        <v>49</v>
      </c>
      <c r="P370" s="78" t="s">
        <v>49</v>
      </c>
      <c r="Q370" s="36">
        <v>879</v>
      </c>
      <c r="R370" s="78" t="s">
        <v>49</v>
      </c>
      <c r="S370" s="78" t="s">
        <v>49</v>
      </c>
      <c r="T370" s="78" t="s">
        <v>49</v>
      </c>
      <c r="U370" s="78" t="s">
        <v>49</v>
      </c>
      <c r="V370" s="36">
        <v>941</v>
      </c>
      <c r="W370" s="78" t="s">
        <v>49</v>
      </c>
      <c r="X370" s="78" t="s">
        <v>49</v>
      </c>
      <c r="Y370" s="78" t="s">
        <v>49</v>
      </c>
      <c r="Z370" s="78" t="s">
        <v>49</v>
      </c>
      <c r="AA370" s="36">
        <v>957</v>
      </c>
      <c r="AB370" s="78" t="s">
        <v>49</v>
      </c>
      <c r="AC370" s="78" t="s">
        <v>49</v>
      </c>
      <c r="AD370" s="78" t="s">
        <v>49</v>
      </c>
      <c r="AE370" s="78" t="s">
        <v>49</v>
      </c>
      <c r="AF370" s="36">
        <v>1032</v>
      </c>
      <c r="AG370" s="78" t="s">
        <v>49</v>
      </c>
      <c r="AH370" s="78" t="s">
        <v>49</v>
      </c>
      <c r="AI370" s="78" t="s">
        <v>49</v>
      </c>
      <c r="AJ370" s="78" t="s">
        <v>49</v>
      </c>
      <c r="AK370" s="36">
        <v>1109</v>
      </c>
      <c r="AL370" s="78" t="s">
        <v>49</v>
      </c>
      <c r="AM370" s="78" t="s">
        <v>49</v>
      </c>
      <c r="AN370" s="78" t="s">
        <v>49</v>
      </c>
      <c r="AO370" s="78" t="s">
        <v>49</v>
      </c>
      <c r="AP370" s="36">
        <v>1199</v>
      </c>
      <c r="AQ370" s="78" t="s">
        <v>49</v>
      </c>
      <c r="AR370" s="78" t="s">
        <v>49</v>
      </c>
      <c r="AS370" s="78" t="s">
        <v>49</v>
      </c>
      <c r="AT370" s="78" t="s">
        <v>49</v>
      </c>
      <c r="AU370" s="36">
        <v>1223</v>
      </c>
      <c r="AV370" s="78" t="s">
        <v>49</v>
      </c>
      <c r="AW370" s="78" t="s">
        <v>49</v>
      </c>
      <c r="AX370" s="78" t="s">
        <v>49</v>
      </c>
      <c r="AY370" s="78" t="s">
        <v>49</v>
      </c>
      <c r="AZ370" s="36">
        <v>1269</v>
      </c>
      <c r="BA370" s="78" t="s">
        <v>49</v>
      </c>
      <c r="BB370" s="78" t="s">
        <v>49</v>
      </c>
      <c r="BC370" s="78" t="s">
        <v>49</v>
      </c>
      <c r="BD370" s="78" t="s">
        <v>49</v>
      </c>
      <c r="BE370" s="36">
        <v>1166</v>
      </c>
      <c r="BF370" s="78" t="s">
        <v>49</v>
      </c>
      <c r="BG370" s="78" t="s">
        <v>49</v>
      </c>
      <c r="BH370" s="78" t="s">
        <v>49</v>
      </c>
    </row>
    <row r="371" spans="1:60" ht="10.5" customHeight="1">
      <c r="A371" s="69" t="s">
        <v>133</v>
      </c>
      <c r="B371" s="23"/>
      <c r="C371" s="71"/>
      <c r="D371" s="71"/>
      <c r="E371" s="71"/>
      <c r="F371" s="71"/>
      <c r="G371" s="23">
        <f>G370/G364</f>
        <v>0.61572440665686923</v>
      </c>
      <c r="H371" s="71"/>
      <c r="I371" s="71"/>
      <c r="J371" s="71"/>
      <c r="K371" s="71"/>
      <c r="L371" s="23">
        <f>L370/L364</f>
        <v>0.61927587222274505</v>
      </c>
      <c r="M371" s="71"/>
      <c r="N371" s="71"/>
      <c r="O371" s="71"/>
      <c r="P371" s="71"/>
      <c r="Q371" s="23">
        <f>Q370/Q364</f>
        <v>0.63674012237869881</v>
      </c>
      <c r="R371" s="71"/>
      <c r="S371" s="71"/>
      <c r="T371" s="71"/>
      <c r="U371" s="71"/>
      <c r="V371" s="23">
        <f>V370/V364</f>
        <v>0.69518218796958042</v>
      </c>
      <c r="W371" s="71"/>
      <c r="X371" s="71"/>
      <c r="Y371" s="71"/>
      <c r="Z371" s="71"/>
      <c r="AA371" s="23">
        <f>AA370/AA364</f>
        <v>0.71411675249250628</v>
      </c>
      <c r="AB371" s="71"/>
      <c r="AC371" s="71"/>
      <c r="AD371" s="71"/>
      <c r="AE371" s="71"/>
      <c r="AF371" s="23">
        <f>AF370/AF364</f>
        <v>0.72028761251876627</v>
      </c>
      <c r="AG371" s="71"/>
      <c r="AH371" s="71"/>
      <c r="AI371" s="71"/>
      <c r="AJ371" s="71"/>
      <c r="AK371" s="23">
        <v>0.7373670212765957</v>
      </c>
      <c r="AL371" s="71"/>
      <c r="AM371" s="71"/>
      <c r="AN371" s="71"/>
      <c r="AO371" s="71"/>
      <c r="AP371" s="23">
        <v>0.75982256020278838</v>
      </c>
      <c r="AQ371" s="71"/>
      <c r="AR371" s="71"/>
      <c r="AS371" s="71"/>
      <c r="AT371" s="71"/>
      <c r="AU371" s="23">
        <v>0.7900516795865633</v>
      </c>
      <c r="AV371" s="71"/>
      <c r="AW371" s="71"/>
      <c r="AX371" s="71"/>
      <c r="AY371" s="71"/>
      <c r="AZ371" s="23">
        <v>0.82563435263500329</v>
      </c>
      <c r="BA371" s="71"/>
      <c r="BB371" s="71"/>
      <c r="BC371" s="71"/>
      <c r="BD371" s="71"/>
      <c r="BE371" s="23">
        <v>0.83824586628324949</v>
      </c>
      <c r="BF371" s="71"/>
      <c r="BG371" s="71"/>
      <c r="BH371" s="71"/>
    </row>
    <row r="372" spans="1:60" ht="3.75" customHeight="1">
      <c r="A372" s="39"/>
      <c r="B372" s="40"/>
      <c r="C372" s="41"/>
      <c r="D372" s="41"/>
      <c r="E372" s="41"/>
      <c r="F372" s="41"/>
      <c r="G372" s="40"/>
      <c r="H372" s="41"/>
      <c r="I372" s="41"/>
      <c r="J372" s="41"/>
      <c r="K372" s="41"/>
      <c r="L372" s="40"/>
      <c r="M372" s="41"/>
      <c r="N372" s="41"/>
      <c r="O372" s="41"/>
      <c r="P372" s="41"/>
      <c r="Q372" s="40"/>
      <c r="R372" s="41"/>
      <c r="S372" s="41"/>
      <c r="T372" s="41"/>
      <c r="U372" s="41"/>
      <c r="V372" s="40"/>
      <c r="W372" s="41"/>
      <c r="X372" s="41"/>
      <c r="Y372" s="41"/>
      <c r="Z372" s="41"/>
      <c r="AA372" s="40"/>
      <c r="AB372" s="41"/>
      <c r="AC372" s="41"/>
      <c r="AD372" s="41"/>
      <c r="AE372" s="41"/>
      <c r="AF372" s="40"/>
      <c r="AG372" s="41"/>
      <c r="AH372" s="41"/>
      <c r="AI372" s="41"/>
      <c r="AJ372" s="41"/>
      <c r="AK372" s="40"/>
      <c r="AL372" s="41"/>
      <c r="AM372" s="41"/>
      <c r="AN372" s="41"/>
      <c r="AO372" s="41"/>
      <c r="AP372" s="40"/>
      <c r="AQ372" s="41"/>
      <c r="AR372" s="41"/>
      <c r="AS372" s="41"/>
      <c r="AT372" s="41"/>
      <c r="AU372" s="40"/>
      <c r="AV372" s="41"/>
      <c r="AW372" s="41"/>
      <c r="AX372" s="41"/>
      <c r="AY372" s="41"/>
      <c r="AZ372" s="40"/>
      <c r="BA372" s="41"/>
      <c r="BB372" s="41"/>
      <c r="BC372" s="41"/>
      <c r="BD372" s="41"/>
      <c r="BE372" s="40"/>
      <c r="BF372" s="41"/>
      <c r="BG372" s="41"/>
      <c r="BH372" s="41"/>
    </row>
    <row r="373" spans="1:60">
      <c r="A373" s="67" t="s">
        <v>134</v>
      </c>
      <c r="B373" s="119" t="s">
        <v>41</v>
      </c>
      <c r="C373" s="78" t="s">
        <v>49</v>
      </c>
      <c r="D373" s="78" t="s">
        <v>49</v>
      </c>
      <c r="E373" s="78" t="s">
        <v>49</v>
      </c>
      <c r="F373" s="78" t="s">
        <v>49</v>
      </c>
      <c r="G373" s="36">
        <v>513</v>
      </c>
      <c r="H373" s="78" t="s">
        <v>49</v>
      </c>
      <c r="I373" s="78" t="s">
        <v>49</v>
      </c>
      <c r="J373" s="78" t="s">
        <v>49</v>
      </c>
      <c r="K373" s="78" t="s">
        <v>49</v>
      </c>
      <c r="L373" s="36">
        <v>520</v>
      </c>
      <c r="M373" s="78" t="s">
        <v>49</v>
      </c>
      <c r="N373" s="78" t="s">
        <v>49</v>
      </c>
      <c r="O373" s="78" t="s">
        <v>49</v>
      </c>
      <c r="P373" s="78" t="s">
        <v>49</v>
      </c>
      <c r="Q373" s="36">
        <v>523</v>
      </c>
      <c r="R373" s="78" t="s">
        <v>49</v>
      </c>
      <c r="S373" s="78" t="s">
        <v>49</v>
      </c>
      <c r="T373" s="78" t="s">
        <v>49</v>
      </c>
      <c r="U373" s="78" t="s">
        <v>49</v>
      </c>
      <c r="V373" s="36">
        <v>528</v>
      </c>
      <c r="W373" s="78" t="s">
        <v>49</v>
      </c>
      <c r="X373" s="78" t="s">
        <v>49</v>
      </c>
      <c r="Y373" s="78" t="s">
        <v>49</v>
      </c>
      <c r="Z373" s="78" t="s">
        <v>49</v>
      </c>
      <c r="AA373" s="36">
        <v>538</v>
      </c>
      <c r="AB373" s="78" t="s">
        <v>49</v>
      </c>
      <c r="AC373" s="78" t="s">
        <v>49</v>
      </c>
      <c r="AD373" s="78" t="s">
        <v>49</v>
      </c>
      <c r="AE373" s="78" t="s">
        <v>49</v>
      </c>
      <c r="AF373" s="36">
        <v>535</v>
      </c>
      <c r="AG373" s="78" t="s">
        <v>49</v>
      </c>
      <c r="AH373" s="78" t="s">
        <v>49</v>
      </c>
      <c r="AI373" s="78" t="s">
        <v>49</v>
      </c>
      <c r="AJ373" s="78" t="s">
        <v>49</v>
      </c>
      <c r="AK373" s="36">
        <v>529</v>
      </c>
      <c r="AL373" s="78" t="s">
        <v>49</v>
      </c>
      <c r="AM373" s="78" t="s">
        <v>49</v>
      </c>
      <c r="AN373" s="78" t="s">
        <v>49</v>
      </c>
      <c r="AO373" s="78" t="s">
        <v>49</v>
      </c>
      <c r="AP373" s="36">
        <v>555</v>
      </c>
      <c r="AQ373" s="78" t="s">
        <v>49</v>
      </c>
      <c r="AR373" s="78" t="s">
        <v>49</v>
      </c>
      <c r="AS373" s="78" t="s">
        <v>49</v>
      </c>
      <c r="AT373" s="78" t="s">
        <v>49</v>
      </c>
      <c r="AU373" s="36">
        <v>570</v>
      </c>
      <c r="AV373" s="78" t="s">
        <v>49</v>
      </c>
      <c r="AW373" s="78" t="s">
        <v>49</v>
      </c>
      <c r="AX373" s="78" t="s">
        <v>49</v>
      </c>
      <c r="AY373" s="78" t="s">
        <v>49</v>
      </c>
      <c r="AZ373" s="36">
        <v>563</v>
      </c>
      <c r="BA373" s="78" t="s">
        <v>49</v>
      </c>
      <c r="BB373" s="78" t="s">
        <v>49</v>
      </c>
      <c r="BC373" s="78" t="s">
        <v>49</v>
      </c>
      <c r="BD373" s="78" t="s">
        <v>49</v>
      </c>
      <c r="BE373" s="36">
        <v>542</v>
      </c>
      <c r="BF373" s="78" t="s">
        <v>49</v>
      </c>
      <c r="BG373" s="78" t="s">
        <v>49</v>
      </c>
      <c r="BH373" s="78" t="s">
        <v>49</v>
      </c>
    </row>
    <row r="374" spans="1:60" ht="9.75" customHeight="1">
      <c r="A374" s="69" t="s">
        <v>133</v>
      </c>
      <c r="B374" s="23"/>
      <c r="C374" s="71"/>
      <c r="D374" s="71"/>
      <c r="E374" s="71"/>
      <c r="F374" s="71"/>
      <c r="G374" s="23">
        <f>G373/G364</f>
        <v>0.39286893111315163</v>
      </c>
      <c r="H374" s="71"/>
      <c r="I374" s="71"/>
      <c r="J374" s="71"/>
      <c r="K374" s="71"/>
      <c r="L374" s="23">
        <f>L373/L364</f>
        <v>0.39463658523998463</v>
      </c>
      <c r="M374" s="71"/>
      <c r="N374" s="71"/>
      <c r="O374" s="71"/>
      <c r="P374" s="71"/>
      <c r="Q374" s="23">
        <f>Q373/Q364</f>
        <v>0.37885675085786064</v>
      </c>
      <c r="R374" s="71"/>
      <c r="S374" s="71"/>
      <c r="T374" s="71"/>
      <c r="U374" s="71"/>
      <c r="V374" s="23">
        <f>V373/V364</f>
        <v>0.39007034564074222</v>
      </c>
      <c r="W374" s="71"/>
      <c r="X374" s="71"/>
      <c r="Y374" s="71"/>
      <c r="Z374" s="71"/>
      <c r="AA374" s="23">
        <f>AA373/AA364</f>
        <v>0.40145748468230757</v>
      </c>
      <c r="AB374" s="71"/>
      <c r="AC374" s="71"/>
      <c r="AD374" s="71"/>
      <c r="AE374" s="71"/>
      <c r="AF374" s="23">
        <f>AF373/AF364</f>
        <v>0.37340491540459297</v>
      </c>
      <c r="AG374" s="71"/>
      <c r="AH374" s="71"/>
      <c r="AI374" s="71"/>
      <c r="AJ374" s="71"/>
      <c r="AK374" s="23">
        <v>0.35172872340425532</v>
      </c>
      <c r="AL374" s="71"/>
      <c r="AM374" s="71"/>
      <c r="AN374" s="71"/>
      <c r="AO374" s="71"/>
      <c r="AP374" s="23">
        <v>0.35171102661596959</v>
      </c>
      <c r="AQ374" s="71"/>
      <c r="AR374" s="71"/>
      <c r="AS374" s="71"/>
      <c r="AT374" s="71"/>
      <c r="AU374" s="23">
        <v>0.36821705426356588</v>
      </c>
      <c r="AV374" s="71"/>
      <c r="AW374" s="71"/>
      <c r="AX374" s="71"/>
      <c r="AY374" s="71"/>
      <c r="AZ374" s="23">
        <v>0.36629798308392975</v>
      </c>
      <c r="BA374" s="71"/>
      <c r="BB374" s="71"/>
      <c r="BC374" s="71"/>
      <c r="BD374" s="71"/>
      <c r="BE374" s="23">
        <v>0.38964773544212794</v>
      </c>
      <c r="BF374" s="71"/>
      <c r="BG374" s="71"/>
      <c r="BH374" s="71"/>
    </row>
    <row r="375" spans="1:60" ht="12" customHeight="1">
      <c r="A375" s="67" t="s">
        <v>132</v>
      </c>
      <c r="B375" s="119" t="s">
        <v>41</v>
      </c>
      <c r="C375" s="78" t="s">
        <v>49</v>
      </c>
      <c r="D375" s="78" t="s">
        <v>49</v>
      </c>
      <c r="E375" s="78" t="s">
        <v>49</v>
      </c>
      <c r="F375" s="78" t="s">
        <v>49</v>
      </c>
      <c r="G375" s="36">
        <v>793</v>
      </c>
      <c r="H375" s="78" t="s">
        <v>49</v>
      </c>
      <c r="I375" s="78" t="s">
        <v>49</v>
      </c>
      <c r="J375" s="78" t="s">
        <v>49</v>
      </c>
      <c r="K375" s="78" t="s">
        <v>49</v>
      </c>
      <c r="L375" s="36">
        <v>798</v>
      </c>
      <c r="M375" s="78" t="s">
        <v>49</v>
      </c>
      <c r="N375" s="78" t="s">
        <v>49</v>
      </c>
      <c r="O375" s="78" t="s">
        <v>49</v>
      </c>
      <c r="P375" s="78" t="s">
        <v>49</v>
      </c>
      <c r="Q375" s="36">
        <v>857</v>
      </c>
      <c r="R375" s="78" t="s">
        <v>49</v>
      </c>
      <c r="S375" s="78" t="s">
        <v>49</v>
      </c>
      <c r="T375" s="78" t="s">
        <v>49</v>
      </c>
      <c r="U375" s="78" t="s">
        <v>49</v>
      </c>
      <c r="V375" s="36">
        <v>826</v>
      </c>
      <c r="W375" s="78" t="s">
        <v>49</v>
      </c>
      <c r="X375" s="78" t="s">
        <v>49</v>
      </c>
      <c r="Y375" s="78" t="s">
        <v>49</v>
      </c>
      <c r="Z375" s="78" t="s">
        <v>49</v>
      </c>
      <c r="AA375" s="36">
        <v>802</v>
      </c>
      <c r="AB375" s="78" t="s">
        <v>49</v>
      </c>
      <c r="AC375" s="78" t="s">
        <v>49</v>
      </c>
      <c r="AD375" s="78" t="s">
        <v>49</v>
      </c>
      <c r="AE375" s="78" t="s">
        <v>49</v>
      </c>
      <c r="AF375" s="36">
        <v>898</v>
      </c>
      <c r="AG375" s="78" t="s">
        <v>49</v>
      </c>
      <c r="AH375" s="78" t="s">
        <v>49</v>
      </c>
      <c r="AI375" s="78" t="s">
        <v>49</v>
      </c>
      <c r="AJ375" s="78" t="s">
        <v>49</v>
      </c>
      <c r="AK375" s="36">
        <v>975</v>
      </c>
      <c r="AL375" s="78" t="s">
        <v>49</v>
      </c>
      <c r="AM375" s="78" t="s">
        <v>49</v>
      </c>
      <c r="AN375" s="78" t="s">
        <v>49</v>
      </c>
      <c r="AO375" s="78" t="s">
        <v>49</v>
      </c>
      <c r="AP375" s="36">
        <v>1023</v>
      </c>
      <c r="AQ375" s="78" t="s">
        <v>49</v>
      </c>
      <c r="AR375" s="78" t="s">
        <v>49</v>
      </c>
      <c r="AS375" s="78" t="s">
        <v>49</v>
      </c>
      <c r="AT375" s="78" t="s">
        <v>49</v>
      </c>
      <c r="AU375" s="36">
        <v>978</v>
      </c>
      <c r="AV375" s="78" t="s">
        <v>49</v>
      </c>
      <c r="AW375" s="78" t="s">
        <v>49</v>
      </c>
      <c r="AX375" s="78" t="s">
        <v>49</v>
      </c>
      <c r="AY375" s="78" t="s">
        <v>49</v>
      </c>
      <c r="AZ375" s="36">
        <v>974</v>
      </c>
      <c r="BA375" s="78" t="s">
        <v>49</v>
      </c>
      <c r="BB375" s="78" t="s">
        <v>49</v>
      </c>
      <c r="BC375" s="78" t="s">
        <v>49</v>
      </c>
      <c r="BD375" s="78" t="s">
        <v>49</v>
      </c>
      <c r="BE375" s="36">
        <v>849</v>
      </c>
      <c r="BF375" s="78" t="s">
        <v>49</v>
      </c>
      <c r="BG375" s="78" t="s">
        <v>49</v>
      </c>
      <c r="BH375" s="78" t="s">
        <v>49</v>
      </c>
    </row>
    <row r="376" spans="1:60" ht="9.75" customHeight="1">
      <c r="A376" s="69" t="s">
        <v>133</v>
      </c>
      <c r="B376" s="23"/>
      <c r="C376" s="71"/>
      <c r="D376" s="71"/>
      <c r="E376" s="71"/>
      <c r="F376" s="71"/>
      <c r="G376" s="23">
        <f>G375/G364</f>
        <v>0.60730031651604144</v>
      </c>
      <c r="H376" s="71"/>
      <c r="I376" s="71"/>
      <c r="J376" s="71"/>
      <c r="K376" s="71"/>
      <c r="L376" s="23">
        <f>L375/L364</f>
        <v>0.60561537504136098</v>
      </c>
      <c r="M376" s="71"/>
      <c r="N376" s="71"/>
      <c r="O376" s="71"/>
      <c r="P376" s="71"/>
      <c r="Q376" s="23">
        <f>Q375/Q364</f>
        <v>0.62080350953190544</v>
      </c>
      <c r="R376" s="71"/>
      <c r="S376" s="71"/>
      <c r="T376" s="71"/>
      <c r="U376" s="71"/>
      <c r="V376" s="23">
        <f>V375/V364</f>
        <v>0.61022368465767629</v>
      </c>
      <c r="W376" s="71"/>
      <c r="X376" s="71"/>
      <c r="Y376" s="71"/>
      <c r="Z376" s="71"/>
      <c r="AA376" s="23">
        <f>AA375/AA364</f>
        <v>0.5984552095078266</v>
      </c>
      <c r="AB376" s="71"/>
      <c r="AC376" s="71"/>
      <c r="AD376" s="71"/>
      <c r="AE376" s="71"/>
      <c r="AF376" s="23">
        <f>AF375/AF364</f>
        <v>0.62676189538939153</v>
      </c>
      <c r="AG376" s="71"/>
      <c r="AH376" s="71"/>
      <c r="AI376" s="71"/>
      <c r="AJ376" s="71"/>
      <c r="AK376" s="23">
        <v>0.64827127659574468</v>
      </c>
      <c r="AL376" s="71"/>
      <c r="AM376" s="71"/>
      <c r="AN376" s="71"/>
      <c r="AO376" s="71"/>
      <c r="AP376" s="23">
        <v>0.64828897338403046</v>
      </c>
      <c r="AQ376" s="71"/>
      <c r="AR376" s="71"/>
      <c r="AS376" s="71"/>
      <c r="AT376" s="71"/>
      <c r="AU376" s="23">
        <v>0.63178294573643412</v>
      </c>
      <c r="AV376" s="71"/>
      <c r="AW376" s="71"/>
      <c r="AX376" s="71"/>
      <c r="AY376" s="71"/>
      <c r="AZ376" s="23">
        <v>0.63370201691607031</v>
      </c>
      <c r="BA376" s="71"/>
      <c r="BB376" s="71"/>
      <c r="BC376" s="71"/>
      <c r="BD376" s="71"/>
      <c r="BE376" s="23">
        <v>0.61035226455787206</v>
      </c>
      <c r="BF376" s="71"/>
      <c r="BG376" s="71"/>
      <c r="BH376" s="71"/>
    </row>
    <row r="377" spans="1:60" ht="14.25" customHeight="1">
      <c r="A377" s="39" t="s">
        <v>27</v>
      </c>
      <c r="B377" s="40"/>
      <c r="C377" s="41"/>
      <c r="D377" s="41"/>
      <c r="E377" s="41"/>
      <c r="F377" s="41"/>
      <c r="G377" s="40"/>
      <c r="H377" s="41"/>
      <c r="I377" s="41"/>
      <c r="J377" s="41"/>
      <c r="K377" s="41"/>
      <c r="L377" s="40"/>
      <c r="M377" s="41"/>
      <c r="N377" s="41"/>
      <c r="O377" s="41"/>
      <c r="P377" s="41"/>
      <c r="Q377" s="40"/>
      <c r="R377" s="41"/>
      <c r="S377" s="41"/>
      <c r="T377" s="41"/>
      <c r="U377" s="41"/>
      <c r="V377" s="40"/>
      <c r="W377" s="41"/>
      <c r="X377" s="41"/>
      <c r="Y377" s="41"/>
      <c r="Z377" s="41"/>
      <c r="AA377" s="40"/>
      <c r="AB377" s="41"/>
      <c r="AC377" s="41"/>
      <c r="AD377" s="41"/>
      <c r="AE377" s="41"/>
      <c r="AF377" s="40"/>
      <c r="AG377" s="41"/>
      <c r="AH377" s="41"/>
      <c r="AI377" s="41"/>
      <c r="AJ377" s="41"/>
      <c r="AK377" s="40"/>
      <c r="AL377" s="41"/>
      <c r="AM377" s="41"/>
      <c r="AN377" s="41"/>
      <c r="AO377" s="41"/>
      <c r="AP377" s="40"/>
      <c r="AQ377" s="41"/>
      <c r="AR377" s="41"/>
      <c r="AS377" s="41"/>
      <c r="AT377" s="41"/>
      <c r="AU377" s="40"/>
      <c r="AV377" s="41"/>
      <c r="AW377" s="41"/>
      <c r="AX377" s="41"/>
      <c r="AY377" s="41"/>
      <c r="AZ377" s="40"/>
      <c r="BA377" s="41"/>
      <c r="BB377" s="41"/>
      <c r="BC377" s="41"/>
      <c r="BD377" s="41"/>
      <c r="BE377" s="40"/>
      <c r="BF377" s="41"/>
      <c r="BG377" s="41"/>
      <c r="BH377" s="41"/>
    </row>
    <row r="378" spans="1:60" hidden="1">
      <c r="A378" s="67" t="s">
        <v>79</v>
      </c>
      <c r="B378" s="36">
        <v>859</v>
      </c>
      <c r="C378" s="78" t="s">
        <v>49</v>
      </c>
      <c r="D378" s="78" t="s">
        <v>49</v>
      </c>
      <c r="E378" s="78" t="s">
        <v>49</v>
      </c>
      <c r="F378" s="78" t="s">
        <v>49</v>
      </c>
      <c r="G378" s="36">
        <v>780</v>
      </c>
      <c r="H378" s="68">
        <v>199</v>
      </c>
      <c r="I378" s="68">
        <v>190</v>
      </c>
      <c r="J378" s="68">
        <v>195</v>
      </c>
      <c r="K378" s="68">
        <f>L378-J378-I378-H378</f>
        <v>193</v>
      </c>
      <c r="L378" s="36">
        <v>777</v>
      </c>
      <c r="M378" s="68">
        <v>210</v>
      </c>
      <c r="N378" s="68">
        <v>201</v>
      </c>
      <c r="O378" s="68">
        <v>208</v>
      </c>
      <c r="P378" s="68">
        <f>Q378-O378-N378-M378</f>
        <v>203</v>
      </c>
      <c r="Q378" s="36">
        <v>822</v>
      </c>
      <c r="R378" s="68">
        <v>193</v>
      </c>
      <c r="S378" s="68">
        <v>194</v>
      </c>
      <c r="T378" s="68">
        <v>209</v>
      </c>
      <c r="U378" s="68">
        <f>V378-T378-S378-R378</f>
        <v>191.93899999999996</v>
      </c>
      <c r="V378" s="36">
        <v>787.93899999999996</v>
      </c>
      <c r="W378" s="68">
        <v>201.40600000000001</v>
      </c>
      <c r="X378" s="68">
        <v>194.303</v>
      </c>
      <c r="Y378" s="68">
        <v>199.44499999999999</v>
      </c>
      <c r="Z378" s="68">
        <f>AA378-Y378-X378-W378</f>
        <v>200.54800000000006</v>
      </c>
      <c r="AA378" s="36">
        <v>795.702</v>
      </c>
      <c r="AB378" s="68">
        <v>207.92500000000001</v>
      </c>
      <c r="AC378" s="68">
        <v>218.495</v>
      </c>
      <c r="AD378" s="68">
        <v>222.10499999999999</v>
      </c>
      <c r="AE378" s="68">
        <f>AF378-AD378-AC378-AB378</f>
        <v>230.26899999999995</v>
      </c>
      <c r="AF378" s="36">
        <f>878.794</f>
        <v>878.79399999999998</v>
      </c>
      <c r="AG378" s="68">
        <v>218</v>
      </c>
      <c r="AH378" s="68">
        <v>228</v>
      </c>
      <c r="AI378" s="68">
        <v>246</v>
      </c>
      <c r="AJ378" s="68">
        <f>AK378-AI378-AH378-AG378</f>
        <v>259</v>
      </c>
      <c r="AK378" s="36">
        <v>951</v>
      </c>
      <c r="AL378" s="68">
        <v>251</v>
      </c>
      <c r="AM378" s="68">
        <v>250</v>
      </c>
      <c r="AN378" s="68">
        <v>251</v>
      </c>
      <c r="AO378" s="68">
        <v>263</v>
      </c>
      <c r="AP378" s="36">
        <v>1015</v>
      </c>
      <c r="AQ378" s="68">
        <v>258</v>
      </c>
      <c r="AR378" s="68">
        <v>246</v>
      </c>
      <c r="AS378" s="68">
        <v>256</v>
      </c>
      <c r="AT378" s="68">
        <v>255</v>
      </c>
      <c r="AU378" s="36">
        <v>1015</v>
      </c>
      <c r="AV378" s="68">
        <v>258</v>
      </c>
      <c r="AW378" s="68">
        <v>288</v>
      </c>
      <c r="AX378" s="68">
        <v>253</v>
      </c>
      <c r="AY378" s="68">
        <v>259</v>
      </c>
      <c r="AZ378" s="36">
        <v>1058</v>
      </c>
      <c r="BA378" s="68">
        <v>238</v>
      </c>
      <c r="BB378" s="68">
        <v>225</v>
      </c>
      <c r="BC378" s="68">
        <v>222</v>
      </c>
      <c r="BD378" s="68"/>
      <c r="BE378" s="36"/>
      <c r="BF378" s="68"/>
      <c r="BG378" s="68"/>
      <c r="BH378" s="68"/>
    </row>
    <row r="379" spans="1:60" hidden="1">
      <c r="A379" s="69" t="s">
        <v>7</v>
      </c>
      <c r="B379" s="23"/>
      <c r="C379" s="70"/>
      <c r="D379" s="70"/>
      <c r="E379" s="70"/>
      <c r="F379" s="70"/>
      <c r="G379" s="23"/>
      <c r="H379" s="70"/>
      <c r="I379" s="70">
        <f>I378/H378-1</f>
        <v>-4.5226130653266305E-2</v>
      </c>
      <c r="J379" s="70">
        <f>J378/I378-1</f>
        <v>2.6315789473684292E-2</v>
      </c>
      <c r="K379" s="70">
        <f>K378/J378-1</f>
        <v>-1.025641025641022E-2</v>
      </c>
      <c r="L379" s="23"/>
      <c r="M379" s="70">
        <f>M378/K378-1</f>
        <v>8.8082901554404236E-2</v>
      </c>
      <c r="N379" s="70">
        <f>N378/M378-1</f>
        <v>-4.2857142857142816E-2</v>
      </c>
      <c r="O379" s="70">
        <f>O378/N378-1</f>
        <v>3.4825870646766122E-2</v>
      </c>
      <c r="P379" s="70">
        <f>P378/O378-1</f>
        <v>-2.4038461538461564E-2</v>
      </c>
      <c r="Q379" s="23"/>
      <c r="R379" s="70">
        <f>R378/P378-1</f>
        <v>-4.9261083743842415E-2</v>
      </c>
      <c r="S379" s="70">
        <f>S378/R378-1</f>
        <v>5.1813471502590858E-3</v>
      </c>
      <c r="T379" s="70">
        <f>T378/S378-1</f>
        <v>7.7319587628865927E-2</v>
      </c>
      <c r="U379" s="70">
        <f>U378/T378-1</f>
        <v>-8.163157894736861E-2</v>
      </c>
      <c r="V379" s="23"/>
      <c r="W379" s="70">
        <f>W378/U378-1</f>
        <v>4.9322961982713576E-2</v>
      </c>
      <c r="X379" s="70">
        <f>X378/W378-1</f>
        <v>-3.5267072480462347E-2</v>
      </c>
      <c r="Y379" s="70">
        <f>Y378/X378-1</f>
        <v>2.6463821968780721E-2</v>
      </c>
      <c r="Z379" s="70">
        <f>Z378/Y378-1</f>
        <v>5.5303467121263772E-3</v>
      </c>
      <c r="AA379" s="23"/>
      <c r="AB379" s="70">
        <f>AB378/Z378-1</f>
        <v>3.6784211261144284E-2</v>
      </c>
      <c r="AC379" s="70">
        <f>AC378/AB378-1</f>
        <v>5.083563785018641E-2</v>
      </c>
      <c r="AD379" s="70">
        <f>AD378/AC378-1</f>
        <v>1.6522117210920007E-2</v>
      </c>
      <c r="AE379" s="70">
        <f>AE378/AD378-1</f>
        <v>3.6757389522973138E-2</v>
      </c>
      <c r="AF379" s="23"/>
      <c r="AG379" s="70">
        <f>AG378/AE378-1</f>
        <v>-5.3281162466506382E-2</v>
      </c>
      <c r="AH379" s="70">
        <f>AH378/AG378-1</f>
        <v>4.587155963302747E-2</v>
      </c>
      <c r="AI379" s="70">
        <f>AI378/AH378-1</f>
        <v>7.8947368421052655E-2</v>
      </c>
      <c r="AJ379" s="70">
        <f>AJ378/AI378-1</f>
        <v>5.2845528455284452E-2</v>
      </c>
      <c r="AK379" s="23"/>
      <c r="AL379" s="70">
        <v>-3.0888030888030937E-2</v>
      </c>
      <c r="AM379" s="70">
        <v>-3.9840637450199168E-3</v>
      </c>
      <c r="AN379" s="70">
        <v>4.0000000000000036E-3</v>
      </c>
      <c r="AO379" s="70">
        <v>4.7808764940239001E-2</v>
      </c>
      <c r="AP379" s="23"/>
      <c r="AQ379" s="70">
        <v>-1.9011406844106515E-2</v>
      </c>
      <c r="AR379" s="70">
        <v>-4.6511627906976716E-2</v>
      </c>
      <c r="AS379" s="70">
        <v>4.0650406504065151E-2</v>
      </c>
      <c r="AT379" s="70">
        <v>-3.90625E-3</v>
      </c>
      <c r="AU379" s="23"/>
      <c r="AV379" s="70">
        <v>1.1764705882352899E-2</v>
      </c>
      <c r="AW379" s="70">
        <v>0.11627906976744184</v>
      </c>
      <c r="AX379" s="70">
        <v>-0.12152777777777779</v>
      </c>
      <c r="AY379" s="70">
        <v>2.3715415019762931E-2</v>
      </c>
      <c r="AZ379" s="23"/>
      <c r="BA379" s="70">
        <v>-8.108108108108103E-2</v>
      </c>
      <c r="BB379" s="70">
        <v>-5.4621848739495826E-2</v>
      </c>
      <c r="BC379" s="70">
        <v>-1.3333333333333308E-2</v>
      </c>
      <c r="BD379" s="70"/>
      <c r="BE379" s="23"/>
      <c r="BF379" s="70"/>
      <c r="BG379" s="70"/>
      <c r="BH379" s="70"/>
    </row>
    <row r="380" spans="1:60" hidden="1">
      <c r="A380" s="69" t="s">
        <v>8</v>
      </c>
      <c r="B380" s="23"/>
      <c r="C380" s="71"/>
      <c r="D380" s="71"/>
      <c r="E380" s="71"/>
      <c r="F380" s="71"/>
      <c r="G380" s="23">
        <f>G378/B378-1</f>
        <v>-9.1967403958090777E-2</v>
      </c>
      <c r="H380" s="71"/>
      <c r="I380" s="71"/>
      <c r="J380" s="71"/>
      <c r="K380" s="71"/>
      <c r="L380" s="23">
        <f t="shared" ref="L380:AD380" si="336">L378/G378-1</f>
        <v>-3.8461538461538325E-3</v>
      </c>
      <c r="M380" s="71">
        <f t="shared" si="336"/>
        <v>5.5276381909547645E-2</v>
      </c>
      <c r="N380" s="71">
        <f t="shared" si="336"/>
        <v>5.7894736842105221E-2</v>
      </c>
      <c r="O380" s="71">
        <f t="shared" si="336"/>
        <v>6.6666666666666652E-2</v>
      </c>
      <c r="P380" s="71">
        <f t="shared" si="336"/>
        <v>5.1813471502590636E-2</v>
      </c>
      <c r="Q380" s="23">
        <f t="shared" si="336"/>
        <v>5.7915057915058021E-2</v>
      </c>
      <c r="R380" s="71">
        <f t="shared" si="336"/>
        <v>-8.0952380952380998E-2</v>
      </c>
      <c r="S380" s="71">
        <f t="shared" si="336"/>
        <v>-3.4825870646766122E-2</v>
      </c>
      <c r="T380" s="71">
        <f t="shared" si="336"/>
        <v>4.8076923076922906E-3</v>
      </c>
      <c r="U380" s="71">
        <f t="shared" si="336"/>
        <v>-5.4487684729064179E-2</v>
      </c>
      <c r="V380" s="23">
        <f t="shared" si="336"/>
        <v>-4.143673965936745E-2</v>
      </c>
      <c r="W380" s="71">
        <f t="shared" si="336"/>
        <v>4.3554404145077719E-2</v>
      </c>
      <c r="X380" s="71">
        <f t="shared" si="336"/>
        <v>1.5618556701031405E-3</v>
      </c>
      <c r="Y380" s="71">
        <f t="shared" si="336"/>
        <v>-4.5717703349282379E-2</v>
      </c>
      <c r="Z380" s="71">
        <f t="shared" si="336"/>
        <v>4.4852791772386436E-2</v>
      </c>
      <c r="AA380" s="23">
        <f t="shared" si="336"/>
        <v>9.8522855195644077E-3</v>
      </c>
      <c r="AB380" s="71">
        <f t="shared" si="336"/>
        <v>3.2367456778844783E-2</v>
      </c>
      <c r="AC380" s="71">
        <f t="shared" si="336"/>
        <v>0.12450656963608386</v>
      </c>
      <c r="AD380" s="71">
        <f t="shared" si="336"/>
        <v>0.11361528240868402</v>
      </c>
      <c r="AE380" s="71">
        <f t="shared" ref="AE380:AJ380" si="337">AE378/Z378-1</f>
        <v>0.14819893491832326</v>
      </c>
      <c r="AF380" s="23">
        <f t="shared" si="337"/>
        <v>0.10442602883994256</v>
      </c>
      <c r="AG380" s="71">
        <f t="shared" si="337"/>
        <v>4.8454971744619435E-2</v>
      </c>
      <c r="AH380" s="71">
        <f t="shared" si="337"/>
        <v>4.3502139637062509E-2</v>
      </c>
      <c r="AI380" s="71">
        <f t="shared" si="337"/>
        <v>0.1075842506922402</v>
      </c>
      <c r="AJ380" s="71">
        <f t="shared" si="337"/>
        <v>0.12477146294116914</v>
      </c>
      <c r="AK380" s="23">
        <v>8.2164875955001992E-2</v>
      </c>
      <c r="AL380" s="71">
        <v>0.15137614678899092</v>
      </c>
      <c r="AM380" s="71">
        <v>9.6491228070175517E-2</v>
      </c>
      <c r="AN380" s="71">
        <v>2.0325203252032464E-2</v>
      </c>
      <c r="AO380" s="71">
        <v>1.5444015444015413E-2</v>
      </c>
      <c r="AP380" s="23">
        <v>6.7297581493165115E-2</v>
      </c>
      <c r="AQ380" s="71">
        <v>2.7888446215139417E-2</v>
      </c>
      <c r="AR380" s="71">
        <v>-1.6000000000000014E-2</v>
      </c>
      <c r="AS380" s="71">
        <v>1.9920318725099584E-2</v>
      </c>
      <c r="AT380" s="71">
        <v>-3.041825095057038E-2</v>
      </c>
      <c r="AU380" s="23">
        <v>0</v>
      </c>
      <c r="AV380" s="71">
        <v>0</v>
      </c>
      <c r="AW380" s="71">
        <v>0.1707317073170731</v>
      </c>
      <c r="AX380" s="71">
        <v>-1.171875E-2</v>
      </c>
      <c r="AY380" s="71">
        <v>1.5686274509803866E-2</v>
      </c>
      <c r="AZ380" s="23">
        <v>4.236453201970436E-2</v>
      </c>
      <c r="BA380" s="71">
        <v>-7.7519379844961267E-2</v>
      </c>
      <c r="BB380" s="71">
        <v>-0.21875</v>
      </c>
      <c r="BC380" s="71">
        <v>-0.12252964426877466</v>
      </c>
      <c r="BD380" s="71"/>
      <c r="BE380" s="23"/>
      <c r="BF380" s="71"/>
      <c r="BG380" s="71"/>
      <c r="BH380" s="71"/>
    </row>
    <row r="381" spans="1:60" hidden="1">
      <c r="A381" s="67" t="s">
        <v>98</v>
      </c>
      <c r="B381" s="36">
        <v>445</v>
      </c>
      <c r="C381" s="78" t="s">
        <v>49</v>
      </c>
      <c r="D381" s="78" t="s">
        <v>49</v>
      </c>
      <c r="E381" s="78" t="s">
        <v>49</v>
      </c>
      <c r="F381" s="78" t="s">
        <v>49</v>
      </c>
      <c r="G381" s="36">
        <v>526</v>
      </c>
      <c r="H381" s="68">
        <v>125</v>
      </c>
      <c r="I381" s="68">
        <v>137</v>
      </c>
      <c r="J381" s="68">
        <v>137</v>
      </c>
      <c r="K381" s="68">
        <f>L381-J381-I381-H381</f>
        <v>142</v>
      </c>
      <c r="L381" s="36">
        <v>541</v>
      </c>
      <c r="M381" s="68">
        <v>133</v>
      </c>
      <c r="N381" s="68">
        <v>141</v>
      </c>
      <c r="O381" s="68">
        <v>139</v>
      </c>
      <c r="P381" s="68">
        <f>Q381-O381-N381-M381</f>
        <v>145</v>
      </c>
      <c r="Q381" s="36">
        <v>558</v>
      </c>
      <c r="R381" s="68">
        <v>136</v>
      </c>
      <c r="S381" s="68">
        <v>139</v>
      </c>
      <c r="T381" s="68">
        <v>142</v>
      </c>
      <c r="U381" s="68">
        <f>V381-T381-S381-R381</f>
        <v>149</v>
      </c>
      <c r="V381" s="36">
        <v>566</v>
      </c>
      <c r="W381" s="68">
        <v>130.816</v>
      </c>
      <c r="X381" s="68">
        <v>135</v>
      </c>
      <c r="Y381" s="68">
        <v>139.10900000000001</v>
      </c>
      <c r="Z381" s="68">
        <f>AA381-Y381-X381-W381</f>
        <v>139.48999999999992</v>
      </c>
      <c r="AA381" s="36">
        <v>544.41499999999996</v>
      </c>
      <c r="AB381" s="68">
        <v>137.65100000000001</v>
      </c>
      <c r="AC381" s="68">
        <v>140.249</v>
      </c>
      <c r="AD381" s="68">
        <v>137.51900000000001</v>
      </c>
      <c r="AE381" s="68">
        <f>AF381-AD381-AC381-AB381</f>
        <v>138.54799999999994</v>
      </c>
      <c r="AF381" s="36">
        <v>553.96699999999998</v>
      </c>
      <c r="AG381" s="68">
        <v>137</v>
      </c>
      <c r="AH381" s="68">
        <v>137</v>
      </c>
      <c r="AI381" s="68">
        <v>139</v>
      </c>
      <c r="AJ381" s="68">
        <f>AK381-AI381-AH381-AG381</f>
        <v>140</v>
      </c>
      <c r="AK381" s="36">
        <v>553</v>
      </c>
      <c r="AL381" s="68">
        <v>142</v>
      </c>
      <c r="AM381" s="68">
        <v>141</v>
      </c>
      <c r="AN381" s="68">
        <v>138</v>
      </c>
      <c r="AO381" s="68">
        <v>142</v>
      </c>
      <c r="AP381" s="36">
        <v>563</v>
      </c>
      <c r="AQ381" s="68">
        <v>137</v>
      </c>
      <c r="AR381" s="68">
        <v>131</v>
      </c>
      <c r="AS381" s="68">
        <v>128</v>
      </c>
      <c r="AT381" s="68">
        <v>137</v>
      </c>
      <c r="AU381" s="36">
        <v>533</v>
      </c>
      <c r="AV381" s="68">
        <v>126</v>
      </c>
      <c r="AW381" s="68">
        <v>119</v>
      </c>
      <c r="AX381" s="68">
        <v>114</v>
      </c>
      <c r="AY381" s="68">
        <v>120</v>
      </c>
      <c r="AZ381" s="36">
        <v>479</v>
      </c>
      <c r="BA381" s="68">
        <v>114</v>
      </c>
      <c r="BB381" s="68">
        <v>111</v>
      </c>
      <c r="BC381" s="68">
        <v>111</v>
      </c>
      <c r="BD381" s="68"/>
      <c r="BE381" s="36"/>
      <c r="BF381" s="68"/>
      <c r="BG381" s="68"/>
      <c r="BH381" s="68"/>
    </row>
    <row r="382" spans="1:60" ht="12" hidden="1" customHeight="1">
      <c r="A382" s="69" t="s">
        <v>7</v>
      </c>
      <c r="B382" s="23"/>
      <c r="C382" s="70"/>
      <c r="D382" s="70"/>
      <c r="E382" s="70"/>
      <c r="F382" s="70"/>
      <c r="G382" s="23"/>
      <c r="H382" s="70"/>
      <c r="I382" s="70">
        <f>I381/H381-1</f>
        <v>9.6000000000000085E-2</v>
      </c>
      <c r="J382" s="70">
        <f>J381/I381-1</f>
        <v>0</v>
      </c>
      <c r="K382" s="70">
        <f>K381/J381-1</f>
        <v>3.649635036496357E-2</v>
      </c>
      <c r="L382" s="23"/>
      <c r="M382" s="70">
        <f>M381/K381-1</f>
        <v>-6.3380281690140872E-2</v>
      </c>
      <c r="N382" s="70">
        <f>N381/M381-1</f>
        <v>6.0150375939849621E-2</v>
      </c>
      <c r="O382" s="70">
        <f>O381/N381-1</f>
        <v>-1.4184397163120588E-2</v>
      </c>
      <c r="P382" s="70">
        <f>P381/O381-1</f>
        <v>4.3165467625899234E-2</v>
      </c>
      <c r="Q382" s="23"/>
      <c r="R382" s="70">
        <f>R381/P381-1</f>
        <v>-6.2068965517241392E-2</v>
      </c>
      <c r="S382" s="70">
        <f>S381/R381-1</f>
        <v>2.2058823529411686E-2</v>
      </c>
      <c r="T382" s="70">
        <f>T381/S381-1</f>
        <v>2.1582733812949728E-2</v>
      </c>
      <c r="U382" s="70">
        <f>U381/T381-1</f>
        <v>4.9295774647887258E-2</v>
      </c>
      <c r="V382" s="23"/>
      <c r="W382" s="70">
        <f>W381/U381-1</f>
        <v>-0.12204026845637583</v>
      </c>
      <c r="X382" s="70">
        <f>X381/W381-1</f>
        <v>3.198385518590996E-2</v>
      </c>
      <c r="Y382" s="70">
        <f>Y381/X381-1</f>
        <v>3.043703703703704E-2</v>
      </c>
      <c r="Z382" s="70">
        <f>Z381/Y381-1</f>
        <v>2.7388594555342038E-3</v>
      </c>
      <c r="AA382" s="23"/>
      <c r="AB382" s="70">
        <f>AB381/Z381-1</f>
        <v>-1.3183740769947105E-2</v>
      </c>
      <c r="AC382" s="70">
        <f>AC381/AB381-1</f>
        <v>1.8873818570152023E-2</v>
      </c>
      <c r="AD382" s="70">
        <f>AD381/AC381-1</f>
        <v>-1.9465379432295316E-2</v>
      </c>
      <c r="AE382" s="70">
        <f>AE381/AD381-1</f>
        <v>7.4826024040310912E-3</v>
      </c>
      <c r="AF382" s="23"/>
      <c r="AG382" s="70">
        <f>AG381/AE381-1</f>
        <v>-1.1173023067817311E-2</v>
      </c>
      <c r="AH382" s="70">
        <f>AH381/AG381-1</f>
        <v>0</v>
      </c>
      <c r="AI382" s="70">
        <f>AI381/AH381-1</f>
        <v>1.4598540145985384E-2</v>
      </c>
      <c r="AJ382" s="70">
        <f>AJ381/AI381-1</f>
        <v>7.194244604316502E-3</v>
      </c>
      <c r="AK382" s="23"/>
      <c r="AL382" s="70">
        <v>1.4285714285714235E-2</v>
      </c>
      <c r="AM382" s="70">
        <v>-7.0422535211267512E-3</v>
      </c>
      <c r="AN382" s="70">
        <v>-2.1276595744680882E-2</v>
      </c>
      <c r="AO382" s="70">
        <v>2.8985507246376718E-2</v>
      </c>
      <c r="AP382" s="23"/>
      <c r="AQ382" s="70">
        <v>-3.5211267605633756E-2</v>
      </c>
      <c r="AR382" s="70">
        <v>-4.3795620437956151E-2</v>
      </c>
      <c r="AS382" s="70">
        <v>-2.2900763358778664E-2</v>
      </c>
      <c r="AT382" s="70">
        <v>7.03125E-2</v>
      </c>
      <c r="AU382" s="23"/>
      <c r="AV382" s="70">
        <v>-8.0291970802919721E-2</v>
      </c>
      <c r="AW382" s="70">
        <v>-5.555555555555558E-2</v>
      </c>
      <c r="AX382" s="70">
        <v>-4.2016806722689037E-2</v>
      </c>
      <c r="AY382" s="70">
        <v>5.2631578947368363E-2</v>
      </c>
      <c r="AZ382" s="23"/>
      <c r="BA382" s="70">
        <v>-5.0000000000000044E-2</v>
      </c>
      <c r="BB382" s="70">
        <v>-2.6315789473684181E-2</v>
      </c>
      <c r="BC382" s="70">
        <v>0</v>
      </c>
      <c r="BD382" s="70"/>
      <c r="BE382" s="23"/>
      <c r="BF382" s="70"/>
      <c r="BG382" s="70"/>
      <c r="BH382" s="70"/>
    </row>
    <row r="383" spans="1:60" ht="11.25" hidden="1" customHeight="1">
      <c r="A383" s="69" t="s">
        <v>8</v>
      </c>
      <c r="B383" s="23"/>
      <c r="C383" s="71"/>
      <c r="D383" s="71"/>
      <c r="E383" s="71"/>
      <c r="F383" s="71"/>
      <c r="G383" s="23">
        <f>G381/B381-1</f>
        <v>0.18202247191011245</v>
      </c>
      <c r="H383" s="71"/>
      <c r="I383" s="71"/>
      <c r="J383" s="71"/>
      <c r="K383" s="71"/>
      <c r="L383" s="23">
        <f t="shared" ref="L383:AD383" si="338">L381/G381-1</f>
        <v>2.8517110266159662E-2</v>
      </c>
      <c r="M383" s="71">
        <f t="shared" si="338"/>
        <v>6.4000000000000057E-2</v>
      </c>
      <c r="N383" s="71">
        <f t="shared" si="338"/>
        <v>2.9197080291970767E-2</v>
      </c>
      <c r="O383" s="71">
        <f t="shared" si="338"/>
        <v>1.4598540145985384E-2</v>
      </c>
      <c r="P383" s="71">
        <f t="shared" si="338"/>
        <v>2.1126760563380254E-2</v>
      </c>
      <c r="Q383" s="23">
        <f t="shared" si="338"/>
        <v>3.1423290203327126E-2</v>
      </c>
      <c r="R383" s="71">
        <f t="shared" si="338"/>
        <v>2.2556390977443552E-2</v>
      </c>
      <c r="S383" s="71">
        <f t="shared" si="338"/>
        <v>-1.4184397163120588E-2</v>
      </c>
      <c r="T383" s="71">
        <f t="shared" si="338"/>
        <v>2.1582733812949728E-2</v>
      </c>
      <c r="U383" s="71">
        <f t="shared" si="338"/>
        <v>2.7586206896551779E-2</v>
      </c>
      <c r="V383" s="23">
        <f t="shared" si="338"/>
        <v>1.4336917562723928E-2</v>
      </c>
      <c r="W383" s="71">
        <f t="shared" si="338"/>
        <v>-3.8117647058823478E-2</v>
      </c>
      <c r="X383" s="71">
        <f t="shared" si="338"/>
        <v>-2.877697841726623E-2</v>
      </c>
      <c r="Y383" s="71">
        <f t="shared" si="338"/>
        <v>-2.0359154929577405E-2</v>
      </c>
      <c r="Z383" s="71">
        <f t="shared" si="338"/>
        <v>-6.3825503355705249E-2</v>
      </c>
      <c r="AA383" s="23">
        <f t="shared" si="338"/>
        <v>-3.8136042402826864E-2</v>
      </c>
      <c r="AB383" s="71">
        <f t="shared" si="338"/>
        <v>5.2248960371819919E-2</v>
      </c>
      <c r="AC383" s="71">
        <f t="shared" si="338"/>
        <v>3.8881481481481517E-2</v>
      </c>
      <c r="AD383" s="71">
        <f t="shared" si="338"/>
        <v>-1.1429885916799054E-2</v>
      </c>
      <c r="AE383" s="71">
        <f t="shared" ref="AE383:AJ383" si="339">AE381/Z381-1</f>
        <v>-6.7531722704134989E-3</v>
      </c>
      <c r="AF383" s="23">
        <f t="shared" si="339"/>
        <v>1.7545438681887848E-2</v>
      </c>
      <c r="AG383" s="71">
        <f t="shared" si="339"/>
        <v>-4.7293517664238616E-3</v>
      </c>
      <c r="AH383" s="71">
        <f t="shared" si="339"/>
        <v>-2.3165940577116406E-2</v>
      </c>
      <c r="AI383" s="71">
        <f t="shared" si="339"/>
        <v>1.0769420952741138E-2</v>
      </c>
      <c r="AJ383" s="71">
        <f t="shared" si="339"/>
        <v>1.0480122412449555E-2</v>
      </c>
      <c r="AK383" s="23">
        <v>-1.7455913438887416E-3</v>
      </c>
      <c r="AL383" s="71">
        <v>3.649635036496357E-2</v>
      </c>
      <c r="AM383" s="71">
        <v>2.9197080291970767E-2</v>
      </c>
      <c r="AN383" s="71">
        <v>-7.194244604316502E-3</v>
      </c>
      <c r="AO383" s="71">
        <v>1.4285714285714235E-2</v>
      </c>
      <c r="AP383" s="23">
        <v>1.8083182640144635E-2</v>
      </c>
      <c r="AQ383" s="71">
        <v>-3.5211267605633756E-2</v>
      </c>
      <c r="AR383" s="71">
        <v>-7.0921985815602828E-2</v>
      </c>
      <c r="AS383" s="71">
        <v>-7.2463768115942018E-2</v>
      </c>
      <c r="AT383" s="71">
        <v>-3.5211267605633756E-2</v>
      </c>
      <c r="AU383" s="23">
        <v>-5.3285968028419228E-2</v>
      </c>
      <c r="AV383" s="71">
        <v>-8.0291970802919721E-2</v>
      </c>
      <c r="AW383" s="71">
        <v>-9.1603053435114545E-2</v>
      </c>
      <c r="AX383" s="71">
        <v>-0.109375</v>
      </c>
      <c r="AY383" s="71">
        <v>-0.12408759124087587</v>
      </c>
      <c r="AZ383" s="23">
        <v>-0.10131332082551592</v>
      </c>
      <c r="BA383" s="71">
        <v>-9.5238095238095233E-2</v>
      </c>
      <c r="BB383" s="71">
        <v>-6.7226890756302504E-2</v>
      </c>
      <c r="BC383" s="71">
        <v>-2.6315789473684181E-2</v>
      </c>
      <c r="BD383" s="71"/>
      <c r="BE383" s="23"/>
      <c r="BF383" s="71"/>
      <c r="BG383" s="71"/>
      <c r="BH383" s="71"/>
    </row>
    <row r="384" spans="1:60" hidden="1">
      <c r="A384" s="67" t="s">
        <v>80</v>
      </c>
      <c r="B384" s="36">
        <v>147</v>
      </c>
      <c r="C384" s="78" t="s">
        <v>49</v>
      </c>
      <c r="D384" s="78" t="s">
        <v>49</v>
      </c>
      <c r="E384" s="78" t="s">
        <v>49</v>
      </c>
      <c r="F384" s="78" t="s">
        <v>49</v>
      </c>
      <c r="G384" s="36">
        <v>181</v>
      </c>
      <c r="H384" s="68">
        <v>41</v>
      </c>
      <c r="I384" s="68">
        <v>43</v>
      </c>
      <c r="J384" s="68">
        <v>47</v>
      </c>
      <c r="K384" s="68">
        <f>L384-J384-I384-H384</f>
        <v>44</v>
      </c>
      <c r="L384" s="36">
        <v>175</v>
      </c>
      <c r="M384" s="68">
        <v>44</v>
      </c>
      <c r="N384" s="68">
        <v>48</v>
      </c>
      <c r="O384" s="68">
        <v>48</v>
      </c>
      <c r="P384" s="68">
        <f>Q384-O384-N384-M384</f>
        <v>52</v>
      </c>
      <c r="Q384" s="36">
        <v>192</v>
      </c>
      <c r="R384" s="68">
        <v>47</v>
      </c>
      <c r="S384" s="68">
        <v>53</v>
      </c>
      <c r="T384" s="68">
        <v>51</v>
      </c>
      <c r="U384" s="68">
        <f>V384-T384-S384-R384</f>
        <v>58.084000000000003</v>
      </c>
      <c r="V384" s="36">
        <v>209.084</v>
      </c>
      <c r="W384" s="68">
        <v>50.045999999999999</v>
      </c>
      <c r="X384" s="68">
        <v>52.976999999999997</v>
      </c>
      <c r="Y384" s="68">
        <v>54.37</v>
      </c>
      <c r="Z384" s="68">
        <f>AA384-Y384-X384-W384</f>
        <v>51.805</v>
      </c>
      <c r="AA384" s="36">
        <v>209.19800000000001</v>
      </c>
      <c r="AB384" s="68">
        <v>51.332000000000001</v>
      </c>
      <c r="AC384" s="68">
        <v>50.058</v>
      </c>
      <c r="AD384" s="68">
        <v>49.411999999999999</v>
      </c>
      <c r="AE384" s="68">
        <f>AF384-AD384-AC384-AB384</f>
        <v>54.455000000000005</v>
      </c>
      <c r="AF384" s="36">
        <v>205.25700000000001</v>
      </c>
      <c r="AG384" s="68">
        <v>50</v>
      </c>
      <c r="AH384" s="68">
        <v>50</v>
      </c>
      <c r="AI384" s="68">
        <v>53</v>
      </c>
      <c r="AJ384" s="68">
        <f>AK384-AI384-AH384-AG384</f>
        <v>56</v>
      </c>
      <c r="AK384" s="36">
        <v>209</v>
      </c>
      <c r="AL384" s="68">
        <v>53</v>
      </c>
      <c r="AM384" s="68">
        <v>53</v>
      </c>
      <c r="AN384" s="68">
        <v>49</v>
      </c>
      <c r="AO384" s="68">
        <v>54</v>
      </c>
      <c r="AP384" s="36">
        <v>209</v>
      </c>
      <c r="AQ384" s="68">
        <v>57</v>
      </c>
      <c r="AR384" s="68">
        <v>56</v>
      </c>
      <c r="AS384" s="68">
        <v>55</v>
      </c>
      <c r="AT384" s="68">
        <v>53</v>
      </c>
      <c r="AU384" s="36">
        <v>221</v>
      </c>
      <c r="AV384" s="68">
        <v>48</v>
      </c>
      <c r="AW384" s="68">
        <v>46</v>
      </c>
      <c r="AX384" s="68">
        <v>48</v>
      </c>
      <c r="AY384" s="68">
        <v>45</v>
      </c>
      <c r="AZ384" s="36">
        <v>187</v>
      </c>
      <c r="BA384" s="68">
        <v>50</v>
      </c>
      <c r="BB384" s="68">
        <v>52</v>
      </c>
      <c r="BC384" s="68">
        <v>49</v>
      </c>
      <c r="BD384" s="68"/>
      <c r="BE384" s="36"/>
      <c r="BF384" s="68"/>
      <c r="BG384" s="68"/>
      <c r="BH384" s="68"/>
    </row>
    <row r="385" spans="1:60" hidden="1">
      <c r="A385" s="69" t="s">
        <v>7</v>
      </c>
      <c r="B385" s="23"/>
      <c r="C385" s="70"/>
      <c r="D385" s="70"/>
      <c r="E385" s="70"/>
      <c r="F385" s="70"/>
      <c r="G385" s="23"/>
      <c r="H385" s="70"/>
      <c r="I385" s="70">
        <f>I384/H384-1</f>
        <v>4.8780487804878092E-2</v>
      </c>
      <c r="J385" s="70">
        <f>J384/I384-1</f>
        <v>9.3023255813953432E-2</v>
      </c>
      <c r="K385" s="70">
        <f>K384/J384-1</f>
        <v>-6.3829787234042534E-2</v>
      </c>
      <c r="L385" s="23"/>
      <c r="M385" s="70">
        <f>M384/K384-1</f>
        <v>0</v>
      </c>
      <c r="N385" s="70">
        <f>N384/M384-1</f>
        <v>9.0909090909090828E-2</v>
      </c>
      <c r="O385" s="70">
        <f>O384/N384-1</f>
        <v>0</v>
      </c>
      <c r="P385" s="70">
        <f>P384/O384-1</f>
        <v>8.3333333333333259E-2</v>
      </c>
      <c r="Q385" s="23"/>
      <c r="R385" s="70">
        <f>R384/P384-1</f>
        <v>-9.6153846153846145E-2</v>
      </c>
      <c r="S385" s="70">
        <f>S384/R384-1</f>
        <v>0.12765957446808507</v>
      </c>
      <c r="T385" s="70">
        <f>T384/S384-1</f>
        <v>-3.7735849056603765E-2</v>
      </c>
      <c r="U385" s="70">
        <f>U384/T384-1</f>
        <v>0.13890196078431383</v>
      </c>
      <c r="V385" s="23"/>
      <c r="W385" s="70">
        <f>W384/U384-1</f>
        <v>-0.13838578610288554</v>
      </c>
      <c r="X385" s="70">
        <f>X384/W384-1</f>
        <v>5.8566119170363251E-2</v>
      </c>
      <c r="Y385" s="70">
        <f>Y384/X384-1</f>
        <v>2.629442965815354E-2</v>
      </c>
      <c r="Z385" s="70">
        <f>Z384/Y384-1</f>
        <v>-4.7176751885230739E-2</v>
      </c>
      <c r="AA385" s="23"/>
      <c r="AB385" s="70">
        <f>AB384/Z384-1</f>
        <v>-9.1303928192258965E-3</v>
      </c>
      <c r="AC385" s="70">
        <f>AC384/AB384-1</f>
        <v>-2.4818826463025023E-2</v>
      </c>
      <c r="AD385" s="70">
        <f>AD384/AC384-1</f>
        <v>-1.2905030165008657E-2</v>
      </c>
      <c r="AE385" s="70">
        <f>AE384/AD384-1</f>
        <v>0.10206022828462724</v>
      </c>
      <c r="AF385" s="23"/>
      <c r="AG385" s="70">
        <f>AG384/AE384-1</f>
        <v>-8.1810669360022126E-2</v>
      </c>
      <c r="AH385" s="70">
        <f>AH384/AG384-1</f>
        <v>0</v>
      </c>
      <c r="AI385" s="70">
        <f>AI384/AH384-1</f>
        <v>6.0000000000000053E-2</v>
      </c>
      <c r="AJ385" s="70">
        <f>AJ384/AI384-1</f>
        <v>5.6603773584905648E-2</v>
      </c>
      <c r="AK385" s="23"/>
      <c r="AL385" s="70">
        <v>-5.3571428571428603E-2</v>
      </c>
      <c r="AM385" s="70">
        <v>0</v>
      </c>
      <c r="AN385" s="70">
        <v>-7.547169811320753E-2</v>
      </c>
      <c r="AO385" s="70">
        <v>0.1020408163265305</v>
      </c>
      <c r="AP385" s="23"/>
      <c r="AQ385" s="70">
        <v>5.555555555555558E-2</v>
      </c>
      <c r="AR385" s="70">
        <v>-1.7543859649122862E-2</v>
      </c>
      <c r="AS385" s="70">
        <v>-1.7857142857142905E-2</v>
      </c>
      <c r="AT385" s="70">
        <v>-3.6363636363636376E-2</v>
      </c>
      <c r="AU385" s="23"/>
      <c r="AV385" s="70">
        <v>-9.4339622641509413E-2</v>
      </c>
      <c r="AW385" s="70">
        <v>-4.166666666666663E-2</v>
      </c>
      <c r="AX385" s="70">
        <v>4.3478260869565188E-2</v>
      </c>
      <c r="AY385" s="70">
        <v>-6.25E-2</v>
      </c>
      <c r="AZ385" s="23"/>
      <c r="BA385" s="70">
        <v>0.11111111111111116</v>
      </c>
      <c r="BB385" s="70">
        <v>4.0000000000000036E-2</v>
      </c>
      <c r="BC385" s="70">
        <v>-5.7692307692307709E-2</v>
      </c>
      <c r="BD385" s="70"/>
      <c r="BE385" s="23"/>
      <c r="BF385" s="70"/>
      <c r="BG385" s="70"/>
      <c r="BH385" s="70"/>
    </row>
    <row r="386" spans="1:60" hidden="1">
      <c r="A386" s="69" t="s">
        <v>8</v>
      </c>
      <c r="B386" s="23"/>
      <c r="C386" s="71"/>
      <c r="D386" s="71"/>
      <c r="E386" s="71"/>
      <c r="F386" s="71"/>
      <c r="G386" s="23">
        <f>G384/B384-1</f>
        <v>0.23129251700680276</v>
      </c>
      <c r="H386" s="71"/>
      <c r="I386" s="71"/>
      <c r="J386" s="71"/>
      <c r="K386" s="71"/>
      <c r="L386" s="23">
        <f t="shared" ref="L386:AD386" si="340">L384/G384-1</f>
        <v>-3.3149171270718258E-2</v>
      </c>
      <c r="M386" s="71">
        <f t="shared" si="340"/>
        <v>7.3170731707317138E-2</v>
      </c>
      <c r="N386" s="71">
        <f t="shared" si="340"/>
        <v>0.11627906976744184</v>
      </c>
      <c r="O386" s="71">
        <f t="shared" si="340"/>
        <v>2.1276595744680771E-2</v>
      </c>
      <c r="P386" s="71">
        <f t="shared" si="340"/>
        <v>0.18181818181818188</v>
      </c>
      <c r="Q386" s="23">
        <f t="shared" si="340"/>
        <v>9.7142857142857197E-2</v>
      </c>
      <c r="R386" s="71">
        <f t="shared" si="340"/>
        <v>6.8181818181818121E-2</v>
      </c>
      <c r="S386" s="71">
        <f t="shared" si="340"/>
        <v>0.10416666666666674</v>
      </c>
      <c r="T386" s="71">
        <f t="shared" si="340"/>
        <v>6.25E-2</v>
      </c>
      <c r="U386" s="71">
        <f t="shared" si="340"/>
        <v>0.11699999999999999</v>
      </c>
      <c r="V386" s="23">
        <f t="shared" si="340"/>
        <v>8.8979166666666609E-2</v>
      </c>
      <c r="W386" s="71">
        <f t="shared" si="340"/>
        <v>6.4808510638297845E-2</v>
      </c>
      <c r="X386" s="71">
        <f t="shared" si="340"/>
        <v>-4.3396226415104433E-4</v>
      </c>
      <c r="Y386" s="71">
        <f t="shared" si="340"/>
        <v>6.6078431372548874E-2</v>
      </c>
      <c r="Z386" s="71">
        <f t="shared" si="340"/>
        <v>-0.10810205908683979</v>
      </c>
      <c r="AA386" s="23">
        <f t="shared" si="340"/>
        <v>5.4523540777862145E-4</v>
      </c>
      <c r="AB386" s="71">
        <f t="shared" si="340"/>
        <v>2.5696359349398623E-2</v>
      </c>
      <c r="AC386" s="71">
        <f t="shared" si="340"/>
        <v>-5.5099382751005122E-2</v>
      </c>
      <c r="AD386" s="71">
        <f t="shared" si="340"/>
        <v>-9.118999448225118E-2</v>
      </c>
      <c r="AE386" s="71">
        <f t="shared" ref="AE386:AJ386" si="341">AE384/Z384-1</f>
        <v>5.1153363574944599E-2</v>
      </c>
      <c r="AF386" s="23">
        <f t="shared" si="341"/>
        <v>-1.8838612223826212E-2</v>
      </c>
      <c r="AG386" s="71">
        <f t="shared" si="341"/>
        <v>-2.5948725940933559E-2</v>
      </c>
      <c r="AH386" s="71">
        <f t="shared" si="341"/>
        <v>-1.1586559590874845E-3</v>
      </c>
      <c r="AI386" s="71">
        <f t="shared" si="341"/>
        <v>7.261393993361942E-2</v>
      </c>
      <c r="AJ386" s="71">
        <f t="shared" si="341"/>
        <v>2.8372050316775255E-2</v>
      </c>
      <c r="AK386" s="23">
        <v>1.8235675275386498E-2</v>
      </c>
      <c r="AL386" s="71">
        <v>6.0000000000000053E-2</v>
      </c>
      <c r="AM386" s="71">
        <v>6.0000000000000053E-2</v>
      </c>
      <c r="AN386" s="71">
        <v>-7.547169811320753E-2</v>
      </c>
      <c r="AO386" s="71">
        <v>-3.5714285714285698E-2</v>
      </c>
      <c r="AP386" s="23">
        <v>0</v>
      </c>
      <c r="AQ386" s="71">
        <v>7.547169811320753E-2</v>
      </c>
      <c r="AR386" s="71">
        <v>5.6603773584905648E-2</v>
      </c>
      <c r="AS386" s="71">
        <v>0.12244897959183665</v>
      </c>
      <c r="AT386" s="71">
        <v>-1.851851851851849E-2</v>
      </c>
      <c r="AU386" s="23">
        <v>5.741626794258381E-2</v>
      </c>
      <c r="AV386" s="71">
        <v>-0.15789473684210531</v>
      </c>
      <c r="AW386" s="71">
        <v>-0.1785714285714286</v>
      </c>
      <c r="AX386" s="71">
        <v>-0.12727272727272732</v>
      </c>
      <c r="AY386" s="71">
        <v>-0.15094339622641506</v>
      </c>
      <c r="AZ386" s="23">
        <v>-0.15384615384615385</v>
      </c>
      <c r="BA386" s="71">
        <v>4.1666666666666741E-2</v>
      </c>
      <c r="BB386" s="71">
        <v>0.13043478260869557</v>
      </c>
      <c r="BC386" s="71">
        <v>2.0833333333333259E-2</v>
      </c>
      <c r="BD386" s="71"/>
      <c r="BE386" s="23"/>
      <c r="BF386" s="71"/>
      <c r="BG386" s="71"/>
      <c r="BH386" s="71"/>
    </row>
    <row r="387" spans="1:60" hidden="1">
      <c r="A387" s="67" t="s">
        <v>81</v>
      </c>
      <c r="B387" s="36">
        <v>94</v>
      </c>
      <c r="C387" s="78" t="s">
        <v>49</v>
      </c>
      <c r="D387" s="78" t="s">
        <v>49</v>
      </c>
      <c r="E387" s="78" t="s">
        <v>49</v>
      </c>
      <c r="F387" s="78" t="s">
        <v>49</v>
      </c>
      <c r="G387" s="36">
        <v>103</v>
      </c>
      <c r="H387" s="68">
        <v>24</v>
      </c>
      <c r="I387" s="68">
        <v>26</v>
      </c>
      <c r="J387" s="68">
        <v>24</v>
      </c>
      <c r="K387" s="68">
        <f>L387-J387-I387-H387</f>
        <v>31</v>
      </c>
      <c r="L387" s="36">
        <v>105</v>
      </c>
      <c r="M387" s="68">
        <v>28</v>
      </c>
      <c r="N387" s="68">
        <v>27</v>
      </c>
      <c r="O387" s="68">
        <v>26</v>
      </c>
      <c r="P387" s="68">
        <f>Q387-O387-N387-M387</f>
        <v>28</v>
      </c>
      <c r="Q387" s="36">
        <v>109</v>
      </c>
      <c r="R387" s="68">
        <v>28</v>
      </c>
      <c r="S387" s="68">
        <v>26</v>
      </c>
      <c r="T387" s="68">
        <v>30</v>
      </c>
      <c r="U387" s="68">
        <f>V387-T387-S387-R387</f>
        <v>32.278000000000006</v>
      </c>
      <c r="V387" s="36">
        <f>115.861+0.417</f>
        <v>116.27800000000001</v>
      </c>
      <c r="W387" s="68">
        <v>31.416</v>
      </c>
      <c r="X387" s="68">
        <v>28.713000000000001</v>
      </c>
      <c r="Y387" s="68">
        <v>29.314</v>
      </c>
      <c r="Z387" s="68">
        <f>AA387-Y387-X387-W387</f>
        <v>27.634000000000004</v>
      </c>
      <c r="AA387" s="36">
        <f>117.077</f>
        <v>117.077</v>
      </c>
      <c r="AB387" s="68">
        <v>29.92</v>
      </c>
      <c r="AC387" s="68">
        <f>29.967+0.001</f>
        <v>29.968</v>
      </c>
      <c r="AD387" s="68">
        <f>31.247+1.975</f>
        <v>33.222000000000001</v>
      </c>
      <c r="AE387" s="68">
        <f>AF387-AD387-AC387-AB387</f>
        <v>25.918000000000006</v>
      </c>
      <c r="AF387" s="36">
        <f>119.028</f>
        <v>119.02800000000001</v>
      </c>
      <c r="AG387" s="68">
        <v>29</v>
      </c>
      <c r="AH387" s="68">
        <v>30</v>
      </c>
      <c r="AI387" s="68">
        <v>26</v>
      </c>
      <c r="AJ387" s="68">
        <f>AK387-AI387-AH387-AG387</f>
        <v>27</v>
      </c>
      <c r="AK387" s="36">
        <v>112</v>
      </c>
      <c r="AL387" s="68">
        <v>28</v>
      </c>
      <c r="AM387" s="68">
        <v>28</v>
      </c>
      <c r="AN387" s="143">
        <v>29</v>
      </c>
      <c r="AO387" s="68">
        <v>31</v>
      </c>
      <c r="AP387" s="36">
        <v>116</v>
      </c>
      <c r="AQ387" s="68">
        <v>29</v>
      </c>
      <c r="AR387" s="68">
        <v>28</v>
      </c>
      <c r="AS387" s="143">
        <v>28</v>
      </c>
      <c r="AT387" s="68">
        <v>33</v>
      </c>
      <c r="AU387" s="36">
        <v>118</v>
      </c>
      <c r="AV387" s="68">
        <v>29</v>
      </c>
      <c r="AW387" s="68">
        <v>27</v>
      </c>
      <c r="AX387" s="68">
        <v>28</v>
      </c>
      <c r="AY387" s="68">
        <v>31</v>
      </c>
      <c r="AZ387" s="36">
        <v>115</v>
      </c>
      <c r="BA387" s="68">
        <v>28</v>
      </c>
      <c r="BB387" s="68">
        <v>30</v>
      </c>
      <c r="BC387" s="68">
        <v>29</v>
      </c>
      <c r="BD387" s="68"/>
      <c r="BE387" s="36"/>
      <c r="BF387" s="68"/>
      <c r="BG387" s="68"/>
      <c r="BH387" s="68"/>
    </row>
    <row r="388" spans="1:60" hidden="1">
      <c r="A388" s="69" t="s">
        <v>7</v>
      </c>
      <c r="B388" s="23"/>
      <c r="C388" s="70"/>
      <c r="D388" s="70"/>
      <c r="E388" s="70"/>
      <c r="F388" s="70"/>
      <c r="G388" s="23"/>
      <c r="H388" s="70"/>
      <c r="I388" s="70">
        <f>I387/H387-1</f>
        <v>8.3333333333333259E-2</v>
      </c>
      <c r="J388" s="70">
        <f>J387/I387-1</f>
        <v>-7.6923076923076872E-2</v>
      </c>
      <c r="K388" s="70">
        <f>K387/J387-1</f>
        <v>0.29166666666666674</v>
      </c>
      <c r="L388" s="23"/>
      <c r="M388" s="70">
        <f>M387/K387-1</f>
        <v>-9.6774193548387122E-2</v>
      </c>
      <c r="N388" s="70">
        <f>N387/M387-1</f>
        <v>-3.5714285714285698E-2</v>
      </c>
      <c r="O388" s="70">
        <f>O387/N387-1</f>
        <v>-3.703703703703709E-2</v>
      </c>
      <c r="P388" s="70">
        <f>P387/O387-1</f>
        <v>7.6923076923076872E-2</v>
      </c>
      <c r="Q388" s="23"/>
      <c r="R388" s="70">
        <f>R387/P387-1</f>
        <v>0</v>
      </c>
      <c r="S388" s="70">
        <f>S387/R387-1</f>
        <v>-7.1428571428571397E-2</v>
      </c>
      <c r="T388" s="70">
        <f>T387/S387-1</f>
        <v>0.15384615384615374</v>
      </c>
      <c r="U388" s="70">
        <f>U387/T387-1</f>
        <v>7.593333333333363E-2</v>
      </c>
      <c r="V388" s="23"/>
      <c r="W388" s="70">
        <f>W387/U387-1</f>
        <v>-2.6705496003470053E-2</v>
      </c>
      <c r="X388" s="70">
        <f>X387/W387-1</f>
        <v>-8.6038961038961026E-2</v>
      </c>
      <c r="Y388" s="70">
        <f>Y387/X387-1</f>
        <v>2.0931285480444428E-2</v>
      </c>
      <c r="Z388" s="70">
        <f>Z387/Y387-1</f>
        <v>-5.7310500102340067E-2</v>
      </c>
      <c r="AA388" s="23"/>
      <c r="AB388" s="70">
        <f>AB387/Z387-1</f>
        <v>8.2724180357530486E-2</v>
      </c>
      <c r="AC388" s="70">
        <f>AC387/AB387-1</f>
        <v>1.6042780748661833E-3</v>
      </c>
      <c r="AD388" s="70">
        <f>AD387/AC387-1</f>
        <v>0.10858248798718639</v>
      </c>
      <c r="AE388" s="70">
        <f>AE387/AD387-1</f>
        <v>-0.21985431340677852</v>
      </c>
      <c r="AF388" s="23"/>
      <c r="AG388" s="70">
        <f>AG387/AE387-1</f>
        <v>0.11891349641175997</v>
      </c>
      <c r="AH388" s="70">
        <f>AH387/AG387-1</f>
        <v>3.4482758620689724E-2</v>
      </c>
      <c r="AI388" s="70">
        <f>AI387/AH387-1</f>
        <v>-0.1333333333333333</v>
      </c>
      <c r="AJ388" s="70">
        <f>AJ387/AI387-1</f>
        <v>3.8461538461538547E-2</v>
      </c>
      <c r="AK388" s="23"/>
      <c r="AL388" s="70">
        <v>3.7037037037036979E-2</v>
      </c>
      <c r="AM388" s="70">
        <v>0</v>
      </c>
      <c r="AN388" s="70">
        <v>3.5714285714285809E-2</v>
      </c>
      <c r="AO388" s="70">
        <v>6.8965517241379226E-2</v>
      </c>
      <c r="AP388" s="23"/>
      <c r="AQ388" s="70">
        <v>-6.4516129032258118E-2</v>
      </c>
      <c r="AR388" s="70">
        <v>-3.4482758620689613E-2</v>
      </c>
      <c r="AS388" s="70">
        <v>0</v>
      </c>
      <c r="AT388" s="70">
        <v>0.1785714285714286</v>
      </c>
      <c r="AU388" s="23"/>
      <c r="AV388" s="70">
        <v>-0.12121212121212122</v>
      </c>
      <c r="AW388" s="70">
        <v>-6.8965517241379337E-2</v>
      </c>
      <c r="AX388" s="70">
        <v>3.7037037037036979E-2</v>
      </c>
      <c r="AY388" s="70">
        <v>0.10714285714285721</v>
      </c>
      <c r="AZ388" s="23"/>
      <c r="BA388" s="70">
        <v>-9.6774193548387122E-2</v>
      </c>
      <c r="BB388" s="70">
        <v>7.1428571428571397E-2</v>
      </c>
      <c r="BC388" s="70">
        <v>-3.3333333333333326E-2</v>
      </c>
      <c r="BD388" s="70"/>
      <c r="BE388" s="23"/>
      <c r="BF388" s="70"/>
      <c r="BG388" s="70"/>
      <c r="BH388" s="70"/>
    </row>
    <row r="389" spans="1:60" hidden="1">
      <c r="A389" s="69" t="s">
        <v>8</v>
      </c>
      <c r="B389" s="23"/>
      <c r="C389" s="71"/>
      <c r="D389" s="71"/>
      <c r="E389" s="71"/>
      <c r="F389" s="71"/>
      <c r="G389" s="23">
        <f>G387/B387-1</f>
        <v>9.5744680851063801E-2</v>
      </c>
      <c r="H389" s="71"/>
      <c r="I389" s="71"/>
      <c r="J389" s="71"/>
      <c r="K389" s="71"/>
      <c r="L389" s="23">
        <f t="shared" ref="L389:AD389" si="342">L387/G387-1</f>
        <v>1.9417475728155331E-2</v>
      </c>
      <c r="M389" s="71">
        <f t="shared" si="342"/>
        <v>0.16666666666666674</v>
      </c>
      <c r="N389" s="71">
        <f t="shared" si="342"/>
        <v>3.8461538461538547E-2</v>
      </c>
      <c r="O389" s="71">
        <f t="shared" si="342"/>
        <v>8.3333333333333259E-2</v>
      </c>
      <c r="P389" s="71">
        <f t="shared" si="342"/>
        <v>-9.6774193548387122E-2</v>
      </c>
      <c r="Q389" s="23">
        <f t="shared" si="342"/>
        <v>3.8095238095238182E-2</v>
      </c>
      <c r="R389" s="71">
        <f t="shared" si="342"/>
        <v>0</v>
      </c>
      <c r="S389" s="71">
        <f t="shared" si="342"/>
        <v>-3.703703703703709E-2</v>
      </c>
      <c r="T389" s="71">
        <f t="shared" si="342"/>
        <v>0.15384615384615374</v>
      </c>
      <c r="U389" s="71">
        <f t="shared" si="342"/>
        <v>0.15278571428571452</v>
      </c>
      <c r="V389" s="23">
        <f t="shared" si="342"/>
        <v>6.6770642201834818E-2</v>
      </c>
      <c r="W389" s="71">
        <f t="shared" si="342"/>
        <v>0.12200000000000011</v>
      </c>
      <c r="X389" s="71">
        <f t="shared" si="342"/>
        <v>0.10434615384615387</v>
      </c>
      <c r="Y389" s="71">
        <f t="shared" si="342"/>
        <v>-2.2866666666666702E-2</v>
      </c>
      <c r="Z389" s="71">
        <f t="shared" si="342"/>
        <v>-0.14387508519734804</v>
      </c>
      <c r="AA389" s="23">
        <f t="shared" si="342"/>
        <v>6.8714632174615708E-3</v>
      </c>
      <c r="AB389" s="71">
        <f t="shared" si="342"/>
        <v>-4.7619047619047561E-2</v>
      </c>
      <c r="AC389" s="71">
        <f t="shared" si="342"/>
        <v>4.3708424755337205E-2</v>
      </c>
      <c r="AD389" s="71">
        <f t="shared" si="342"/>
        <v>0.13331513952377705</v>
      </c>
      <c r="AE389" s="71">
        <f t="shared" ref="AE389:AJ389" si="343">AE387/Z387-1</f>
        <v>-6.2097416226387647E-2</v>
      </c>
      <c r="AF389" s="23">
        <f t="shared" si="343"/>
        <v>1.6664246606933997E-2</v>
      </c>
      <c r="AG389" s="71">
        <f t="shared" si="343"/>
        <v>-3.074866310160429E-2</v>
      </c>
      <c r="AH389" s="71">
        <f t="shared" si="343"/>
        <v>1.0678056593700358E-3</v>
      </c>
      <c r="AI389" s="71">
        <f t="shared" si="343"/>
        <v>-0.21738606947203665</v>
      </c>
      <c r="AJ389" s="71">
        <f t="shared" si="343"/>
        <v>4.1747048383362628E-2</v>
      </c>
      <c r="AK389" s="23">
        <v>-5.9044930604563728E-2</v>
      </c>
      <c r="AL389" s="71">
        <v>-3.4482758620689613E-2</v>
      </c>
      <c r="AM389" s="71">
        <v>-6.6666666666666652E-2</v>
      </c>
      <c r="AN389" s="71">
        <v>0.11538461538461542</v>
      </c>
      <c r="AO389" s="71">
        <v>0.14814814814814814</v>
      </c>
      <c r="AP389" s="23">
        <v>3.5714285714285809E-2</v>
      </c>
      <c r="AQ389" s="71">
        <v>3.5714285714285809E-2</v>
      </c>
      <c r="AR389" s="71">
        <v>0</v>
      </c>
      <c r="AS389" s="71">
        <v>-3.4482758620689613E-2</v>
      </c>
      <c r="AT389" s="71">
        <v>6.4516129032258007E-2</v>
      </c>
      <c r="AU389" s="23">
        <v>1.7241379310344751E-2</v>
      </c>
      <c r="AV389" s="71">
        <v>0</v>
      </c>
      <c r="AW389" s="71">
        <v>-3.5714285714285698E-2</v>
      </c>
      <c r="AX389" s="71">
        <v>0</v>
      </c>
      <c r="AY389" s="71">
        <v>-6.0606060606060552E-2</v>
      </c>
      <c r="AZ389" s="23">
        <v>-2.5423728813559365E-2</v>
      </c>
      <c r="BA389" s="71">
        <v>-3.4482758620689613E-2</v>
      </c>
      <c r="BB389" s="71">
        <v>0.11111111111111116</v>
      </c>
      <c r="BC389" s="71">
        <v>3.5714285714285809E-2</v>
      </c>
      <c r="BD389" s="71"/>
      <c r="BE389" s="23"/>
      <c r="BF389" s="71"/>
      <c r="BG389" s="71"/>
      <c r="BH389" s="71"/>
    </row>
    <row r="390" spans="1:60" ht="11.25" customHeight="1">
      <c r="A390" s="67" t="s">
        <v>259</v>
      </c>
      <c r="B390" s="36">
        <f>46.096+24.952+15.549</f>
        <v>86.597000000000008</v>
      </c>
      <c r="C390" s="68">
        <v>20</v>
      </c>
      <c r="D390" s="68">
        <f>10.137+5.245+4.935</f>
        <v>20.317</v>
      </c>
      <c r="E390" s="68">
        <f>10.15+5.082+4.672</f>
        <v>19.904</v>
      </c>
      <c r="F390" s="68">
        <f>G390-E390-D390-C390</f>
        <v>19.860999999999997</v>
      </c>
      <c r="G390" s="36">
        <f>40.852+20.34+18.89</f>
        <v>80.081999999999994</v>
      </c>
      <c r="H390" s="68">
        <f>10.212+4.612+4.79</f>
        <v>19.614000000000001</v>
      </c>
      <c r="I390" s="68">
        <f>10.079+5.233+5.362</f>
        <v>20.673999999999999</v>
      </c>
      <c r="J390" s="68">
        <f>10.169+5.512+5.719</f>
        <v>21.400000000000002</v>
      </c>
      <c r="K390" s="68">
        <f>L390-J390-I390-H390</f>
        <v>22.546000000000003</v>
      </c>
      <c r="L390" s="36">
        <f>41.005+21.158+22.071</f>
        <v>84.234000000000009</v>
      </c>
      <c r="M390" s="68">
        <f>10.003+6.211+6.375</f>
        <v>22.588999999999999</v>
      </c>
      <c r="N390" s="68">
        <v>23</v>
      </c>
      <c r="O390" s="68">
        <v>23.52</v>
      </c>
      <c r="P390" s="68">
        <f>Q390-O390-N390-M390</f>
        <v>25.182000000000002</v>
      </c>
      <c r="Q390" s="36">
        <f>42.96+25.374+25.957</f>
        <v>94.290999999999997</v>
      </c>
      <c r="R390" s="68">
        <f>11.201+6.443+6.622</f>
        <v>24.265999999999998</v>
      </c>
      <c r="S390" s="68">
        <f>11.652+8.008+6.743</f>
        <v>26.402999999999999</v>
      </c>
      <c r="T390" s="68">
        <f>12.275+8.876+6.822</f>
        <v>27.972999999999999</v>
      </c>
      <c r="U390" s="68">
        <f>V390-T390-S390-R390</f>
        <v>30.244</v>
      </c>
      <c r="V390" s="36">
        <f>48.323+33.462+27.101</f>
        <v>108.886</v>
      </c>
      <c r="W390" s="68">
        <f>17.646+10.076+6.634</f>
        <v>34.356000000000002</v>
      </c>
      <c r="X390" s="68">
        <f>17.483+10.26+6.699</f>
        <v>34.442</v>
      </c>
      <c r="Y390" s="68">
        <f>17.873+11.189+5.441</f>
        <v>34.503</v>
      </c>
      <c r="Z390" s="68">
        <f>AA390-Y390-X390-W390</f>
        <v>33.073</v>
      </c>
      <c r="AA390" s="36">
        <f>71.403+43.312+21.659</f>
        <v>136.374</v>
      </c>
      <c r="AB390" s="68">
        <f>17.414+10.524+3.354</f>
        <v>31.292000000000002</v>
      </c>
      <c r="AC390" s="68">
        <f>17.625+10.517+4.39</f>
        <v>32.531999999999996</v>
      </c>
      <c r="AD390" s="68">
        <f>17.249+11.187+4.514</f>
        <v>32.950000000000003</v>
      </c>
      <c r="AE390" s="68">
        <f>AF390-AD390-AC390-AB390</f>
        <v>33.225999999999999</v>
      </c>
      <c r="AF390" s="36">
        <v>130</v>
      </c>
      <c r="AG390" s="68">
        <v>32</v>
      </c>
      <c r="AH390" s="68">
        <v>32</v>
      </c>
      <c r="AI390" s="68">
        <v>32</v>
      </c>
      <c r="AJ390" s="68">
        <f>AK390-AI390-AH390-AG390</f>
        <v>34</v>
      </c>
      <c r="AK390" s="36">
        <v>130</v>
      </c>
      <c r="AL390" s="68">
        <v>32</v>
      </c>
      <c r="AM390" s="68">
        <v>32</v>
      </c>
      <c r="AN390" s="68">
        <v>33</v>
      </c>
      <c r="AO390" s="68">
        <v>35</v>
      </c>
      <c r="AP390" s="36">
        <v>132</v>
      </c>
      <c r="AQ390" s="68">
        <v>33</v>
      </c>
      <c r="AR390" s="68">
        <v>35</v>
      </c>
      <c r="AS390" s="68">
        <v>35</v>
      </c>
      <c r="AT390" s="68">
        <v>34</v>
      </c>
      <c r="AU390" s="36">
        <v>137</v>
      </c>
      <c r="AV390" s="68">
        <v>33</v>
      </c>
      <c r="AW390" s="68">
        <v>33</v>
      </c>
      <c r="AX390" s="68">
        <v>34</v>
      </c>
      <c r="AY390" s="68">
        <v>35</v>
      </c>
      <c r="AZ390" s="36">
        <v>135</v>
      </c>
      <c r="BA390" s="68">
        <v>43</v>
      </c>
      <c r="BB390" s="68">
        <v>45</v>
      </c>
      <c r="BC390" s="68">
        <v>46</v>
      </c>
      <c r="BD390" s="68">
        <v>60</v>
      </c>
      <c r="BE390" s="36">
        <v>194</v>
      </c>
      <c r="BF390" s="68">
        <v>46</v>
      </c>
      <c r="BG390" s="68">
        <v>46</v>
      </c>
      <c r="BH390" s="68">
        <v>47</v>
      </c>
    </row>
    <row r="391" spans="1:60" ht="11.25" customHeight="1">
      <c r="A391" s="80" t="s">
        <v>7</v>
      </c>
      <c r="B391" s="23"/>
      <c r="C391" s="70"/>
      <c r="D391" s="70">
        <f>D390/C390-1</f>
        <v>1.584999999999992E-2</v>
      </c>
      <c r="E391" s="70">
        <f>E390/D390-1</f>
        <v>-2.0327804301816244E-2</v>
      </c>
      <c r="F391" s="70">
        <f>F390/E390-1</f>
        <v>-2.1603697749197348E-3</v>
      </c>
      <c r="G391" s="23"/>
      <c r="H391" s="70">
        <f>H390/F390-1</f>
        <v>-1.2436433210815001E-2</v>
      </c>
      <c r="I391" s="70">
        <f>I390/H390-1</f>
        <v>5.4043030488426513E-2</v>
      </c>
      <c r="J391" s="70">
        <f>J390/I390-1</f>
        <v>3.5116571539131503E-2</v>
      </c>
      <c r="K391" s="70">
        <f>K390/J390-1</f>
        <v>5.3551401869158965E-2</v>
      </c>
      <c r="L391" s="23"/>
      <c r="M391" s="70">
        <f>M390/K390-1</f>
        <v>1.9072119222920403E-3</v>
      </c>
      <c r="N391" s="70">
        <f>N390/M390-1</f>
        <v>1.8194696533711197E-2</v>
      </c>
      <c r="O391" s="70">
        <f>O390/N390-1</f>
        <v>2.2608695652173827E-2</v>
      </c>
      <c r="P391" s="70">
        <f>P390/O390-1</f>
        <v>7.0663265306122547E-2</v>
      </c>
      <c r="Q391" s="23"/>
      <c r="R391" s="70">
        <f>R390/P390-1</f>
        <v>-3.6375188626797117E-2</v>
      </c>
      <c r="S391" s="70">
        <f>S390/R390-1</f>
        <v>8.8065606197972546E-2</v>
      </c>
      <c r="T391" s="70">
        <f>T390/S390-1</f>
        <v>5.9462939817445104E-2</v>
      </c>
      <c r="U391" s="70">
        <f>U390/T390-1</f>
        <v>8.1185428806348936E-2</v>
      </c>
      <c r="V391" s="23"/>
      <c r="W391" s="70">
        <f>W390/U390-1</f>
        <v>0.13596085173918793</v>
      </c>
      <c r="X391" s="70">
        <f>X390/W390-1</f>
        <v>2.5032017697053099E-3</v>
      </c>
      <c r="Y391" s="70">
        <f>Y390/X390-1</f>
        <v>1.7710934324370875E-3</v>
      </c>
      <c r="Z391" s="70">
        <v>-4.1445671390893501E-2</v>
      </c>
      <c r="AA391" s="23"/>
      <c r="AB391" s="70">
        <f>AB390/Z390-1</f>
        <v>-5.385057297493423E-2</v>
      </c>
      <c r="AC391" s="70">
        <f>AC390/AB390-1</f>
        <v>3.9626741659209763E-2</v>
      </c>
      <c r="AD391" s="70">
        <f>AD390/AC390-1</f>
        <v>1.2848887249477636E-2</v>
      </c>
      <c r="AE391" s="70">
        <f>AE390/AD390-1</f>
        <v>8.3763277693473803E-3</v>
      </c>
      <c r="AF391" s="23"/>
      <c r="AG391" s="70">
        <f>AG390/AE390-1</f>
        <v>-3.6898814181664963E-2</v>
      </c>
      <c r="AH391" s="70">
        <f>AH390/AG390-1</f>
        <v>0</v>
      </c>
      <c r="AI391" s="70">
        <f>AI390/AH390-1</f>
        <v>0</v>
      </c>
      <c r="AJ391" s="70">
        <f>AJ390/AI390-1</f>
        <v>6.25E-2</v>
      </c>
      <c r="AK391" s="23"/>
      <c r="AL391" s="70">
        <v>-5.8823529411764719E-2</v>
      </c>
      <c r="AM391" s="70">
        <v>0</v>
      </c>
      <c r="AN391" s="70">
        <v>3.125E-2</v>
      </c>
      <c r="AO391" s="70">
        <v>6.0606060606060552E-2</v>
      </c>
      <c r="AP391" s="23"/>
      <c r="AQ391" s="70">
        <v>-5.7142857142857162E-2</v>
      </c>
      <c r="AR391" s="70">
        <v>6.0606060606060552E-2</v>
      </c>
      <c r="AS391" s="70">
        <v>0</v>
      </c>
      <c r="AT391" s="70">
        <v>-2.8571428571428581E-2</v>
      </c>
      <c r="AU391" s="23"/>
      <c r="AV391" s="70">
        <v>-2.9411764705882359E-2</v>
      </c>
      <c r="AW391" s="70">
        <v>0</v>
      </c>
      <c r="AX391" s="70">
        <v>3.0303030303030276E-2</v>
      </c>
      <c r="AY391" s="70">
        <v>2.9411764705882248E-2</v>
      </c>
      <c r="AZ391" s="23"/>
      <c r="BA391" s="70">
        <v>0.22857142857142865</v>
      </c>
      <c r="BB391" s="70">
        <v>4.6511627906976827E-2</v>
      </c>
      <c r="BC391" s="70">
        <v>2.2222222222222143E-2</v>
      </c>
      <c r="BD391" s="70">
        <v>0.30434782608695654</v>
      </c>
      <c r="BE391" s="23"/>
      <c r="BF391" s="70">
        <v>-0.23333333333333328</v>
      </c>
      <c r="BG391" s="70">
        <v>0</v>
      </c>
      <c r="BH391" s="70">
        <v>2.1739130434782705E-2</v>
      </c>
    </row>
    <row r="392" spans="1:60" ht="11.25" customHeight="1">
      <c r="A392" s="80" t="s">
        <v>8</v>
      </c>
      <c r="B392" s="23"/>
      <c r="C392" s="71"/>
      <c r="D392" s="71"/>
      <c r="E392" s="71"/>
      <c r="F392" s="71"/>
      <c r="G392" s="23">
        <f t="shared" ref="G392:N392" si="344">G390/B390-1</f>
        <v>-7.5233553125397146E-2</v>
      </c>
      <c r="H392" s="71">
        <f t="shared" si="344"/>
        <v>-1.9299999999999984E-2</v>
      </c>
      <c r="I392" s="71">
        <f t="shared" si="344"/>
        <v>1.7571491854112331E-2</v>
      </c>
      <c r="J392" s="71">
        <f t="shared" si="344"/>
        <v>7.5160771704180229E-2</v>
      </c>
      <c r="K392" s="71">
        <f t="shared" si="344"/>
        <v>0.13518956749408417</v>
      </c>
      <c r="L392" s="23">
        <f t="shared" si="344"/>
        <v>5.1846856971604405E-2</v>
      </c>
      <c r="M392" s="71">
        <f t="shared" si="344"/>
        <v>0.15167737330478226</v>
      </c>
      <c r="N392" s="71">
        <f t="shared" si="344"/>
        <v>0.11250846473831877</v>
      </c>
      <c r="O392" s="71">
        <f t="shared" ref="O392:Y392" si="345">O390/J390-1</f>
        <v>9.9065420560747519E-2</v>
      </c>
      <c r="P392" s="71">
        <f t="shared" si="345"/>
        <v>0.11691652621307536</v>
      </c>
      <c r="Q392" s="23">
        <f t="shared" si="345"/>
        <v>0.1193935940356623</v>
      </c>
      <c r="R392" s="71">
        <f t="shared" si="345"/>
        <v>7.4239674177697168E-2</v>
      </c>
      <c r="S392" s="71">
        <f t="shared" si="345"/>
        <v>0.14795652173913032</v>
      </c>
      <c r="T392" s="71">
        <f t="shared" si="345"/>
        <v>0.18932823129251708</v>
      </c>
      <c r="U392" s="71">
        <f t="shared" si="345"/>
        <v>0.20101659915812875</v>
      </c>
      <c r="V392" s="23">
        <f t="shared" si="345"/>
        <v>0.15478677710491984</v>
      </c>
      <c r="W392" s="71">
        <f t="shared" si="345"/>
        <v>0.41580812659688471</v>
      </c>
      <c r="X392" s="71">
        <f t="shared" si="345"/>
        <v>0.30447297655569461</v>
      </c>
      <c r="Y392" s="71">
        <f t="shared" si="345"/>
        <v>0.23343938798126773</v>
      </c>
      <c r="Z392" s="71">
        <v>9.3539214389630976E-2</v>
      </c>
      <c r="AA392" s="23">
        <f t="shared" ref="AA392:AI392" si="346">AA390/V390-1</f>
        <v>0.2524475139136344</v>
      </c>
      <c r="AB392" s="71">
        <f t="shared" si="346"/>
        <v>-8.9183839795086706E-2</v>
      </c>
      <c r="AC392" s="71">
        <f t="shared" si="346"/>
        <v>-5.5455548458277826E-2</v>
      </c>
      <c r="AD392" s="71">
        <f t="shared" si="346"/>
        <v>-4.5010578790250055E-2</v>
      </c>
      <c r="AE392" s="71">
        <f t="shared" si="346"/>
        <v>4.6261300758927426E-3</v>
      </c>
      <c r="AF392" s="23">
        <f t="shared" si="346"/>
        <v>-4.6739114493965062E-2</v>
      </c>
      <c r="AG392" s="71">
        <f t="shared" si="346"/>
        <v>2.2625591205419848E-2</v>
      </c>
      <c r="AH392" s="71">
        <f t="shared" si="346"/>
        <v>-1.6353129226607588E-2</v>
      </c>
      <c r="AI392" s="71">
        <f t="shared" si="346"/>
        <v>-2.8831562974203417E-2</v>
      </c>
      <c r="AJ392" s="71">
        <f t="shared" ref="AJ392" si="347">AJ390/AE390-1</f>
        <v>2.3295009931981081E-2</v>
      </c>
      <c r="AK392" s="23">
        <v>0</v>
      </c>
      <c r="AL392" s="71">
        <v>0</v>
      </c>
      <c r="AM392" s="71">
        <v>0</v>
      </c>
      <c r="AN392" s="71">
        <v>3.125E-2</v>
      </c>
      <c r="AO392" s="71">
        <v>2.9411764705882248E-2</v>
      </c>
      <c r="AP392" s="23">
        <v>1.538461538461533E-2</v>
      </c>
      <c r="AQ392" s="71">
        <v>3.125E-2</v>
      </c>
      <c r="AR392" s="71">
        <v>9.375E-2</v>
      </c>
      <c r="AS392" s="71">
        <v>6.0606060606060552E-2</v>
      </c>
      <c r="AT392" s="71">
        <v>-2.8571428571428581E-2</v>
      </c>
      <c r="AU392" s="23">
        <v>3.7878787878787845E-2</v>
      </c>
      <c r="AV392" s="71">
        <v>0</v>
      </c>
      <c r="AW392" s="71">
        <v>-5.7142857142857162E-2</v>
      </c>
      <c r="AX392" s="71">
        <v>-2.8571428571428581E-2</v>
      </c>
      <c r="AY392" s="71">
        <v>2.9411764705882248E-2</v>
      </c>
      <c r="AZ392" s="23">
        <v>-1.4598540145985384E-2</v>
      </c>
      <c r="BA392" s="71">
        <v>0.30303030303030298</v>
      </c>
      <c r="BB392" s="71">
        <v>0.36363636363636354</v>
      </c>
      <c r="BC392" s="71">
        <v>0.35294117647058831</v>
      </c>
      <c r="BD392" s="71">
        <v>0.71428571428571419</v>
      </c>
      <c r="BE392" s="23">
        <v>0.43703703703703711</v>
      </c>
      <c r="BF392" s="71">
        <v>6.9767441860465018E-2</v>
      </c>
      <c r="BG392" s="71">
        <v>2.2222222222222143E-2</v>
      </c>
      <c r="BH392" s="71">
        <v>2.1739130434782705E-2</v>
      </c>
    </row>
    <row r="393" spans="1:60" ht="15.75" customHeight="1">
      <c r="A393" s="67" t="s">
        <v>92</v>
      </c>
      <c r="B393" s="36">
        <v>240</v>
      </c>
      <c r="C393" s="78" t="s">
        <v>49</v>
      </c>
      <c r="D393" s="78" t="s">
        <v>49</v>
      </c>
      <c r="E393" s="78" t="s">
        <v>49</v>
      </c>
      <c r="F393" s="78" t="s">
        <v>49</v>
      </c>
      <c r="G393" s="36">
        <v>260</v>
      </c>
      <c r="H393" s="78" t="s">
        <v>49</v>
      </c>
      <c r="I393" s="78" t="s">
        <v>49</v>
      </c>
      <c r="J393" s="78" t="s">
        <v>49</v>
      </c>
      <c r="K393" s="78" t="s">
        <v>49</v>
      </c>
      <c r="L393" s="36">
        <v>242</v>
      </c>
      <c r="M393" s="78" t="s">
        <v>49</v>
      </c>
      <c r="N393" s="78" t="s">
        <v>49</v>
      </c>
      <c r="O393" s="78" t="s">
        <v>49</v>
      </c>
      <c r="P393" s="78" t="s">
        <v>49</v>
      </c>
      <c r="Q393" s="36">
        <v>248</v>
      </c>
      <c r="R393" s="78" t="s">
        <v>49</v>
      </c>
      <c r="S393" s="78" t="s">
        <v>49</v>
      </c>
      <c r="T393" s="78" t="s">
        <v>49</v>
      </c>
      <c r="U393" s="78" t="s">
        <v>49</v>
      </c>
      <c r="V393" s="36">
        <v>265</v>
      </c>
      <c r="W393" s="78" t="s">
        <v>49</v>
      </c>
      <c r="X393" s="78" t="s">
        <v>49</v>
      </c>
      <c r="Y393" s="78" t="s">
        <v>49</v>
      </c>
      <c r="Z393" s="78" t="s">
        <v>49</v>
      </c>
      <c r="AA393" s="36">
        <v>278</v>
      </c>
      <c r="AB393" s="68">
        <v>73</v>
      </c>
      <c r="AC393" s="68">
        <v>70</v>
      </c>
      <c r="AD393" s="68">
        <v>70</v>
      </c>
      <c r="AE393" s="68">
        <f>AF393-AD393-AC393-AB393</f>
        <v>74</v>
      </c>
      <c r="AF393" s="36">
        <v>287</v>
      </c>
      <c r="AG393" s="68">
        <v>75</v>
      </c>
      <c r="AH393" s="68">
        <v>73</v>
      </c>
      <c r="AI393" s="68">
        <v>75</v>
      </c>
      <c r="AJ393" s="68">
        <f>AK393-AI393-AH393-AG393</f>
        <v>75</v>
      </c>
      <c r="AK393" s="36">
        <v>298</v>
      </c>
      <c r="AL393" s="68">
        <v>77</v>
      </c>
      <c r="AM393" s="68">
        <v>74</v>
      </c>
      <c r="AN393" s="68">
        <v>75</v>
      </c>
      <c r="AO393" s="68">
        <v>77</v>
      </c>
      <c r="AP393" s="36">
        <v>303</v>
      </c>
      <c r="AQ393" s="68">
        <v>83</v>
      </c>
      <c r="AR393" s="68">
        <v>82</v>
      </c>
      <c r="AS393" s="68">
        <v>83</v>
      </c>
      <c r="AT393" s="68">
        <v>82</v>
      </c>
      <c r="AU393" s="36">
        <v>330</v>
      </c>
      <c r="AV393" s="68">
        <v>84</v>
      </c>
      <c r="AW393" s="68">
        <v>81</v>
      </c>
      <c r="AX393" s="68">
        <v>81</v>
      </c>
      <c r="AY393" s="68">
        <v>78</v>
      </c>
      <c r="AZ393" s="36">
        <v>324</v>
      </c>
      <c r="BA393" s="68">
        <v>84</v>
      </c>
      <c r="BB393" s="68">
        <v>75</v>
      </c>
      <c r="BC393" s="68">
        <v>70</v>
      </c>
      <c r="BD393" s="68">
        <v>68</v>
      </c>
      <c r="BE393" s="36">
        <v>297</v>
      </c>
      <c r="BF393" s="68">
        <v>67</v>
      </c>
      <c r="BG393" s="68">
        <v>66</v>
      </c>
      <c r="BH393" s="68">
        <v>63</v>
      </c>
    </row>
    <row r="394" spans="1:60">
      <c r="A394" s="69" t="s">
        <v>7</v>
      </c>
      <c r="B394" s="23"/>
      <c r="C394" s="71"/>
      <c r="D394" s="71"/>
      <c r="E394" s="71"/>
      <c r="F394" s="71"/>
      <c r="G394" s="23"/>
      <c r="H394" s="71"/>
      <c r="I394" s="71"/>
      <c r="J394" s="71"/>
      <c r="K394" s="71"/>
      <c r="L394" s="23"/>
      <c r="M394" s="71"/>
      <c r="N394" s="71"/>
      <c r="O394" s="71"/>
      <c r="P394" s="71"/>
      <c r="Q394" s="23"/>
      <c r="R394" s="71"/>
      <c r="S394" s="71"/>
      <c r="T394" s="71"/>
      <c r="U394" s="71"/>
      <c r="V394" s="23"/>
      <c r="W394" s="71"/>
      <c r="X394" s="71"/>
      <c r="Y394" s="71"/>
      <c r="Z394" s="71"/>
      <c r="AA394" s="23"/>
      <c r="AB394" s="70"/>
      <c r="AC394" s="70">
        <f>AC393/AB393-1</f>
        <v>-4.1095890410958957E-2</v>
      </c>
      <c r="AD394" s="70">
        <f>AD393/AC393-1</f>
        <v>0</v>
      </c>
      <c r="AE394" s="70">
        <f>AE393/AD393-1</f>
        <v>5.7142857142857162E-2</v>
      </c>
      <c r="AF394" s="23"/>
      <c r="AG394" s="70">
        <f>AG393/AE393-1</f>
        <v>1.3513513513513598E-2</v>
      </c>
      <c r="AH394" s="70">
        <f>AH393/AG393-1</f>
        <v>-2.6666666666666616E-2</v>
      </c>
      <c r="AI394" s="70">
        <f>AI393/AH393-1</f>
        <v>2.7397260273972712E-2</v>
      </c>
      <c r="AJ394" s="70">
        <f>AJ393/AI393-1</f>
        <v>0</v>
      </c>
      <c r="AK394" s="23"/>
      <c r="AL394" s="70">
        <v>2.6666666666666616E-2</v>
      </c>
      <c r="AM394" s="70">
        <v>-3.8961038961038974E-2</v>
      </c>
      <c r="AN394" s="70">
        <v>1.3513513513513598E-2</v>
      </c>
      <c r="AO394" s="70">
        <v>2.6666666666666616E-2</v>
      </c>
      <c r="AP394" s="23"/>
      <c r="AQ394" s="70">
        <v>7.7922077922077948E-2</v>
      </c>
      <c r="AR394" s="70">
        <v>-1.2048192771084376E-2</v>
      </c>
      <c r="AS394" s="70">
        <v>1.2195121951219523E-2</v>
      </c>
      <c r="AT394" s="70">
        <v>-1.2048192771084376E-2</v>
      </c>
      <c r="AU394" s="23"/>
      <c r="AV394" s="70">
        <v>2.4390243902439046E-2</v>
      </c>
      <c r="AW394" s="70">
        <v>-3.5714285714285698E-2</v>
      </c>
      <c r="AX394" s="70">
        <v>0</v>
      </c>
      <c r="AY394" s="70">
        <v>-3.703703703703709E-2</v>
      </c>
      <c r="AZ394" s="23"/>
      <c r="BA394" s="70">
        <v>7.6923076923076872E-2</v>
      </c>
      <c r="BB394" s="70">
        <v>-0.1071428571428571</v>
      </c>
      <c r="BC394" s="70">
        <v>-6.6666666666666652E-2</v>
      </c>
      <c r="BD394" s="70">
        <v>-2.8571428571428581E-2</v>
      </c>
      <c r="BE394" s="23"/>
      <c r="BF394" s="70">
        <v>-1.4705882352941124E-2</v>
      </c>
      <c r="BG394" s="70">
        <v>-1.4925373134328401E-2</v>
      </c>
      <c r="BH394" s="70">
        <v>-4.5454545454545414E-2</v>
      </c>
    </row>
    <row r="395" spans="1:60">
      <c r="A395" s="69" t="s">
        <v>8</v>
      </c>
      <c r="B395" s="23"/>
      <c r="C395" s="71"/>
      <c r="D395" s="71"/>
      <c r="E395" s="71"/>
      <c r="F395" s="71"/>
      <c r="G395" s="23">
        <f>G393/B393-1</f>
        <v>8.3333333333333259E-2</v>
      </c>
      <c r="H395" s="71"/>
      <c r="I395" s="71"/>
      <c r="J395" s="71"/>
      <c r="K395" s="71"/>
      <c r="L395" s="23">
        <f>L393/G393-1</f>
        <v>-6.9230769230769207E-2</v>
      </c>
      <c r="M395" s="71"/>
      <c r="N395" s="71"/>
      <c r="O395" s="71"/>
      <c r="P395" s="71"/>
      <c r="Q395" s="23">
        <f>Q393/L393-1</f>
        <v>2.4793388429751984E-2</v>
      </c>
      <c r="R395" s="71"/>
      <c r="S395" s="71"/>
      <c r="T395" s="71"/>
      <c r="U395" s="71"/>
      <c r="V395" s="23">
        <f>V393/Q393-1</f>
        <v>6.8548387096774244E-2</v>
      </c>
      <c r="W395" s="71"/>
      <c r="X395" s="71"/>
      <c r="Y395" s="71"/>
      <c r="Z395" s="71"/>
      <c r="AA395" s="23">
        <f>AA393/V393-1</f>
        <v>4.9056603773584895E-2</v>
      </c>
      <c r="AB395" s="71"/>
      <c r="AC395" s="71"/>
      <c r="AD395" s="71"/>
      <c r="AE395" s="71"/>
      <c r="AF395" s="23">
        <f t="shared" ref="AF395" si="348">AF393/AA393-1</f>
        <v>3.2374100719424481E-2</v>
      </c>
      <c r="AG395" s="71">
        <f t="shared" ref="AG395" si="349">AG393/AB393-1</f>
        <v>2.7397260273972712E-2</v>
      </c>
      <c r="AH395" s="71">
        <f t="shared" ref="AH395" si="350">AH393/AC393-1</f>
        <v>4.2857142857142927E-2</v>
      </c>
      <c r="AI395" s="71">
        <f t="shared" ref="AI395" si="351">AI393/AD393-1</f>
        <v>7.1428571428571397E-2</v>
      </c>
      <c r="AJ395" s="71">
        <f t="shared" ref="AJ395" si="352">AJ393/AE393-1</f>
        <v>1.3513513513513598E-2</v>
      </c>
      <c r="AK395" s="23">
        <v>3.8327526132404088E-2</v>
      </c>
      <c r="AL395" s="71">
        <v>2.6666666666666616E-2</v>
      </c>
      <c r="AM395" s="71">
        <v>1.3698630136986356E-2</v>
      </c>
      <c r="AN395" s="71">
        <v>0</v>
      </c>
      <c r="AO395" s="71">
        <v>2.6666666666666616E-2</v>
      </c>
      <c r="AP395" s="23">
        <v>1.6778523489932917E-2</v>
      </c>
      <c r="AQ395" s="71">
        <v>7.7922077922077948E-2</v>
      </c>
      <c r="AR395" s="71">
        <v>0.10810810810810811</v>
      </c>
      <c r="AS395" s="71">
        <v>0.10666666666666669</v>
      </c>
      <c r="AT395" s="71">
        <v>6.4935064935064846E-2</v>
      </c>
      <c r="AU395" s="23">
        <v>8.9108910891089188E-2</v>
      </c>
      <c r="AV395" s="71">
        <v>1.2048192771084265E-2</v>
      </c>
      <c r="AW395" s="71">
        <v>-1.2195121951219523E-2</v>
      </c>
      <c r="AX395" s="71">
        <v>-2.4096385542168641E-2</v>
      </c>
      <c r="AY395" s="71">
        <v>-4.8780487804878092E-2</v>
      </c>
      <c r="AZ395" s="23">
        <v>-1.8181818181818188E-2</v>
      </c>
      <c r="BA395" s="71">
        <v>0</v>
      </c>
      <c r="BB395" s="71">
        <v>-7.407407407407407E-2</v>
      </c>
      <c r="BC395" s="71">
        <v>-0.13580246913580252</v>
      </c>
      <c r="BD395" s="71">
        <v>-0.12820512820512819</v>
      </c>
      <c r="BE395" s="23">
        <v>-8.333333333333337E-2</v>
      </c>
      <c r="BF395" s="71">
        <v>-0.20238095238095233</v>
      </c>
      <c r="BG395" s="71">
        <v>-0.12</v>
      </c>
      <c r="BH395" s="71">
        <v>-9.9999999999999978E-2</v>
      </c>
    </row>
    <row r="396" spans="1:60" ht="12.75" customHeight="1">
      <c r="A396" s="67" t="s">
        <v>299</v>
      </c>
      <c r="B396" s="61">
        <v>773</v>
      </c>
      <c r="C396" s="78" t="s">
        <v>49</v>
      </c>
      <c r="D396" s="78" t="s">
        <v>49</v>
      </c>
      <c r="E396" s="78" t="s">
        <v>49</v>
      </c>
      <c r="F396" s="78" t="s">
        <v>49</v>
      </c>
      <c r="G396" s="61">
        <v>724</v>
      </c>
      <c r="H396" s="78" t="s">
        <v>49</v>
      </c>
      <c r="I396" s="78" t="s">
        <v>49</v>
      </c>
      <c r="J396" s="78" t="s">
        <v>49</v>
      </c>
      <c r="K396" s="78" t="s">
        <v>49</v>
      </c>
      <c r="L396" s="61">
        <v>731</v>
      </c>
      <c r="M396" s="78" t="s">
        <v>49</v>
      </c>
      <c r="N396" s="78" t="s">
        <v>49</v>
      </c>
      <c r="O396" s="78" t="s">
        <v>49</v>
      </c>
      <c r="P396" s="78" t="s">
        <v>49</v>
      </c>
      <c r="Q396" s="61">
        <v>781</v>
      </c>
      <c r="R396" s="78" t="s">
        <v>49</v>
      </c>
      <c r="S396" s="78" t="s">
        <v>49</v>
      </c>
      <c r="T396" s="78" t="s">
        <v>49</v>
      </c>
      <c r="U396" s="78" t="s">
        <v>49</v>
      </c>
      <c r="V396" s="61">
        <v>739</v>
      </c>
      <c r="W396" s="78" t="s">
        <v>49</v>
      </c>
      <c r="X396" s="78" t="s">
        <v>49</v>
      </c>
      <c r="Y396" s="78" t="s">
        <v>49</v>
      </c>
      <c r="Z396" s="78" t="s">
        <v>49</v>
      </c>
      <c r="AA396" s="61">
        <v>707</v>
      </c>
      <c r="AB396" s="68">
        <v>186</v>
      </c>
      <c r="AC396" s="68">
        <v>196</v>
      </c>
      <c r="AD396" s="68">
        <v>202</v>
      </c>
      <c r="AE396" s="68">
        <f>AF396-AD396-AC396-AB396</f>
        <v>205</v>
      </c>
      <c r="AF396" s="61">
        <v>789</v>
      </c>
      <c r="AG396" s="147">
        <v>190</v>
      </c>
      <c r="AH396" s="147">
        <v>202</v>
      </c>
      <c r="AI396" s="147">
        <v>219</v>
      </c>
      <c r="AJ396" s="68">
        <f>AK396-AI396-AH396-AG396</f>
        <v>233</v>
      </c>
      <c r="AK396" s="61">
        <v>844</v>
      </c>
      <c r="AL396" s="182">
        <v>223</v>
      </c>
      <c r="AM396" s="182">
        <v>222</v>
      </c>
      <c r="AN396" s="182">
        <v>221</v>
      </c>
      <c r="AO396" s="68">
        <v>237</v>
      </c>
      <c r="AP396" s="174">
        <v>903</v>
      </c>
      <c r="AQ396" s="68">
        <v>228</v>
      </c>
      <c r="AR396" s="147">
        <v>213</v>
      </c>
      <c r="AS396" s="147">
        <v>221</v>
      </c>
      <c r="AT396" s="68">
        <v>225</v>
      </c>
      <c r="AU396" s="174">
        <v>887</v>
      </c>
      <c r="AV396" s="147">
        <v>218</v>
      </c>
      <c r="AW396" s="147">
        <v>247</v>
      </c>
      <c r="AX396" s="147">
        <v>214</v>
      </c>
      <c r="AY396" s="68">
        <v>222</v>
      </c>
      <c r="AZ396" s="174">
        <v>901</v>
      </c>
      <c r="BA396" s="147">
        <v>189</v>
      </c>
      <c r="BB396" s="147">
        <v>187</v>
      </c>
      <c r="BC396" s="147">
        <v>184</v>
      </c>
      <c r="BD396" s="68">
        <v>216</v>
      </c>
      <c r="BE396" s="36">
        <v>776</v>
      </c>
      <c r="BF396" s="147">
        <v>194</v>
      </c>
      <c r="BG396" s="147">
        <v>194</v>
      </c>
      <c r="BH396" s="147">
        <v>194</v>
      </c>
    </row>
    <row r="397" spans="1:60" ht="12.75" customHeight="1">
      <c r="A397" s="69" t="s">
        <v>7</v>
      </c>
      <c r="B397" s="61"/>
      <c r="C397" s="78"/>
      <c r="D397" s="78"/>
      <c r="E397" s="78"/>
      <c r="F397" s="78"/>
      <c r="G397" s="61"/>
      <c r="H397" s="78"/>
      <c r="I397" s="78"/>
      <c r="J397" s="78"/>
      <c r="K397" s="78"/>
      <c r="L397" s="61"/>
      <c r="M397" s="78"/>
      <c r="N397" s="78"/>
      <c r="O397" s="78"/>
      <c r="P397" s="78"/>
      <c r="Q397" s="61"/>
      <c r="R397" s="78"/>
      <c r="S397" s="78"/>
      <c r="T397" s="78"/>
      <c r="U397" s="78"/>
      <c r="V397" s="61"/>
      <c r="W397" s="78"/>
      <c r="X397" s="78"/>
      <c r="Y397" s="78"/>
      <c r="Z397" s="78"/>
      <c r="AA397" s="61"/>
      <c r="AB397" s="70"/>
      <c r="AC397" s="70">
        <f>AC396/AB396-1</f>
        <v>5.3763440860215006E-2</v>
      </c>
      <c r="AD397" s="70">
        <f>AD396/AC396-1</f>
        <v>3.0612244897959107E-2</v>
      </c>
      <c r="AE397" s="70">
        <f>AE396/AD396-1</f>
        <v>1.4851485148514865E-2</v>
      </c>
      <c r="AF397" s="23"/>
      <c r="AG397" s="70">
        <f>AG396/AE396-1</f>
        <v>-7.3170731707317027E-2</v>
      </c>
      <c r="AH397" s="70">
        <f>AH396/AG396-1</f>
        <v>6.315789473684208E-2</v>
      </c>
      <c r="AI397" s="70">
        <f>AI396/AH396-1</f>
        <v>8.4158415841584233E-2</v>
      </c>
      <c r="AJ397" s="70">
        <f>AJ396/AI396-1</f>
        <v>6.3926940639269514E-2</v>
      </c>
      <c r="AK397" s="23"/>
      <c r="AL397" s="70">
        <v>-4.2918454935622297E-2</v>
      </c>
      <c r="AM397" s="70">
        <v>-4.484304932735439E-3</v>
      </c>
      <c r="AN397" s="70">
        <v>-4.5045045045044585E-3</v>
      </c>
      <c r="AO397" s="70">
        <v>7.2398190045248834E-2</v>
      </c>
      <c r="AP397" s="23"/>
      <c r="AQ397" s="70">
        <v>-3.7974683544303778E-2</v>
      </c>
      <c r="AR397" s="70">
        <v>-6.5789473684210509E-2</v>
      </c>
      <c r="AS397" s="70">
        <v>3.7558685446009488E-2</v>
      </c>
      <c r="AT397" s="70">
        <v>1.8099547511312153E-2</v>
      </c>
      <c r="AU397" s="23"/>
      <c r="AV397" s="70">
        <v>-3.1111111111111089E-2</v>
      </c>
      <c r="AW397" s="70">
        <v>0.1330275229357798</v>
      </c>
      <c r="AX397" s="70">
        <v>-0.1336032388663968</v>
      </c>
      <c r="AY397" s="70">
        <v>3.7383177570093462E-2</v>
      </c>
      <c r="AZ397" s="23"/>
      <c r="BA397" s="70">
        <v>-0.14864864864864868</v>
      </c>
      <c r="BB397" s="70">
        <v>-1.0582010582010581E-2</v>
      </c>
      <c r="BC397" s="70">
        <v>-1.6042780748663055E-2</v>
      </c>
      <c r="BD397" s="70">
        <v>0.17391304347826098</v>
      </c>
      <c r="BE397" s="23"/>
      <c r="BF397" s="70">
        <v>-0.10185185185185186</v>
      </c>
      <c r="BG397" s="70">
        <v>0</v>
      </c>
      <c r="BH397" s="70">
        <v>0</v>
      </c>
    </row>
    <row r="398" spans="1:60" ht="12.75" customHeight="1">
      <c r="A398" s="69" t="s">
        <v>8</v>
      </c>
      <c r="B398" s="61"/>
      <c r="C398" s="78"/>
      <c r="D398" s="78"/>
      <c r="E398" s="78"/>
      <c r="F398" s="78"/>
      <c r="G398" s="61"/>
      <c r="H398" s="78"/>
      <c r="I398" s="78"/>
      <c r="J398" s="78"/>
      <c r="K398" s="78"/>
      <c r="L398" s="61"/>
      <c r="M398" s="78"/>
      <c r="N398" s="78"/>
      <c r="O398" s="78"/>
      <c r="P398" s="78"/>
      <c r="Q398" s="61"/>
      <c r="R398" s="78"/>
      <c r="S398" s="78"/>
      <c r="T398" s="78"/>
      <c r="U398" s="78"/>
      <c r="V398" s="61"/>
      <c r="W398" s="78"/>
      <c r="X398" s="78"/>
      <c r="Y398" s="78"/>
      <c r="Z398" s="78"/>
      <c r="AA398" s="61"/>
      <c r="AB398" s="71"/>
      <c r="AC398" s="71"/>
      <c r="AD398" s="71"/>
      <c r="AE398" s="71"/>
      <c r="AF398" s="23">
        <f>AF396/AA396-1</f>
        <v>0.11598302687411599</v>
      </c>
      <c r="AG398" s="71">
        <f t="shared" ref="AG398" si="353">AG396/AB396-1</f>
        <v>2.1505376344086002E-2</v>
      </c>
      <c r="AH398" s="71">
        <f t="shared" ref="AH398" si="354">AH396/AC396-1</f>
        <v>3.0612244897959107E-2</v>
      </c>
      <c r="AI398" s="71">
        <f t="shared" ref="AI398" si="355">AI396/AD396-1</f>
        <v>8.4158415841584233E-2</v>
      </c>
      <c r="AJ398" s="71">
        <f>AJ396/AE396-1</f>
        <v>0.13658536585365844</v>
      </c>
      <c r="AK398" s="23">
        <v>6.9708491761723668E-2</v>
      </c>
      <c r="AL398" s="71">
        <v>0.17368421052631589</v>
      </c>
      <c r="AM398" s="71">
        <v>9.9009900990099098E-2</v>
      </c>
      <c r="AN398" s="71">
        <v>9.1324200913243114E-3</v>
      </c>
      <c r="AO398" s="71">
        <v>1.716738197424883E-2</v>
      </c>
      <c r="AP398" s="23">
        <v>6.9905213270142097E-2</v>
      </c>
      <c r="AQ398" s="71">
        <v>2.2421524663677195E-2</v>
      </c>
      <c r="AR398" s="71">
        <v>-4.0540540540540571E-2</v>
      </c>
      <c r="AS398" s="71">
        <v>0</v>
      </c>
      <c r="AT398" s="71">
        <v>-5.0632911392405111E-2</v>
      </c>
      <c r="AU398" s="23">
        <v>-1.7718715393133966E-2</v>
      </c>
      <c r="AV398" s="71">
        <v>-4.3859649122807043E-2</v>
      </c>
      <c r="AW398" s="71">
        <v>0.15962441314553999</v>
      </c>
      <c r="AX398" s="71">
        <v>-3.1674208144796379E-2</v>
      </c>
      <c r="AY398" s="71">
        <v>-1.3333333333333308E-2</v>
      </c>
      <c r="AZ398" s="23">
        <v>1.5783540022547893E-2</v>
      </c>
      <c r="BA398" s="71">
        <v>-0.1330275229357798</v>
      </c>
      <c r="BB398" s="71">
        <v>-0.24291497975708498</v>
      </c>
      <c r="BC398" s="71">
        <v>-0.14018691588785048</v>
      </c>
      <c r="BD398" s="71">
        <v>-2.7027027027026973E-2</v>
      </c>
      <c r="BE398" s="23">
        <v>-0.13873473917869039</v>
      </c>
      <c r="BF398" s="71">
        <v>2.6455026455026509E-2</v>
      </c>
      <c r="BG398" s="71">
        <v>3.7433155080213831E-2</v>
      </c>
      <c r="BH398" s="71">
        <v>5.4347826086956541E-2</v>
      </c>
    </row>
    <row r="399" spans="1:60" ht="11.25" customHeight="1">
      <c r="A399" s="67" t="s">
        <v>96</v>
      </c>
      <c r="B399" s="61" t="s">
        <v>141</v>
      </c>
      <c r="C399" s="78" t="s">
        <v>49</v>
      </c>
      <c r="D399" s="78" t="s">
        <v>49</v>
      </c>
      <c r="E399" s="78" t="s">
        <v>49</v>
      </c>
      <c r="F399" s="78" t="s">
        <v>49</v>
      </c>
      <c r="G399" s="61" t="s">
        <v>141</v>
      </c>
      <c r="H399" s="78" t="s">
        <v>49</v>
      </c>
      <c r="I399" s="78" t="s">
        <v>49</v>
      </c>
      <c r="J399" s="78" t="s">
        <v>49</v>
      </c>
      <c r="K399" s="78" t="s">
        <v>49</v>
      </c>
      <c r="L399" s="61" t="s">
        <v>141</v>
      </c>
      <c r="M399" s="78" t="s">
        <v>49</v>
      </c>
      <c r="N399" s="78" t="s">
        <v>49</v>
      </c>
      <c r="O399" s="78" t="s">
        <v>49</v>
      </c>
      <c r="P399" s="78" t="s">
        <v>49</v>
      </c>
      <c r="Q399" s="61" t="s">
        <v>141</v>
      </c>
      <c r="R399" s="78" t="s">
        <v>49</v>
      </c>
      <c r="S399" s="78" t="s">
        <v>49</v>
      </c>
      <c r="T399" s="78" t="s">
        <v>49</v>
      </c>
      <c r="U399" s="78" t="s">
        <v>49</v>
      </c>
      <c r="V399" s="61" t="s">
        <v>141</v>
      </c>
      <c r="W399" s="78" t="s">
        <v>49</v>
      </c>
      <c r="X399" s="78" t="s">
        <v>49</v>
      </c>
      <c r="Y399" s="78" t="s">
        <v>49</v>
      </c>
      <c r="Z399" s="78" t="s">
        <v>49</v>
      </c>
      <c r="AA399" s="61" t="s">
        <v>141</v>
      </c>
      <c r="AB399" s="78" t="s">
        <v>49</v>
      </c>
      <c r="AC399" s="78" t="s">
        <v>49</v>
      </c>
      <c r="AD399" s="78" t="s">
        <v>49</v>
      </c>
      <c r="AE399" s="78" t="s">
        <v>49</v>
      </c>
      <c r="AF399" s="61">
        <v>3</v>
      </c>
      <c r="AG399" s="147" t="s">
        <v>141</v>
      </c>
      <c r="AH399" s="147" t="s">
        <v>141</v>
      </c>
      <c r="AI399" s="147" t="s">
        <v>141</v>
      </c>
      <c r="AJ399" s="147" t="s">
        <v>141</v>
      </c>
      <c r="AK399" s="61" t="s">
        <v>141</v>
      </c>
      <c r="AL399" s="182" t="s">
        <v>141</v>
      </c>
      <c r="AM399" s="182">
        <v>-2</v>
      </c>
      <c r="AN399" s="182">
        <v>1</v>
      </c>
      <c r="AO399" s="182">
        <v>-1</v>
      </c>
      <c r="AP399" s="174">
        <v>-2</v>
      </c>
      <c r="AQ399" s="68">
        <v>14</v>
      </c>
      <c r="AR399" s="147" t="s">
        <v>141</v>
      </c>
      <c r="AS399" s="147" t="s">
        <v>141</v>
      </c>
      <c r="AT399" s="189">
        <v>4</v>
      </c>
      <c r="AU399" s="174">
        <v>18</v>
      </c>
      <c r="AV399" s="147" t="s">
        <v>141</v>
      </c>
      <c r="AW399" s="147">
        <v>1</v>
      </c>
      <c r="AX399" s="147">
        <v>-1</v>
      </c>
      <c r="AY399" s="68">
        <v>3</v>
      </c>
      <c r="AZ399" s="174">
        <v>3</v>
      </c>
      <c r="BA399" s="147">
        <v>2</v>
      </c>
      <c r="BB399" s="147">
        <v>-1</v>
      </c>
      <c r="BC399" s="147">
        <v>2</v>
      </c>
      <c r="BD399" s="147">
        <v>5</v>
      </c>
      <c r="BE399" s="174">
        <v>8</v>
      </c>
      <c r="BF399" s="147" t="s">
        <v>141</v>
      </c>
      <c r="BG399" s="147">
        <v>15</v>
      </c>
      <c r="BH399" s="147">
        <v>45</v>
      </c>
    </row>
    <row r="400" spans="1:60">
      <c r="B400" s="36"/>
      <c r="G400" s="36"/>
      <c r="L400" s="36"/>
      <c r="Q400" s="36"/>
      <c r="V400" s="36"/>
      <c r="AA400" s="36"/>
      <c r="AF400" s="36"/>
      <c r="AK400" s="36"/>
      <c r="AP400" s="36"/>
      <c r="AU400" s="36"/>
      <c r="AZ400" s="36"/>
      <c r="BE400" s="36"/>
    </row>
    <row r="401" spans="1:60" s="35" customFormat="1">
      <c r="A401" s="67" t="s">
        <v>261</v>
      </c>
      <c r="B401" s="36">
        <v>203.58099999999999</v>
      </c>
      <c r="C401" s="68">
        <v>54.8</v>
      </c>
      <c r="D401" s="68">
        <v>62.561999999999998</v>
      </c>
      <c r="E401" s="68">
        <v>59.095999999999997</v>
      </c>
      <c r="F401" s="68">
        <f>G401-E401-D401-C401</f>
        <v>65.06</v>
      </c>
      <c r="G401" s="36">
        <v>241.518</v>
      </c>
      <c r="H401" s="68">
        <v>60.156999999999996</v>
      </c>
      <c r="I401" s="68">
        <v>67.596000000000004</v>
      </c>
      <c r="J401" s="68">
        <v>66.364999999999995</v>
      </c>
      <c r="K401" s="68">
        <f>L401-J401-I401-H401</f>
        <v>66.694000000000003</v>
      </c>
      <c r="L401" s="36">
        <v>260.81200000000001</v>
      </c>
      <c r="M401" s="68">
        <v>61.543999999999997</v>
      </c>
      <c r="N401" s="68">
        <v>123.69499999999999</v>
      </c>
      <c r="O401" s="68">
        <v>69.542000000000002</v>
      </c>
      <c r="P401" s="68">
        <f>Q401-O401-N401-M401</f>
        <v>65.050000000000026</v>
      </c>
      <c r="Q401" s="36">
        <v>319.83100000000002</v>
      </c>
      <c r="R401" s="68">
        <v>60.853999999999999</v>
      </c>
      <c r="S401" s="68">
        <v>60.320999999999998</v>
      </c>
      <c r="T401" s="68">
        <v>61.366</v>
      </c>
      <c r="U401" s="68">
        <f>V401-T401-S401-R401</f>
        <v>58.594000000000008</v>
      </c>
      <c r="V401" s="36">
        <v>241.13499999999999</v>
      </c>
      <c r="W401" s="68">
        <v>49.576999999999998</v>
      </c>
      <c r="X401" s="68">
        <v>52.960999999999999</v>
      </c>
      <c r="Y401" s="68">
        <v>54.901000000000003</v>
      </c>
      <c r="Z401" s="68">
        <f>AA401-Y401-X401-W401</f>
        <v>61.61999999999999</v>
      </c>
      <c r="AA401" s="36">
        <v>219.059</v>
      </c>
      <c r="AB401" s="68">
        <v>55.948999999999998</v>
      </c>
      <c r="AC401" s="68">
        <v>60.225000000000001</v>
      </c>
      <c r="AD401" s="68">
        <v>54.884999999999998</v>
      </c>
      <c r="AE401" s="68">
        <f>AF401-AD401-AC401-AB401</f>
        <v>56.409000000000006</v>
      </c>
      <c r="AF401" s="36">
        <v>227.46799999999999</v>
      </c>
      <c r="AG401" s="68">
        <v>58</v>
      </c>
      <c r="AH401" s="68">
        <v>58</v>
      </c>
      <c r="AI401" s="68">
        <v>59</v>
      </c>
      <c r="AJ401" s="68">
        <f>AK401-AI401-AH401-AG401</f>
        <v>57</v>
      </c>
      <c r="AK401" s="36">
        <v>232</v>
      </c>
      <c r="AL401" s="68">
        <v>61</v>
      </c>
      <c r="AM401" s="68">
        <v>62</v>
      </c>
      <c r="AN401" s="68">
        <v>59</v>
      </c>
      <c r="AO401" s="68">
        <v>58</v>
      </c>
      <c r="AP401" s="36">
        <v>240</v>
      </c>
      <c r="AQ401" s="68">
        <v>37</v>
      </c>
      <c r="AR401" s="68">
        <v>47</v>
      </c>
      <c r="AS401" s="68">
        <v>45</v>
      </c>
      <c r="AT401" s="68">
        <v>47</v>
      </c>
      <c r="AU401" s="36">
        <v>176</v>
      </c>
      <c r="AV401" s="68">
        <v>49</v>
      </c>
      <c r="AW401" s="68">
        <v>45</v>
      </c>
      <c r="AX401" s="68">
        <v>39</v>
      </c>
      <c r="AY401" s="68">
        <v>41</v>
      </c>
      <c r="AZ401" s="36">
        <v>174</v>
      </c>
      <c r="BA401" s="68">
        <v>34</v>
      </c>
      <c r="BB401" s="68">
        <v>30</v>
      </c>
      <c r="BC401" s="68">
        <v>31</v>
      </c>
      <c r="BD401" s="147">
        <v>21</v>
      </c>
      <c r="BE401" s="36">
        <v>116</v>
      </c>
      <c r="BF401" s="68">
        <v>34</v>
      </c>
      <c r="BG401" s="68">
        <v>18</v>
      </c>
      <c r="BH401" s="182">
        <v>-20</v>
      </c>
    </row>
    <row r="402" spans="1:60">
      <c r="A402" s="69" t="s">
        <v>7</v>
      </c>
      <c r="B402" s="23"/>
      <c r="C402" s="70"/>
      <c r="D402" s="70">
        <f>D401/C401-1</f>
        <v>0.14164233576642338</v>
      </c>
      <c r="E402" s="70">
        <f>E401/D401-1</f>
        <v>-5.5401042166171144E-2</v>
      </c>
      <c r="F402" s="70">
        <f>F401/E401-1</f>
        <v>0.10092053607689189</v>
      </c>
      <c r="G402" s="23"/>
      <c r="H402" s="70">
        <f>H401/F401-1</f>
        <v>-7.5361205041500234E-2</v>
      </c>
      <c r="I402" s="70">
        <f>I401/H401-1</f>
        <v>0.1236597569692639</v>
      </c>
      <c r="J402" s="70">
        <f>J401/I401-1</f>
        <v>-1.8211136753654156E-2</v>
      </c>
      <c r="K402" s="70">
        <f>K401/J401-1</f>
        <v>4.9574323815264609E-3</v>
      </c>
      <c r="L402" s="23"/>
      <c r="M402" s="70">
        <f>M401/K401-1</f>
        <v>-7.7218340480403103E-2</v>
      </c>
      <c r="N402" s="70">
        <f>N401/M401-1</f>
        <v>1.0098628623423891</v>
      </c>
      <c r="O402" s="70">
        <f>O401/N401-1</f>
        <v>-0.43779457536682964</v>
      </c>
      <c r="P402" s="70">
        <f>P401/O401-1</f>
        <v>-6.4594058266946197E-2</v>
      </c>
      <c r="Q402" s="23"/>
      <c r="R402" s="70">
        <f>R401/P401-1</f>
        <v>-6.4504227517294788E-2</v>
      </c>
      <c r="S402" s="70">
        <f>S401/R401-1</f>
        <v>-8.758668288033622E-3</v>
      </c>
      <c r="T402" s="70">
        <f>T401/S401-1</f>
        <v>1.7323983355713723E-2</v>
      </c>
      <c r="U402" s="70">
        <f>U401/T401-1</f>
        <v>-4.5171593390476716E-2</v>
      </c>
      <c r="V402" s="23"/>
      <c r="W402" s="70">
        <f>W401/U401-1</f>
        <v>-0.15388947673823272</v>
      </c>
      <c r="X402" s="70">
        <f>X401/W401-1</f>
        <v>6.8257458095487777E-2</v>
      </c>
      <c r="Y402" s="70">
        <f>Y401/X401-1</f>
        <v>3.6630728271747293E-2</v>
      </c>
      <c r="Z402" s="70">
        <v>0.12238392743301563</v>
      </c>
      <c r="AA402" s="23"/>
      <c r="AB402" s="70">
        <f>AB401/Z401-1</f>
        <v>-9.2031807854592529E-2</v>
      </c>
      <c r="AC402" s="70">
        <f>AC401/AB401-1</f>
        <v>7.6426745786341233E-2</v>
      </c>
      <c r="AD402" s="70">
        <f>AD401/AC401-1</f>
        <v>-8.8667496886674968E-2</v>
      </c>
      <c r="AE402" s="70">
        <f>AE401/AD401-1</f>
        <v>2.7767149494397625E-2</v>
      </c>
      <c r="AF402" s="23"/>
      <c r="AG402" s="70">
        <f>AG401/AE401-1</f>
        <v>2.8204719105107134E-2</v>
      </c>
      <c r="AH402" s="70">
        <f>AH401/AG401-1</f>
        <v>0</v>
      </c>
      <c r="AI402" s="70">
        <f>AI401/AH401-1</f>
        <v>1.7241379310344751E-2</v>
      </c>
      <c r="AJ402" s="70">
        <f>AJ401/AI401-1</f>
        <v>-3.3898305084745783E-2</v>
      </c>
      <c r="AK402" s="23"/>
      <c r="AL402" s="70">
        <v>6.1502017897876904E-2</v>
      </c>
      <c r="AM402" s="70">
        <v>1.6393442622950838E-2</v>
      </c>
      <c r="AN402" s="70">
        <v>-4.8387096774193505E-2</v>
      </c>
      <c r="AO402" s="70">
        <v>-1.6949152542372836E-2</v>
      </c>
      <c r="AP402" s="23"/>
      <c r="AQ402" s="70">
        <v>-0.36206896551724133</v>
      </c>
      <c r="AR402" s="70">
        <v>0.27027027027027017</v>
      </c>
      <c r="AS402" s="70">
        <v>-4.2553191489361653E-2</v>
      </c>
      <c r="AT402" s="70">
        <v>4.4444444444444509E-2</v>
      </c>
      <c r="AU402" s="23"/>
      <c r="AV402" s="70">
        <v>4.2553191489361764E-2</v>
      </c>
      <c r="AW402" s="70">
        <v>-8.1632653061224469E-2</v>
      </c>
      <c r="AX402" s="70">
        <v>-0.1333333333333333</v>
      </c>
      <c r="AY402" s="70">
        <v>5.1282051282051322E-2</v>
      </c>
      <c r="AZ402" s="23"/>
      <c r="BA402" s="70">
        <v>-0.17073170731707321</v>
      </c>
      <c r="BB402" s="70">
        <v>-0.11764705882352944</v>
      </c>
      <c r="BC402" s="70">
        <v>3.3333333333333437E-2</v>
      </c>
      <c r="BD402" s="70">
        <v>-0.32258064516129037</v>
      </c>
      <c r="BE402" s="23"/>
      <c r="BF402" s="70">
        <v>0.61904761904761907</v>
      </c>
      <c r="BG402" s="70">
        <v>-0.47058823529411764</v>
      </c>
      <c r="BH402" s="83" t="s">
        <v>40</v>
      </c>
    </row>
    <row r="403" spans="1:60">
      <c r="A403" s="69" t="s">
        <v>8</v>
      </c>
      <c r="B403" s="23"/>
      <c r="C403" s="71"/>
      <c r="D403" s="71"/>
      <c r="E403" s="71"/>
      <c r="F403" s="71"/>
      <c r="G403" s="23">
        <f t="shared" ref="G403:N403" si="356">G401/B401-1</f>
        <v>0.18634843133691259</v>
      </c>
      <c r="H403" s="71">
        <f t="shared" si="356"/>
        <v>9.7755474452554836E-2</v>
      </c>
      <c r="I403" s="71">
        <f t="shared" si="356"/>
        <v>8.0464179533902502E-2</v>
      </c>
      <c r="J403" s="71">
        <f t="shared" si="356"/>
        <v>0.12300324895085968</v>
      </c>
      <c r="K403" s="71">
        <f t="shared" si="356"/>
        <v>2.5115278204734137E-2</v>
      </c>
      <c r="L403" s="23">
        <f t="shared" si="356"/>
        <v>7.988638527977221E-2</v>
      </c>
      <c r="M403" s="71">
        <f t="shared" si="356"/>
        <v>2.3056335921006754E-2</v>
      </c>
      <c r="N403" s="71">
        <f t="shared" si="356"/>
        <v>0.82991597135925188</v>
      </c>
      <c r="O403" s="71">
        <f>O401/J401-1</f>
        <v>4.7871619076320426E-2</v>
      </c>
      <c r="P403" s="71">
        <v>-1.4999999999999999E-2</v>
      </c>
      <c r="Q403" s="23">
        <f t="shared" ref="Q403:Y403" si="357">Q401/L401-1</f>
        <v>0.22628943453522088</v>
      </c>
      <c r="R403" s="71">
        <f t="shared" si="357"/>
        <v>-1.1211490965813087E-2</v>
      </c>
      <c r="S403" s="71">
        <f t="shared" si="357"/>
        <v>-0.51234083835239908</v>
      </c>
      <c r="T403" s="71">
        <f t="shared" si="357"/>
        <v>-0.11756923873342728</v>
      </c>
      <c r="U403" s="71">
        <f t="shared" si="357"/>
        <v>-9.9246733282090882E-2</v>
      </c>
      <c r="V403" s="23">
        <f t="shared" si="357"/>
        <v>-0.24605494776929071</v>
      </c>
      <c r="W403" s="71">
        <f t="shared" si="357"/>
        <v>-0.185312387024682</v>
      </c>
      <c r="X403" s="71">
        <f t="shared" si="357"/>
        <v>-0.1220138923426336</v>
      </c>
      <c r="Y403" s="71">
        <f t="shared" si="357"/>
        <v>-0.10535149757194529</v>
      </c>
      <c r="Z403" s="71">
        <v>5.1643512987677553E-2</v>
      </c>
      <c r="AA403" s="23">
        <f t="shared" ref="AA403:AI403" si="358">AA401/V401-1</f>
        <v>-9.1550376345200801E-2</v>
      </c>
      <c r="AB403" s="71">
        <f t="shared" si="358"/>
        <v>0.12852734130746102</v>
      </c>
      <c r="AC403" s="71">
        <f t="shared" si="358"/>
        <v>0.13715753101338723</v>
      </c>
      <c r="AD403" s="71">
        <f t="shared" si="358"/>
        <v>-2.9143367151795996E-4</v>
      </c>
      <c r="AE403" s="71">
        <f t="shared" si="358"/>
        <v>-8.4566699123660882E-2</v>
      </c>
      <c r="AF403" s="23">
        <f t="shared" si="358"/>
        <v>3.838691859270793E-2</v>
      </c>
      <c r="AG403" s="71">
        <f t="shared" si="358"/>
        <v>3.6658385315197828E-2</v>
      </c>
      <c r="AH403" s="71">
        <f t="shared" si="358"/>
        <v>-3.6944790369447977E-2</v>
      </c>
      <c r="AI403" s="71">
        <f t="shared" si="358"/>
        <v>7.4974947617746146E-2</v>
      </c>
      <c r="AJ403" s="71">
        <f>AJ401/AE401-1</f>
        <v>1.047705153432954E-2</v>
      </c>
      <c r="AK403" s="23">
        <v>1.9923681572792784E-2</v>
      </c>
      <c r="AL403" s="71">
        <v>3.9004534212695896E-2</v>
      </c>
      <c r="AM403" s="71">
        <v>6.8965517241379226E-2</v>
      </c>
      <c r="AN403" s="71">
        <v>0</v>
      </c>
      <c r="AO403" s="71">
        <v>1.7543859649122862E-2</v>
      </c>
      <c r="AP403" s="23">
        <v>3.4482758620689724E-2</v>
      </c>
      <c r="AQ403" s="71">
        <v>-0.39344262295081966</v>
      </c>
      <c r="AR403" s="71">
        <v>-0.24193548387096775</v>
      </c>
      <c r="AS403" s="71">
        <v>-0.23728813559322037</v>
      </c>
      <c r="AT403" s="71">
        <v>-0.18965517241379315</v>
      </c>
      <c r="AU403" s="23">
        <v>-0.26666666666666672</v>
      </c>
      <c r="AV403" s="71">
        <v>0.32432432432432434</v>
      </c>
      <c r="AW403" s="71">
        <v>-4.2553191489361653E-2</v>
      </c>
      <c r="AX403" s="71">
        <v>-0.1333333333333333</v>
      </c>
      <c r="AY403" s="71">
        <v>-0.12765957446808507</v>
      </c>
      <c r="AZ403" s="23">
        <v>-1.1363636363636354E-2</v>
      </c>
      <c r="BA403" s="71">
        <v>-0.30612244897959184</v>
      </c>
      <c r="BB403" s="71">
        <v>-0.33333333333333337</v>
      </c>
      <c r="BC403" s="71">
        <v>-0.20512820512820518</v>
      </c>
      <c r="BD403" s="71">
        <v>-0.48780487804878048</v>
      </c>
      <c r="BE403" s="23">
        <v>-0.33333333333333337</v>
      </c>
      <c r="BF403" s="71">
        <v>0</v>
      </c>
      <c r="BG403" s="71">
        <v>-0.4</v>
      </c>
      <c r="BH403" s="83" t="s">
        <v>40</v>
      </c>
    </row>
    <row r="404" spans="1:60" s="35" customFormat="1">
      <c r="A404" s="67" t="s">
        <v>163</v>
      </c>
      <c r="B404" s="36">
        <v>153.02000000000001</v>
      </c>
      <c r="C404" s="68">
        <v>41.5</v>
      </c>
      <c r="D404" s="68">
        <v>47.055999999999997</v>
      </c>
      <c r="E404" s="68">
        <v>44.006</v>
      </c>
      <c r="F404" s="68">
        <f>G404-E404-D404-C404</f>
        <v>45.786999999999992</v>
      </c>
      <c r="G404" s="36">
        <v>178.34899999999999</v>
      </c>
      <c r="H404" s="68">
        <v>44.088999999999999</v>
      </c>
      <c r="I404" s="68">
        <v>55.793999999999997</v>
      </c>
      <c r="J404" s="68">
        <v>50.698999999999998</v>
      </c>
      <c r="K404" s="68">
        <f>L404-J404-I404-H404</f>
        <v>49.417999999999992</v>
      </c>
      <c r="L404" s="36">
        <v>200</v>
      </c>
      <c r="M404" s="68">
        <v>46.469000000000001</v>
      </c>
      <c r="N404" s="68">
        <v>108.223</v>
      </c>
      <c r="O404" s="68">
        <v>53.423000000000002</v>
      </c>
      <c r="P404" s="68">
        <f>Q404-O404-N404-M404</f>
        <v>45.856000000000002</v>
      </c>
      <c r="Q404" s="36">
        <v>253.971</v>
      </c>
      <c r="R404" s="68">
        <v>45.963999999999999</v>
      </c>
      <c r="S404" s="68">
        <v>46.347000000000001</v>
      </c>
      <c r="T404" s="68">
        <v>45.918999999999997</v>
      </c>
      <c r="U404" s="68">
        <f>V404-T404-S404-R404</f>
        <v>43.99199999999999</v>
      </c>
      <c r="V404" s="36">
        <v>182.22200000000001</v>
      </c>
      <c r="W404" s="68">
        <v>35.805</v>
      </c>
      <c r="X404" s="68">
        <v>38.872999999999998</v>
      </c>
      <c r="Y404" s="68">
        <v>40.29</v>
      </c>
      <c r="Z404" s="68">
        <f>AA404-Y404-X404-W404</f>
        <v>44.630000000000031</v>
      </c>
      <c r="AA404" s="36">
        <v>159.59800000000001</v>
      </c>
      <c r="AB404" s="68">
        <v>37.485999999999997</v>
      </c>
      <c r="AC404" s="68">
        <v>43.552999999999997</v>
      </c>
      <c r="AD404" s="68">
        <v>38.768999999999998</v>
      </c>
      <c r="AE404" s="68">
        <f>AF404-AD404-AC404-AB404</f>
        <v>38.378000000000007</v>
      </c>
      <c r="AF404" s="36">
        <f>158.186</f>
        <v>158.18600000000001</v>
      </c>
      <c r="AG404" s="68">
        <v>42</v>
      </c>
      <c r="AH404" s="68">
        <v>41</v>
      </c>
      <c r="AI404" s="68">
        <v>42</v>
      </c>
      <c r="AJ404" s="68">
        <f>AK404-AI404-AH404-AG404</f>
        <v>40</v>
      </c>
      <c r="AK404" s="36">
        <v>165</v>
      </c>
      <c r="AL404" s="68">
        <v>44</v>
      </c>
      <c r="AM404" s="68">
        <v>45</v>
      </c>
      <c r="AN404" s="68">
        <v>41</v>
      </c>
      <c r="AO404" s="68">
        <v>42</v>
      </c>
      <c r="AP404" s="36">
        <v>172</v>
      </c>
      <c r="AQ404" s="68">
        <v>26</v>
      </c>
      <c r="AR404" s="68">
        <v>33</v>
      </c>
      <c r="AS404" s="68">
        <v>33</v>
      </c>
      <c r="AT404" s="68">
        <v>33</v>
      </c>
      <c r="AU404" s="36">
        <v>125</v>
      </c>
      <c r="AV404" s="68">
        <v>36</v>
      </c>
      <c r="AW404" s="68">
        <v>33</v>
      </c>
      <c r="AX404" s="68">
        <v>27</v>
      </c>
      <c r="AY404" s="68">
        <v>31</v>
      </c>
      <c r="AZ404" s="36">
        <v>127</v>
      </c>
      <c r="BA404" s="68">
        <v>24</v>
      </c>
      <c r="BB404" s="68">
        <v>20</v>
      </c>
      <c r="BC404" s="68">
        <v>20</v>
      </c>
      <c r="BD404" s="147">
        <v>13</v>
      </c>
      <c r="BE404" s="36">
        <v>77</v>
      </c>
      <c r="BF404" s="68">
        <v>25</v>
      </c>
      <c r="BG404" s="68">
        <v>10</v>
      </c>
      <c r="BH404" s="182">
        <v>-18</v>
      </c>
    </row>
    <row r="405" spans="1:60">
      <c r="A405" s="69" t="s">
        <v>7</v>
      </c>
      <c r="B405" s="23"/>
      <c r="C405" s="70"/>
      <c r="D405" s="70">
        <f>D404/C404-1</f>
        <v>0.13387951807228915</v>
      </c>
      <c r="E405" s="70">
        <f>E404/D404-1</f>
        <v>-6.4816388983338968E-2</v>
      </c>
      <c r="F405" s="70">
        <f>F404/E404-1</f>
        <v>4.0471753851747394E-2</v>
      </c>
      <c r="G405" s="23"/>
      <c r="H405" s="70">
        <f>H404/F404-1</f>
        <v>-3.7084762050363484E-2</v>
      </c>
      <c r="I405" s="70">
        <f>I404/H404-1</f>
        <v>0.26548572206219245</v>
      </c>
      <c r="J405" s="70">
        <f>J404/I404-1</f>
        <v>-9.1318062874144124E-2</v>
      </c>
      <c r="K405" s="70">
        <f>K404/J404-1</f>
        <v>-2.5266770547742623E-2</v>
      </c>
      <c r="L405" s="23"/>
      <c r="M405" s="70">
        <f>M404/K404-1</f>
        <v>-5.9674612489376222E-2</v>
      </c>
      <c r="N405" s="70">
        <f>N404/M404-1</f>
        <v>1.3289289633949513</v>
      </c>
      <c r="O405" s="70">
        <f>O404/N404-1</f>
        <v>-0.50636186392910931</v>
      </c>
      <c r="P405" s="70">
        <f>P404/O404-1</f>
        <v>-0.14164311251708062</v>
      </c>
      <c r="Q405" s="23"/>
      <c r="R405" s="70">
        <f>R404/P404-1</f>
        <v>2.3551988834611404E-3</v>
      </c>
      <c r="S405" s="70">
        <f>S404/R404-1</f>
        <v>8.3326081281003272E-3</v>
      </c>
      <c r="T405" s="70">
        <f>T404/S404-1</f>
        <v>-9.2346861717048645E-3</v>
      </c>
      <c r="U405" s="70">
        <f>U404/T404-1</f>
        <v>-4.1965199590583535E-2</v>
      </c>
      <c r="V405" s="23"/>
      <c r="W405" s="70">
        <f>W404/U404-1</f>
        <v>-0.18610201854882691</v>
      </c>
      <c r="X405" s="70">
        <f>X404/W404-1</f>
        <v>8.5686356654098628E-2</v>
      </c>
      <c r="Y405" s="70">
        <f>Y404/X404-1</f>
        <v>3.6452036117613718E-2</v>
      </c>
      <c r="Z405" s="70">
        <v>0.10771903698188212</v>
      </c>
      <c r="AA405" s="23"/>
      <c r="AB405" s="70">
        <f>AB404/Z404-1</f>
        <v>-0.16007170064978782</v>
      </c>
      <c r="AC405" s="70">
        <f>AC404/AB404-1</f>
        <v>0.16184708958010985</v>
      </c>
      <c r="AD405" s="70">
        <f>AD404/AC404-1</f>
        <v>-0.10984317957431178</v>
      </c>
      <c r="AE405" s="70">
        <f>AE404/AD404-1</f>
        <v>-1.0085377492326075E-2</v>
      </c>
      <c r="AF405" s="23"/>
      <c r="AG405" s="70">
        <f>AG404/AE404-1</f>
        <v>9.4376986815362773E-2</v>
      </c>
      <c r="AH405" s="70">
        <f>AH404/AG404-1</f>
        <v>-2.3809523809523836E-2</v>
      </c>
      <c r="AI405" s="70">
        <f>AI404/AH404-1</f>
        <v>2.4390243902439046E-2</v>
      </c>
      <c r="AJ405" s="70">
        <f>AJ404/AI404-1</f>
        <v>-4.7619047619047672E-2</v>
      </c>
      <c r="AK405" s="23"/>
      <c r="AL405" s="70">
        <v>0.10000000000000009</v>
      </c>
      <c r="AM405" s="70">
        <v>2.2727272727272707E-2</v>
      </c>
      <c r="AN405" s="70">
        <v>-8.8888888888888906E-2</v>
      </c>
      <c r="AO405" s="70">
        <v>2.4390243902439046E-2</v>
      </c>
      <c r="AP405" s="23"/>
      <c r="AQ405" s="70">
        <v>-0.38095238095238093</v>
      </c>
      <c r="AR405" s="70">
        <v>0.26923076923076916</v>
      </c>
      <c r="AS405" s="70">
        <v>0</v>
      </c>
      <c r="AT405" s="70">
        <v>0</v>
      </c>
      <c r="AU405" s="23"/>
      <c r="AV405" s="70">
        <v>9.0909090909090828E-2</v>
      </c>
      <c r="AW405" s="70">
        <v>-8.333333333333337E-2</v>
      </c>
      <c r="AX405" s="70">
        <v>-0.18181818181818177</v>
      </c>
      <c r="AY405" s="70">
        <v>0.14814814814814814</v>
      </c>
      <c r="AZ405" s="23"/>
      <c r="BA405" s="70">
        <v>-0.22580645161290325</v>
      </c>
      <c r="BB405" s="70">
        <v>-0.16666666666666663</v>
      </c>
      <c r="BC405" s="70">
        <v>0</v>
      </c>
      <c r="BD405" s="70">
        <v>-0.35</v>
      </c>
      <c r="BE405" s="23"/>
      <c r="BF405" s="70">
        <v>0.92307692307692313</v>
      </c>
      <c r="BG405" s="70">
        <v>-0.6</v>
      </c>
      <c r="BH405" s="83" t="s">
        <v>40</v>
      </c>
    </row>
    <row r="406" spans="1:60">
      <c r="A406" s="69" t="s">
        <v>8</v>
      </c>
      <c r="B406" s="23"/>
      <c r="C406" s="71"/>
      <c r="D406" s="71"/>
      <c r="E406" s="71"/>
      <c r="F406" s="71"/>
      <c r="G406" s="23">
        <f t="shared" ref="G406:N406" si="359">G404/B404-1</f>
        <v>0.16552738204156303</v>
      </c>
      <c r="H406" s="71">
        <f t="shared" si="359"/>
        <v>6.2385542168674757E-2</v>
      </c>
      <c r="I406" s="71">
        <f t="shared" si="359"/>
        <v>0.18569364161849711</v>
      </c>
      <c r="J406" s="71">
        <f t="shared" si="359"/>
        <v>0.15209289642321489</v>
      </c>
      <c r="K406" s="71">
        <f t="shared" si="359"/>
        <v>7.9301985279664589E-2</v>
      </c>
      <c r="L406" s="23">
        <f t="shared" si="359"/>
        <v>0.12139681186886397</v>
      </c>
      <c r="M406" s="71">
        <f t="shared" si="359"/>
        <v>5.3981718796071609E-2</v>
      </c>
      <c r="N406" s="71">
        <f t="shared" si="359"/>
        <v>0.93968885543248382</v>
      </c>
      <c r="O406" s="71">
        <f t="shared" ref="O406:Y406" si="360">O404/J404-1</f>
        <v>5.372887039192098E-2</v>
      </c>
      <c r="P406" s="71">
        <f t="shared" si="360"/>
        <v>-7.2078999554817891E-2</v>
      </c>
      <c r="Q406" s="23">
        <f t="shared" si="360"/>
        <v>0.26985499999999996</v>
      </c>
      <c r="R406" s="71">
        <f t="shared" si="360"/>
        <v>-1.0867460027114917E-2</v>
      </c>
      <c r="S406" s="71">
        <f t="shared" si="360"/>
        <v>-0.5717453775999557</v>
      </c>
      <c r="T406" s="71">
        <f t="shared" si="360"/>
        <v>-0.14046384516032429</v>
      </c>
      <c r="U406" s="71">
        <f t="shared" si="360"/>
        <v>-4.0648988136776198E-2</v>
      </c>
      <c r="V406" s="23">
        <f t="shared" si="360"/>
        <v>-0.28250863287540706</v>
      </c>
      <c r="W406" s="71">
        <f t="shared" si="360"/>
        <v>-0.22102079888608472</v>
      </c>
      <c r="X406" s="71">
        <f t="shared" si="360"/>
        <v>-0.16126178609187225</v>
      </c>
      <c r="Y406" s="71">
        <f t="shared" si="360"/>
        <v>-0.12258542215640578</v>
      </c>
      <c r="Z406" s="71">
        <v>1.450263684306341E-2</v>
      </c>
      <c r="AA406" s="23">
        <f t="shared" ref="AA406:AI406" si="361">AA404/V404-1</f>
        <v>-0.12415624897103528</v>
      </c>
      <c r="AB406" s="71">
        <f t="shared" si="361"/>
        <v>4.6948750174556464E-2</v>
      </c>
      <c r="AC406" s="71">
        <f t="shared" si="361"/>
        <v>0.12039204589303631</v>
      </c>
      <c r="AD406" s="71">
        <f t="shared" si="361"/>
        <v>-3.775130305286678E-2</v>
      </c>
      <c r="AE406" s="71">
        <f t="shared" si="361"/>
        <v>-0.14008514452162268</v>
      </c>
      <c r="AF406" s="23">
        <f t="shared" si="361"/>
        <v>-8.8472286620133733E-3</v>
      </c>
      <c r="AG406" s="71">
        <f t="shared" si="361"/>
        <v>0.12041828949474476</v>
      </c>
      <c r="AH406" s="71">
        <f t="shared" si="361"/>
        <v>-5.8618235253598994E-2</v>
      </c>
      <c r="AI406" s="71">
        <f t="shared" si="361"/>
        <v>8.3339781784415479E-2</v>
      </c>
      <c r="AJ406" s="71">
        <f t="shared" ref="AJ406" si="362">AJ404/AE404-1</f>
        <v>4.2263796967012102E-2</v>
      </c>
      <c r="AK406" s="23">
        <v>4.3075872706813456E-2</v>
      </c>
      <c r="AL406" s="71">
        <v>4.7619047619047672E-2</v>
      </c>
      <c r="AM406" s="71">
        <v>9.7560975609756184E-2</v>
      </c>
      <c r="AN406" s="71">
        <v>-2.3809523809523836E-2</v>
      </c>
      <c r="AO406" s="71">
        <v>5.0000000000000044E-2</v>
      </c>
      <c r="AP406" s="23">
        <v>4.2424242424242475E-2</v>
      </c>
      <c r="AQ406" s="71">
        <v>-0.40909090909090906</v>
      </c>
      <c r="AR406" s="71">
        <v>-0.26666666666666672</v>
      </c>
      <c r="AS406" s="71">
        <v>-0.19512195121951215</v>
      </c>
      <c r="AT406" s="71">
        <v>-0.2142857142857143</v>
      </c>
      <c r="AU406" s="23">
        <v>-0.27325581395348841</v>
      </c>
      <c r="AV406" s="71">
        <v>0.38461538461538458</v>
      </c>
      <c r="AW406" s="71">
        <v>0</v>
      </c>
      <c r="AX406" s="71">
        <v>-0.18181818181818177</v>
      </c>
      <c r="AY406" s="71">
        <v>-6.0606060606060552E-2</v>
      </c>
      <c r="AZ406" s="23">
        <v>1.6000000000000014E-2</v>
      </c>
      <c r="BA406" s="71">
        <v>-0.33333333333333337</v>
      </c>
      <c r="BB406" s="71">
        <v>-0.39393939393939392</v>
      </c>
      <c r="BC406" s="71">
        <v>-0.2592592592592593</v>
      </c>
      <c r="BD406" s="71">
        <v>-0.58064516129032251</v>
      </c>
      <c r="BE406" s="23">
        <v>-0.39370078740157477</v>
      </c>
      <c r="BF406" s="71">
        <v>4.1666666666666741E-2</v>
      </c>
      <c r="BG406" s="71">
        <v>-0.5</v>
      </c>
      <c r="BH406" s="83" t="s">
        <v>40</v>
      </c>
    </row>
    <row r="407" spans="1:60" s="35" customFormat="1">
      <c r="A407" s="67" t="s">
        <v>250</v>
      </c>
      <c r="B407" s="36">
        <f>B390+B401</f>
        <v>290.178</v>
      </c>
      <c r="C407" s="75">
        <f>C390+C401</f>
        <v>74.8</v>
      </c>
      <c r="D407" s="75">
        <f>D390+D401</f>
        <v>82.878999999999991</v>
      </c>
      <c r="E407" s="75">
        <f>E390+E401</f>
        <v>79</v>
      </c>
      <c r="F407" s="68">
        <f>G407-E407-D407-C407</f>
        <v>84.921000000000035</v>
      </c>
      <c r="G407" s="36">
        <f>G390+G401</f>
        <v>321.60000000000002</v>
      </c>
      <c r="H407" s="75">
        <f>H390+H401</f>
        <v>79.771000000000001</v>
      </c>
      <c r="I407" s="75">
        <f>I390+I401</f>
        <v>88.27000000000001</v>
      </c>
      <c r="J407" s="75">
        <f>J390+J401</f>
        <v>87.765000000000001</v>
      </c>
      <c r="K407" s="68">
        <f>L407-J407-I407-H407</f>
        <v>89.240000000000052</v>
      </c>
      <c r="L407" s="36">
        <f>L390+L401</f>
        <v>345.04600000000005</v>
      </c>
      <c r="M407" s="75">
        <f>M390+M401</f>
        <v>84.132999999999996</v>
      </c>
      <c r="N407" s="75">
        <f>N390+N401</f>
        <v>146.69499999999999</v>
      </c>
      <c r="O407" s="75">
        <f>O390+O401</f>
        <v>93.061999999999998</v>
      </c>
      <c r="P407" s="68">
        <v>90</v>
      </c>
      <c r="Q407" s="36">
        <f>Q390+Q401</f>
        <v>414.12200000000001</v>
      </c>
      <c r="R407" s="75">
        <f>R390+R401</f>
        <v>85.12</v>
      </c>
      <c r="S407" s="75">
        <f>S390+S401</f>
        <v>86.72399999999999</v>
      </c>
      <c r="T407" s="75">
        <f>T390+T401</f>
        <v>89.338999999999999</v>
      </c>
      <c r="U407" s="68">
        <f>V407-T407-S407-R407</f>
        <v>88.837999999999965</v>
      </c>
      <c r="V407" s="36">
        <f>V390+V401</f>
        <v>350.02099999999996</v>
      </c>
      <c r="W407" s="75">
        <f>W390+W401</f>
        <v>83.932999999999993</v>
      </c>
      <c r="X407" s="75">
        <f>X390+X401</f>
        <v>87.402999999999992</v>
      </c>
      <c r="Y407" s="75">
        <f>Y390+Y401</f>
        <v>89.403999999999996</v>
      </c>
      <c r="Z407" s="68">
        <f>AA407-Y407-X407-W407</f>
        <v>94.693000000000012</v>
      </c>
      <c r="AA407" s="36">
        <f>AA390+AA401</f>
        <v>355.43299999999999</v>
      </c>
      <c r="AB407" s="75">
        <f>AB390+AB401</f>
        <v>87.241</v>
      </c>
      <c r="AC407" s="75">
        <f>AC390+AC401</f>
        <v>92.757000000000005</v>
      </c>
      <c r="AD407" s="75">
        <f>AD390+AD401</f>
        <v>87.835000000000008</v>
      </c>
      <c r="AE407" s="68">
        <f>AF407-AD407-AC407-AB407</f>
        <v>89.63499999999992</v>
      </c>
      <c r="AF407" s="36">
        <f>AF390+AF401</f>
        <v>357.46799999999996</v>
      </c>
      <c r="AG407" s="75">
        <f>AG390+AG401</f>
        <v>90</v>
      </c>
      <c r="AH407" s="75">
        <f>AH390+AH401</f>
        <v>90</v>
      </c>
      <c r="AI407" s="75">
        <f>AI390+AI401</f>
        <v>91</v>
      </c>
      <c r="AJ407" s="68">
        <f>AK407-AI407-AH407-AG407</f>
        <v>91</v>
      </c>
      <c r="AK407" s="36">
        <v>362</v>
      </c>
      <c r="AL407" s="75">
        <v>93</v>
      </c>
      <c r="AM407" s="75">
        <v>94</v>
      </c>
      <c r="AN407" s="75">
        <v>92</v>
      </c>
      <c r="AO407" s="68">
        <v>93</v>
      </c>
      <c r="AP407" s="36">
        <v>372</v>
      </c>
      <c r="AQ407" s="75">
        <v>70</v>
      </c>
      <c r="AR407" s="75">
        <v>82</v>
      </c>
      <c r="AS407" s="75">
        <v>80</v>
      </c>
      <c r="AT407" s="68">
        <v>81</v>
      </c>
      <c r="AU407" s="36">
        <v>313</v>
      </c>
      <c r="AV407" s="75">
        <v>82</v>
      </c>
      <c r="AW407" s="75">
        <v>78</v>
      </c>
      <c r="AX407" s="75">
        <v>73</v>
      </c>
      <c r="AY407" s="68">
        <v>76</v>
      </c>
      <c r="AZ407" s="36">
        <v>309</v>
      </c>
      <c r="BA407" s="75">
        <v>77</v>
      </c>
      <c r="BB407" s="75">
        <v>75</v>
      </c>
      <c r="BC407" s="75">
        <v>77</v>
      </c>
      <c r="BD407" s="147">
        <v>81</v>
      </c>
      <c r="BE407" s="36">
        <v>310</v>
      </c>
      <c r="BF407" s="75">
        <v>80</v>
      </c>
      <c r="BG407" s="75">
        <v>64</v>
      </c>
      <c r="BH407" s="75">
        <v>27</v>
      </c>
    </row>
    <row r="408" spans="1:60">
      <c r="A408" s="69" t="s">
        <v>7</v>
      </c>
      <c r="B408" s="23"/>
      <c r="C408" s="70"/>
      <c r="D408" s="70">
        <f>D407/C407-1</f>
        <v>0.10800802139037424</v>
      </c>
      <c r="E408" s="70">
        <f>E407/D407-1</f>
        <v>-4.6803170887679491E-2</v>
      </c>
      <c r="F408" s="70">
        <f>F407/E407-1</f>
        <v>7.494936708860811E-2</v>
      </c>
      <c r="G408" s="23"/>
      <c r="H408" s="70">
        <f>H407/F407-1</f>
        <v>-6.0644599097985585E-2</v>
      </c>
      <c r="I408" s="70">
        <f>I407/H407-1</f>
        <v>0.10654247784282522</v>
      </c>
      <c r="J408" s="70">
        <f>J407/I407-1</f>
        <v>-5.7210830406707602E-3</v>
      </c>
      <c r="K408" s="70">
        <f>K407/J407-1</f>
        <v>1.6806243946904331E-2</v>
      </c>
      <c r="L408" s="23"/>
      <c r="M408" s="70">
        <f>M407/K407-1</f>
        <v>-5.7227700582698993E-2</v>
      </c>
      <c r="N408" s="70">
        <f>N407/M407-1</f>
        <v>0.7436083344228781</v>
      </c>
      <c r="O408" s="70">
        <f>O407/N407-1</f>
        <v>-0.36560891645932037</v>
      </c>
      <c r="P408" s="70">
        <f>P407/O407-1</f>
        <v>-3.2902795985472078E-2</v>
      </c>
      <c r="Q408" s="23"/>
      <c r="R408" s="70">
        <f>R407/P407-1</f>
        <v>-5.4222222222222172E-2</v>
      </c>
      <c r="S408" s="70">
        <f>S407/R407-1</f>
        <v>1.8843984962405802E-2</v>
      </c>
      <c r="T408" s="70">
        <f>T407/S407-1</f>
        <v>3.0153129468198037E-2</v>
      </c>
      <c r="U408" s="70">
        <f>U407/T407-1</f>
        <v>-5.607853233190796E-3</v>
      </c>
      <c r="V408" s="23"/>
      <c r="W408" s="70">
        <f>W407/U407-1</f>
        <v>-5.5212859361984501E-2</v>
      </c>
      <c r="X408" s="70">
        <f>X407/W407-1</f>
        <v>4.1342499374501074E-2</v>
      </c>
      <c r="Y408" s="70">
        <f>Y407/X407-1</f>
        <v>2.2893951008546631E-2</v>
      </c>
      <c r="Z408" s="70">
        <v>5.9158426916021911E-2</v>
      </c>
      <c r="AA408" s="23"/>
      <c r="AB408" s="70">
        <f>AB407/Z407-1</f>
        <v>-7.8696418953882685E-2</v>
      </c>
      <c r="AC408" s="70">
        <f>AC407/AB407-1</f>
        <v>6.3227152371018169E-2</v>
      </c>
      <c r="AD408" s="70">
        <f>AD407/AC407-1</f>
        <v>-5.3063380661297788E-2</v>
      </c>
      <c r="AE408" s="70">
        <f>AE407/AD407-1</f>
        <v>2.049296977286863E-2</v>
      </c>
      <c r="AF408" s="23"/>
      <c r="AG408" s="70">
        <f>AG407/AE407-1</f>
        <v>4.0720700619185646E-3</v>
      </c>
      <c r="AH408" s="70">
        <f>AH407/AG407-1</f>
        <v>0</v>
      </c>
      <c r="AI408" s="70">
        <f>AI407/AH407-1</f>
        <v>1.1111111111111072E-2</v>
      </c>
      <c r="AJ408" s="70">
        <f>AJ407/AI407-1</f>
        <v>0</v>
      </c>
      <c r="AK408" s="23"/>
      <c r="AL408" s="70">
        <v>2.19780219780219E-2</v>
      </c>
      <c r="AM408" s="70">
        <v>1.0752688172043001E-2</v>
      </c>
      <c r="AN408" s="70">
        <v>-2.1276595744680882E-2</v>
      </c>
      <c r="AO408" s="70">
        <v>1.0869565217391353E-2</v>
      </c>
      <c r="AP408" s="23"/>
      <c r="AQ408" s="70">
        <v>-0.24731182795698925</v>
      </c>
      <c r="AR408" s="70">
        <v>0.17142857142857149</v>
      </c>
      <c r="AS408" s="70">
        <v>-2.4390243902439046E-2</v>
      </c>
      <c r="AT408" s="70">
        <v>1.2499999999999956E-2</v>
      </c>
      <c r="AU408" s="23"/>
      <c r="AV408" s="70">
        <v>1.2345679012345734E-2</v>
      </c>
      <c r="AW408" s="70">
        <v>-4.8780487804878092E-2</v>
      </c>
      <c r="AX408" s="70">
        <v>-6.4102564102564097E-2</v>
      </c>
      <c r="AY408" s="70">
        <v>4.1095890410958846E-2</v>
      </c>
      <c r="AZ408" s="23"/>
      <c r="BA408" s="70">
        <v>1.3157894736842035E-2</v>
      </c>
      <c r="BB408" s="70">
        <v>-2.5974025974025983E-2</v>
      </c>
      <c r="BC408" s="70">
        <v>2.6666666666666616E-2</v>
      </c>
      <c r="BD408" s="70">
        <v>5.1948051948051965E-2</v>
      </c>
      <c r="BE408" s="23"/>
      <c r="BF408" s="70">
        <v>-1.2345679012345734E-2</v>
      </c>
      <c r="BG408" s="70">
        <v>-0.19999999999999996</v>
      </c>
      <c r="BH408" s="70">
        <v>-0.578125</v>
      </c>
    </row>
    <row r="409" spans="1:60">
      <c r="A409" s="69" t="s">
        <v>8</v>
      </c>
      <c r="B409" s="23"/>
      <c r="C409" s="71"/>
      <c r="D409" s="71"/>
      <c r="E409" s="71"/>
      <c r="F409" s="71"/>
      <c r="G409" s="23">
        <f t="shared" ref="G409:N409" si="363">G407/B407-1</f>
        <v>0.10828525939251099</v>
      </c>
      <c r="H409" s="71">
        <f t="shared" si="363"/>
        <v>6.6457219251336852E-2</v>
      </c>
      <c r="I409" s="71">
        <f t="shared" si="363"/>
        <v>6.5046634249930957E-2</v>
      </c>
      <c r="J409" s="71">
        <f t="shared" si="363"/>
        <v>0.1109493670886077</v>
      </c>
      <c r="K409" s="71">
        <f t="shared" si="363"/>
        <v>5.085903369013578E-2</v>
      </c>
      <c r="L409" s="23">
        <f t="shared" si="363"/>
        <v>7.2904228855721565E-2</v>
      </c>
      <c r="M409" s="71">
        <f t="shared" si="363"/>
        <v>5.4681525867796399E-2</v>
      </c>
      <c r="N409" s="71">
        <f t="shared" si="363"/>
        <v>0.66188965673501721</v>
      </c>
      <c r="O409" s="71">
        <f>O407/J407-1</f>
        <v>6.0354355380846547E-2</v>
      </c>
      <c r="P409" s="71">
        <v>0.01</v>
      </c>
      <c r="Q409" s="23">
        <f t="shared" ref="Q409:Y409" si="364">Q407/L407-1</f>
        <v>0.20019359737542231</v>
      </c>
      <c r="R409" s="71">
        <f t="shared" si="364"/>
        <v>1.1731425243364679E-2</v>
      </c>
      <c r="S409" s="71">
        <f t="shared" si="364"/>
        <v>-0.40881420634650134</v>
      </c>
      <c r="T409" s="71">
        <f t="shared" si="364"/>
        <v>-4.0005587672734322E-2</v>
      </c>
      <c r="U409" s="71">
        <f t="shared" si="364"/>
        <v>-1.291111111111154E-2</v>
      </c>
      <c r="V409" s="23">
        <f t="shared" si="364"/>
        <v>-0.15478771956090243</v>
      </c>
      <c r="W409" s="71">
        <f t="shared" si="364"/>
        <v>-1.3945018796992614E-2</v>
      </c>
      <c r="X409" s="71">
        <f t="shared" si="364"/>
        <v>7.829435911627769E-3</v>
      </c>
      <c r="Y409" s="71">
        <f t="shared" si="364"/>
        <v>7.2756578873733879E-4</v>
      </c>
      <c r="Z409" s="71">
        <v>6.5906481460636712E-2</v>
      </c>
      <c r="AA409" s="23">
        <f t="shared" ref="AA409:AI409" si="365">AA407/V407-1</f>
        <v>1.5461929427091681E-2</v>
      </c>
      <c r="AB409" s="71">
        <f t="shared" si="365"/>
        <v>3.9412388452694458E-2</v>
      </c>
      <c r="AC409" s="71">
        <f t="shared" si="365"/>
        <v>6.1256478610574261E-2</v>
      </c>
      <c r="AD409" s="71">
        <f t="shared" si="365"/>
        <v>-1.7549550355688615E-2</v>
      </c>
      <c r="AE409" s="71">
        <f t="shared" si="365"/>
        <v>-5.3414719145027489E-2</v>
      </c>
      <c r="AF409" s="23">
        <f t="shared" si="365"/>
        <v>5.725410977596157E-3</v>
      </c>
      <c r="AG409" s="71">
        <f t="shared" si="365"/>
        <v>3.1625038685938911E-2</v>
      </c>
      <c r="AH409" s="71">
        <f t="shared" si="365"/>
        <v>-2.9722824153433192E-2</v>
      </c>
      <c r="AI409" s="71">
        <f t="shared" si="365"/>
        <v>3.6033471850628995E-2</v>
      </c>
      <c r="AJ409" s="71">
        <f t="shared" ref="AJ409" si="366">AJ407/AE407-1</f>
        <v>1.5228426395939909E-2</v>
      </c>
      <c r="AK409" s="23">
        <v>1.2678057896091444E-2</v>
      </c>
      <c r="AL409" s="71">
        <v>3.3333333333333437E-2</v>
      </c>
      <c r="AM409" s="71">
        <v>4.4444444444444509E-2</v>
      </c>
      <c r="AN409" s="71">
        <v>1.098901098901095E-2</v>
      </c>
      <c r="AO409" s="71">
        <v>2.19780219780219E-2</v>
      </c>
      <c r="AP409" s="23">
        <v>2.7624309392265234E-2</v>
      </c>
      <c r="AQ409" s="71">
        <v>-0.24731182795698925</v>
      </c>
      <c r="AR409" s="71">
        <v>-0.12765957446808507</v>
      </c>
      <c r="AS409" s="71">
        <v>-0.13043478260869568</v>
      </c>
      <c r="AT409" s="71">
        <v>-0.12903225806451613</v>
      </c>
      <c r="AU409" s="23">
        <v>-0.15860215053763438</v>
      </c>
      <c r="AV409" s="71">
        <v>0.17142857142857149</v>
      </c>
      <c r="AW409" s="71">
        <v>-4.8780487804878092E-2</v>
      </c>
      <c r="AX409" s="71">
        <v>-8.7500000000000022E-2</v>
      </c>
      <c r="AY409" s="71">
        <v>-6.1728395061728447E-2</v>
      </c>
      <c r="AZ409" s="23">
        <v>-1.2779552715655007E-2</v>
      </c>
      <c r="BA409" s="71">
        <v>-6.0975609756097615E-2</v>
      </c>
      <c r="BB409" s="71">
        <v>-3.8461538461538436E-2</v>
      </c>
      <c r="BC409" s="71">
        <v>5.4794520547945202E-2</v>
      </c>
      <c r="BD409" s="71">
        <v>6.578947368421062E-2</v>
      </c>
      <c r="BE409" s="23">
        <v>3.2362459546926292E-3</v>
      </c>
      <c r="BF409" s="71">
        <v>3.8961038961038863E-2</v>
      </c>
      <c r="BG409" s="71">
        <v>-0.14666666666666661</v>
      </c>
      <c r="BH409" s="71">
        <v>-0.64935064935064934</v>
      </c>
    </row>
    <row r="410" spans="1:60" ht="26.4" customHeight="1">
      <c r="A410" s="87" t="s">
        <v>270</v>
      </c>
      <c r="B410" s="23"/>
      <c r="C410" s="71"/>
      <c r="D410" s="71"/>
      <c r="E410" s="71"/>
      <c r="F410" s="71"/>
      <c r="G410" s="23"/>
      <c r="H410" s="71"/>
      <c r="I410" s="71"/>
      <c r="J410" s="71"/>
      <c r="K410" s="71"/>
      <c r="L410" s="23"/>
      <c r="M410" s="71"/>
      <c r="N410" s="71"/>
      <c r="O410" s="71"/>
      <c r="P410" s="71"/>
      <c r="Q410" s="23"/>
      <c r="R410" s="71"/>
      <c r="S410" s="71"/>
      <c r="T410" s="71"/>
      <c r="U410" s="71"/>
      <c r="V410" s="23"/>
      <c r="W410" s="71"/>
      <c r="X410" s="71"/>
      <c r="Y410" s="71"/>
      <c r="Z410" s="71"/>
      <c r="AA410" s="23"/>
      <c r="AB410" s="75"/>
      <c r="AC410" s="75"/>
      <c r="AD410" s="75"/>
      <c r="AE410" s="147"/>
      <c r="AF410" s="36">
        <f>AF407+AF399</f>
        <v>360.46799999999996</v>
      </c>
      <c r="AG410" s="75"/>
      <c r="AH410" s="75"/>
      <c r="AI410" s="75"/>
      <c r="AJ410" s="147"/>
      <c r="AK410" s="36">
        <v>362</v>
      </c>
      <c r="AL410" s="75">
        <v>93</v>
      </c>
      <c r="AM410" s="75">
        <v>92</v>
      </c>
      <c r="AN410" s="75">
        <v>93</v>
      </c>
      <c r="AO410" s="147">
        <v>92</v>
      </c>
      <c r="AP410" s="36">
        <v>370</v>
      </c>
      <c r="AQ410" s="75">
        <v>84</v>
      </c>
      <c r="AR410" s="75">
        <v>82</v>
      </c>
      <c r="AS410" s="75">
        <v>80</v>
      </c>
      <c r="AT410" s="147">
        <v>85</v>
      </c>
      <c r="AU410" s="36">
        <v>331</v>
      </c>
      <c r="AV410" s="75">
        <v>82</v>
      </c>
      <c r="AW410" s="75">
        <v>79</v>
      </c>
      <c r="AX410" s="75">
        <v>72</v>
      </c>
      <c r="AY410" s="147">
        <v>79</v>
      </c>
      <c r="AZ410" s="36">
        <v>312</v>
      </c>
      <c r="BA410" s="75">
        <v>79</v>
      </c>
      <c r="BB410" s="75">
        <v>74</v>
      </c>
      <c r="BC410" s="75">
        <v>79</v>
      </c>
      <c r="BD410" s="147">
        <v>86</v>
      </c>
      <c r="BE410" s="36">
        <v>318</v>
      </c>
      <c r="BF410" s="75">
        <v>80</v>
      </c>
      <c r="BG410" s="75">
        <v>79</v>
      </c>
      <c r="BH410" s="75">
        <v>72</v>
      </c>
    </row>
    <row r="411" spans="1:60" ht="10.95" hidden="1" customHeight="1">
      <c r="A411" s="67" t="s">
        <v>252</v>
      </c>
      <c r="B411" s="23"/>
      <c r="C411" s="71"/>
      <c r="D411" s="71"/>
      <c r="E411" s="71"/>
      <c r="F411" s="71"/>
      <c r="G411" s="23"/>
      <c r="H411" s="71"/>
      <c r="I411" s="71"/>
      <c r="J411" s="71"/>
      <c r="K411" s="71"/>
      <c r="L411" s="23"/>
      <c r="M411" s="71"/>
      <c r="N411" s="71"/>
      <c r="O411" s="71"/>
      <c r="P411" s="71"/>
      <c r="Q411" s="23"/>
      <c r="R411" s="71"/>
      <c r="S411" s="71"/>
      <c r="T411" s="71"/>
      <c r="U411" s="71"/>
      <c r="V411" s="23"/>
      <c r="W411" s="71"/>
      <c r="X411" s="71"/>
      <c r="Y411" s="71"/>
      <c r="Z411" s="71"/>
      <c r="AA411" s="23"/>
      <c r="AB411" s="71"/>
      <c r="AC411" s="71"/>
      <c r="AD411" s="71"/>
      <c r="AE411" s="71"/>
      <c r="AF411" s="23"/>
      <c r="AG411" s="71"/>
      <c r="AH411" s="71"/>
      <c r="AI411" s="71"/>
      <c r="AJ411" s="71"/>
      <c r="AK411" s="23"/>
      <c r="AL411" s="71"/>
      <c r="AM411" s="71"/>
      <c r="AN411" s="71"/>
      <c r="AO411" s="71"/>
      <c r="AP411" s="23"/>
      <c r="AQ411" s="71"/>
      <c r="AR411" s="71"/>
      <c r="AS411" s="71"/>
      <c r="AT411" s="71"/>
      <c r="AU411" s="23"/>
      <c r="AV411" s="71"/>
      <c r="AW411" s="71"/>
      <c r="AX411" s="71"/>
      <c r="AY411" s="71"/>
      <c r="AZ411" s="23"/>
      <c r="BA411" s="75">
        <v>68</v>
      </c>
      <c r="BB411" s="75">
        <v>66</v>
      </c>
      <c r="BC411" s="75">
        <v>68</v>
      </c>
      <c r="BD411" s="147">
        <v>72</v>
      </c>
      <c r="BE411" s="36">
        <v>274</v>
      </c>
      <c r="BF411" s="75"/>
      <c r="BG411" s="75"/>
      <c r="BH411" s="75"/>
    </row>
    <row r="412" spans="1:60" ht="12" customHeight="1">
      <c r="A412" s="67"/>
      <c r="B412" s="23"/>
      <c r="C412" s="71"/>
      <c r="D412" s="71"/>
      <c r="E412" s="71"/>
      <c r="F412" s="71"/>
      <c r="G412" s="23"/>
      <c r="H412" s="71"/>
      <c r="I412" s="71"/>
      <c r="J412" s="71"/>
      <c r="K412" s="71"/>
      <c r="L412" s="23"/>
      <c r="M412" s="71"/>
      <c r="N412" s="71"/>
      <c r="O412" s="71"/>
      <c r="P412" s="71"/>
      <c r="Q412" s="23"/>
      <c r="R412" s="71"/>
      <c r="S412" s="71"/>
      <c r="T412" s="71"/>
      <c r="U412" s="71"/>
      <c r="V412" s="23"/>
      <c r="W412" s="71"/>
      <c r="X412" s="71"/>
      <c r="Y412" s="71"/>
      <c r="Z412" s="71"/>
      <c r="AA412" s="23"/>
      <c r="AB412" s="71"/>
      <c r="AC412" s="71"/>
      <c r="AD412" s="71"/>
      <c r="AE412" s="71"/>
      <c r="AF412" s="23"/>
      <c r="AG412" s="71"/>
      <c r="AH412" s="71"/>
      <c r="AI412" s="71"/>
      <c r="AJ412" s="71"/>
      <c r="AK412" s="23"/>
      <c r="AL412" s="71"/>
      <c r="AM412" s="71"/>
      <c r="AN412" s="71"/>
      <c r="AO412" s="71"/>
      <c r="AP412" s="23"/>
      <c r="AQ412" s="71"/>
      <c r="AR412" s="71"/>
      <c r="AS412" s="71"/>
      <c r="AT412" s="71"/>
      <c r="AU412" s="23"/>
      <c r="AV412" s="71"/>
      <c r="AW412" s="71"/>
      <c r="AX412" s="71"/>
      <c r="AY412" s="71"/>
      <c r="AZ412" s="23"/>
      <c r="BA412" s="71"/>
      <c r="BB412" s="71"/>
      <c r="BC412" s="71"/>
      <c r="BD412" s="71"/>
      <c r="BE412" s="23"/>
      <c r="BF412" s="71"/>
      <c r="BG412" s="71"/>
      <c r="BH412" s="71"/>
    </row>
    <row r="413" spans="1:60">
      <c r="A413" s="39" t="s">
        <v>73</v>
      </c>
      <c r="B413" s="40"/>
      <c r="C413" s="48"/>
      <c r="D413" s="48"/>
      <c r="E413" s="48"/>
      <c r="F413" s="48"/>
      <c r="G413" s="40"/>
      <c r="H413" s="48"/>
      <c r="I413" s="48"/>
      <c r="J413" s="48"/>
      <c r="K413" s="48"/>
      <c r="L413" s="40"/>
      <c r="M413" s="48"/>
      <c r="N413" s="48"/>
      <c r="O413" s="48"/>
      <c r="P413" s="48"/>
      <c r="Q413" s="40"/>
      <c r="R413" s="48"/>
      <c r="S413" s="48"/>
      <c r="T413" s="48"/>
      <c r="U413" s="48"/>
      <c r="V413" s="40"/>
      <c r="W413" s="48"/>
      <c r="X413" s="48"/>
      <c r="Y413" s="48"/>
      <c r="Z413" s="48"/>
      <c r="AA413" s="40"/>
      <c r="AB413" s="48"/>
      <c r="AC413" s="48"/>
      <c r="AD413" s="48"/>
      <c r="AE413" s="48"/>
      <c r="AF413" s="40"/>
      <c r="AG413" s="48"/>
      <c r="AH413" s="48"/>
      <c r="AI413" s="48"/>
      <c r="AJ413" s="48"/>
      <c r="AK413" s="40"/>
      <c r="AL413" s="48"/>
      <c r="AM413" s="48"/>
      <c r="AN413" s="48"/>
      <c r="AO413" s="48"/>
      <c r="AP413" s="40"/>
      <c r="AQ413" s="48"/>
      <c r="AR413" s="48"/>
      <c r="AS413" s="48"/>
      <c r="AT413" s="48"/>
      <c r="AU413" s="40"/>
      <c r="AV413" s="48"/>
      <c r="AW413" s="48"/>
      <c r="AX413" s="48"/>
      <c r="AY413" s="48"/>
      <c r="AZ413" s="40"/>
      <c r="BA413" s="48"/>
      <c r="BB413" s="48"/>
      <c r="BC413" s="48"/>
      <c r="BD413" s="48"/>
      <c r="BE413" s="40"/>
      <c r="BF413" s="48"/>
      <c r="BG413" s="48"/>
      <c r="BH413" s="48"/>
    </row>
    <row r="414" spans="1:60" s="35" customFormat="1">
      <c r="A414" s="67" t="s">
        <v>12</v>
      </c>
      <c r="B414" s="36">
        <v>92.694000000000003</v>
      </c>
      <c r="C414" s="68">
        <v>7.5179999999999998</v>
      </c>
      <c r="D414" s="68">
        <v>50.93</v>
      </c>
      <c r="E414" s="68">
        <v>31.88</v>
      </c>
      <c r="F414" s="68">
        <f>G414-E414-D414-C414</f>
        <v>73.117999999999995</v>
      </c>
      <c r="G414" s="36">
        <v>163.446</v>
      </c>
      <c r="H414" s="68">
        <f>83.509</f>
        <v>83.509</v>
      </c>
      <c r="I414" s="68">
        <v>82.688000000000002</v>
      </c>
      <c r="J414" s="68">
        <v>81.460999999999999</v>
      </c>
      <c r="K414" s="68">
        <f>L414-J414-I414-H414</f>
        <v>71.909000000000006</v>
      </c>
      <c r="L414" s="36">
        <f>319.858-0.291</f>
        <v>319.56700000000001</v>
      </c>
      <c r="M414" s="68">
        <f>59.48</f>
        <v>59.48</v>
      </c>
      <c r="N414" s="68">
        <f>125.337-59.48</f>
        <v>65.856999999999999</v>
      </c>
      <c r="O414" s="68">
        <v>74.631</v>
      </c>
      <c r="P414" s="68">
        <f>Q414-O414-N414-M414</f>
        <v>90.108000000000033</v>
      </c>
      <c r="Q414" s="36">
        <f>291.87-1.794</f>
        <v>290.07600000000002</v>
      </c>
      <c r="R414" s="68">
        <f>42.049-0.051</f>
        <v>41.997999999999998</v>
      </c>
      <c r="S414" s="68">
        <f>68.191-0.075</f>
        <v>68.116</v>
      </c>
      <c r="T414" s="68">
        <f>57.303+0.147</f>
        <v>57.449999999999996</v>
      </c>
      <c r="U414" s="68">
        <f>V414-T414-S414-R414</f>
        <v>75.928000000000026</v>
      </c>
      <c r="V414" s="36">
        <f>242.86+0.632</f>
        <v>243.49200000000002</v>
      </c>
      <c r="W414" s="68">
        <f>58.496-0.079</f>
        <v>58.417000000000002</v>
      </c>
      <c r="X414" s="68">
        <f>63.904+0.307</f>
        <v>64.210999999999999</v>
      </c>
      <c r="Y414" s="68">
        <f>63.132+0.004</f>
        <v>63.135999999999996</v>
      </c>
      <c r="Z414" s="68">
        <f>AA414-Y414-X414-W414</f>
        <v>86.321999999999974</v>
      </c>
      <c r="AA414" s="36">
        <f>271.953+0.133</f>
        <v>272.08599999999996</v>
      </c>
      <c r="AB414" s="68">
        <f>58.59-0.278</f>
        <v>58.312000000000005</v>
      </c>
      <c r="AC414" s="68">
        <f>81.111+0.088</f>
        <v>81.198999999999998</v>
      </c>
      <c r="AD414" s="68">
        <f>71.669-0.179</f>
        <v>71.489999999999995</v>
      </c>
      <c r="AE414" s="68">
        <f>AF414-AD414-AC414-AB414</f>
        <v>76.723999999999933</v>
      </c>
      <c r="AF414" s="36">
        <f>288.131-0.406</f>
        <v>287.72499999999997</v>
      </c>
      <c r="AG414" s="68">
        <v>74</v>
      </c>
      <c r="AH414" s="68">
        <v>95</v>
      </c>
      <c r="AI414" s="68">
        <v>71</v>
      </c>
      <c r="AJ414" s="68">
        <f>AK414-AI414-AH414-AG414</f>
        <v>72</v>
      </c>
      <c r="AK414" s="36">
        <v>312</v>
      </c>
      <c r="AL414" s="68">
        <v>62</v>
      </c>
      <c r="AM414" s="68">
        <v>74</v>
      </c>
      <c r="AN414" s="68">
        <v>69</v>
      </c>
      <c r="AO414" s="68">
        <v>96</v>
      </c>
      <c r="AP414" s="36">
        <v>301</v>
      </c>
      <c r="AQ414" s="68">
        <v>49</v>
      </c>
      <c r="AR414" s="68">
        <v>69</v>
      </c>
      <c r="AS414" s="68">
        <v>65</v>
      </c>
      <c r="AT414" s="68">
        <v>86</v>
      </c>
      <c r="AU414" s="36">
        <v>269</v>
      </c>
      <c r="AV414" s="68">
        <v>52</v>
      </c>
      <c r="AW414" s="68">
        <v>69</v>
      </c>
      <c r="AX414" s="68">
        <v>74</v>
      </c>
      <c r="AY414" s="68">
        <v>82</v>
      </c>
      <c r="AZ414" s="36">
        <v>277</v>
      </c>
      <c r="BA414" s="68">
        <v>67</v>
      </c>
      <c r="BB414" s="68">
        <v>54</v>
      </c>
      <c r="BC414" s="68">
        <v>73</v>
      </c>
      <c r="BD414" s="147">
        <v>106</v>
      </c>
      <c r="BE414" s="36">
        <v>300</v>
      </c>
      <c r="BF414" s="68">
        <v>56</v>
      </c>
      <c r="BG414" s="68">
        <v>48</v>
      </c>
      <c r="BH414" s="68">
        <v>64</v>
      </c>
    </row>
    <row r="415" spans="1:60">
      <c r="A415" s="80" t="s">
        <v>7</v>
      </c>
      <c r="B415" s="23"/>
      <c r="C415" s="70"/>
      <c r="D415" s="70">
        <f>D414/C414-1</f>
        <v>5.7744080872572496</v>
      </c>
      <c r="E415" s="70">
        <f>E414/D414-1</f>
        <v>-0.37404280384841937</v>
      </c>
      <c r="F415" s="70">
        <f>F414/E414-1</f>
        <v>1.293538268506901</v>
      </c>
      <c r="G415" s="23"/>
      <c r="H415" s="70">
        <f>H414/F414-1</f>
        <v>0.14211274925462969</v>
      </c>
      <c r="I415" s="70">
        <f>I414/H414-1</f>
        <v>-9.8312756708857085E-3</v>
      </c>
      <c r="J415" s="70">
        <f>J414/I414-1</f>
        <v>-1.4838912538699733E-2</v>
      </c>
      <c r="K415" s="70">
        <f>K414/J414-1</f>
        <v>-0.11725856544849678</v>
      </c>
      <c r="L415" s="23"/>
      <c r="M415" s="70">
        <f>M414/K414-1</f>
        <v>-0.17284345492219344</v>
      </c>
      <c r="N415" s="70">
        <f>N414/M414-1</f>
        <v>0.10721250840618701</v>
      </c>
      <c r="O415" s="70">
        <f>O414/N414-1</f>
        <v>0.13322805472463073</v>
      </c>
      <c r="P415" s="70">
        <f>P414/O414-1</f>
        <v>0.20738031113076372</v>
      </c>
      <c r="Q415" s="23"/>
      <c r="R415" s="70">
        <f>R414/P414-1</f>
        <v>-0.53391485772628422</v>
      </c>
      <c r="S415" s="70">
        <f>S414/R414-1</f>
        <v>0.62188675651221503</v>
      </c>
      <c r="T415" s="70">
        <f>T414/S414-1</f>
        <v>-0.1565858241822774</v>
      </c>
      <c r="U415" s="70">
        <f>U414/T414-1</f>
        <v>0.32163620539599713</v>
      </c>
      <c r="V415" s="23"/>
      <c r="W415" s="70">
        <f>W414/U414-1</f>
        <v>-0.23062638288905302</v>
      </c>
      <c r="X415" s="70">
        <f>X414/W414-1</f>
        <v>9.9183456870431508E-2</v>
      </c>
      <c r="Y415" s="70">
        <f>Y414/X414-1</f>
        <v>-1.6741679774493479E-2</v>
      </c>
      <c r="Z415" s="70">
        <v>0.36723897617840828</v>
      </c>
      <c r="AA415" s="23"/>
      <c r="AB415" s="70">
        <f>AB414/Z414-1</f>
        <v>-0.32448275063135679</v>
      </c>
      <c r="AC415" s="70">
        <f>AC414/AB414-1</f>
        <v>0.3924921114007407</v>
      </c>
      <c r="AD415" s="70">
        <f>AD414/AC414-1</f>
        <v>-0.11957043805958201</v>
      </c>
      <c r="AE415" s="70">
        <f>AE414/AD414-1</f>
        <v>7.3213036788361219E-2</v>
      </c>
      <c r="AF415" s="23"/>
      <c r="AG415" s="70">
        <f>AG414/AE414-1</f>
        <v>-3.5503884051925505E-2</v>
      </c>
      <c r="AH415" s="70">
        <f>AH414/AG414-1</f>
        <v>0.28378378378378377</v>
      </c>
      <c r="AI415" s="70">
        <f>AI414/AH414-1</f>
        <v>-0.25263157894736843</v>
      </c>
      <c r="AJ415" s="70">
        <f>AJ414/AI414-1</f>
        <v>1.4084507042253502E-2</v>
      </c>
      <c r="AK415" s="23"/>
      <c r="AL415" s="70">
        <v>-0.13888888888888884</v>
      </c>
      <c r="AM415" s="70">
        <v>0.19354838709677424</v>
      </c>
      <c r="AN415" s="70">
        <v>-6.7567567567567544E-2</v>
      </c>
      <c r="AO415" s="70">
        <v>0.39130434782608692</v>
      </c>
      <c r="AP415" s="23"/>
      <c r="AQ415" s="70">
        <v>-0.48958333333333337</v>
      </c>
      <c r="AR415" s="70">
        <v>0.40816326530612246</v>
      </c>
      <c r="AS415" s="70">
        <v>-5.7971014492753659E-2</v>
      </c>
      <c r="AT415" s="70">
        <v>0.32307692307692304</v>
      </c>
      <c r="AU415" s="23"/>
      <c r="AV415" s="70">
        <v>-0.39534883720930236</v>
      </c>
      <c r="AW415" s="70">
        <v>0.32692307692307687</v>
      </c>
      <c r="AX415" s="70">
        <v>7.2463768115942129E-2</v>
      </c>
      <c r="AY415" s="70">
        <v>0.10810810810810811</v>
      </c>
      <c r="AZ415" s="23"/>
      <c r="BA415" s="70">
        <v>-0.18292682926829273</v>
      </c>
      <c r="BB415" s="70">
        <v>-0.19402985074626866</v>
      </c>
      <c r="BC415" s="70">
        <v>0.35185185185185186</v>
      </c>
      <c r="BD415" s="70">
        <v>0.45205479452054798</v>
      </c>
      <c r="BE415" s="23"/>
      <c r="BF415" s="70">
        <v>-0.47169811320754718</v>
      </c>
      <c r="BG415" s="70">
        <v>-0.1428571428571429</v>
      </c>
      <c r="BH415" s="70">
        <v>0.33333333333333326</v>
      </c>
    </row>
    <row r="416" spans="1:60">
      <c r="A416" s="82" t="s">
        <v>8</v>
      </c>
      <c r="B416" s="23"/>
      <c r="C416" s="71"/>
      <c r="D416" s="71"/>
      <c r="E416" s="71"/>
      <c r="F416" s="71"/>
      <c r="G416" s="23">
        <f t="shared" ref="G416:N416" si="367">G414/B414-1</f>
        <v>0.76328564955660561</v>
      </c>
      <c r="H416" s="71">
        <f t="shared" si="367"/>
        <v>10.107874434690077</v>
      </c>
      <c r="I416" s="71">
        <f t="shared" si="367"/>
        <v>0.62356175142352255</v>
      </c>
      <c r="J416" s="71">
        <f t="shared" si="367"/>
        <v>1.5552383939774153</v>
      </c>
      <c r="K416" s="71">
        <f t="shared" si="367"/>
        <v>-1.6534916162914581E-2</v>
      </c>
      <c r="L416" s="23">
        <f t="shared" si="367"/>
        <v>0.95518397513551889</v>
      </c>
      <c r="M416" s="71">
        <f t="shared" si="367"/>
        <v>-0.28774144104228294</v>
      </c>
      <c r="N416" s="71">
        <f t="shared" si="367"/>
        <v>-0.20354827786377716</v>
      </c>
      <c r="O416" s="71">
        <f t="shared" ref="O416:Y416" si="368">O414/J414-1</f>
        <v>-8.3843802555824243E-2</v>
      </c>
      <c r="P416" s="71">
        <f t="shared" si="368"/>
        <v>0.2530837586393917</v>
      </c>
      <c r="Q416" s="23">
        <f t="shared" si="368"/>
        <v>-9.2284247121886764E-2</v>
      </c>
      <c r="R416" s="71">
        <f t="shared" si="368"/>
        <v>-0.29391392064559518</v>
      </c>
      <c r="S416" s="71">
        <f t="shared" si="368"/>
        <v>3.4301592845103812E-2</v>
      </c>
      <c r="T416" s="71">
        <f t="shared" si="368"/>
        <v>-0.23021264621939952</v>
      </c>
      <c r="U416" s="71">
        <f t="shared" si="368"/>
        <v>-0.15736671549695924</v>
      </c>
      <c r="V416" s="23">
        <f t="shared" si="368"/>
        <v>-0.16059239647540646</v>
      </c>
      <c r="W416" s="71">
        <f t="shared" si="368"/>
        <v>0.39094718796133154</v>
      </c>
      <c r="X416" s="71">
        <f t="shared" si="368"/>
        <v>-5.7328674613894015E-2</v>
      </c>
      <c r="Y416" s="71">
        <f t="shared" si="368"/>
        <v>9.8973020017406377E-2</v>
      </c>
      <c r="Z416" s="71">
        <v>0.13689284585396622</v>
      </c>
      <c r="AA416" s="23">
        <f t="shared" ref="AA416:AI416" si="369">AA414/V414-1</f>
        <v>0.11743301627979541</v>
      </c>
      <c r="AB416" s="71">
        <f t="shared" si="369"/>
        <v>-1.7974219833266636E-3</v>
      </c>
      <c r="AC416" s="71">
        <f t="shared" si="369"/>
        <v>0.2645652614038092</v>
      </c>
      <c r="AD416" s="71">
        <f t="shared" si="369"/>
        <v>0.13231753674607205</v>
      </c>
      <c r="AE416" s="71">
        <f t="shared" si="369"/>
        <v>-0.11118834132666111</v>
      </c>
      <c r="AF416" s="23">
        <f t="shared" si="369"/>
        <v>5.7478150290716901E-2</v>
      </c>
      <c r="AG416" s="71">
        <f t="shared" si="369"/>
        <v>0.26903553299492367</v>
      </c>
      <c r="AH416" s="71">
        <f t="shared" si="369"/>
        <v>0.16996514735403156</v>
      </c>
      <c r="AI416" s="71">
        <f t="shared" si="369"/>
        <v>-6.8541054692963232E-3</v>
      </c>
      <c r="AJ416" s="71">
        <f t="shared" ref="AJ416" si="370">AJ414/AE414-1</f>
        <v>-6.1571346645116765E-2</v>
      </c>
      <c r="AK416" s="23">
        <v>8.4368754887479414E-2</v>
      </c>
      <c r="AL416" s="71">
        <v>-0.16216216216216217</v>
      </c>
      <c r="AM416" s="71">
        <v>-0.22105263157894739</v>
      </c>
      <c r="AN416" s="71">
        <v>-2.8169014084507005E-2</v>
      </c>
      <c r="AO416" s="71">
        <v>0.33333333333333326</v>
      </c>
      <c r="AP416" s="23">
        <v>-3.5256410256410242E-2</v>
      </c>
      <c r="AQ416" s="71">
        <v>-0.20967741935483875</v>
      </c>
      <c r="AR416" s="71">
        <v>-6.7567567567567544E-2</v>
      </c>
      <c r="AS416" s="71">
        <v>-5.7971014492753659E-2</v>
      </c>
      <c r="AT416" s="71">
        <v>-0.10416666666666663</v>
      </c>
      <c r="AU416" s="23">
        <v>-0.10631229235880402</v>
      </c>
      <c r="AV416" s="71">
        <v>6.1224489795918435E-2</v>
      </c>
      <c r="AW416" s="71">
        <v>0</v>
      </c>
      <c r="AX416" s="71">
        <v>0.13846153846153841</v>
      </c>
      <c r="AY416" s="71">
        <v>-4.6511627906976716E-2</v>
      </c>
      <c r="AZ416" s="23">
        <v>2.9739776951672958E-2</v>
      </c>
      <c r="BA416" s="71">
        <v>0.28846153846153855</v>
      </c>
      <c r="BB416" s="71">
        <v>-0.21739130434782605</v>
      </c>
      <c r="BC416" s="71">
        <v>-1.3513513513513487E-2</v>
      </c>
      <c r="BD416" s="71">
        <v>0.29268292682926833</v>
      </c>
      <c r="BE416" s="23">
        <v>8.3032490974729312E-2</v>
      </c>
      <c r="BF416" s="71">
        <v>-0.16417910447761197</v>
      </c>
      <c r="BG416" s="71">
        <v>-0.11111111111111116</v>
      </c>
      <c r="BH416" s="71">
        <v>-0.12328767123287676</v>
      </c>
    </row>
    <row r="417" spans="1:60" hidden="1">
      <c r="A417" s="67" t="s">
        <v>66</v>
      </c>
      <c r="B417" s="36">
        <f>90+41</f>
        <v>131</v>
      </c>
      <c r="C417" s="68">
        <v>27</v>
      </c>
      <c r="D417" s="68">
        <v>50</v>
      </c>
      <c r="E417" s="68">
        <v>14</v>
      </c>
      <c r="F417" s="68">
        <f>G417-E417-D417-C417</f>
        <v>29</v>
      </c>
      <c r="G417" s="36">
        <v>120</v>
      </c>
      <c r="H417" s="68">
        <v>20</v>
      </c>
      <c r="I417" s="68">
        <v>63</v>
      </c>
      <c r="J417" s="68">
        <v>29</v>
      </c>
      <c r="K417" s="68">
        <f>L417-J417-I417-H417</f>
        <v>38</v>
      </c>
      <c r="L417" s="36">
        <v>150</v>
      </c>
      <c r="M417" s="68">
        <v>20</v>
      </c>
      <c r="N417" s="68">
        <v>43</v>
      </c>
      <c r="O417" s="68">
        <v>29</v>
      </c>
      <c r="P417" s="68">
        <v>69</v>
      </c>
      <c r="Q417" s="36">
        <v>160</v>
      </c>
      <c r="R417" s="68">
        <v>49</v>
      </c>
      <c r="S417" s="68">
        <v>71</v>
      </c>
      <c r="T417" s="68">
        <v>85</v>
      </c>
      <c r="U417" s="68">
        <f>V417-T417-S417-R417</f>
        <v>80</v>
      </c>
      <c r="V417" s="36">
        <v>285</v>
      </c>
      <c r="W417" s="68">
        <v>81</v>
      </c>
      <c r="X417" s="68">
        <v>29</v>
      </c>
      <c r="Y417" s="68">
        <v>29</v>
      </c>
      <c r="Z417" s="68">
        <f>AA417-Y417-X417-W417</f>
        <v>30</v>
      </c>
      <c r="AA417" s="36">
        <v>169</v>
      </c>
      <c r="AB417" s="68">
        <v>26</v>
      </c>
      <c r="AC417" s="68">
        <v>39</v>
      </c>
      <c r="AD417" s="68">
        <v>16</v>
      </c>
      <c r="AE417" s="68">
        <v>25</v>
      </c>
      <c r="AF417" s="36">
        <f>AE417+AD417+AC417+AB417</f>
        <v>106</v>
      </c>
      <c r="AG417" s="68">
        <v>33</v>
      </c>
      <c r="AH417" s="68">
        <v>24</v>
      </c>
      <c r="AI417" s="68">
        <v>28</v>
      </c>
      <c r="AJ417" s="68">
        <f>AK417-AI417-AH417-AG417</f>
        <v>25</v>
      </c>
      <c r="AK417" s="36">
        <v>110</v>
      </c>
      <c r="AL417" s="68">
        <v>56</v>
      </c>
      <c r="AM417" s="68">
        <v>17</v>
      </c>
      <c r="AN417" s="68">
        <v>27</v>
      </c>
      <c r="AO417" s="68">
        <v>27</v>
      </c>
      <c r="AP417" s="36">
        <v>127</v>
      </c>
      <c r="AQ417" s="68">
        <v>45</v>
      </c>
      <c r="AR417" s="68">
        <v>35</v>
      </c>
      <c r="AS417" s="68">
        <v>20</v>
      </c>
      <c r="AT417" s="68"/>
      <c r="AU417" s="36"/>
      <c r="AV417" s="68"/>
      <c r="AW417" s="68"/>
      <c r="AX417" s="68"/>
      <c r="AY417" s="68"/>
      <c r="AZ417" s="36"/>
      <c r="BA417" s="68"/>
      <c r="BB417" s="68"/>
      <c r="BC417" s="68"/>
      <c r="BD417" s="68"/>
      <c r="BE417" s="36"/>
      <c r="BF417" s="68"/>
      <c r="BG417" s="68"/>
      <c r="BH417" s="68"/>
    </row>
    <row r="418" spans="1:60" hidden="1">
      <c r="A418" s="69" t="s">
        <v>7</v>
      </c>
      <c r="B418" s="23"/>
      <c r="C418" s="70"/>
      <c r="D418" s="70">
        <f>D417/C417-1</f>
        <v>0.85185185185185186</v>
      </c>
      <c r="E418" s="70">
        <f>E417/D417-1</f>
        <v>-0.72</v>
      </c>
      <c r="F418" s="70">
        <f>F417/E417-1</f>
        <v>1.0714285714285716</v>
      </c>
      <c r="G418" s="23"/>
      <c r="H418" s="70">
        <f>H417/F417-1</f>
        <v>-0.31034482758620685</v>
      </c>
      <c r="I418" s="70">
        <f>I417/H417-1</f>
        <v>2.15</v>
      </c>
      <c r="J418" s="70">
        <f>J417/I417-1</f>
        <v>-0.53968253968253976</v>
      </c>
      <c r="K418" s="70">
        <f>K417/J417-1</f>
        <v>0.31034482758620685</v>
      </c>
      <c r="L418" s="23"/>
      <c r="M418" s="70">
        <f>M417/K417-1</f>
        <v>-0.47368421052631582</v>
      </c>
      <c r="N418" s="70">
        <f>N417/M417-1</f>
        <v>1.1499999999999999</v>
      </c>
      <c r="O418" s="70">
        <f>O417/N417-1</f>
        <v>-0.32558139534883723</v>
      </c>
      <c r="P418" s="70">
        <f>P417/O417-1</f>
        <v>1.3793103448275863</v>
      </c>
      <c r="Q418" s="23"/>
      <c r="R418" s="70">
        <f>R417/P417-1</f>
        <v>-0.28985507246376807</v>
      </c>
      <c r="S418" s="70">
        <f>S417/R417-1</f>
        <v>0.44897959183673475</v>
      </c>
      <c r="T418" s="70">
        <f>T417/S417-1</f>
        <v>0.19718309859154926</v>
      </c>
      <c r="U418" s="70">
        <f>U417/T417-1</f>
        <v>-5.8823529411764719E-2</v>
      </c>
      <c r="V418" s="23"/>
      <c r="W418" s="70">
        <f>W417/U417-1</f>
        <v>1.2499999999999956E-2</v>
      </c>
      <c r="X418" s="70">
        <f>X417/W417-1</f>
        <v>-0.64197530864197527</v>
      </c>
      <c r="Y418" s="70">
        <f>Y417/X417-1</f>
        <v>0</v>
      </c>
      <c r="Z418" s="70">
        <v>3.4482758620689724E-2</v>
      </c>
      <c r="AA418" s="23"/>
      <c r="AB418" s="70">
        <f>AB417/Z417-1</f>
        <v>-0.1333333333333333</v>
      </c>
      <c r="AC418" s="70">
        <f>AC417/AB417-1</f>
        <v>0.5</v>
      </c>
      <c r="AD418" s="70">
        <f>AD417/AC417-1</f>
        <v>-0.58974358974358976</v>
      </c>
      <c r="AE418" s="70">
        <f>AE417/AD417-1</f>
        <v>0.5625</v>
      </c>
      <c r="AF418" s="23"/>
      <c r="AG418" s="70">
        <f>AG417/AE417-1</f>
        <v>0.32000000000000006</v>
      </c>
      <c r="AH418" s="70">
        <f>AH417/AG417-1</f>
        <v>-0.27272727272727271</v>
      </c>
      <c r="AI418" s="70">
        <f>AI417/AH417-1</f>
        <v>0.16666666666666674</v>
      </c>
      <c r="AJ418" s="70">
        <f>AJ417/AI417-1</f>
        <v>-0.1071428571428571</v>
      </c>
      <c r="AK418" s="23"/>
      <c r="AL418" s="70">
        <v>1.2400000000000002</v>
      </c>
      <c r="AM418" s="70">
        <v>-0.6964285714285714</v>
      </c>
      <c r="AN418" s="70">
        <v>0.58823529411764697</v>
      </c>
      <c r="AO418" s="70">
        <v>0</v>
      </c>
      <c r="AP418" s="23"/>
      <c r="AQ418" s="70">
        <v>0.66666666666666674</v>
      </c>
      <c r="AR418" s="70">
        <v>-0.22222222222222221</v>
      </c>
      <c r="AS418" s="70">
        <v>-0.4285714285714286</v>
      </c>
      <c r="AT418" s="70"/>
      <c r="AU418" s="23"/>
      <c r="AV418" s="70"/>
      <c r="AW418" s="70"/>
      <c r="AX418" s="70"/>
      <c r="AY418" s="70"/>
      <c r="AZ418" s="23"/>
      <c r="BA418" s="70"/>
      <c r="BB418" s="70"/>
      <c r="BC418" s="70"/>
      <c r="BD418" s="70"/>
      <c r="BE418" s="23"/>
      <c r="BF418" s="70"/>
      <c r="BG418" s="70"/>
      <c r="BH418" s="70"/>
    </row>
    <row r="419" spans="1:60" hidden="1">
      <c r="A419" s="69" t="s">
        <v>8</v>
      </c>
      <c r="B419" s="23"/>
      <c r="C419" s="71"/>
      <c r="D419" s="71"/>
      <c r="E419" s="71"/>
      <c r="F419" s="71"/>
      <c r="G419" s="23">
        <f t="shared" ref="G419:N419" si="371">G417/B417-1</f>
        <v>-8.3969465648854991E-2</v>
      </c>
      <c r="H419" s="71">
        <f t="shared" si="371"/>
        <v>-0.2592592592592593</v>
      </c>
      <c r="I419" s="71">
        <f t="shared" si="371"/>
        <v>0.26</v>
      </c>
      <c r="J419" s="71">
        <f t="shared" si="371"/>
        <v>1.0714285714285716</v>
      </c>
      <c r="K419" s="71">
        <f t="shared" si="371"/>
        <v>0.31034482758620685</v>
      </c>
      <c r="L419" s="23">
        <f t="shared" si="371"/>
        <v>0.25</v>
      </c>
      <c r="M419" s="71">
        <f t="shared" si="371"/>
        <v>0</v>
      </c>
      <c r="N419" s="71">
        <f t="shared" si="371"/>
        <v>-0.31746031746031744</v>
      </c>
      <c r="O419" s="71">
        <f t="shared" ref="O419:Y419" si="372">O417/J417-1</f>
        <v>0</v>
      </c>
      <c r="P419" s="71">
        <f t="shared" si="372"/>
        <v>0.81578947368421062</v>
      </c>
      <c r="Q419" s="23">
        <f t="shared" si="372"/>
        <v>6.6666666666666652E-2</v>
      </c>
      <c r="R419" s="71">
        <f t="shared" si="372"/>
        <v>1.4500000000000002</v>
      </c>
      <c r="S419" s="71">
        <f t="shared" si="372"/>
        <v>0.65116279069767447</v>
      </c>
      <c r="T419" s="71">
        <f t="shared" si="372"/>
        <v>1.9310344827586206</v>
      </c>
      <c r="U419" s="71">
        <f t="shared" si="372"/>
        <v>0.15942028985507251</v>
      </c>
      <c r="V419" s="23">
        <f t="shared" si="372"/>
        <v>0.78125</v>
      </c>
      <c r="W419" s="71">
        <f t="shared" si="372"/>
        <v>0.65306122448979598</v>
      </c>
      <c r="X419" s="71">
        <f t="shared" si="372"/>
        <v>-0.59154929577464788</v>
      </c>
      <c r="Y419" s="71">
        <f t="shared" si="372"/>
        <v>-0.6588235294117647</v>
      </c>
      <c r="Z419" s="71">
        <v>-0.625</v>
      </c>
      <c r="AA419" s="23">
        <f t="shared" ref="AA419:AI419" si="373">AA417/V417-1</f>
        <v>-0.40701754385964917</v>
      </c>
      <c r="AB419" s="71">
        <f t="shared" si="373"/>
        <v>-0.67901234567901236</v>
      </c>
      <c r="AC419" s="71">
        <f t="shared" si="373"/>
        <v>0.34482758620689657</v>
      </c>
      <c r="AD419" s="71">
        <f t="shared" si="373"/>
        <v>-0.44827586206896552</v>
      </c>
      <c r="AE419" s="71">
        <f t="shared" si="373"/>
        <v>-0.16666666666666663</v>
      </c>
      <c r="AF419" s="23">
        <f t="shared" si="373"/>
        <v>-0.37278106508875741</v>
      </c>
      <c r="AG419" s="71">
        <f t="shared" si="373"/>
        <v>0.26923076923076916</v>
      </c>
      <c r="AH419" s="71">
        <f t="shared" si="373"/>
        <v>-0.38461538461538458</v>
      </c>
      <c r="AI419" s="71">
        <f t="shared" si="373"/>
        <v>0.75</v>
      </c>
      <c r="AJ419" s="71">
        <f t="shared" ref="AJ419" si="374">AJ417/AE417-1</f>
        <v>0</v>
      </c>
      <c r="AK419" s="23">
        <v>3.7735849056603765E-2</v>
      </c>
      <c r="AL419" s="71">
        <v>0.69696969696969702</v>
      </c>
      <c r="AM419" s="71">
        <v>-0.29166666666666663</v>
      </c>
      <c r="AN419" s="71">
        <v>-3.5714285714285698E-2</v>
      </c>
      <c r="AO419" s="71">
        <v>8.0000000000000071E-2</v>
      </c>
      <c r="AP419" s="23">
        <v>0.15454545454545454</v>
      </c>
      <c r="AQ419" s="71">
        <v>-0.1964285714285714</v>
      </c>
      <c r="AR419" s="71">
        <v>1.0588235294117645</v>
      </c>
      <c r="AS419" s="71">
        <v>-0.2592592592592593</v>
      </c>
      <c r="AT419" s="71"/>
      <c r="AU419" s="23"/>
      <c r="AV419" s="71"/>
      <c r="AW419" s="71"/>
      <c r="AX419" s="71"/>
      <c r="AY419" s="71"/>
      <c r="AZ419" s="23"/>
      <c r="BA419" s="71"/>
      <c r="BB419" s="71"/>
      <c r="BC419" s="71"/>
      <c r="BD419" s="71"/>
      <c r="BE419" s="23"/>
      <c r="BF419" s="71"/>
      <c r="BG419" s="71"/>
      <c r="BH419" s="71"/>
    </row>
    <row r="420" spans="1:60">
      <c r="A420" s="67" t="s">
        <v>65</v>
      </c>
      <c r="B420" s="36">
        <f>41.15+8.994+40.879+12.468</f>
        <v>103.491</v>
      </c>
      <c r="C420" s="68">
        <f>8.133+2.208+17.166</f>
        <v>27.506999999999998</v>
      </c>
      <c r="D420" s="68">
        <f>10.724+7.38+12.816</f>
        <v>30.92</v>
      </c>
      <c r="E420" s="68">
        <f>13.406+2.329+17.566</f>
        <v>33.301000000000002</v>
      </c>
      <c r="F420" s="68">
        <f>G420-E420-D420-C420</f>
        <v>26.93</v>
      </c>
      <c r="G420" s="36">
        <f>45.028+9.918+58.712+5</f>
        <v>118.658</v>
      </c>
      <c r="H420" s="68">
        <f>15.023+5.147+1.278</f>
        <v>21.448</v>
      </c>
      <c r="I420" s="68">
        <f>7.388+9.424+9.283</f>
        <v>26.094999999999999</v>
      </c>
      <c r="J420" s="68">
        <f>9.214+6.57+17.691</f>
        <v>33.475000000000001</v>
      </c>
      <c r="K420" s="68">
        <f>L420-J420-I420-H420</f>
        <v>38.912000000000013</v>
      </c>
      <c r="L420" s="36">
        <f>39.192+27.4+53.338</f>
        <v>119.93</v>
      </c>
      <c r="M420" s="68">
        <f>6.574+8.15+22.007</f>
        <v>36.731000000000002</v>
      </c>
      <c r="N420" s="68">
        <f>(29.638+15.235+24.624)-(6.574+8.15+22.007)</f>
        <v>32.765999999999998</v>
      </c>
      <c r="O420" s="68">
        <f>18.586+1.753+9.684</f>
        <v>30.022999999999996</v>
      </c>
      <c r="P420" s="68">
        <f>Q420-O420-N420-M420</f>
        <v>80.244000000000028</v>
      </c>
      <c r="Q420" s="36">
        <f>101.972+33.208+44.584</f>
        <v>179.76400000000001</v>
      </c>
      <c r="R420" s="68">
        <f>25.962+19.629+0.432</f>
        <v>46.023000000000003</v>
      </c>
      <c r="S420" s="68">
        <f>31.759+14.805+0.408</f>
        <v>46.972000000000001</v>
      </c>
      <c r="T420" s="68">
        <f>74.585+16.26+0.829</f>
        <v>91.673999999999992</v>
      </c>
      <c r="U420" s="68">
        <f>V420-T420-S420-R420</f>
        <v>103.74900000000002</v>
      </c>
      <c r="V420" s="36">
        <f>209.208+57.026+22.184</f>
        <v>288.41800000000001</v>
      </c>
      <c r="W420" s="68">
        <f>53.395+13.741+3.912</f>
        <v>71.048000000000002</v>
      </c>
      <c r="X420" s="68">
        <f>16.256+12.968+6.548</f>
        <v>35.771999999999998</v>
      </c>
      <c r="Y420" s="68">
        <f>15.176+11.446+3.054</f>
        <v>29.675999999999998</v>
      </c>
      <c r="Z420" s="68">
        <f>AA420-Y420-X420-W420</f>
        <v>38.865000000000009</v>
      </c>
      <c r="AA420" s="36">
        <f>113.803+54.321+7.237</f>
        <v>175.36099999999999</v>
      </c>
      <c r="AB420" s="68">
        <f>16.608+11.749+2.527</f>
        <v>30.884</v>
      </c>
      <c r="AC420" s="68">
        <f>15.364+9.196+3.058</f>
        <v>27.618000000000002</v>
      </c>
      <c r="AD420" s="68">
        <f>10.822+14.215</f>
        <v>25.036999999999999</v>
      </c>
      <c r="AE420" s="68">
        <f>AF420-AD420-AC420-AB420</f>
        <v>20.976000000000006</v>
      </c>
      <c r="AF420" s="36">
        <f>50.18+44.784+9.551</f>
        <v>104.515</v>
      </c>
      <c r="AG420" s="68">
        <f>14.362+9.277+7.122</f>
        <v>30.760999999999999</v>
      </c>
      <c r="AH420" s="68">
        <f>14.573+9.287</f>
        <v>23.86</v>
      </c>
      <c r="AI420" s="68">
        <f>10.98+9.355+7.009</f>
        <v>27.344000000000001</v>
      </c>
      <c r="AJ420" s="68">
        <f>AK420-AI420-AH420-AG420</f>
        <v>28.035000000000007</v>
      </c>
      <c r="AK420" s="36">
        <v>110</v>
      </c>
      <c r="AL420" s="68">
        <v>52.957000000000001</v>
      </c>
      <c r="AM420" s="68">
        <v>25.783999999999999</v>
      </c>
      <c r="AN420" s="68">
        <v>28.239000000000001</v>
      </c>
      <c r="AO420" s="68">
        <v>21.020000000000003</v>
      </c>
      <c r="AP420" s="36">
        <v>128</v>
      </c>
      <c r="AQ420" s="68">
        <v>37</v>
      </c>
      <c r="AR420" s="68">
        <v>33</v>
      </c>
      <c r="AS420" s="68">
        <v>24</v>
      </c>
      <c r="AT420" s="68">
        <v>26</v>
      </c>
      <c r="AU420" s="36">
        <v>120</v>
      </c>
      <c r="AV420" s="68">
        <v>29</v>
      </c>
      <c r="AW420" s="68">
        <v>46</v>
      </c>
      <c r="AX420" s="68">
        <v>31</v>
      </c>
      <c r="AY420" s="68">
        <v>36</v>
      </c>
      <c r="AZ420" s="36">
        <v>142</v>
      </c>
      <c r="BA420" s="68">
        <v>31</v>
      </c>
      <c r="BB420" s="68">
        <v>44</v>
      </c>
      <c r="BC420" s="68">
        <v>27</v>
      </c>
      <c r="BD420" s="147">
        <v>25</v>
      </c>
      <c r="BE420" s="36">
        <v>127</v>
      </c>
      <c r="BF420" s="68">
        <v>33</v>
      </c>
      <c r="BG420" s="68">
        <v>34</v>
      </c>
      <c r="BH420" s="68">
        <v>40</v>
      </c>
    </row>
    <row r="421" spans="1:60">
      <c r="A421" s="69" t="s">
        <v>7</v>
      </c>
      <c r="B421" s="23"/>
      <c r="C421" s="70"/>
      <c r="D421" s="70">
        <f>D420/C420-1</f>
        <v>0.12407750754353453</v>
      </c>
      <c r="E421" s="70">
        <f>E420/D420-1</f>
        <v>7.7005174644243279E-2</v>
      </c>
      <c r="F421" s="70">
        <f>F420/E420-1</f>
        <v>-0.19131557610882566</v>
      </c>
      <c r="G421" s="23"/>
      <c r="H421" s="70">
        <f>H420/F420-1</f>
        <v>-0.20356479762346824</v>
      </c>
      <c r="I421" s="70">
        <f>I420/H420-1</f>
        <v>0.21666355837374107</v>
      </c>
      <c r="J421" s="70">
        <f>J420/I420-1</f>
        <v>0.28281279938685588</v>
      </c>
      <c r="K421" s="70">
        <f>K420/J420-1</f>
        <v>0.16241971620612428</v>
      </c>
      <c r="L421" s="23"/>
      <c r="M421" s="70">
        <f>M420/K420-1</f>
        <v>-5.6049547697368696E-2</v>
      </c>
      <c r="N421" s="70">
        <f>N420/M420-1</f>
        <v>-0.1079469657782256</v>
      </c>
      <c r="O421" s="70">
        <f>O420/N420-1</f>
        <v>-8.3714826344381432E-2</v>
      </c>
      <c r="P421" s="70">
        <f>P420/O420-1</f>
        <v>1.6727508909835804</v>
      </c>
      <c r="Q421" s="23"/>
      <c r="R421" s="70">
        <f>R420/P420-1</f>
        <v>-0.42646179153581587</v>
      </c>
      <c r="S421" s="70">
        <f>S420/R420-1</f>
        <v>2.0620124720248434E-2</v>
      </c>
      <c r="T421" s="70">
        <f>T420/S420-1</f>
        <v>0.95167333730733183</v>
      </c>
      <c r="U421" s="70">
        <f>U420/T420-1</f>
        <v>0.13171673538844209</v>
      </c>
      <c r="V421" s="23"/>
      <c r="W421" s="70">
        <f>W420/U420-1</f>
        <v>-0.31519339945445268</v>
      </c>
      <c r="X421" s="70">
        <f>X420/W420-1</f>
        <v>-0.49650940209435879</v>
      </c>
      <c r="Y421" s="70">
        <f>Y420/X420-1</f>
        <v>-0.17041261321704126</v>
      </c>
      <c r="Z421" s="70">
        <v>0.30964415689446056</v>
      </c>
      <c r="AA421" s="23"/>
      <c r="AB421" s="70">
        <f>AB420/Z420-1</f>
        <v>-0.20535185899909958</v>
      </c>
      <c r="AC421" s="70">
        <f>AC420/AB420-1</f>
        <v>-0.10575055044683324</v>
      </c>
      <c r="AD421" s="70">
        <f>AD420/AC420-1</f>
        <v>-9.3453544789630083E-2</v>
      </c>
      <c r="AE421" s="70">
        <f>AE420/AD420-1</f>
        <v>-0.16219994408275729</v>
      </c>
      <c r="AF421" s="23"/>
      <c r="AG421" s="70">
        <f>AG420/AE420-1</f>
        <v>0.46648550724637627</v>
      </c>
      <c r="AH421" s="70">
        <f>AH420/AG420-1</f>
        <v>-0.22434251162185881</v>
      </c>
      <c r="AI421" s="70">
        <f>AI420/AH420-1</f>
        <v>0.14601844090528093</v>
      </c>
      <c r="AJ421" s="70">
        <f>AJ420/AI420-1</f>
        <v>2.5270626097133153E-2</v>
      </c>
      <c r="AK421" s="23"/>
      <c r="AL421" s="70">
        <v>0.88896022828607046</v>
      </c>
      <c r="AM421" s="70">
        <v>-0.51311441358082976</v>
      </c>
      <c r="AN421" s="70">
        <v>9.5214086255041908E-2</v>
      </c>
      <c r="AO421" s="70">
        <v>-0.25563936400014153</v>
      </c>
      <c r="AP421" s="23"/>
      <c r="AQ421" s="70">
        <v>0.76022835394862009</v>
      </c>
      <c r="AR421" s="70">
        <v>-0.10810810810810811</v>
      </c>
      <c r="AS421" s="70">
        <v>-0.27272727272727271</v>
      </c>
      <c r="AT421" s="70">
        <v>8.3333333333333259E-2</v>
      </c>
      <c r="AU421" s="23"/>
      <c r="AV421" s="70">
        <v>0.11538461538461542</v>
      </c>
      <c r="AW421" s="70">
        <v>0.5862068965517242</v>
      </c>
      <c r="AX421" s="70">
        <v>-0.32608695652173914</v>
      </c>
      <c r="AY421" s="70">
        <v>0.16129032258064524</v>
      </c>
      <c r="AZ421" s="23"/>
      <c r="BA421" s="70">
        <v>-0.13888888888888884</v>
      </c>
      <c r="BB421" s="70">
        <v>0.41935483870967749</v>
      </c>
      <c r="BC421" s="70">
        <v>-0.38636363636363635</v>
      </c>
      <c r="BD421" s="70">
        <v>-7.407407407407407E-2</v>
      </c>
      <c r="BE421" s="23"/>
      <c r="BF421" s="70">
        <v>0.32000000000000006</v>
      </c>
      <c r="BG421" s="70">
        <v>3.0303030303030276E-2</v>
      </c>
      <c r="BH421" s="70">
        <v>0.17647058823529416</v>
      </c>
    </row>
    <row r="422" spans="1:60">
      <c r="A422" s="69" t="s">
        <v>8</v>
      </c>
      <c r="B422" s="23"/>
      <c r="C422" s="71"/>
      <c r="D422" s="71"/>
      <c r="E422" s="71"/>
      <c r="F422" s="71"/>
      <c r="G422" s="23">
        <f t="shared" ref="G422:N422" si="375">G420/B420-1</f>
        <v>0.14655380661120287</v>
      </c>
      <c r="H422" s="71">
        <f t="shared" si="375"/>
        <v>-0.2202712036936052</v>
      </c>
      <c r="I422" s="71">
        <f t="shared" si="375"/>
        <v>-0.15604786545924976</v>
      </c>
      <c r="J422" s="71">
        <f t="shared" si="375"/>
        <v>5.2250683162666789E-3</v>
      </c>
      <c r="K422" s="71">
        <f t="shared" si="375"/>
        <v>0.44493130337913156</v>
      </c>
      <c r="L422" s="23">
        <f t="shared" si="375"/>
        <v>1.0719884036474614E-2</v>
      </c>
      <c r="M422" s="71">
        <f t="shared" si="375"/>
        <v>0.71256061171204776</v>
      </c>
      <c r="N422" s="71">
        <f t="shared" si="375"/>
        <v>0.25564284345660093</v>
      </c>
      <c r="O422" s="71">
        <f t="shared" ref="O422:Y422" si="376">O420/J420-1</f>
        <v>-0.10312173263629587</v>
      </c>
      <c r="P422" s="71">
        <f t="shared" si="376"/>
        <v>1.0621916118421053</v>
      </c>
      <c r="Q422" s="23">
        <f t="shared" si="376"/>
        <v>0.49890769615609099</v>
      </c>
      <c r="R422" s="71">
        <f t="shared" si="376"/>
        <v>0.25297432686286792</v>
      </c>
      <c r="S422" s="71">
        <f t="shared" si="376"/>
        <v>0.43355917719587378</v>
      </c>
      <c r="T422" s="71">
        <f t="shared" si="376"/>
        <v>2.0534590147553544</v>
      </c>
      <c r="U422" s="71">
        <f t="shared" si="376"/>
        <v>0.29291909675489736</v>
      </c>
      <c r="V422" s="23">
        <f t="shared" si="376"/>
        <v>0.6044258027191205</v>
      </c>
      <c r="W422" s="71">
        <f t="shared" si="376"/>
        <v>0.5437498641983356</v>
      </c>
      <c r="X422" s="71">
        <f t="shared" si="376"/>
        <v>-0.23843992165545436</v>
      </c>
      <c r="Y422" s="71">
        <f t="shared" si="376"/>
        <v>-0.67628771516460495</v>
      </c>
      <c r="Z422" s="71">
        <v>-0.62539397970100918</v>
      </c>
      <c r="AA422" s="23">
        <f t="shared" ref="AA422:AI422" si="377">AA420/V420-1</f>
        <v>-0.39199009770541371</v>
      </c>
      <c r="AB422" s="71">
        <f t="shared" si="377"/>
        <v>-0.5653079608152235</v>
      </c>
      <c r="AC422" s="71">
        <f t="shared" si="377"/>
        <v>-0.22794364307279424</v>
      </c>
      <c r="AD422" s="71">
        <f t="shared" si="377"/>
        <v>-0.15632160668553707</v>
      </c>
      <c r="AE422" s="71">
        <f t="shared" si="377"/>
        <v>-0.46028560401389418</v>
      </c>
      <c r="AF422" s="23">
        <f t="shared" si="377"/>
        <v>-0.40400088959346714</v>
      </c>
      <c r="AG422" s="71">
        <f t="shared" si="377"/>
        <v>-3.9826447351379857E-3</v>
      </c>
      <c r="AH422" s="71">
        <f t="shared" si="377"/>
        <v>-0.13607067854297927</v>
      </c>
      <c r="AI422" s="71">
        <f t="shared" si="377"/>
        <v>9.2143627431401587E-2</v>
      </c>
      <c r="AJ422" s="71">
        <f t="shared" ref="AJ422" si="378">AJ420/AE420-1</f>
        <v>0.33652745995423339</v>
      </c>
      <c r="AK422" s="23">
        <v>5.2480505190642512E-2</v>
      </c>
      <c r="AL422" s="71">
        <v>0.7215630181073438</v>
      </c>
      <c r="AM422" s="71">
        <v>8.0637049455155152E-2</v>
      </c>
      <c r="AN422" s="71">
        <v>3.2731129315389129E-2</v>
      </c>
      <c r="AO422" s="71">
        <v>-0.25022293561619413</v>
      </c>
      <c r="AP422" s="23">
        <v>0.16363636363636358</v>
      </c>
      <c r="AQ422" s="71">
        <v>-0.30131993881828656</v>
      </c>
      <c r="AR422" s="71">
        <v>0.27986348122866889</v>
      </c>
      <c r="AS422" s="71">
        <v>-0.15011154785934344</v>
      </c>
      <c r="AT422" s="71">
        <v>0.23691722169362484</v>
      </c>
      <c r="AU422" s="23">
        <v>-6.25E-2</v>
      </c>
      <c r="AV422" s="71">
        <v>-0.21621621621621623</v>
      </c>
      <c r="AW422" s="71">
        <v>0.39393939393939403</v>
      </c>
      <c r="AX422" s="71">
        <v>0.29166666666666674</v>
      </c>
      <c r="AY422" s="71">
        <v>0.38461538461538458</v>
      </c>
      <c r="AZ422" s="23">
        <v>0.18333333333333335</v>
      </c>
      <c r="BA422" s="71">
        <v>6.8965517241379226E-2</v>
      </c>
      <c r="BB422" s="71">
        <v>-4.3478260869565188E-2</v>
      </c>
      <c r="BC422" s="71">
        <v>-0.12903225806451613</v>
      </c>
      <c r="BD422" s="71">
        <v>-0.30555555555555558</v>
      </c>
      <c r="BE422" s="23">
        <v>-0.10563380281690138</v>
      </c>
      <c r="BF422" s="71">
        <v>6.4516129032258007E-2</v>
      </c>
      <c r="BG422" s="71">
        <v>-0.22727272727272729</v>
      </c>
      <c r="BH422" s="71">
        <v>0.4814814814814814</v>
      </c>
    </row>
    <row r="423" spans="1:60" s="35" customFormat="1" ht="15.6">
      <c r="A423" s="67" t="s">
        <v>64</v>
      </c>
      <c r="B423" s="36">
        <f>B420-3.926</f>
        <v>99.564999999999998</v>
      </c>
      <c r="C423" s="68">
        <f>8.133+2.208+17.166</f>
        <v>27.506999999999998</v>
      </c>
      <c r="D423" s="68">
        <f>10.724+7.38+12.816</f>
        <v>30.92</v>
      </c>
      <c r="E423" s="68">
        <f>E420</f>
        <v>33.301000000000002</v>
      </c>
      <c r="F423" s="68">
        <f>G423-E423-D423-C423</f>
        <v>26.417999999999999</v>
      </c>
      <c r="G423" s="36">
        <f>G420-0.512</f>
        <v>118.146</v>
      </c>
      <c r="H423" s="68">
        <f>H420-0.107</f>
        <v>21.341000000000001</v>
      </c>
      <c r="I423" s="68">
        <f>I420-0.045</f>
        <v>26.049999999999997</v>
      </c>
      <c r="J423" s="68">
        <f>J420</f>
        <v>33.475000000000001</v>
      </c>
      <c r="K423" s="68">
        <f>L423-J423-I423-H423</f>
        <v>38.908000000000008</v>
      </c>
      <c r="L423" s="36">
        <f>L420-0.156</f>
        <v>119.774</v>
      </c>
      <c r="M423" s="68">
        <f>M420-0.021</f>
        <v>36.71</v>
      </c>
      <c r="N423" s="68">
        <f>N420</f>
        <v>32.765999999999998</v>
      </c>
      <c r="O423" s="68">
        <f>O420-0.101</f>
        <v>29.921999999999997</v>
      </c>
      <c r="P423" s="68">
        <f>Q423-O423-N423-M423</f>
        <v>80.232000000000028</v>
      </c>
      <c r="Q423" s="36">
        <f>Q420-0.134</f>
        <v>179.63000000000002</v>
      </c>
      <c r="R423" s="68">
        <f>R420-0.256</f>
        <v>45.767000000000003</v>
      </c>
      <c r="S423" s="68">
        <f>S420</f>
        <v>46.972000000000001</v>
      </c>
      <c r="T423" s="68">
        <f>T420-0.097</f>
        <v>91.576999999999998</v>
      </c>
      <c r="U423" s="68">
        <f>V423-T423-S423-R423</f>
        <v>103.32200000000003</v>
      </c>
      <c r="V423" s="36">
        <f>V420-0.78</f>
        <v>287.63800000000003</v>
      </c>
      <c r="W423" s="68">
        <f>W420-0.422</f>
        <v>70.626000000000005</v>
      </c>
      <c r="X423" s="68">
        <f>X420-0.121</f>
        <v>35.650999999999996</v>
      </c>
      <c r="Y423" s="68">
        <f>Y420-1.073</f>
        <v>28.602999999999998</v>
      </c>
      <c r="Z423" s="68">
        <f>AA423-Y423-X423-W423</f>
        <v>38.155999999999992</v>
      </c>
      <c r="AA423" s="36">
        <f>AA420-2.325</f>
        <v>173.036</v>
      </c>
      <c r="AB423" s="68">
        <f>AB420-0.173</f>
        <v>30.711000000000002</v>
      </c>
      <c r="AC423" s="68">
        <f>AC420-0.475</f>
        <v>27.143000000000001</v>
      </c>
      <c r="AD423" s="68">
        <f>AD420-3.627</f>
        <v>21.41</v>
      </c>
      <c r="AE423" s="68">
        <f>AF423-AD423-AC423-AB423</f>
        <v>17.895000000000007</v>
      </c>
      <c r="AF423" s="36">
        <f>AF420-7.356</f>
        <v>97.159000000000006</v>
      </c>
      <c r="AG423" s="68">
        <v>31</v>
      </c>
      <c r="AH423" s="68">
        <v>23</v>
      </c>
      <c r="AI423" s="68">
        <v>27</v>
      </c>
      <c r="AJ423" s="68">
        <f>AK423-AI423-AH423-AG423</f>
        <v>27</v>
      </c>
      <c r="AK423" s="36">
        <v>108</v>
      </c>
      <c r="AL423" s="68">
        <v>53</v>
      </c>
      <c r="AM423" s="68">
        <v>26</v>
      </c>
      <c r="AN423" s="68">
        <v>28</v>
      </c>
      <c r="AO423" s="68">
        <v>21</v>
      </c>
      <c r="AP423" s="36">
        <v>128</v>
      </c>
      <c r="AQ423" s="68">
        <v>37</v>
      </c>
      <c r="AR423" s="68">
        <v>33</v>
      </c>
      <c r="AS423" s="68">
        <v>24</v>
      </c>
      <c r="AT423" s="68">
        <v>25</v>
      </c>
      <c r="AU423" s="36">
        <v>119</v>
      </c>
      <c r="AV423" s="68">
        <v>29</v>
      </c>
      <c r="AW423" s="68">
        <v>46</v>
      </c>
      <c r="AX423" s="68">
        <v>29</v>
      </c>
      <c r="AY423" s="68">
        <v>35</v>
      </c>
      <c r="AZ423" s="36">
        <v>139</v>
      </c>
      <c r="BA423" s="68">
        <v>31</v>
      </c>
      <c r="BB423" s="68">
        <v>44</v>
      </c>
      <c r="BC423" s="68">
        <v>26</v>
      </c>
      <c r="BD423" s="147">
        <v>25</v>
      </c>
      <c r="BE423" s="36">
        <v>126</v>
      </c>
      <c r="BF423" s="68">
        <v>33</v>
      </c>
      <c r="BG423" s="68">
        <v>34</v>
      </c>
      <c r="BH423" s="68">
        <v>40</v>
      </c>
    </row>
    <row r="424" spans="1:60">
      <c r="A424" s="69" t="s">
        <v>7</v>
      </c>
      <c r="B424" s="23"/>
      <c r="C424" s="70"/>
      <c r="D424" s="70">
        <f>D423/C423-1</f>
        <v>0.12407750754353453</v>
      </c>
      <c r="E424" s="70">
        <f>E423/D423-1</f>
        <v>7.7005174644243279E-2</v>
      </c>
      <c r="F424" s="70">
        <f>F423/E423-1</f>
        <v>-0.20669048977508186</v>
      </c>
      <c r="G424" s="23"/>
      <c r="H424" s="70">
        <f>H423/F423-1</f>
        <v>-0.19217957453251566</v>
      </c>
      <c r="I424" s="70">
        <f>I423/H423-1</f>
        <v>0.22065507708167353</v>
      </c>
      <c r="J424" s="70">
        <f>J423/I423-1</f>
        <v>0.28502879078694843</v>
      </c>
      <c r="K424" s="70">
        <f>K423/J423-1</f>
        <v>0.16230022404779709</v>
      </c>
      <c r="L424" s="23"/>
      <c r="M424" s="70">
        <f>M423/K423-1</f>
        <v>-5.6492238100133818E-2</v>
      </c>
      <c r="N424" s="70">
        <f>N423/M423-1</f>
        <v>-0.10743666575864896</v>
      </c>
      <c r="O424" s="70">
        <f>O423/N423-1</f>
        <v>-8.6797289873649541E-2</v>
      </c>
      <c r="P424" s="70">
        <f>P423/O423-1</f>
        <v>1.6813715660717876</v>
      </c>
      <c r="Q424" s="23"/>
      <c r="R424" s="70">
        <f>R423/P423-1</f>
        <v>-0.4295667564064215</v>
      </c>
      <c r="S424" s="70">
        <f>S423/R423-1</f>
        <v>2.6329014355321423E-2</v>
      </c>
      <c r="T424" s="70">
        <f>T423/S423-1</f>
        <v>0.94960827727156594</v>
      </c>
      <c r="U424" s="70">
        <f>U423/T423-1</f>
        <v>0.12825272721316527</v>
      </c>
      <c r="V424" s="23"/>
      <c r="W424" s="70">
        <f>W423/U423-1</f>
        <v>-0.31644761038307445</v>
      </c>
      <c r="X424" s="70">
        <f>X423/W423-1</f>
        <v>-0.49521422705519225</v>
      </c>
      <c r="Y424" s="70">
        <f>Y423/X423-1</f>
        <v>-0.19769431432498386</v>
      </c>
      <c r="Z424" s="70">
        <v>0.33398594553018901</v>
      </c>
      <c r="AA424" s="23"/>
      <c r="AB424" s="70">
        <f>AB423/Z423-1</f>
        <v>-0.1951200335464931</v>
      </c>
      <c r="AC424" s="70">
        <f>AC423/AB423-1</f>
        <v>-0.11617987040474098</v>
      </c>
      <c r="AD424" s="70">
        <f>AD423/AC423-1</f>
        <v>-0.21121467781748515</v>
      </c>
      <c r="AE424" s="70">
        <f>AE423/AD423-1</f>
        <v>-0.16417561886968679</v>
      </c>
      <c r="AF424" s="23"/>
      <c r="AG424" s="70">
        <f>AG423/AE423-1</f>
        <v>0.73232746577256158</v>
      </c>
      <c r="AH424" s="70">
        <f>AH423/AG423-1</f>
        <v>-0.25806451612903225</v>
      </c>
      <c r="AI424" s="70">
        <f>AI423/AH423-1</f>
        <v>0.17391304347826098</v>
      </c>
      <c r="AJ424" s="70">
        <f>AJ423/AI423-1</f>
        <v>0</v>
      </c>
      <c r="AK424" s="23"/>
      <c r="AL424" s="70">
        <v>0.96296296296296302</v>
      </c>
      <c r="AM424" s="70">
        <v>-0.50943396226415094</v>
      </c>
      <c r="AN424" s="70">
        <v>7.6923076923076872E-2</v>
      </c>
      <c r="AO424" s="70">
        <v>-0.25</v>
      </c>
      <c r="AP424" s="23"/>
      <c r="AQ424" s="70">
        <v>0.76190476190476186</v>
      </c>
      <c r="AR424" s="70">
        <v>-0.10810810810810811</v>
      </c>
      <c r="AS424" s="70">
        <v>-0.27272727272727271</v>
      </c>
      <c r="AT424" s="70">
        <v>4.1666666666666741E-2</v>
      </c>
      <c r="AU424" s="23"/>
      <c r="AV424" s="70">
        <v>0.15999999999999992</v>
      </c>
      <c r="AW424" s="70">
        <v>0.5862068965517242</v>
      </c>
      <c r="AX424" s="70">
        <v>-0.36956521739130432</v>
      </c>
      <c r="AY424" s="70">
        <v>0.2068965517241379</v>
      </c>
      <c r="AZ424" s="23"/>
      <c r="BA424" s="70">
        <v>-0.11428571428571432</v>
      </c>
      <c r="BB424" s="70">
        <v>0.41935483870967749</v>
      </c>
      <c r="BC424" s="70">
        <v>-0.40909090909090906</v>
      </c>
      <c r="BD424" s="70">
        <v>-3.8461538461538436E-2</v>
      </c>
      <c r="BE424" s="23"/>
      <c r="BF424" s="70">
        <v>0.32000000000000006</v>
      </c>
      <c r="BG424" s="70">
        <v>3.0303030303030276E-2</v>
      </c>
      <c r="BH424" s="70">
        <v>0.17647058823529416</v>
      </c>
    </row>
    <row r="425" spans="1:60">
      <c r="A425" s="69" t="s">
        <v>8</v>
      </c>
      <c r="B425" s="23"/>
      <c r="C425" s="71"/>
      <c r="D425" s="71"/>
      <c r="E425" s="71"/>
      <c r="F425" s="71"/>
      <c r="G425" s="23">
        <f t="shared" ref="G425:N425" si="379">G423/B423-1</f>
        <v>0.18662180485110236</v>
      </c>
      <c r="H425" s="71">
        <f t="shared" si="379"/>
        <v>-0.2241611226233321</v>
      </c>
      <c r="I425" s="71">
        <f t="shared" si="379"/>
        <v>-0.15750323415265211</v>
      </c>
      <c r="J425" s="71">
        <f t="shared" si="379"/>
        <v>5.2250683162666789E-3</v>
      </c>
      <c r="K425" s="71">
        <f t="shared" si="379"/>
        <v>0.4727837080778261</v>
      </c>
      <c r="L425" s="23">
        <f t="shared" si="379"/>
        <v>1.3779560882298147E-2</v>
      </c>
      <c r="M425" s="71">
        <f t="shared" si="379"/>
        <v>0.7201630663980132</v>
      </c>
      <c r="N425" s="71">
        <f t="shared" si="379"/>
        <v>0.25781190019193856</v>
      </c>
      <c r="O425" s="71">
        <f t="shared" ref="O425:Y425" si="380">O423/J423-1</f>
        <v>-0.10613890963405537</v>
      </c>
      <c r="P425" s="71">
        <f t="shared" si="380"/>
        <v>1.0620951989308116</v>
      </c>
      <c r="Q425" s="23">
        <f t="shared" si="380"/>
        <v>0.49974117922086614</v>
      </c>
      <c r="R425" s="71">
        <f t="shared" si="380"/>
        <v>0.24671751566330702</v>
      </c>
      <c r="S425" s="71">
        <f t="shared" si="380"/>
        <v>0.43355917719587378</v>
      </c>
      <c r="T425" s="71">
        <f t="shared" si="380"/>
        <v>2.0605240291424374</v>
      </c>
      <c r="U425" s="71">
        <f t="shared" si="380"/>
        <v>0.28779040781732967</v>
      </c>
      <c r="V425" s="23">
        <f t="shared" si="380"/>
        <v>0.60128040973111396</v>
      </c>
      <c r="W425" s="71">
        <f t="shared" si="380"/>
        <v>0.54316428867961641</v>
      </c>
      <c r="X425" s="71">
        <f t="shared" si="380"/>
        <v>-0.24101592438048214</v>
      </c>
      <c r="Y425" s="71">
        <f t="shared" si="380"/>
        <v>-0.68766174912914813</v>
      </c>
      <c r="Z425" s="71">
        <v>-0.63070788409051337</v>
      </c>
      <c r="AA425" s="23">
        <f t="shared" ref="AA425:AI425" si="381">AA423/V423-1</f>
        <v>-0.39842440845785332</v>
      </c>
      <c r="AB425" s="71">
        <f t="shared" si="381"/>
        <v>-0.56516013932546083</v>
      </c>
      <c r="AC425" s="71">
        <f t="shared" si="381"/>
        <v>-0.23864688227539188</v>
      </c>
      <c r="AD425" s="71">
        <f t="shared" si="381"/>
        <v>-0.25147711778484771</v>
      </c>
      <c r="AE425" s="71">
        <f t="shared" si="381"/>
        <v>-0.53100429814445937</v>
      </c>
      <c r="AF425" s="23">
        <f t="shared" si="381"/>
        <v>-0.43850412630897617</v>
      </c>
      <c r="AG425" s="71">
        <f t="shared" si="381"/>
        <v>9.4103090098009989E-3</v>
      </c>
      <c r="AH425" s="71">
        <f t="shared" si="381"/>
        <v>-0.15263603875769072</v>
      </c>
      <c r="AI425" s="71">
        <f t="shared" si="381"/>
        <v>0.26109294722092469</v>
      </c>
      <c r="AJ425" s="71">
        <f t="shared" ref="AJ425" si="382">AJ423/AE423-1</f>
        <v>0.50880134115674713</v>
      </c>
      <c r="AK425" s="23">
        <v>0.11157998744326303</v>
      </c>
      <c r="AL425" s="71">
        <v>0.70967741935483875</v>
      </c>
      <c r="AM425" s="71">
        <v>0.13043478260869557</v>
      </c>
      <c r="AN425" s="71">
        <v>3.7037037037036979E-2</v>
      </c>
      <c r="AO425" s="71">
        <v>-0.22222222222222221</v>
      </c>
      <c r="AP425" s="23">
        <v>0.18518518518518512</v>
      </c>
      <c r="AQ425" s="71">
        <v>-0.30188679245283023</v>
      </c>
      <c r="AR425" s="71">
        <v>0.26923076923076916</v>
      </c>
      <c r="AS425" s="71">
        <v>-0.1428571428571429</v>
      </c>
      <c r="AT425" s="71">
        <v>0.19047619047619047</v>
      </c>
      <c r="AU425" s="23">
        <v>-7.03125E-2</v>
      </c>
      <c r="AV425" s="71">
        <v>-0.21621621621621623</v>
      </c>
      <c r="AW425" s="71">
        <v>0.39393939393939403</v>
      </c>
      <c r="AX425" s="71">
        <v>0.20833333333333326</v>
      </c>
      <c r="AY425" s="71">
        <v>0.39999999999999991</v>
      </c>
      <c r="AZ425" s="23">
        <v>0.16806722689075637</v>
      </c>
      <c r="BA425" s="71">
        <v>6.8965517241379226E-2</v>
      </c>
      <c r="BB425" s="71">
        <v>-4.3478260869565188E-2</v>
      </c>
      <c r="BC425" s="71">
        <v>-0.10344827586206895</v>
      </c>
      <c r="BD425" s="71">
        <v>-0.2857142857142857</v>
      </c>
      <c r="BE425" s="23">
        <v>-9.3525179856115082E-2</v>
      </c>
      <c r="BF425" s="71">
        <v>6.4516129032258007E-2</v>
      </c>
      <c r="BG425" s="71">
        <v>-0.22727272727272729</v>
      </c>
      <c r="BH425" s="71">
        <v>0.53846153846153855</v>
      </c>
    </row>
    <row r="426" spans="1:60">
      <c r="A426" s="67" t="s">
        <v>251</v>
      </c>
      <c r="B426" s="23"/>
      <c r="C426" s="71"/>
      <c r="D426" s="71"/>
      <c r="E426" s="71"/>
      <c r="F426" s="71"/>
      <c r="G426" s="23"/>
      <c r="H426" s="71"/>
      <c r="I426" s="71"/>
      <c r="J426" s="71"/>
      <c r="K426" s="71"/>
      <c r="L426" s="23"/>
      <c r="M426" s="71"/>
      <c r="N426" s="71"/>
      <c r="O426" s="71"/>
      <c r="P426" s="71"/>
      <c r="Q426" s="23"/>
      <c r="R426" s="71"/>
      <c r="S426" s="71"/>
      <c r="T426" s="71"/>
      <c r="U426" s="71"/>
      <c r="V426" s="23"/>
      <c r="W426" s="71"/>
      <c r="X426" s="71"/>
      <c r="Y426" s="71"/>
      <c r="Z426" s="71"/>
      <c r="AA426" s="23"/>
      <c r="AB426" s="71"/>
      <c r="AC426" s="71"/>
      <c r="AD426" s="71"/>
      <c r="AE426" s="71"/>
      <c r="AF426" s="23"/>
      <c r="AG426" s="71"/>
      <c r="AH426" s="71"/>
      <c r="AI426" s="71"/>
      <c r="AJ426" s="71"/>
      <c r="AK426" s="23"/>
      <c r="AL426" s="71"/>
      <c r="AM426" s="71"/>
      <c r="AN426" s="71"/>
      <c r="AO426" s="71"/>
      <c r="AP426" s="23"/>
      <c r="AQ426" s="71"/>
      <c r="AR426" s="71"/>
      <c r="AS426" s="71"/>
      <c r="AT426" s="71"/>
      <c r="AU426" s="23"/>
      <c r="AV426" s="71"/>
      <c r="AW426" s="71"/>
      <c r="AX426" s="71"/>
      <c r="AY426" s="71"/>
      <c r="AZ426" s="23"/>
      <c r="BA426" s="68">
        <v>9</v>
      </c>
      <c r="BB426" s="68">
        <v>9</v>
      </c>
      <c r="BC426" s="68">
        <v>9</v>
      </c>
      <c r="BD426" s="147">
        <v>9</v>
      </c>
      <c r="BE426" s="36">
        <v>36</v>
      </c>
      <c r="BF426" s="68">
        <v>8</v>
      </c>
      <c r="BG426" s="68">
        <v>8</v>
      </c>
      <c r="BH426" s="68">
        <v>8</v>
      </c>
    </row>
    <row r="427" spans="1:60" s="35" customFormat="1" ht="16.2" customHeight="1">
      <c r="A427" s="67" t="s">
        <v>63</v>
      </c>
      <c r="B427" s="174">
        <f>B414-B423</f>
        <v>-6.8709999999999951</v>
      </c>
      <c r="C427" s="182">
        <f>C414-C423</f>
        <v>-19.988999999999997</v>
      </c>
      <c r="D427" s="182">
        <f>D414-D423</f>
        <v>20.009999999999998</v>
      </c>
      <c r="E427" s="182">
        <f>E414-E423</f>
        <v>-1.4210000000000029</v>
      </c>
      <c r="F427" s="182">
        <f>G427-E427-D427-C427</f>
        <v>46.7</v>
      </c>
      <c r="G427" s="36">
        <f>G414-G423</f>
        <v>45.3</v>
      </c>
      <c r="H427" s="68">
        <f>H414-H423</f>
        <v>62.167999999999999</v>
      </c>
      <c r="I427" s="68">
        <f>I414-I423</f>
        <v>56.638000000000005</v>
      </c>
      <c r="J427" s="68">
        <f>J414-J423</f>
        <v>47.985999999999997</v>
      </c>
      <c r="K427" s="68">
        <f>L427-J427-I427-H427</f>
        <v>33.001000000000012</v>
      </c>
      <c r="L427" s="36">
        <f>L414-L423</f>
        <v>199.79300000000001</v>
      </c>
      <c r="M427" s="68">
        <f>M414-M423</f>
        <v>22.769999999999996</v>
      </c>
      <c r="N427" s="68">
        <f>N414-N423</f>
        <v>33.091000000000001</v>
      </c>
      <c r="O427" s="68">
        <f>O414-O423</f>
        <v>44.709000000000003</v>
      </c>
      <c r="P427" s="68">
        <f>Q427-O427-N427-M427</f>
        <v>9.8759999999999977</v>
      </c>
      <c r="Q427" s="36">
        <f>Q414-Q423</f>
        <v>110.446</v>
      </c>
      <c r="R427" s="182">
        <f>R414-R423</f>
        <v>-3.7690000000000055</v>
      </c>
      <c r="S427" s="182">
        <f>S414-S423</f>
        <v>21.143999999999998</v>
      </c>
      <c r="T427" s="182">
        <f>T414-T423</f>
        <v>-34.127000000000002</v>
      </c>
      <c r="U427" s="182">
        <f>V427-(SUM(R427:T427))</f>
        <v>-27.394000000000005</v>
      </c>
      <c r="V427" s="174">
        <f>V414-V423</f>
        <v>-44.146000000000015</v>
      </c>
      <c r="W427" s="182">
        <f>W414-W423</f>
        <v>-12.209000000000003</v>
      </c>
      <c r="X427" s="182">
        <f>X414-X423</f>
        <v>28.560000000000002</v>
      </c>
      <c r="Y427" s="182">
        <f>Y414-Y423</f>
        <v>34.533000000000001</v>
      </c>
      <c r="Z427" s="182">
        <f>AA427-Y427-X427-W427</f>
        <v>48.165999999999954</v>
      </c>
      <c r="AA427" s="36">
        <f>AA414-AA423</f>
        <v>99.049999999999955</v>
      </c>
      <c r="AB427" s="68">
        <f>AB414-AB423</f>
        <v>27.601000000000003</v>
      </c>
      <c r="AC427" s="68">
        <f>AC414-AC423</f>
        <v>54.055999999999997</v>
      </c>
      <c r="AD427" s="68">
        <f>AD414-AD423</f>
        <v>50.08</v>
      </c>
      <c r="AE427" s="68">
        <f>AF427-AD427-AC427-AB427</f>
        <v>58.828999999999994</v>
      </c>
      <c r="AF427" s="36">
        <f>AF414-AF423</f>
        <v>190.56599999999997</v>
      </c>
      <c r="AG427" s="68">
        <f>AG414-AG423</f>
        <v>43</v>
      </c>
      <c r="AH427" s="68">
        <f>AH414-AH423</f>
        <v>72</v>
      </c>
      <c r="AI427" s="68">
        <f>AI414-AI423</f>
        <v>44</v>
      </c>
      <c r="AJ427" s="143">
        <f>AK427-AI427-AH427-AG427</f>
        <v>45</v>
      </c>
      <c r="AK427" s="36">
        <v>204</v>
      </c>
      <c r="AL427" s="68">
        <v>9</v>
      </c>
      <c r="AM427" s="68">
        <v>48</v>
      </c>
      <c r="AN427" s="68">
        <v>41</v>
      </c>
      <c r="AO427" s="68">
        <v>75</v>
      </c>
      <c r="AP427" s="36">
        <v>173</v>
      </c>
      <c r="AQ427" s="68">
        <v>12</v>
      </c>
      <c r="AR427" s="68">
        <v>36</v>
      </c>
      <c r="AS427" s="68">
        <v>41</v>
      </c>
      <c r="AT427" s="68">
        <v>61</v>
      </c>
      <c r="AU427" s="36">
        <v>150</v>
      </c>
      <c r="AV427" s="68">
        <v>23</v>
      </c>
      <c r="AW427" s="68">
        <v>23</v>
      </c>
      <c r="AX427" s="68">
        <v>45</v>
      </c>
      <c r="AY427" s="68">
        <v>47</v>
      </c>
      <c r="AZ427" s="36">
        <v>138</v>
      </c>
      <c r="BA427" s="68">
        <v>27</v>
      </c>
      <c r="BB427" s="68">
        <v>1</v>
      </c>
      <c r="BC427" s="68">
        <v>38</v>
      </c>
      <c r="BD427" s="147">
        <v>72</v>
      </c>
      <c r="BE427" s="36">
        <v>138</v>
      </c>
      <c r="BF427" s="68">
        <v>15</v>
      </c>
      <c r="BG427" s="68">
        <v>6</v>
      </c>
      <c r="BH427" s="68">
        <v>16</v>
      </c>
    </row>
    <row r="428" spans="1:60">
      <c r="A428" s="69" t="s">
        <v>7</v>
      </c>
      <c r="B428" s="23"/>
      <c r="C428" s="70"/>
      <c r="D428" s="83" t="s">
        <v>40</v>
      </c>
      <c r="E428" s="83" t="s">
        <v>40</v>
      </c>
      <c r="F428" s="83" t="s">
        <v>40</v>
      </c>
      <c r="G428" s="23"/>
      <c r="H428" s="70">
        <f>H427/F427-1</f>
        <v>0.33122055674518203</v>
      </c>
      <c r="I428" s="70">
        <f>I427/H427-1</f>
        <v>-8.8952515763736861E-2</v>
      </c>
      <c r="J428" s="70">
        <f>J427/I427-1</f>
        <v>-0.15275963134291481</v>
      </c>
      <c r="K428" s="70">
        <f>K427/J427-1</f>
        <v>-0.31227858125286512</v>
      </c>
      <c r="L428" s="23"/>
      <c r="M428" s="70">
        <f>M427/K427-1</f>
        <v>-0.31002090845731989</v>
      </c>
      <c r="N428" s="70">
        <f>N427/M427-1</f>
        <v>0.45327184892402306</v>
      </c>
      <c r="O428" s="70">
        <f>O427/N427-1</f>
        <v>0.35109244205373069</v>
      </c>
      <c r="P428" s="70">
        <f>P427/O427-1</f>
        <v>-0.77910487821244057</v>
      </c>
      <c r="Q428" s="23"/>
      <c r="R428" s="83" t="s">
        <v>40</v>
      </c>
      <c r="S428" s="83" t="s">
        <v>40</v>
      </c>
      <c r="T428" s="83" t="s">
        <v>40</v>
      </c>
      <c r="U428" s="70">
        <f>U427/T427-1</f>
        <v>-0.19729246637559694</v>
      </c>
      <c r="V428" s="23"/>
      <c r="W428" s="70">
        <f>W427/U427-1</f>
        <v>-0.55431846389720374</v>
      </c>
      <c r="X428" s="83" t="s">
        <v>40</v>
      </c>
      <c r="Y428" s="70">
        <f>Y427/X427-1</f>
        <v>0.2091386554621848</v>
      </c>
      <c r="Z428" s="70">
        <v>0.39478180291315423</v>
      </c>
      <c r="AA428" s="23"/>
      <c r="AB428" s="70">
        <f>AB427/Z427-1</f>
        <v>-0.42696092679483388</v>
      </c>
      <c r="AC428" s="70">
        <f>AC427/AB427-1</f>
        <v>0.9584797652258974</v>
      </c>
      <c r="AD428" s="70">
        <f>AD427/AC427-1</f>
        <v>-7.3553352079325118E-2</v>
      </c>
      <c r="AE428" s="70">
        <f>AE427/AD427-1</f>
        <v>0.17470047923322674</v>
      </c>
      <c r="AF428" s="23"/>
      <c r="AG428" s="70">
        <f>AG427/AE427-1</f>
        <v>-0.26906797667816884</v>
      </c>
      <c r="AH428" s="70">
        <f>AH427/AG427-1</f>
        <v>0.67441860465116288</v>
      </c>
      <c r="AI428" s="70">
        <f>AI427/AH427-1</f>
        <v>-0.38888888888888884</v>
      </c>
      <c r="AJ428" s="70">
        <f>AJ427/AI427-1</f>
        <v>2.2727272727272707E-2</v>
      </c>
      <c r="AK428" s="23"/>
      <c r="AL428" s="70">
        <v>-0.8</v>
      </c>
      <c r="AM428" s="70">
        <v>4.333333333333333</v>
      </c>
      <c r="AN428" s="70">
        <v>-0.14583333333333337</v>
      </c>
      <c r="AO428" s="70">
        <v>0.8292682926829269</v>
      </c>
      <c r="AP428" s="23"/>
      <c r="AQ428" s="70">
        <v>-0.84</v>
      </c>
      <c r="AR428" s="70">
        <v>2</v>
      </c>
      <c r="AS428" s="70">
        <v>0.13888888888888884</v>
      </c>
      <c r="AT428" s="70">
        <v>0.48780487804878048</v>
      </c>
      <c r="AU428" s="23"/>
      <c r="AV428" s="70">
        <v>-0.62295081967213117</v>
      </c>
      <c r="AW428" s="70">
        <v>0</v>
      </c>
      <c r="AX428" s="70">
        <v>0.95652173913043481</v>
      </c>
      <c r="AY428" s="70">
        <v>4.4444444444444509E-2</v>
      </c>
      <c r="AZ428" s="23"/>
      <c r="BA428" s="70">
        <v>-0.42553191489361697</v>
      </c>
      <c r="BB428" s="70">
        <v>-0.96296296296296302</v>
      </c>
      <c r="BC428" s="70">
        <v>37</v>
      </c>
      <c r="BD428" s="70">
        <v>0.89473684210526305</v>
      </c>
      <c r="BE428" s="23"/>
      <c r="BF428" s="70">
        <v>-0.79166666666666663</v>
      </c>
      <c r="BG428" s="70">
        <v>-0.6</v>
      </c>
      <c r="BH428" s="70">
        <v>1.6666666666666665</v>
      </c>
    </row>
    <row r="429" spans="1:60">
      <c r="A429" s="69" t="s">
        <v>8</v>
      </c>
      <c r="B429" s="23"/>
      <c r="C429" s="71"/>
      <c r="D429" s="71"/>
      <c r="E429" s="71"/>
      <c r="F429" s="71"/>
      <c r="G429" s="90" t="s">
        <v>40</v>
      </c>
      <c r="H429" s="81" t="s">
        <v>45</v>
      </c>
      <c r="I429" s="71">
        <f t="shared" ref="I429:N429" si="383">I427/D427-1</f>
        <v>1.83048475762119</v>
      </c>
      <c r="J429" s="71">
        <f t="shared" si="383"/>
        <v>-34.769176636171636</v>
      </c>
      <c r="K429" s="71">
        <f t="shared" si="383"/>
        <v>-0.29334047109207684</v>
      </c>
      <c r="L429" s="23">
        <f t="shared" si="383"/>
        <v>3.4104415011037528</v>
      </c>
      <c r="M429" s="71">
        <f t="shared" si="383"/>
        <v>-0.63373439711748814</v>
      </c>
      <c r="N429" s="71">
        <f t="shared" si="383"/>
        <v>-0.4157456124863167</v>
      </c>
      <c r="O429" s="71">
        <f t="shared" ref="O429:X429" si="384">O427/J427-1</f>
        <v>-6.8290751469178401E-2</v>
      </c>
      <c r="P429" s="71">
        <f t="shared" si="384"/>
        <v>-0.70073634132299034</v>
      </c>
      <c r="Q429" s="23">
        <f t="shared" si="384"/>
        <v>-0.4471978497745166</v>
      </c>
      <c r="R429" s="83" t="s">
        <v>40</v>
      </c>
      <c r="S429" s="71">
        <f t="shared" si="384"/>
        <v>-0.36103472243208135</v>
      </c>
      <c r="T429" s="83" t="s">
        <v>40</v>
      </c>
      <c r="U429" s="83" t="s">
        <v>40</v>
      </c>
      <c r="V429" s="90" t="s">
        <v>40</v>
      </c>
      <c r="W429" s="71">
        <f t="shared" si="384"/>
        <v>2.2393207747413069</v>
      </c>
      <c r="X429" s="71">
        <f t="shared" si="384"/>
        <v>0.35073779795686733</v>
      </c>
      <c r="Y429" s="83" t="s">
        <v>40</v>
      </c>
      <c r="Z429" s="83" t="s">
        <v>40</v>
      </c>
      <c r="AA429" s="90" t="s">
        <v>40</v>
      </c>
      <c r="AB429" s="83" t="s">
        <v>40</v>
      </c>
      <c r="AC429" s="71">
        <f t="shared" ref="AC429:AI429" si="385">AC427/X427-1</f>
        <v>0.89271708683473361</v>
      </c>
      <c r="AD429" s="71">
        <f t="shared" si="385"/>
        <v>0.45020704833058223</v>
      </c>
      <c r="AE429" s="71">
        <f t="shared" si="385"/>
        <v>0.22138022671594171</v>
      </c>
      <c r="AF429" s="23">
        <f t="shared" si="385"/>
        <v>0.92393740535083357</v>
      </c>
      <c r="AG429" s="71">
        <f t="shared" si="385"/>
        <v>0.55791456831274222</v>
      </c>
      <c r="AH429" s="71">
        <f t="shared" si="385"/>
        <v>0.33195204972620984</v>
      </c>
      <c r="AI429" s="71">
        <f t="shared" si="385"/>
        <v>-0.12140575079872207</v>
      </c>
      <c r="AJ429" s="71">
        <f t="shared" ref="AJ429" si="386">AJ427/AE427-1</f>
        <v>-0.23507113838413018</v>
      </c>
      <c r="AK429" s="23">
        <v>7.0495261484210259E-2</v>
      </c>
      <c r="AL429" s="71">
        <v>-0.79069767441860461</v>
      </c>
      <c r="AM429" s="71">
        <v>-0.33333333333333337</v>
      </c>
      <c r="AN429" s="71">
        <v>-6.8181818181818232E-2</v>
      </c>
      <c r="AO429" s="71">
        <v>0.66666666666666674</v>
      </c>
      <c r="AP429" s="23">
        <v>-0.15196078431372551</v>
      </c>
      <c r="AQ429" s="71">
        <v>0.33333333333333326</v>
      </c>
      <c r="AR429" s="71">
        <v>-0.25</v>
      </c>
      <c r="AS429" s="71">
        <v>0</v>
      </c>
      <c r="AT429" s="71">
        <v>-0.18666666666666665</v>
      </c>
      <c r="AU429" s="23">
        <v>-0.13294797687861271</v>
      </c>
      <c r="AV429" s="71">
        <v>0.91666666666666674</v>
      </c>
      <c r="AW429" s="71">
        <v>-0.36111111111111116</v>
      </c>
      <c r="AX429" s="71">
        <v>9.7560975609756184E-2</v>
      </c>
      <c r="AY429" s="71">
        <v>-0.22950819672131151</v>
      </c>
      <c r="AZ429" s="23">
        <v>-7.999999999999996E-2</v>
      </c>
      <c r="BA429" s="71">
        <v>0.17391304347826098</v>
      </c>
      <c r="BB429" s="71">
        <v>-0.95652173913043481</v>
      </c>
      <c r="BC429" s="71">
        <v>-0.15555555555555556</v>
      </c>
      <c r="BD429" s="71">
        <v>0.53191489361702127</v>
      </c>
      <c r="BE429" s="23">
        <v>0</v>
      </c>
      <c r="BF429" s="71">
        <v>-0.44444444444444442</v>
      </c>
      <c r="BG429" s="71">
        <v>5</v>
      </c>
      <c r="BH429" s="71">
        <v>-0.57894736842105265</v>
      </c>
    </row>
    <row r="430" spans="1:60" ht="11.25" customHeight="1">
      <c r="A430" s="49" t="s">
        <v>19</v>
      </c>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row>
    <row r="431" spans="1:60" s="35" customFormat="1" ht="11.25" customHeight="1">
      <c r="A431" s="67" t="s">
        <v>28</v>
      </c>
      <c r="B431" s="54">
        <f t="shared" ref="B431:Y431" si="387">B401/B364</f>
        <v>0.15616554786161335</v>
      </c>
      <c r="C431" s="76">
        <f t="shared" si="387"/>
        <v>0.17457789104810451</v>
      </c>
      <c r="D431" s="76">
        <f t="shared" si="387"/>
        <v>0.19199160370468116</v>
      </c>
      <c r="E431" s="76">
        <f t="shared" si="387"/>
        <v>0.17971432307584698</v>
      </c>
      <c r="F431" s="76">
        <f t="shared" si="387"/>
        <v>0.19294874076183022</v>
      </c>
      <c r="G431" s="54">
        <f t="shared" si="387"/>
        <v>0.18496085478476831</v>
      </c>
      <c r="H431" s="76">
        <f t="shared" si="387"/>
        <v>0.18538938025825139</v>
      </c>
      <c r="I431" s="76">
        <f t="shared" si="387"/>
        <v>0.2068971849911084</v>
      </c>
      <c r="J431" s="76">
        <f t="shared" si="387"/>
        <v>0.19960358994718541</v>
      </c>
      <c r="K431" s="76">
        <f t="shared" si="387"/>
        <v>0.1996939945685533</v>
      </c>
      <c r="L431" s="54">
        <f t="shared" si="387"/>
        <v>0.19793453282617476</v>
      </c>
      <c r="M431" s="76">
        <f t="shared" si="387"/>
        <v>0.17936581953835393</v>
      </c>
      <c r="N431" s="76">
        <f t="shared" si="387"/>
        <v>0.36380882352941174</v>
      </c>
      <c r="O431" s="76">
        <f t="shared" si="387"/>
        <v>0.20019172253776157</v>
      </c>
      <c r="P431" s="76">
        <f t="shared" si="387"/>
        <v>0.18587201261815234</v>
      </c>
      <c r="Q431" s="54">
        <f t="shared" si="387"/>
        <v>0.23168285560921686</v>
      </c>
      <c r="R431" s="76">
        <f t="shared" si="387"/>
        <v>0.18473802924649446</v>
      </c>
      <c r="S431" s="76">
        <f t="shared" si="387"/>
        <v>0.18144873827235511</v>
      </c>
      <c r="T431" s="76">
        <f t="shared" si="387"/>
        <v>0.17499244321001031</v>
      </c>
      <c r="U431" s="76">
        <f t="shared" si="387"/>
        <v>0.17179162415414739</v>
      </c>
      <c r="V431" s="54">
        <f t="shared" si="387"/>
        <v>0.17814320605318254</v>
      </c>
      <c r="W431" s="76">
        <f t="shared" si="387"/>
        <v>0.14922852791205882</v>
      </c>
      <c r="X431" s="76">
        <f t="shared" si="387"/>
        <v>0.16056913650241181</v>
      </c>
      <c r="Y431" s="76">
        <f t="shared" si="387"/>
        <v>0.16216319996219217</v>
      </c>
      <c r="Z431" s="76">
        <v>0.18149793230203701</v>
      </c>
      <c r="AA431" s="54">
        <f t="shared" ref="AA431:AJ431" si="388">AA401/AA364</f>
        <v>0.16346259319149001</v>
      </c>
      <c r="AB431" s="76">
        <f t="shared" si="388"/>
        <v>0.16190071069750211</v>
      </c>
      <c r="AC431" s="76">
        <f t="shared" si="388"/>
        <v>0.16787737216510937</v>
      </c>
      <c r="AD431" s="76">
        <f t="shared" si="388"/>
        <v>0.15261773407781459</v>
      </c>
      <c r="AE431" s="76">
        <f t="shared" si="388"/>
        <v>0.15294576985334196</v>
      </c>
      <c r="AF431" s="54">
        <f t="shared" si="388"/>
        <v>0.15876199868645224</v>
      </c>
      <c r="AG431" s="76">
        <f t="shared" si="388"/>
        <v>0.16338028169014085</v>
      </c>
      <c r="AH431" s="76">
        <f t="shared" si="388"/>
        <v>0.15890410958904111</v>
      </c>
      <c r="AI431" s="76">
        <f t="shared" si="388"/>
        <v>0.15324675324675324</v>
      </c>
      <c r="AJ431" s="76">
        <f t="shared" si="388"/>
        <v>0.14285714285714285</v>
      </c>
      <c r="AK431" s="54">
        <v>0.15425531914893617</v>
      </c>
      <c r="AL431" s="76">
        <v>0.15521628498727735</v>
      </c>
      <c r="AM431" s="76">
        <v>0.15856777493606139</v>
      </c>
      <c r="AN431" s="76">
        <v>0.15167095115681234</v>
      </c>
      <c r="AO431" s="76">
        <v>0.14320987654320988</v>
      </c>
      <c r="AP431" s="54">
        <v>0.15209125475285171</v>
      </c>
      <c r="AQ431" s="76">
        <v>9.3670886075949367E-2</v>
      </c>
      <c r="AR431" s="76">
        <v>0.12466843501326259</v>
      </c>
      <c r="AS431" s="76">
        <v>0.1171875</v>
      </c>
      <c r="AT431" s="76">
        <v>0.11989795918367346</v>
      </c>
      <c r="AU431" s="54">
        <v>0.11369509043927649</v>
      </c>
      <c r="AV431" s="76">
        <v>0.12760416666666666</v>
      </c>
      <c r="AW431" s="76">
        <v>0.11056511056511056</v>
      </c>
      <c r="AX431" s="76">
        <v>0.10626702997275204</v>
      </c>
      <c r="AY431" s="76">
        <v>0.10817941952506596</v>
      </c>
      <c r="AZ431" s="54">
        <v>0.11320754716981132</v>
      </c>
      <c r="BA431" s="76">
        <v>9.6590909090909088E-2</v>
      </c>
      <c r="BB431" s="76">
        <v>8.9285714285714288E-2</v>
      </c>
      <c r="BC431" s="76">
        <v>9.3093093093093091E-2</v>
      </c>
      <c r="BD431" s="76">
        <v>5.675675675675676E-2</v>
      </c>
      <c r="BE431" s="54">
        <v>8.3393242271746951E-2</v>
      </c>
      <c r="BF431" s="76">
        <v>9.9706744868035185E-2</v>
      </c>
      <c r="BG431" s="76">
        <v>5.3097345132743362E-2</v>
      </c>
      <c r="BH431" s="76">
        <v>-6.0790273556231005E-2</v>
      </c>
    </row>
    <row r="432" spans="1:60" s="35" customFormat="1" ht="10.5" customHeight="1">
      <c r="A432" s="67" t="s">
        <v>36</v>
      </c>
      <c r="B432" s="54">
        <f t="shared" ref="B432:Y432" si="389">B404/B364</f>
        <v>0.1173805617114764</v>
      </c>
      <c r="C432" s="76">
        <f t="shared" si="389"/>
        <v>0.13220770946161198</v>
      </c>
      <c r="D432" s="76">
        <f t="shared" si="389"/>
        <v>0.14440645925525841</v>
      </c>
      <c r="E432" s="76">
        <f t="shared" si="389"/>
        <v>0.13382476819540617</v>
      </c>
      <c r="F432" s="76">
        <f t="shared" si="389"/>
        <v>0.13579071615834487</v>
      </c>
      <c r="G432" s="54">
        <f t="shared" si="389"/>
        <v>0.13658436841149996</v>
      </c>
      <c r="H432" s="76">
        <f t="shared" si="389"/>
        <v>0.13587167555240531</v>
      </c>
      <c r="I432" s="76">
        <f t="shared" si="389"/>
        <v>0.17077373719441832</v>
      </c>
      <c r="J432" s="76">
        <f t="shared" si="389"/>
        <v>0.15248553313843674</v>
      </c>
      <c r="K432" s="76">
        <f t="shared" si="389"/>
        <v>0.14796650108838524</v>
      </c>
      <c r="L432" s="54">
        <f t="shared" si="389"/>
        <v>0.15178330201537871</v>
      </c>
      <c r="M432" s="76">
        <f t="shared" si="389"/>
        <v>0.13543075308929819</v>
      </c>
      <c r="N432" s="76">
        <f t="shared" si="389"/>
        <v>0.31830294117647057</v>
      </c>
      <c r="O432" s="76">
        <f t="shared" si="389"/>
        <v>0.15378968670925247</v>
      </c>
      <c r="P432" s="76">
        <f t="shared" si="389"/>
        <v>0.13102762506714821</v>
      </c>
      <c r="Q432" s="54">
        <f t="shared" si="389"/>
        <v>0.1839744318778618</v>
      </c>
      <c r="R432" s="76">
        <f t="shared" si="389"/>
        <v>0.13953558971120833</v>
      </c>
      <c r="S432" s="76">
        <f t="shared" si="389"/>
        <v>0.13941421184510938</v>
      </c>
      <c r="T432" s="76">
        <f t="shared" si="389"/>
        <v>0.13094348661735267</v>
      </c>
      <c r="U432" s="76">
        <f t="shared" si="389"/>
        <v>0.1289800513668507</v>
      </c>
      <c r="V432" s="54">
        <f t="shared" si="389"/>
        <v>0.1346200729608851</v>
      </c>
      <c r="W432" s="76">
        <f t="shared" si="389"/>
        <v>0.10777431958148467</v>
      </c>
      <c r="X432" s="76">
        <f t="shared" si="389"/>
        <v>0.11785661228561119</v>
      </c>
      <c r="Y432" s="76">
        <f t="shared" si="389"/>
        <v>0.11900612605374623</v>
      </c>
      <c r="Z432" s="76">
        <v>0.13145492889711002</v>
      </c>
      <c r="AA432" s="54">
        <f t="shared" ref="AA432:AJ432" si="390">AA404/AA364</f>
        <v>0.11909258669205749</v>
      </c>
      <c r="AB432" s="76">
        <f t="shared" si="390"/>
        <v>0.10847396809963654</v>
      </c>
      <c r="AC432" s="76">
        <f t="shared" si="390"/>
        <v>0.12140412104453313</v>
      </c>
      <c r="AD432" s="76">
        <f t="shared" si="390"/>
        <v>0.10780426222943963</v>
      </c>
      <c r="AE432" s="76">
        <f t="shared" si="390"/>
        <v>0.10405702557094716</v>
      </c>
      <c r="AF432" s="54">
        <f t="shared" si="390"/>
        <v>0.11040641111811392</v>
      </c>
      <c r="AG432" s="76">
        <f t="shared" si="390"/>
        <v>0.11830985915492957</v>
      </c>
      <c r="AH432" s="76">
        <f t="shared" si="390"/>
        <v>0.11232876712328767</v>
      </c>
      <c r="AI432" s="76">
        <f t="shared" si="390"/>
        <v>0.10909090909090909</v>
      </c>
      <c r="AJ432" s="76">
        <f t="shared" si="390"/>
        <v>0.10025062656641603</v>
      </c>
      <c r="AK432" s="54">
        <v>0.10970744680851063</v>
      </c>
      <c r="AL432" s="76">
        <v>0.11195928753180662</v>
      </c>
      <c r="AM432" s="76">
        <v>0.11508951406649616</v>
      </c>
      <c r="AN432" s="76">
        <v>0.10539845758354756</v>
      </c>
      <c r="AO432" s="76">
        <v>0.1037037037037037</v>
      </c>
      <c r="AP432" s="54">
        <v>0.10899873257287707</v>
      </c>
      <c r="AQ432" s="76">
        <v>6.5822784810126586E-2</v>
      </c>
      <c r="AR432" s="76">
        <v>8.7533156498673742E-2</v>
      </c>
      <c r="AS432" s="76">
        <v>8.59375E-2</v>
      </c>
      <c r="AT432" s="76">
        <v>8.4183673469387751E-2</v>
      </c>
      <c r="AU432" s="54">
        <v>8.0749354005167959E-2</v>
      </c>
      <c r="AV432" s="76">
        <v>9.375E-2</v>
      </c>
      <c r="AW432" s="76">
        <v>8.1081081081081086E-2</v>
      </c>
      <c r="AX432" s="76">
        <v>7.3569482288828342E-2</v>
      </c>
      <c r="AY432" s="76">
        <v>8.1794195250659632E-2</v>
      </c>
      <c r="AZ432" s="54">
        <v>8.2628497072218601E-2</v>
      </c>
      <c r="BA432" s="76">
        <v>6.8181818181818177E-2</v>
      </c>
      <c r="BB432" s="76">
        <v>5.9523809523809521E-2</v>
      </c>
      <c r="BC432" s="76">
        <v>6.006006006006006E-2</v>
      </c>
      <c r="BD432" s="76">
        <v>3.5135135135135137E-2</v>
      </c>
      <c r="BE432" s="54">
        <v>5.5355859094176854E-2</v>
      </c>
      <c r="BF432" s="76">
        <v>7.331378299120235E-2</v>
      </c>
      <c r="BG432" s="76">
        <v>2.9498525073746312E-2</v>
      </c>
      <c r="BH432" s="76">
        <v>-5.4711246200607903E-2</v>
      </c>
    </row>
    <row r="433" spans="1:60" s="35" customFormat="1" ht="10.5" customHeight="1">
      <c r="A433" s="67" t="s">
        <v>10</v>
      </c>
      <c r="B433" s="54">
        <f t="shared" ref="B433:Y433" si="391">B407/B364</f>
        <v>0.22259349520528557</v>
      </c>
      <c r="C433" s="76">
        <f t="shared" si="391"/>
        <v>0.23829244982478498</v>
      </c>
      <c r="D433" s="76">
        <f t="shared" si="391"/>
        <v>0.25434084785397315</v>
      </c>
      <c r="E433" s="76">
        <f t="shared" si="391"/>
        <v>0.24024352786976974</v>
      </c>
      <c r="F433" s="76">
        <f t="shared" si="391"/>
        <v>0.25185059966546863</v>
      </c>
      <c r="G433" s="54">
        <f t="shared" si="391"/>
        <v>0.24628976266274769</v>
      </c>
      <c r="H433" s="76">
        <f t="shared" si="391"/>
        <v>0.2458350026194952</v>
      </c>
      <c r="I433" s="76">
        <f t="shared" si="391"/>
        <v>0.27017596483764039</v>
      </c>
      <c r="J433" s="76">
        <f t="shared" si="391"/>
        <v>0.26396758941783666</v>
      </c>
      <c r="K433" s="76">
        <f t="shared" si="391"/>
        <v>0.26720082878966184</v>
      </c>
      <c r="L433" s="54">
        <f t="shared" si="391"/>
        <v>0.26186110613599184</v>
      </c>
      <c r="M433" s="76">
        <f t="shared" si="391"/>
        <v>0.24519993005362553</v>
      </c>
      <c r="N433" s="76">
        <f t="shared" si="391"/>
        <v>0.43145588235294113</v>
      </c>
      <c r="O433" s="76">
        <f t="shared" si="391"/>
        <v>0.26789914127878356</v>
      </c>
      <c r="P433" s="76">
        <f t="shared" si="391"/>
        <v>0.25716343021727445</v>
      </c>
      <c r="Q433" s="54">
        <f t="shared" si="391"/>
        <v>0.29998645387908024</v>
      </c>
      <c r="R433" s="76">
        <f t="shared" si="391"/>
        <v>0.25840373762549068</v>
      </c>
      <c r="S433" s="76">
        <f t="shared" si="391"/>
        <v>0.2608703499267539</v>
      </c>
      <c r="T433" s="76">
        <f t="shared" si="391"/>
        <v>0.25476077769349659</v>
      </c>
      <c r="U433" s="76">
        <f t="shared" si="391"/>
        <v>0.26046394351991908</v>
      </c>
      <c r="V433" s="54">
        <f t="shared" si="391"/>
        <v>0.25858487206726938</v>
      </c>
      <c r="W433" s="76">
        <f t="shared" si="391"/>
        <v>0.25264130611458602</v>
      </c>
      <c r="X433" s="76">
        <f t="shared" si="391"/>
        <v>0.26499167760654629</v>
      </c>
      <c r="Y433" s="76">
        <f t="shared" si="391"/>
        <v>0.26407604104515087</v>
      </c>
      <c r="Z433" s="76">
        <v>0.27891242621676071</v>
      </c>
      <c r="AA433" s="54">
        <f t="shared" ref="AA433:AJ433" si="392">AA407/AA364</f>
        <v>0.26522534972692685</v>
      </c>
      <c r="AB433" s="76">
        <f t="shared" si="392"/>
        <v>0.25245098039215685</v>
      </c>
      <c r="AC433" s="76">
        <f t="shared" si="392"/>
        <v>0.25856042191646411</v>
      </c>
      <c r="AD433" s="76">
        <f t="shared" si="392"/>
        <v>0.24424120748337153</v>
      </c>
      <c r="AE433" s="76">
        <f t="shared" si="392"/>
        <v>0.24303380809452912</v>
      </c>
      <c r="AF433" s="54">
        <f t="shared" si="392"/>
        <v>0.24949590336420377</v>
      </c>
      <c r="AG433" s="76">
        <f t="shared" si="392"/>
        <v>0.25352112676056338</v>
      </c>
      <c r="AH433" s="76">
        <f t="shared" si="392"/>
        <v>0.24657534246575341</v>
      </c>
      <c r="AI433" s="76">
        <f t="shared" si="392"/>
        <v>0.23636363636363636</v>
      </c>
      <c r="AJ433" s="76">
        <f t="shared" si="392"/>
        <v>0.22807017543859648</v>
      </c>
      <c r="AK433" s="54">
        <v>0.24069148936170212</v>
      </c>
      <c r="AL433" s="76">
        <v>0.23664122137404581</v>
      </c>
      <c r="AM433" s="76">
        <v>0.24040920716112532</v>
      </c>
      <c r="AN433" s="76">
        <v>0.23650385604113111</v>
      </c>
      <c r="AO433" s="76">
        <v>0.22962962962962963</v>
      </c>
      <c r="AP433" s="54">
        <v>0.23574144486692014</v>
      </c>
      <c r="AQ433" s="76">
        <v>0.17721518987341772</v>
      </c>
      <c r="AR433" s="76">
        <v>0.21750663129973474</v>
      </c>
      <c r="AS433" s="76">
        <v>0.20833333333333334</v>
      </c>
      <c r="AT433" s="76">
        <v>0.2066326530612245</v>
      </c>
      <c r="AU433" s="54">
        <v>0.20219638242894056</v>
      </c>
      <c r="AV433" s="76">
        <v>0.21354166666666666</v>
      </c>
      <c r="AW433" s="76">
        <v>0.19164619164619165</v>
      </c>
      <c r="AX433" s="76">
        <v>0.1989100817438692</v>
      </c>
      <c r="AY433" s="76">
        <v>0.20052770448548812</v>
      </c>
      <c r="AZ433" s="54">
        <v>0.20104098893949252</v>
      </c>
      <c r="BA433" s="76">
        <v>0.21875</v>
      </c>
      <c r="BB433" s="76">
        <v>0.22321428571428573</v>
      </c>
      <c r="BC433" s="76">
        <v>0.23123123123123124</v>
      </c>
      <c r="BD433" s="76">
        <v>0.21891891891891893</v>
      </c>
      <c r="BE433" s="54">
        <v>0.22286125089863407</v>
      </c>
      <c r="BF433" s="76">
        <v>0.23460410557184752</v>
      </c>
      <c r="BG433" s="76">
        <v>0.1887905604719764</v>
      </c>
      <c r="BH433" s="76">
        <v>8.2066869300911852E-2</v>
      </c>
    </row>
    <row r="434" spans="1:60" s="35" customFormat="1" ht="11.25" customHeight="1">
      <c r="A434" s="67" t="s">
        <v>18</v>
      </c>
      <c r="B434" s="54">
        <f t="shared" ref="B434:AG434" si="393">B420/B364</f>
        <v>7.9387215475639816E-2</v>
      </c>
      <c r="C434" s="76">
        <f t="shared" si="393"/>
        <v>8.762981841350749E-2</v>
      </c>
      <c r="D434" s="76">
        <f t="shared" si="393"/>
        <v>9.4887957331107414E-2</v>
      </c>
      <c r="E434" s="76">
        <f t="shared" si="393"/>
        <v>0.10127024964039497</v>
      </c>
      <c r="F434" s="76">
        <f t="shared" si="393"/>
        <v>7.9866424665171951E-2</v>
      </c>
      <c r="G434" s="54">
        <f t="shared" si="393"/>
        <v>9.0871426175486048E-2</v>
      </c>
      <c r="H434" s="76">
        <f t="shared" si="393"/>
        <v>6.6097568492095291E-2</v>
      </c>
      <c r="I434" s="76">
        <f t="shared" si="393"/>
        <v>7.9871324373379682E-2</v>
      </c>
      <c r="J434" s="76">
        <f t="shared" si="393"/>
        <v>0.10068153655514252</v>
      </c>
      <c r="K434" s="76">
        <f t="shared" si="393"/>
        <v>0.11650962180483325</v>
      </c>
      <c r="L434" s="54">
        <f t="shared" si="393"/>
        <v>9.1016857053521846E-2</v>
      </c>
      <c r="M434" s="76">
        <f t="shared" si="393"/>
        <v>0.10705001165772908</v>
      </c>
      <c r="N434" s="76">
        <f t="shared" si="393"/>
        <v>9.6370588235294111E-2</v>
      </c>
      <c r="O434" s="76">
        <f t="shared" si="393"/>
        <v>8.6427713982215271E-2</v>
      </c>
      <c r="P434" s="76">
        <f t="shared" si="393"/>
        <v>0.229286914381722</v>
      </c>
      <c r="Q434" s="54">
        <f t="shared" si="393"/>
        <v>0.13021951235413473</v>
      </c>
      <c r="R434" s="76">
        <f t="shared" si="393"/>
        <v>0.13971469944475984</v>
      </c>
      <c r="S434" s="76">
        <f t="shared" si="393"/>
        <v>0.1412942446930433</v>
      </c>
      <c r="T434" s="76">
        <f t="shared" si="393"/>
        <v>0.26141930774100453</v>
      </c>
      <c r="U434" s="76">
        <f t="shared" si="393"/>
        <v>0.30418147275094104</v>
      </c>
      <c r="V434" s="54">
        <f t="shared" si="393"/>
        <v>0.21307444876706741</v>
      </c>
      <c r="W434" s="76">
        <f t="shared" si="393"/>
        <v>0.21385699923545101</v>
      </c>
      <c r="X434" s="76">
        <f t="shared" si="393"/>
        <v>0.10845488474470412</v>
      </c>
      <c r="Y434" s="76">
        <f t="shared" si="393"/>
        <v>8.7655145117174815E-2</v>
      </c>
      <c r="Z434" s="76">
        <f t="shared" si="393"/>
        <v>0.11447447482828094</v>
      </c>
      <c r="AA434" s="54">
        <f t="shared" si="393"/>
        <v>0.13085499251184785</v>
      </c>
      <c r="AB434" s="76">
        <f t="shared" si="393"/>
        <v>8.9369632150380809E-2</v>
      </c>
      <c r="AC434" s="76">
        <f t="shared" si="393"/>
        <v>7.6985259683785653E-2</v>
      </c>
      <c r="AD434" s="76">
        <f t="shared" si="393"/>
        <v>6.9619936377994782E-2</v>
      </c>
      <c r="AE434" s="76">
        <f t="shared" si="393"/>
        <v>5.6873734128307568E-2</v>
      </c>
      <c r="AF434" s="54">
        <f t="shared" si="393"/>
        <v>7.2946569595347732E-2</v>
      </c>
      <c r="AG434" s="76">
        <f t="shared" si="393"/>
        <v>8.6650704225352107E-2</v>
      </c>
      <c r="AH434" s="76">
        <f t="shared" ref="AH434:AJ434" si="394">AH420/AH364</f>
        <v>6.5369863013698626E-2</v>
      </c>
      <c r="AI434" s="76">
        <f t="shared" si="394"/>
        <v>7.1023376623376627E-2</v>
      </c>
      <c r="AJ434" s="76">
        <f t="shared" si="394"/>
        <v>7.0263157894736861E-2</v>
      </c>
      <c r="AK434" s="54">
        <v>7.3138297872340427E-2</v>
      </c>
      <c r="AL434" s="76">
        <v>0.13475063613231553</v>
      </c>
      <c r="AM434" s="76">
        <v>6.5943734015345271E-2</v>
      </c>
      <c r="AN434" s="76">
        <v>7.2593830334190229E-2</v>
      </c>
      <c r="AO434" s="76">
        <v>5.1901234567901244E-2</v>
      </c>
      <c r="AP434" s="54">
        <v>8.1115335868187574E-2</v>
      </c>
      <c r="AQ434" s="76">
        <v>9.3670886075949367E-2</v>
      </c>
      <c r="AR434" s="76">
        <v>8.7533156498673742E-2</v>
      </c>
      <c r="AS434" s="76">
        <v>6.25E-2</v>
      </c>
      <c r="AT434" s="76">
        <v>6.6326530612244902E-2</v>
      </c>
      <c r="AU434" s="54">
        <v>7.7519379844961239E-2</v>
      </c>
      <c r="AV434" s="76">
        <v>7.5520833333333329E-2</v>
      </c>
      <c r="AW434" s="76">
        <v>0.11302211302211303</v>
      </c>
      <c r="AX434" s="76">
        <v>8.4468664850136238E-2</v>
      </c>
      <c r="AY434" s="76">
        <v>9.498680738786279E-2</v>
      </c>
      <c r="AZ434" s="54">
        <v>9.2387768379960961E-2</v>
      </c>
      <c r="BA434" s="76">
        <v>8.8068181818181823E-2</v>
      </c>
      <c r="BB434" s="76">
        <v>0.13095238095238096</v>
      </c>
      <c r="BC434" s="76">
        <v>8.1081081081081086E-2</v>
      </c>
      <c r="BD434" s="76">
        <v>6.7567567567567571E-2</v>
      </c>
      <c r="BE434" s="54">
        <v>9.1301222142343638E-2</v>
      </c>
      <c r="BF434" s="76">
        <v>9.6774193548387094E-2</v>
      </c>
      <c r="BG434" s="76">
        <v>0.10029498525073746</v>
      </c>
      <c r="BH434" s="76">
        <v>0.12158054711246201</v>
      </c>
    </row>
    <row r="435" spans="1:60" ht="12.75" hidden="1" customHeight="1">
      <c r="A435" s="67" t="s">
        <v>138</v>
      </c>
      <c r="B435" s="119" t="s">
        <v>41</v>
      </c>
      <c r="C435" s="78" t="s">
        <v>49</v>
      </c>
      <c r="D435" s="78" t="s">
        <v>49</v>
      </c>
      <c r="E435" s="78" t="s">
        <v>49</v>
      </c>
      <c r="F435" s="78" t="s">
        <v>49</v>
      </c>
      <c r="G435" s="119" t="s">
        <v>41</v>
      </c>
      <c r="H435" s="78" t="s">
        <v>49</v>
      </c>
      <c r="I435" s="78" t="s">
        <v>49</v>
      </c>
      <c r="J435" s="78" t="s">
        <v>49</v>
      </c>
      <c r="K435" s="78" t="s">
        <v>49</v>
      </c>
      <c r="L435" s="36">
        <v>51</v>
      </c>
      <c r="M435" s="78" t="s">
        <v>49</v>
      </c>
      <c r="N435" s="78" t="s">
        <v>49</v>
      </c>
      <c r="O435" s="78" t="s">
        <v>49</v>
      </c>
      <c r="P435" s="78" t="s">
        <v>49</v>
      </c>
      <c r="Q435" s="36">
        <v>53</v>
      </c>
      <c r="R435" s="68">
        <v>20</v>
      </c>
      <c r="S435" s="68">
        <v>18</v>
      </c>
      <c r="T435" s="68">
        <v>20</v>
      </c>
      <c r="U435" s="68">
        <f>V435-R435-S435-T435</f>
        <v>18</v>
      </c>
      <c r="V435" s="36">
        <v>76</v>
      </c>
      <c r="W435" s="68">
        <v>28</v>
      </c>
      <c r="X435" s="68">
        <v>26</v>
      </c>
      <c r="Y435" s="68">
        <v>16</v>
      </c>
      <c r="Z435" s="68">
        <f>AA435-W435-X435-Y435</f>
        <v>11</v>
      </c>
      <c r="AA435" s="36">
        <v>81</v>
      </c>
      <c r="AB435" s="68">
        <v>7</v>
      </c>
      <c r="AC435" s="68">
        <v>6</v>
      </c>
      <c r="AD435" s="68">
        <v>6</v>
      </c>
      <c r="AE435" s="68">
        <f>AF435-AB435-AC435-AD435</f>
        <v>7</v>
      </c>
      <c r="AF435" s="36">
        <v>26</v>
      </c>
      <c r="AG435" s="68">
        <v>0</v>
      </c>
      <c r="AH435" s="74">
        <v>0</v>
      </c>
      <c r="AI435" s="74">
        <v>0</v>
      </c>
      <c r="AJ435" s="74">
        <v>0</v>
      </c>
      <c r="AK435" s="61"/>
      <c r="AL435" s="74"/>
      <c r="AM435" s="74"/>
      <c r="AN435" s="74"/>
      <c r="AO435" s="74"/>
      <c r="AP435" s="61"/>
      <c r="AQ435" s="74"/>
      <c r="AR435" s="74"/>
      <c r="AS435" s="74"/>
      <c r="AT435" s="74"/>
      <c r="AU435" s="61"/>
      <c r="AV435" s="74"/>
      <c r="AW435" s="74"/>
      <c r="AX435" s="74"/>
      <c r="AY435" s="74"/>
      <c r="AZ435" s="61"/>
      <c r="BA435" s="74"/>
      <c r="BB435" s="74"/>
      <c r="BC435" s="74"/>
      <c r="BD435" s="74"/>
      <c r="BE435" s="61"/>
      <c r="BF435" s="74"/>
      <c r="BG435" s="74"/>
      <c r="BH435" s="74"/>
    </row>
    <row r="436" spans="1:60" ht="12.75" hidden="1" customHeight="1">
      <c r="A436" s="69" t="s">
        <v>7</v>
      </c>
      <c r="B436" s="23"/>
      <c r="C436" s="70"/>
      <c r="D436" s="70"/>
      <c r="E436" s="70"/>
      <c r="F436" s="70"/>
      <c r="G436" s="23"/>
      <c r="H436" s="70"/>
      <c r="I436" s="70"/>
      <c r="J436" s="70"/>
      <c r="K436" s="70"/>
      <c r="L436" s="23"/>
      <c r="M436" s="70"/>
      <c r="N436" s="70"/>
      <c r="O436" s="70"/>
      <c r="P436" s="70"/>
      <c r="Q436" s="23"/>
      <c r="R436" s="70"/>
      <c r="S436" s="70">
        <f>S435/R435-1</f>
        <v>-9.9999999999999978E-2</v>
      </c>
      <c r="T436" s="70">
        <f>T435/S435-1</f>
        <v>0.11111111111111116</v>
      </c>
      <c r="U436" s="70">
        <f>U435/T435-1</f>
        <v>-9.9999999999999978E-2</v>
      </c>
      <c r="V436" s="23"/>
      <c r="W436" s="70">
        <f>W435/U435-1</f>
        <v>0.55555555555555558</v>
      </c>
      <c r="X436" s="70">
        <f>X435/W435-1</f>
        <v>-7.1428571428571397E-2</v>
      </c>
      <c r="Y436" s="70">
        <f>Y435/X435-1</f>
        <v>-0.38461538461538458</v>
      </c>
      <c r="Z436" s="70">
        <f>Z435/Y435-1</f>
        <v>-0.3125</v>
      </c>
      <c r="AA436" s="23"/>
      <c r="AB436" s="70">
        <f>AB435/Z435-1</f>
        <v>-0.36363636363636365</v>
      </c>
      <c r="AC436" s="70">
        <f>AC435/AB435-1</f>
        <v>-0.1428571428571429</v>
      </c>
      <c r="AD436" s="70">
        <f>AD435/AC435-1</f>
        <v>0</v>
      </c>
      <c r="AE436" s="70">
        <f>AE435/AD435-1</f>
        <v>0.16666666666666674</v>
      </c>
      <c r="AF436" s="23"/>
      <c r="AG436" s="83" t="s">
        <v>40</v>
      </c>
      <c r="AH436" s="83" t="s">
        <v>40</v>
      </c>
      <c r="AI436" s="83" t="s">
        <v>40</v>
      </c>
      <c r="AJ436" s="83" t="s">
        <v>40</v>
      </c>
      <c r="AK436" s="23"/>
      <c r="AL436" s="83"/>
      <c r="AM436" s="83"/>
      <c r="AN436" s="83"/>
      <c r="AO436" s="83"/>
      <c r="AP436" s="23"/>
      <c r="AQ436" s="83"/>
      <c r="AR436" s="83"/>
      <c r="AS436" s="83"/>
      <c r="AT436" s="83"/>
      <c r="AU436" s="23"/>
      <c r="AV436" s="83"/>
      <c r="AW436" s="83"/>
      <c r="AX436" s="83"/>
      <c r="AY436" s="83"/>
      <c r="AZ436" s="23"/>
      <c r="BA436" s="83"/>
      <c r="BB436" s="83"/>
      <c r="BC436" s="83"/>
      <c r="BD436" s="83"/>
      <c r="BE436" s="23"/>
      <c r="BF436" s="83"/>
      <c r="BG436" s="83"/>
      <c r="BH436" s="83"/>
    </row>
    <row r="437" spans="1:60" ht="11.7" hidden="1" customHeight="1">
      <c r="A437" s="69" t="s">
        <v>8</v>
      </c>
      <c r="B437" s="23"/>
      <c r="C437" s="71"/>
      <c r="D437" s="71"/>
      <c r="E437" s="71"/>
      <c r="F437" s="71"/>
      <c r="G437" s="23"/>
      <c r="H437" s="71"/>
      <c r="I437" s="71"/>
      <c r="J437" s="71"/>
      <c r="K437" s="71"/>
      <c r="L437" s="23"/>
      <c r="M437" s="71"/>
      <c r="N437" s="71"/>
      <c r="O437" s="71"/>
      <c r="P437" s="71"/>
      <c r="Q437" s="23">
        <f>Q435/L435-1</f>
        <v>3.9215686274509887E-2</v>
      </c>
      <c r="R437" s="71"/>
      <c r="S437" s="71"/>
      <c r="T437" s="71"/>
      <c r="U437" s="71"/>
      <c r="V437" s="23">
        <f t="shared" ref="V437" si="395">V435/Q435-1</f>
        <v>0.4339622641509433</v>
      </c>
      <c r="W437" s="71">
        <f t="shared" ref="W437" si="396">W435/R435-1</f>
        <v>0.39999999999999991</v>
      </c>
      <c r="X437" s="71">
        <f t="shared" ref="X437" si="397">X435/S435-1</f>
        <v>0.44444444444444442</v>
      </c>
      <c r="Y437" s="71">
        <f t="shared" ref="Y437" si="398">Y435/T435-1</f>
        <v>-0.19999999999999996</v>
      </c>
      <c r="Z437" s="71">
        <f t="shared" ref="Z437" si="399">Z435/U435-1</f>
        <v>-0.38888888888888884</v>
      </c>
      <c r="AA437" s="23">
        <f t="shared" ref="AA437" si="400">AA435/V435-1</f>
        <v>6.578947368421062E-2</v>
      </c>
      <c r="AB437" s="71">
        <f t="shared" ref="AB437" si="401">AB435/W435-1</f>
        <v>-0.75</v>
      </c>
      <c r="AC437" s="71">
        <f t="shared" ref="AC437" si="402">AC435/X435-1</f>
        <v>-0.76923076923076916</v>
      </c>
      <c r="AD437" s="71">
        <f t="shared" ref="AD437" si="403">AD435/Y435-1</f>
        <v>-0.625</v>
      </c>
      <c r="AE437" s="71">
        <f>AE435/Z435-1</f>
        <v>-0.36363636363636365</v>
      </c>
      <c r="AF437" s="23">
        <f>AF435/AA435-1</f>
        <v>-0.67901234567901236</v>
      </c>
      <c r="AG437" s="83" t="s">
        <v>40</v>
      </c>
      <c r="AH437" s="83" t="s">
        <v>40</v>
      </c>
      <c r="AI437" s="83" t="s">
        <v>40</v>
      </c>
      <c r="AJ437" s="83" t="s">
        <v>40</v>
      </c>
      <c r="AK437" s="90"/>
      <c r="AL437" s="83"/>
      <c r="AM437" s="83"/>
      <c r="AN437" s="83"/>
      <c r="AO437" s="83"/>
      <c r="AP437" s="90"/>
      <c r="AQ437" s="83"/>
      <c r="AR437" s="83"/>
      <c r="AS437" s="83"/>
      <c r="AT437" s="83"/>
      <c r="AU437" s="90"/>
      <c r="AV437" s="83"/>
      <c r="AW437" s="83"/>
      <c r="AX437" s="83"/>
      <c r="AY437" s="83"/>
      <c r="AZ437" s="90"/>
      <c r="BA437" s="83"/>
      <c r="BB437" s="83"/>
      <c r="BC437" s="83"/>
      <c r="BD437" s="83"/>
      <c r="BE437" s="90"/>
      <c r="BF437" s="83"/>
      <c r="BG437" s="83"/>
      <c r="BH437" s="83"/>
    </row>
    <row r="438" spans="1:60" ht="6"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row>
    <row r="439" spans="1:60" ht="21">
      <c r="A439" s="34" t="s">
        <v>293</v>
      </c>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row>
    <row r="440" spans="1:60">
      <c r="A440" s="21"/>
      <c r="B440" s="21"/>
      <c r="C440" s="20"/>
      <c r="D440" s="20"/>
      <c r="E440" s="20"/>
      <c r="F440" s="20"/>
      <c r="G440" s="21"/>
      <c r="H440" s="20"/>
      <c r="I440" s="20"/>
      <c r="J440" s="20"/>
      <c r="K440" s="20"/>
      <c r="L440" s="21"/>
      <c r="M440" s="20"/>
      <c r="N440" s="20"/>
      <c r="O440" s="20"/>
      <c r="P440" s="20"/>
      <c r="Q440" s="21"/>
      <c r="R440" s="20"/>
      <c r="S440" s="20"/>
      <c r="T440" s="20"/>
      <c r="U440" s="20"/>
      <c r="V440" s="21"/>
      <c r="W440" s="20"/>
      <c r="X440" s="20"/>
      <c r="Y440" s="20"/>
      <c r="Z440" s="20"/>
      <c r="AA440" s="21"/>
      <c r="AB440" s="20"/>
      <c r="AC440" s="20"/>
      <c r="AD440" s="20"/>
      <c r="AE440" s="20"/>
      <c r="AF440" s="21"/>
      <c r="AG440" s="20"/>
      <c r="AH440" s="20"/>
      <c r="AI440" s="20"/>
      <c r="AJ440" s="20"/>
      <c r="AK440" s="21"/>
      <c r="AL440" s="20"/>
      <c r="AM440" s="20"/>
      <c r="AN440" s="20"/>
      <c r="AO440" s="20"/>
      <c r="AP440" s="21"/>
      <c r="AQ440" s="20"/>
      <c r="AR440" s="20"/>
      <c r="AS440" s="20"/>
      <c r="AT440" s="20"/>
      <c r="AU440" s="21"/>
      <c r="AV440" s="20"/>
      <c r="AW440" s="20"/>
      <c r="AX440" s="20"/>
      <c r="AY440" s="20"/>
      <c r="AZ440" s="21"/>
      <c r="BA440" s="20"/>
      <c r="BB440" s="20"/>
      <c r="BC440" s="20"/>
      <c r="BD440" s="20"/>
      <c r="BE440" s="21"/>
      <c r="BF440" s="20"/>
      <c r="BG440" s="20"/>
      <c r="BH440" s="20"/>
    </row>
    <row r="441" spans="1:60">
      <c r="A441" s="39" t="s">
        <v>72</v>
      </c>
      <c r="B441" s="40"/>
      <c r="C441" s="41"/>
      <c r="D441" s="41"/>
      <c r="E441" s="41"/>
      <c r="F441" s="41"/>
      <c r="G441" s="40"/>
      <c r="H441" s="41"/>
      <c r="I441" s="41"/>
      <c r="J441" s="41"/>
      <c r="K441" s="41"/>
      <c r="L441" s="40"/>
      <c r="M441" s="41"/>
      <c r="N441" s="41"/>
      <c r="O441" s="41"/>
      <c r="P441" s="41"/>
      <c r="Q441" s="40"/>
      <c r="R441" s="41"/>
      <c r="S441" s="41"/>
      <c r="T441" s="41"/>
      <c r="U441" s="41"/>
      <c r="V441" s="40"/>
      <c r="W441" s="41"/>
      <c r="X441" s="41"/>
      <c r="Y441" s="41"/>
      <c r="Z441" s="41"/>
      <c r="AA441" s="40"/>
      <c r="AB441" s="41"/>
      <c r="AC441" s="41"/>
      <c r="AD441" s="41"/>
      <c r="AE441" s="41"/>
      <c r="AF441" s="40"/>
      <c r="AG441" s="41"/>
      <c r="AH441" s="41"/>
      <c r="AI441" s="41"/>
      <c r="AJ441" s="41"/>
      <c r="AK441" s="40"/>
      <c r="AL441" s="41"/>
      <c r="AM441" s="41"/>
      <c r="AN441" s="41"/>
      <c r="AO441" s="41"/>
      <c r="AP441" s="40"/>
      <c r="AQ441" s="41"/>
      <c r="AR441" s="41"/>
      <c r="AS441" s="41"/>
      <c r="AT441" s="41"/>
      <c r="AU441" s="40"/>
      <c r="AV441" s="41"/>
      <c r="AW441" s="41"/>
      <c r="AX441" s="41"/>
      <c r="AY441" s="41"/>
      <c r="AZ441" s="40"/>
      <c r="BA441" s="41"/>
      <c r="BB441" s="41"/>
      <c r="BC441" s="41"/>
      <c r="BD441" s="41"/>
      <c r="BE441" s="40"/>
      <c r="BF441" s="41"/>
      <c r="BG441" s="41"/>
      <c r="BH441" s="41"/>
    </row>
    <row r="442" spans="1:60" s="35" customFormat="1">
      <c r="A442" s="67" t="s">
        <v>16</v>
      </c>
      <c r="B442" s="36">
        <v>1414.8230000000001</v>
      </c>
      <c r="C442" s="68">
        <v>381.36200000000002</v>
      </c>
      <c r="D442" s="68">
        <v>379.875</v>
      </c>
      <c r="E442" s="68">
        <v>375.15</v>
      </c>
      <c r="F442" s="68">
        <f>G442-E442-D442-C442</f>
        <v>376.24499999999995</v>
      </c>
      <c r="G442" s="36">
        <v>1512.6320000000001</v>
      </c>
      <c r="H442" s="68">
        <v>383.78199999999998</v>
      </c>
      <c r="I442" s="68">
        <v>376.09800000000001</v>
      </c>
      <c r="J442" s="68">
        <v>380.45100000000002</v>
      </c>
      <c r="K442" s="68">
        <f>L442-J442-I442-H442</f>
        <v>390.10399999999998</v>
      </c>
      <c r="L442" s="36">
        <v>1530.4349999999999</v>
      </c>
      <c r="M442" s="68">
        <v>391.416</v>
      </c>
      <c r="N442" s="68">
        <v>395.947</v>
      </c>
      <c r="O442" s="68">
        <v>395.34699999999998</v>
      </c>
      <c r="P442" s="68">
        <f>Q442-O442-N442-M442</f>
        <v>400.22000000000008</v>
      </c>
      <c r="Q442" s="36">
        <v>1582.93</v>
      </c>
      <c r="R442" s="68">
        <v>405.55</v>
      </c>
      <c r="S442" s="68">
        <v>403.96</v>
      </c>
      <c r="T442" s="68">
        <v>405.46800000000002</v>
      </c>
      <c r="U442" s="68">
        <f>V442-T442-S442-R442</f>
        <v>403.83099999999985</v>
      </c>
      <c r="V442" s="36">
        <v>1618.809</v>
      </c>
      <c r="W442" s="68">
        <v>416.70400000000001</v>
      </c>
      <c r="X442" s="68">
        <v>408.73200000000003</v>
      </c>
      <c r="Y442" s="68">
        <v>402.72</v>
      </c>
      <c r="Z442" s="68">
        <f>AA442-Y442-X442-W442</f>
        <v>407.83799999999991</v>
      </c>
      <c r="AA442" s="36">
        <v>1635.9939999999999</v>
      </c>
      <c r="AB442" s="68">
        <v>403.541</v>
      </c>
      <c r="AC442" s="68">
        <v>403.84</v>
      </c>
      <c r="AD442" s="68">
        <v>410.26400000000001</v>
      </c>
      <c r="AE442" s="68">
        <f>AF442-AD442-AC442-AB442</f>
        <v>417.57099999999986</v>
      </c>
      <c r="AF442" s="36">
        <v>1635.2159999999999</v>
      </c>
      <c r="AG442" s="68">
        <v>424</v>
      </c>
      <c r="AH442" s="68">
        <v>428</v>
      </c>
      <c r="AI442" s="68">
        <v>432</v>
      </c>
      <c r="AJ442" s="68">
        <f>AK442-AI442-AH442-AG442</f>
        <v>440</v>
      </c>
      <c r="AK442" s="36">
        <v>1724</v>
      </c>
      <c r="AL442" s="68">
        <v>440</v>
      </c>
      <c r="AM442" s="68">
        <v>439</v>
      </c>
      <c r="AN442" s="68">
        <v>446</v>
      </c>
      <c r="AO442" s="68">
        <v>449</v>
      </c>
      <c r="AP442" s="36">
        <v>1774</v>
      </c>
      <c r="AQ442" s="68">
        <v>439</v>
      </c>
      <c r="AR442" s="68">
        <v>434</v>
      </c>
      <c r="AS442" s="68">
        <v>434</v>
      </c>
      <c r="AT442" s="68">
        <v>438</v>
      </c>
      <c r="AU442" s="36">
        <v>1745</v>
      </c>
      <c r="AV442" s="68">
        <v>424</v>
      </c>
      <c r="AW442" s="68">
        <v>416</v>
      </c>
      <c r="AX442" s="68">
        <v>406</v>
      </c>
      <c r="AY442" s="68">
        <v>404</v>
      </c>
      <c r="AZ442" s="36">
        <v>1650</v>
      </c>
      <c r="BA442" s="68">
        <v>375</v>
      </c>
      <c r="BB442" s="68">
        <v>375</v>
      </c>
      <c r="BC442" s="68">
        <v>367</v>
      </c>
      <c r="BD442" s="68">
        <v>356</v>
      </c>
      <c r="BE442" s="36">
        <v>1473</v>
      </c>
      <c r="BF442" s="68">
        <v>343</v>
      </c>
      <c r="BG442" s="68">
        <v>337</v>
      </c>
      <c r="BH442" s="68">
        <v>334</v>
      </c>
    </row>
    <row r="443" spans="1:60">
      <c r="A443" s="69" t="s">
        <v>7</v>
      </c>
      <c r="B443" s="23"/>
      <c r="C443" s="70"/>
      <c r="D443" s="70">
        <f>D442/C442-1</f>
        <v>-3.8991824041200163E-3</v>
      </c>
      <c r="E443" s="70">
        <f>E442/D442-1</f>
        <v>-1.2438302073050411E-2</v>
      </c>
      <c r="F443" s="70">
        <f>F442/E442-1</f>
        <v>2.9188324670130772E-3</v>
      </c>
      <c r="G443" s="23"/>
      <c r="H443" s="70">
        <f>H442/F442-1</f>
        <v>2.003215989581264E-2</v>
      </c>
      <c r="I443" s="70">
        <f>I442/H442-1</f>
        <v>-2.0021783199837273E-2</v>
      </c>
      <c r="J443" s="70">
        <f>J442/I442-1</f>
        <v>1.1574111002983223E-2</v>
      </c>
      <c r="K443" s="70">
        <f>K442/J442-1</f>
        <v>2.5372518405786693E-2</v>
      </c>
      <c r="L443" s="23"/>
      <c r="M443" s="70">
        <f>M442/K442-1</f>
        <v>3.3632057092467527E-3</v>
      </c>
      <c r="N443" s="70">
        <f>N442/M442-1</f>
        <v>1.1575919226602949E-2</v>
      </c>
      <c r="O443" s="70">
        <f>O442/N442-1</f>
        <v>-1.5153543277257597E-3</v>
      </c>
      <c r="P443" s="70">
        <f>P442/O442-1</f>
        <v>1.2325880808505163E-2</v>
      </c>
      <c r="Q443" s="23"/>
      <c r="R443" s="70">
        <f>R442/P442-1</f>
        <v>1.3317675278596619E-2</v>
      </c>
      <c r="S443" s="70">
        <f>S442/R442-1</f>
        <v>-3.9206016520775266E-3</v>
      </c>
      <c r="T443" s="70">
        <f>T442/S442-1</f>
        <v>3.733042875532222E-3</v>
      </c>
      <c r="U443" s="70">
        <f>U442/T442-1</f>
        <v>-4.0373099726739303E-3</v>
      </c>
      <c r="V443" s="23"/>
      <c r="W443" s="70">
        <f>W442/U442-1</f>
        <v>3.1877196153837106E-2</v>
      </c>
      <c r="X443" s="70">
        <f>X442/W442-1</f>
        <v>-1.9131085854707353E-2</v>
      </c>
      <c r="Y443" s="70">
        <f>Y442/X442-1</f>
        <v>-1.4708904612313223E-2</v>
      </c>
      <c r="Z443" s="70">
        <v>1.270858164481492E-2</v>
      </c>
      <c r="AA443" s="23"/>
      <c r="AB443" s="70">
        <f>AB442/Z442-1</f>
        <v>-1.0536046175196767E-2</v>
      </c>
      <c r="AC443" s="70">
        <f>AC442/AB442-1</f>
        <v>7.4094082137876605E-4</v>
      </c>
      <c r="AD443" s="70">
        <f>AD442/AC442-1</f>
        <v>1.5907290015847897E-2</v>
      </c>
      <c r="AE443" s="70">
        <f>AE442/AD442-1</f>
        <v>1.7810483006063915E-2</v>
      </c>
      <c r="AF443" s="23"/>
      <c r="AG443" s="70">
        <f>AG442/AE442-1</f>
        <v>1.5396184121982071E-2</v>
      </c>
      <c r="AH443" s="70">
        <f>AH442/AG442-1</f>
        <v>9.4339622641510523E-3</v>
      </c>
      <c r="AI443" s="70">
        <f>AI442/AH442-1</f>
        <v>9.3457943925232545E-3</v>
      </c>
      <c r="AJ443" s="70">
        <f>AJ442/AI442-1</f>
        <v>1.8518518518518601E-2</v>
      </c>
      <c r="AK443" s="23"/>
      <c r="AL443" s="70">
        <v>0</v>
      </c>
      <c r="AM443" s="70">
        <v>-2.2727272727273151E-3</v>
      </c>
      <c r="AN443" s="70">
        <v>1.5945330296127658E-2</v>
      </c>
      <c r="AO443" s="70">
        <v>6.7264573991030474E-3</v>
      </c>
      <c r="AP443" s="23"/>
      <c r="AQ443" s="70">
        <v>-2.2271714922049046E-2</v>
      </c>
      <c r="AR443" s="70">
        <v>-1.1389521640091105E-2</v>
      </c>
      <c r="AS443" s="70">
        <v>0</v>
      </c>
      <c r="AT443" s="70">
        <v>9.2165898617511122E-3</v>
      </c>
      <c r="AU443" s="23"/>
      <c r="AV443" s="70">
        <v>-3.1963470319634757E-2</v>
      </c>
      <c r="AW443" s="70">
        <v>-1.8867924528301883E-2</v>
      </c>
      <c r="AX443" s="70">
        <v>-2.4038461538461564E-2</v>
      </c>
      <c r="AY443" s="70">
        <v>-4.9261083743842304E-3</v>
      </c>
      <c r="AZ443" s="23"/>
      <c r="BA443" s="70">
        <v>-7.1782178217821735E-2</v>
      </c>
      <c r="BB443" s="70">
        <v>0</v>
      </c>
      <c r="BC443" s="70">
        <v>-2.1333333333333315E-2</v>
      </c>
      <c r="BD443" s="70">
        <v>-2.9972752043596729E-2</v>
      </c>
      <c r="BE443" s="23"/>
      <c r="BF443" s="70">
        <v>-3.6516853932584303E-2</v>
      </c>
      <c r="BG443" s="70">
        <v>-1.7492711370262426E-2</v>
      </c>
      <c r="BH443" s="70">
        <v>-8.9020771513352859E-3</v>
      </c>
    </row>
    <row r="444" spans="1:60">
      <c r="A444" s="69" t="s">
        <v>8</v>
      </c>
      <c r="B444" s="23"/>
      <c r="C444" s="71"/>
      <c r="D444" s="71"/>
      <c r="E444" s="71"/>
      <c r="F444" s="71"/>
      <c r="G444" s="23">
        <f t="shared" ref="G444:N444" si="404">G442/B442-1</f>
        <v>6.9131615756882647E-2</v>
      </c>
      <c r="H444" s="71">
        <f t="shared" si="404"/>
        <v>6.345676811008838E-3</v>
      </c>
      <c r="I444" s="71">
        <f t="shared" si="404"/>
        <v>-9.9427443237907198E-3</v>
      </c>
      <c r="J444" s="71">
        <f t="shared" si="404"/>
        <v>1.4130347860855874E-2</v>
      </c>
      <c r="K444" s="71">
        <f t="shared" si="404"/>
        <v>3.6835040997222679E-2</v>
      </c>
      <c r="L444" s="23">
        <f t="shared" si="404"/>
        <v>1.1769551351551444E-2</v>
      </c>
      <c r="M444" s="71">
        <f t="shared" si="404"/>
        <v>1.9891500904159143E-2</v>
      </c>
      <c r="N444" s="71">
        <f t="shared" si="404"/>
        <v>5.277613813420956E-2</v>
      </c>
      <c r="O444" s="71">
        <f t="shared" ref="O444:Y444" si="405">O442/J442-1</f>
        <v>3.9153530940909453E-2</v>
      </c>
      <c r="P444" s="71">
        <f t="shared" si="405"/>
        <v>2.5931546459405874E-2</v>
      </c>
      <c r="Q444" s="23">
        <f t="shared" si="405"/>
        <v>3.4300705355013505E-2</v>
      </c>
      <c r="R444" s="71">
        <f t="shared" si="405"/>
        <v>3.6109918858707957E-2</v>
      </c>
      <c r="S444" s="71">
        <f t="shared" si="405"/>
        <v>2.0237557046776322E-2</v>
      </c>
      <c r="T444" s="71">
        <f t="shared" si="405"/>
        <v>2.5600295436667198E-2</v>
      </c>
      <c r="U444" s="71">
        <f t="shared" si="405"/>
        <v>9.022537604316927E-3</v>
      </c>
      <c r="V444" s="23">
        <f t="shared" si="405"/>
        <v>2.2666194967560171E-2</v>
      </c>
      <c r="W444" s="71">
        <f t="shared" si="405"/>
        <v>2.7503390457403576E-2</v>
      </c>
      <c r="X444" s="71">
        <f t="shared" si="405"/>
        <v>1.1813050797108815E-2</v>
      </c>
      <c r="Y444" s="71">
        <f t="shared" si="405"/>
        <v>-6.777353576607803E-3</v>
      </c>
      <c r="Z444" s="71">
        <v>9.9224675668783124E-3</v>
      </c>
      <c r="AA444" s="23">
        <v>1.0615829291781731E-2</v>
      </c>
      <c r="AB444" s="71">
        <f t="shared" ref="AB444:AI444" si="406">AB442/W442-1</f>
        <v>-3.1588369682076567E-2</v>
      </c>
      <c r="AC444" s="71">
        <f t="shared" si="406"/>
        <v>-1.1968722781676155E-2</v>
      </c>
      <c r="AD444" s="71">
        <f t="shared" si="406"/>
        <v>1.873261819626526E-2</v>
      </c>
      <c r="AE444" s="71">
        <f t="shared" si="406"/>
        <v>2.3864867913239829E-2</v>
      </c>
      <c r="AF444" s="23">
        <f t="shared" si="406"/>
        <v>-4.7555186632719515E-4</v>
      </c>
      <c r="AG444" s="71">
        <f t="shared" si="406"/>
        <v>5.0698689848119427E-2</v>
      </c>
      <c r="AH444" s="71">
        <f t="shared" si="406"/>
        <v>5.9825673534072976E-2</v>
      </c>
      <c r="AI444" s="71">
        <f t="shared" si="406"/>
        <v>5.2980519860382547E-2</v>
      </c>
      <c r="AJ444" s="71">
        <f t="shared" ref="AJ444" si="407">AJ442/AE442-1</f>
        <v>5.3713021258660509E-2</v>
      </c>
      <c r="AK444" s="23">
        <v>5.4294967759610957E-2</v>
      </c>
      <c r="AL444" s="71">
        <v>3.7735849056603765E-2</v>
      </c>
      <c r="AM444" s="71">
        <v>2.5700934579439227E-2</v>
      </c>
      <c r="AN444" s="71">
        <v>3.240740740740744E-2</v>
      </c>
      <c r="AO444" s="71">
        <v>2.0454545454545503E-2</v>
      </c>
      <c r="AP444" s="23">
        <v>2.9002320185614883E-2</v>
      </c>
      <c r="AQ444" s="71">
        <v>-2.2727272727273151E-3</v>
      </c>
      <c r="AR444" s="71">
        <v>-1.1389521640091105E-2</v>
      </c>
      <c r="AS444" s="71">
        <v>-2.6905829596412523E-2</v>
      </c>
      <c r="AT444" s="71">
        <v>-2.4498886414253906E-2</v>
      </c>
      <c r="AU444" s="23">
        <v>-1.6347237880496079E-2</v>
      </c>
      <c r="AV444" s="71">
        <v>-3.4168564920273314E-2</v>
      </c>
      <c r="AW444" s="71">
        <v>-4.1474654377880227E-2</v>
      </c>
      <c r="AX444" s="71">
        <v>-6.4516129032258118E-2</v>
      </c>
      <c r="AY444" s="71">
        <v>-7.7625570776255759E-2</v>
      </c>
      <c r="AZ444" s="23">
        <v>-5.4441260744985676E-2</v>
      </c>
      <c r="BA444" s="71">
        <v>-0.11556603773584906</v>
      </c>
      <c r="BB444" s="71">
        <v>-9.8557692307692291E-2</v>
      </c>
      <c r="BC444" s="71">
        <v>-9.605911330049266E-2</v>
      </c>
      <c r="BD444" s="71">
        <v>-0.11881188118811881</v>
      </c>
      <c r="BE444" s="23">
        <v>-0.1072727272727273</v>
      </c>
      <c r="BF444" s="71">
        <v>-8.5333333333333372E-2</v>
      </c>
      <c r="BG444" s="71">
        <v>-0.10133333333333339</v>
      </c>
      <c r="BH444" s="71">
        <v>-8.9918256130790186E-2</v>
      </c>
    </row>
    <row r="445" spans="1:60" s="35" customFormat="1">
      <c r="A445" s="67" t="s">
        <v>271</v>
      </c>
      <c r="B445" s="36">
        <v>273.202</v>
      </c>
      <c r="C445" s="68">
        <v>64.709999999999994</v>
      </c>
      <c r="D445" s="68">
        <v>60.594999999999999</v>
      </c>
      <c r="E445" s="68">
        <v>58.738</v>
      </c>
      <c r="F445" s="68">
        <f>G445-E445-D445-C445</f>
        <v>65.837000000000003</v>
      </c>
      <c r="G445" s="36">
        <v>249.88</v>
      </c>
      <c r="H445" s="68">
        <v>56.545000000000002</v>
      </c>
      <c r="I445" s="68">
        <v>55.561999999999998</v>
      </c>
      <c r="J445" s="68">
        <v>58.927999999999997</v>
      </c>
      <c r="K445" s="68">
        <f>L445-J445-I445-H445</f>
        <v>63.168000000000006</v>
      </c>
      <c r="L445" s="36">
        <v>234.203</v>
      </c>
      <c r="M445" s="68">
        <v>63.753999999999998</v>
      </c>
      <c r="N445" s="68">
        <v>68.176000000000002</v>
      </c>
      <c r="O445" s="68">
        <v>67.78</v>
      </c>
      <c r="P445" s="68">
        <f>Q445-O445-N445-M445</f>
        <v>85.02200000000002</v>
      </c>
      <c r="Q445" s="36">
        <v>284.73200000000003</v>
      </c>
      <c r="R445" s="68">
        <v>68.593000000000004</v>
      </c>
      <c r="S445" s="68">
        <v>71.131</v>
      </c>
      <c r="T445" s="68">
        <v>74.073999999999998</v>
      </c>
      <c r="U445" s="68">
        <f>V445-T445-S445-R445</f>
        <v>62.594999999999956</v>
      </c>
      <c r="V445" s="36">
        <v>276.39299999999997</v>
      </c>
      <c r="W445" s="68">
        <v>65.841999999999999</v>
      </c>
      <c r="X445" s="68">
        <v>53.802</v>
      </c>
      <c r="Y445" s="68">
        <v>64.432000000000002</v>
      </c>
      <c r="Z445" s="68">
        <f>AA445-Y445-X445-W445</f>
        <v>64.173999999999992</v>
      </c>
      <c r="AA445" s="36">
        <v>248.25</v>
      </c>
      <c r="AB445" s="68">
        <v>61.953000000000003</v>
      </c>
      <c r="AC445" s="68">
        <v>64.105000000000004</v>
      </c>
      <c r="AD445" s="68">
        <v>66.006</v>
      </c>
      <c r="AE445" s="68">
        <f>AF445-AD445-AC445-AB445</f>
        <v>70.671000000000021</v>
      </c>
      <c r="AF445" s="36">
        <v>262.73500000000001</v>
      </c>
      <c r="AG445" s="68">
        <v>70</v>
      </c>
      <c r="AH445" s="68">
        <v>74</v>
      </c>
      <c r="AI445" s="68">
        <v>75</v>
      </c>
      <c r="AJ445" s="68">
        <f>AK445-AI445-AH445-AG445</f>
        <v>78</v>
      </c>
      <c r="AK445" s="36">
        <v>297</v>
      </c>
      <c r="AL445" s="68">
        <v>76</v>
      </c>
      <c r="AM445" s="68">
        <v>80</v>
      </c>
      <c r="AN445" s="68">
        <v>78</v>
      </c>
      <c r="AO445" s="68">
        <v>88</v>
      </c>
      <c r="AP445" s="36">
        <v>322</v>
      </c>
      <c r="AQ445" s="68">
        <v>76</v>
      </c>
      <c r="AR445" s="68">
        <v>74</v>
      </c>
      <c r="AS445" s="68">
        <v>75</v>
      </c>
      <c r="AT445" s="68">
        <v>71</v>
      </c>
      <c r="AU445" s="36">
        <v>296</v>
      </c>
      <c r="AV445" s="143">
        <v>70</v>
      </c>
      <c r="AW445" s="143">
        <v>71</v>
      </c>
      <c r="AX445" s="143">
        <v>72</v>
      </c>
      <c r="AY445" s="143">
        <v>72</v>
      </c>
      <c r="AZ445" s="36">
        <v>285</v>
      </c>
      <c r="BA445" s="143">
        <v>79</v>
      </c>
      <c r="BB445" s="68">
        <v>79</v>
      </c>
      <c r="BC445" s="68">
        <v>81</v>
      </c>
      <c r="BD445" s="68">
        <v>84</v>
      </c>
      <c r="BE445" s="36">
        <v>323</v>
      </c>
      <c r="BF445" s="68">
        <v>55</v>
      </c>
      <c r="BG445" s="68">
        <v>68</v>
      </c>
      <c r="BH445" s="68">
        <v>50</v>
      </c>
    </row>
    <row r="446" spans="1:60">
      <c r="A446" s="80" t="s">
        <v>7</v>
      </c>
      <c r="B446" s="23"/>
      <c r="C446" s="70"/>
      <c r="D446" s="70">
        <f>D445/C445-1</f>
        <v>-6.3591407819502344E-2</v>
      </c>
      <c r="E446" s="70">
        <f>E445/D445-1</f>
        <v>-3.0646092911956413E-2</v>
      </c>
      <c r="F446" s="70">
        <f>F445/E445-1</f>
        <v>0.12085872859137181</v>
      </c>
      <c r="G446" s="23"/>
      <c r="H446" s="70">
        <f>H445/F445-1</f>
        <v>-0.14113644303355255</v>
      </c>
      <c r="I446" s="70">
        <f>I445/H445-1</f>
        <v>-1.7384384118843466E-2</v>
      </c>
      <c r="J446" s="70">
        <f>J445/I445-1</f>
        <v>6.0580972607177541E-2</v>
      </c>
      <c r="K446" s="70">
        <f>K445/J445-1</f>
        <v>7.1952212869943244E-2</v>
      </c>
      <c r="L446" s="23"/>
      <c r="M446" s="70">
        <f>M445/K445-1</f>
        <v>9.276849037487267E-3</v>
      </c>
      <c r="N446" s="70">
        <f>N445/M445-1</f>
        <v>6.9360353860149937E-2</v>
      </c>
      <c r="O446" s="70">
        <f>O445/N445-1</f>
        <v>-5.8084956582962199E-3</v>
      </c>
      <c r="P446" s="70">
        <f>P445/O445-1</f>
        <v>0.25438182354676919</v>
      </c>
      <c r="Q446" s="23"/>
      <c r="R446" s="70">
        <f>R445/P445-1</f>
        <v>-0.19323233986497623</v>
      </c>
      <c r="S446" s="70">
        <f>S445/R445-1</f>
        <v>3.7000860146078951E-2</v>
      </c>
      <c r="T446" s="70">
        <f>T445/S445-1</f>
        <v>4.1374365607119268E-2</v>
      </c>
      <c r="U446" s="70">
        <f>U445/T445-1</f>
        <v>-0.15496665496665551</v>
      </c>
      <c r="V446" s="23"/>
      <c r="W446" s="70">
        <f>W445/U445-1</f>
        <v>5.187315280773297E-2</v>
      </c>
      <c r="X446" s="70">
        <f>X445/W445-1</f>
        <v>-0.18286200297682331</v>
      </c>
      <c r="Y446" s="70">
        <f>Y445/X445-1</f>
        <v>0.19757629827887446</v>
      </c>
      <c r="Z446" s="70">
        <v>-4.0042215048424756E-3</v>
      </c>
      <c r="AA446" s="23"/>
      <c r="AB446" s="70">
        <f>AB445/Z445-1</f>
        <v>-3.4609031695078896E-2</v>
      </c>
      <c r="AC446" s="70">
        <f>AC445/AB445-1</f>
        <v>3.4736009555630831E-2</v>
      </c>
      <c r="AD446" s="70">
        <f>AD445/AC445-1</f>
        <v>2.9654473130021008E-2</v>
      </c>
      <c r="AE446" s="70">
        <f>AE445/AD445-1</f>
        <v>7.0675393146077958E-2</v>
      </c>
      <c r="AF446" s="23"/>
      <c r="AG446" s="70">
        <f>AG445/AE445-1</f>
        <v>-9.4947007966496022E-3</v>
      </c>
      <c r="AH446" s="70">
        <f>AH445/AG445-1</f>
        <v>5.7142857142857162E-2</v>
      </c>
      <c r="AI446" s="70">
        <f>AI445/AH445-1</f>
        <v>1.3513513513513598E-2</v>
      </c>
      <c r="AJ446" s="70">
        <f>AJ445/AI445-1</f>
        <v>4.0000000000000036E-2</v>
      </c>
      <c r="AK446" s="23"/>
      <c r="AL446" s="70">
        <v>-2.5641025641025661E-2</v>
      </c>
      <c r="AM446" s="70">
        <v>5.2631578947368363E-2</v>
      </c>
      <c r="AN446" s="70">
        <v>-2.5000000000000022E-2</v>
      </c>
      <c r="AO446" s="70">
        <v>0.12820512820512819</v>
      </c>
      <c r="AP446" s="23"/>
      <c r="AQ446" s="70">
        <v>-0.13636363636363635</v>
      </c>
      <c r="AR446" s="70">
        <v>-2.6315789473684181E-2</v>
      </c>
      <c r="AS446" s="70">
        <v>1.3513513513513598E-2</v>
      </c>
      <c r="AT446" s="70">
        <v>-5.3333333333333344E-2</v>
      </c>
      <c r="AU446" s="23"/>
      <c r="AV446" s="70">
        <v>-1.4084507042253502E-2</v>
      </c>
      <c r="AW446" s="70">
        <v>1.4285714285714235E-2</v>
      </c>
      <c r="AX446" s="70">
        <v>1.4084507042253502E-2</v>
      </c>
      <c r="AY446" s="70">
        <v>0</v>
      </c>
      <c r="AZ446" s="23"/>
      <c r="BA446" s="161">
        <v>9.7222222222222321E-2</v>
      </c>
      <c r="BB446" s="70">
        <v>0</v>
      </c>
      <c r="BC446" s="70">
        <v>2.5316455696202445E-2</v>
      </c>
      <c r="BD446" s="70">
        <v>3.7037037037036979E-2</v>
      </c>
      <c r="BE446" s="23"/>
      <c r="BF446" s="70">
        <v>-0.34523809523809523</v>
      </c>
      <c r="BG446" s="70">
        <v>0.23636363636363633</v>
      </c>
      <c r="BH446" s="70">
        <v>-0.26470588235294112</v>
      </c>
    </row>
    <row r="447" spans="1:60">
      <c r="A447" s="80" t="s">
        <v>8</v>
      </c>
      <c r="B447" s="23"/>
      <c r="C447" s="71"/>
      <c r="D447" s="71"/>
      <c r="E447" s="71"/>
      <c r="F447" s="71"/>
      <c r="G447" s="23">
        <f t="shared" ref="G447:N447" si="408">G445/B445-1</f>
        <v>-8.5365407281059458E-2</v>
      </c>
      <c r="H447" s="71">
        <f t="shared" si="408"/>
        <v>-0.12617833410601131</v>
      </c>
      <c r="I447" s="71">
        <f t="shared" si="408"/>
        <v>-8.3059658387655722E-2</v>
      </c>
      <c r="J447" s="71">
        <f t="shared" si="408"/>
        <v>3.2347032585378077E-3</v>
      </c>
      <c r="K447" s="71">
        <f t="shared" si="408"/>
        <v>-4.0539514254902209E-2</v>
      </c>
      <c r="L447" s="23">
        <f t="shared" si="408"/>
        <v>-6.2738114294861536E-2</v>
      </c>
      <c r="M447" s="71">
        <f t="shared" si="408"/>
        <v>0.12749137854805892</v>
      </c>
      <c r="N447" s="71">
        <f t="shared" si="408"/>
        <v>0.22702566502285748</v>
      </c>
      <c r="O447" s="71">
        <f t="shared" ref="O447:Y447" si="409">O445/J445-1</f>
        <v>0.15021721422753198</v>
      </c>
      <c r="P447" s="71">
        <f t="shared" si="409"/>
        <v>0.34596631205673778</v>
      </c>
      <c r="Q447" s="23">
        <f t="shared" si="409"/>
        <v>0.21574873080191126</v>
      </c>
      <c r="R447" s="71">
        <f t="shared" si="409"/>
        <v>7.5901119929729921E-2</v>
      </c>
      <c r="S447" s="71">
        <f t="shared" si="409"/>
        <v>4.3343698662285712E-2</v>
      </c>
      <c r="T447" s="71">
        <f t="shared" si="409"/>
        <v>9.2859250516376557E-2</v>
      </c>
      <c r="U447" s="71">
        <f t="shared" si="409"/>
        <v>-0.26377878666698096</v>
      </c>
      <c r="V447" s="23">
        <f t="shared" si="409"/>
        <v>-2.928718935700958E-2</v>
      </c>
      <c r="W447" s="71">
        <f t="shared" si="409"/>
        <v>-4.0106133278906109E-2</v>
      </c>
      <c r="X447" s="71">
        <f t="shared" si="409"/>
        <v>-0.24362092477260266</v>
      </c>
      <c r="Y447" s="71">
        <f t="shared" si="409"/>
        <v>-0.13016713016713011</v>
      </c>
      <c r="Z447" s="71">
        <v>2.5225657001358481E-2</v>
      </c>
      <c r="AA447" s="23">
        <v>-0.10182240505367346</v>
      </c>
      <c r="AB447" s="71">
        <f t="shared" ref="AB447:AI447" si="410">AB445/W445-1</f>
        <v>-5.9065641991433937E-2</v>
      </c>
      <c r="AC447" s="71">
        <f t="shared" si="410"/>
        <v>0.19149845730642001</v>
      </c>
      <c r="AD447" s="71">
        <f t="shared" si="410"/>
        <v>2.4428855227216273E-2</v>
      </c>
      <c r="AE447" s="71">
        <f t="shared" si="410"/>
        <v>0.10124037772306593</v>
      </c>
      <c r="AF447" s="23">
        <f t="shared" si="410"/>
        <v>5.8348439073514724E-2</v>
      </c>
      <c r="AG447" s="71">
        <f t="shared" si="410"/>
        <v>0.12988878666085579</v>
      </c>
      <c r="AH447" s="71">
        <f t="shared" si="410"/>
        <v>0.15435613446689023</v>
      </c>
      <c r="AI447" s="71">
        <f t="shared" si="410"/>
        <v>0.13626033996909381</v>
      </c>
      <c r="AJ447" s="71">
        <f t="shared" ref="AJ447" si="411">AJ445/AE445-1</f>
        <v>0.10370590482659048</v>
      </c>
      <c r="AK447" s="23">
        <v>0.13041657944316509</v>
      </c>
      <c r="AL447" s="71">
        <v>8.5714285714285632E-2</v>
      </c>
      <c r="AM447" s="71">
        <v>8.1081081081081141E-2</v>
      </c>
      <c r="AN447" s="71">
        <v>4.0000000000000036E-2</v>
      </c>
      <c r="AO447" s="71">
        <v>0.12820512820512819</v>
      </c>
      <c r="AP447" s="23">
        <v>8.4175084175084125E-2</v>
      </c>
      <c r="AQ447" s="71">
        <v>0</v>
      </c>
      <c r="AR447" s="71">
        <v>-7.4999999999999956E-2</v>
      </c>
      <c r="AS447" s="71">
        <v>-3.8461538461538436E-2</v>
      </c>
      <c r="AT447" s="71">
        <v>-0.19318181818181823</v>
      </c>
      <c r="AU447" s="23">
        <v>-8.0745341614906874E-2</v>
      </c>
      <c r="AV447" s="71">
        <v>-7.8947368421052655E-2</v>
      </c>
      <c r="AW447" s="71">
        <v>-4.0540540540540571E-2</v>
      </c>
      <c r="AX447" s="71">
        <v>-4.0000000000000036E-2</v>
      </c>
      <c r="AY447" s="71">
        <v>1.4084507042253502E-2</v>
      </c>
      <c r="AZ447" s="23">
        <v>-3.7162162162162171E-2</v>
      </c>
      <c r="BA447" s="160">
        <v>0.12857142857142856</v>
      </c>
      <c r="BB447" s="71">
        <v>0.11267605633802824</v>
      </c>
      <c r="BC447" s="71">
        <v>0.125</v>
      </c>
      <c r="BD447" s="71">
        <v>0.16666666666666674</v>
      </c>
      <c r="BE447" s="23">
        <v>0.1333333333333333</v>
      </c>
      <c r="BF447" s="71">
        <v>-0.30379746835443033</v>
      </c>
      <c r="BG447" s="71">
        <v>-0.13924050632911389</v>
      </c>
      <c r="BH447" s="71">
        <v>-0.38271604938271608</v>
      </c>
    </row>
    <row r="448" spans="1:60">
      <c r="A448" s="67" t="s">
        <v>92</v>
      </c>
      <c r="B448" s="119" t="s">
        <v>41</v>
      </c>
      <c r="C448" s="78" t="s">
        <v>49</v>
      </c>
      <c r="D448" s="78" t="s">
        <v>49</v>
      </c>
      <c r="E448" s="78" t="s">
        <v>49</v>
      </c>
      <c r="F448" s="78" t="s">
        <v>49</v>
      </c>
      <c r="G448" s="119" t="s">
        <v>41</v>
      </c>
      <c r="H448" s="78" t="s">
        <v>49</v>
      </c>
      <c r="I448" s="78" t="s">
        <v>49</v>
      </c>
      <c r="J448" s="78" t="s">
        <v>49</v>
      </c>
      <c r="K448" s="78" t="s">
        <v>49</v>
      </c>
      <c r="L448" s="119" t="s">
        <v>41</v>
      </c>
      <c r="M448" s="78" t="s">
        <v>49</v>
      </c>
      <c r="N448" s="78" t="s">
        <v>49</v>
      </c>
      <c r="O448" s="78" t="s">
        <v>49</v>
      </c>
      <c r="P448" s="78" t="s">
        <v>49</v>
      </c>
      <c r="Q448" s="119" t="s">
        <v>41</v>
      </c>
      <c r="R448" s="78" t="s">
        <v>49</v>
      </c>
      <c r="S448" s="78" t="s">
        <v>49</v>
      </c>
      <c r="T448" s="78" t="s">
        <v>49</v>
      </c>
      <c r="U448" s="78" t="s">
        <v>49</v>
      </c>
      <c r="V448" s="119" t="s">
        <v>41</v>
      </c>
      <c r="W448" s="78" t="s">
        <v>49</v>
      </c>
      <c r="X448" s="78" t="s">
        <v>49</v>
      </c>
      <c r="Y448" s="78" t="s">
        <v>49</v>
      </c>
      <c r="Z448" s="78" t="s">
        <v>49</v>
      </c>
      <c r="AA448" s="119" t="s">
        <v>41</v>
      </c>
      <c r="AB448" s="78" t="s">
        <v>49</v>
      </c>
      <c r="AC448" s="78" t="s">
        <v>49</v>
      </c>
      <c r="AD448" s="78" t="s">
        <v>49</v>
      </c>
      <c r="AE448" s="78" t="s">
        <v>49</v>
      </c>
      <c r="AF448" s="119" t="s">
        <v>41</v>
      </c>
      <c r="AG448" s="68">
        <v>62</v>
      </c>
      <c r="AH448" s="68">
        <v>68</v>
      </c>
      <c r="AI448" s="68">
        <v>67</v>
      </c>
      <c r="AJ448" s="68">
        <f>AK448-AI448-AH448-AG448</f>
        <v>70</v>
      </c>
      <c r="AK448" s="36">
        <v>267</v>
      </c>
      <c r="AL448" s="68">
        <v>69</v>
      </c>
      <c r="AM448" s="68">
        <v>62</v>
      </c>
      <c r="AN448" s="68">
        <v>69</v>
      </c>
      <c r="AO448" s="68">
        <v>70</v>
      </c>
      <c r="AP448" s="36">
        <v>270</v>
      </c>
      <c r="AQ448" s="68">
        <v>61</v>
      </c>
      <c r="AR448" s="68">
        <v>60</v>
      </c>
      <c r="AS448" s="68">
        <v>64</v>
      </c>
      <c r="AT448" s="68">
        <v>64</v>
      </c>
      <c r="AU448" s="36">
        <v>249</v>
      </c>
      <c r="AV448" s="68">
        <v>59</v>
      </c>
      <c r="AW448" s="68">
        <v>59</v>
      </c>
      <c r="AX448" s="68">
        <v>62</v>
      </c>
      <c r="AY448" s="68">
        <v>65</v>
      </c>
      <c r="AZ448" s="36">
        <v>245</v>
      </c>
      <c r="BA448" s="143">
        <v>58</v>
      </c>
      <c r="BB448" s="68">
        <v>60</v>
      </c>
      <c r="BC448" s="68">
        <v>56</v>
      </c>
      <c r="BD448" s="68">
        <v>59</v>
      </c>
      <c r="BE448" s="36">
        <v>233</v>
      </c>
      <c r="BF448" s="68">
        <v>56</v>
      </c>
      <c r="BG448" s="68">
        <v>54</v>
      </c>
      <c r="BH448" s="68">
        <v>52</v>
      </c>
    </row>
    <row r="449" spans="1:60">
      <c r="A449" s="69" t="s">
        <v>7</v>
      </c>
      <c r="B449" s="23"/>
      <c r="C449" s="71"/>
      <c r="D449" s="71"/>
      <c r="E449" s="71"/>
      <c r="F449" s="71"/>
      <c r="G449" s="23"/>
      <c r="H449" s="71"/>
      <c r="I449" s="71"/>
      <c r="J449" s="71"/>
      <c r="K449" s="71"/>
      <c r="L449" s="23"/>
      <c r="M449" s="71"/>
      <c r="N449" s="71"/>
      <c r="O449" s="71"/>
      <c r="P449" s="71"/>
      <c r="Q449" s="23"/>
      <c r="R449" s="71"/>
      <c r="S449" s="71"/>
      <c r="T449" s="71"/>
      <c r="U449" s="71"/>
      <c r="V449" s="23"/>
      <c r="W449" s="71"/>
      <c r="X449" s="71"/>
      <c r="Y449" s="71"/>
      <c r="Z449" s="71"/>
      <c r="AA449" s="23"/>
      <c r="AB449" s="70"/>
      <c r="AC449" s="70"/>
      <c r="AD449" s="70"/>
      <c r="AE449" s="70"/>
      <c r="AF449" s="23"/>
      <c r="AG449" s="70"/>
      <c r="AH449" s="70">
        <f>AH448/AG448-1</f>
        <v>9.6774193548387011E-2</v>
      </c>
      <c r="AI449" s="70">
        <f>AI448/AH448-1</f>
        <v>-1.4705882352941124E-2</v>
      </c>
      <c r="AJ449" s="70">
        <f>AJ448/AI448-1</f>
        <v>4.4776119402984982E-2</v>
      </c>
      <c r="AK449" s="23"/>
      <c r="AL449" s="70">
        <v>-1.4285714285714235E-2</v>
      </c>
      <c r="AM449" s="70">
        <v>-0.10144927536231885</v>
      </c>
      <c r="AN449" s="70">
        <v>0.11290322580645151</v>
      </c>
      <c r="AO449" s="70">
        <v>1.449275362318847E-2</v>
      </c>
      <c r="AP449" s="23"/>
      <c r="AQ449" s="70">
        <v>-0.12857142857142856</v>
      </c>
      <c r="AR449" s="70">
        <v>-1.6393442622950838E-2</v>
      </c>
      <c r="AS449" s="70">
        <v>6.6666666666666652E-2</v>
      </c>
      <c r="AT449" s="70">
        <v>0</v>
      </c>
      <c r="AU449" s="23"/>
      <c r="AV449" s="70">
        <v>-7.8125E-2</v>
      </c>
      <c r="AW449" s="70">
        <v>0</v>
      </c>
      <c r="AX449" s="70">
        <v>5.0847457627118731E-2</v>
      </c>
      <c r="AY449" s="70">
        <v>4.8387096774193505E-2</v>
      </c>
      <c r="AZ449" s="23"/>
      <c r="BA449" s="161">
        <v>-0.10769230769230764</v>
      </c>
      <c r="BB449" s="70">
        <v>3.4482758620689724E-2</v>
      </c>
      <c r="BC449" s="70">
        <v>-6.6666666666666652E-2</v>
      </c>
      <c r="BD449" s="70">
        <v>5.3571428571428603E-2</v>
      </c>
      <c r="BE449" s="23"/>
      <c r="BF449" s="70">
        <v>-5.084745762711862E-2</v>
      </c>
      <c r="BG449" s="70">
        <v>-3.5714285714285698E-2</v>
      </c>
      <c r="BH449" s="70">
        <v>-3.703703703703709E-2</v>
      </c>
    </row>
    <row r="450" spans="1:60">
      <c r="A450" s="69" t="s">
        <v>8</v>
      </c>
      <c r="B450" s="23"/>
      <c r="C450" s="71"/>
      <c r="D450" s="71"/>
      <c r="E450" s="71"/>
      <c r="F450" s="71"/>
      <c r="G450" s="23"/>
      <c r="H450" s="71"/>
      <c r="I450" s="71"/>
      <c r="J450" s="71"/>
      <c r="K450" s="71"/>
      <c r="L450" s="23"/>
      <c r="M450" s="71"/>
      <c r="N450" s="71"/>
      <c r="O450" s="71"/>
      <c r="P450" s="71"/>
      <c r="Q450" s="23"/>
      <c r="R450" s="71"/>
      <c r="S450" s="71"/>
      <c r="T450" s="71"/>
      <c r="U450" s="71"/>
      <c r="V450" s="23"/>
      <c r="W450" s="71"/>
      <c r="X450" s="71"/>
      <c r="Y450" s="71"/>
      <c r="Z450" s="71"/>
      <c r="AA450" s="23"/>
      <c r="AB450" s="71"/>
      <c r="AC450" s="71"/>
      <c r="AD450" s="71"/>
      <c r="AE450" s="71"/>
      <c r="AF450" s="23"/>
      <c r="AG450" s="71"/>
      <c r="AH450" s="71"/>
      <c r="AI450" s="71"/>
      <c r="AJ450" s="71"/>
      <c r="AK450" s="23"/>
      <c r="AL450" s="71">
        <v>0.11290322580645151</v>
      </c>
      <c r="AM450" s="71">
        <v>-8.8235294117647078E-2</v>
      </c>
      <c r="AN450" s="71">
        <v>2.9850746268656803E-2</v>
      </c>
      <c r="AO450" s="71">
        <v>0</v>
      </c>
      <c r="AP450" s="23">
        <v>1.1235955056179803E-2</v>
      </c>
      <c r="AQ450" s="71">
        <v>-0.11594202898550721</v>
      </c>
      <c r="AR450" s="71">
        <v>-3.2258064516129004E-2</v>
      </c>
      <c r="AS450" s="71">
        <v>-7.2463768115942018E-2</v>
      </c>
      <c r="AT450" s="71">
        <v>-8.5714285714285743E-2</v>
      </c>
      <c r="AU450" s="23">
        <v>-7.7777777777777724E-2</v>
      </c>
      <c r="AV450" s="71">
        <v>-3.2786885245901676E-2</v>
      </c>
      <c r="AW450" s="71">
        <v>-1.6666666666666718E-2</v>
      </c>
      <c r="AX450" s="71">
        <v>-3.125E-2</v>
      </c>
      <c r="AY450" s="71">
        <v>1.5625E-2</v>
      </c>
      <c r="AZ450" s="23">
        <v>-1.6064257028112428E-2</v>
      </c>
      <c r="BA450" s="160">
        <v>-1.6949152542372836E-2</v>
      </c>
      <c r="BB450" s="71">
        <v>1.6949152542372836E-2</v>
      </c>
      <c r="BC450" s="71">
        <v>-9.6774193548387122E-2</v>
      </c>
      <c r="BD450" s="71">
        <v>-9.2307692307692313E-2</v>
      </c>
      <c r="BE450" s="23">
        <v>-4.8979591836734726E-2</v>
      </c>
      <c r="BF450" s="71">
        <v>-3.4482758620689613E-2</v>
      </c>
      <c r="BG450" s="71">
        <v>-9.9999999999999978E-2</v>
      </c>
      <c r="BH450" s="71">
        <v>-7.1428571428571397E-2</v>
      </c>
    </row>
    <row r="451" spans="1:60" ht="12.75" customHeight="1">
      <c r="A451" s="67" t="s">
        <v>300</v>
      </c>
      <c r="B451" s="119" t="s">
        <v>41</v>
      </c>
      <c r="C451" s="78" t="s">
        <v>49</v>
      </c>
      <c r="D451" s="78" t="s">
        <v>49</v>
      </c>
      <c r="E451" s="78" t="s">
        <v>49</v>
      </c>
      <c r="F451" s="78" t="s">
        <v>49</v>
      </c>
      <c r="G451" s="119" t="s">
        <v>41</v>
      </c>
      <c r="H451" s="78" t="s">
        <v>49</v>
      </c>
      <c r="I451" s="78" t="s">
        <v>49</v>
      </c>
      <c r="J451" s="78" t="s">
        <v>49</v>
      </c>
      <c r="K451" s="78" t="s">
        <v>49</v>
      </c>
      <c r="L451" s="119" t="s">
        <v>41</v>
      </c>
      <c r="M451" s="78" t="s">
        <v>49</v>
      </c>
      <c r="N451" s="78" t="s">
        <v>49</v>
      </c>
      <c r="O451" s="78" t="s">
        <v>49</v>
      </c>
      <c r="P451" s="78" t="s">
        <v>49</v>
      </c>
      <c r="Q451" s="119" t="s">
        <v>41</v>
      </c>
      <c r="R451" s="78" t="s">
        <v>49</v>
      </c>
      <c r="S451" s="78" t="s">
        <v>49</v>
      </c>
      <c r="T451" s="78" t="s">
        <v>49</v>
      </c>
      <c r="U451" s="78" t="s">
        <v>49</v>
      </c>
      <c r="V451" s="119" t="s">
        <v>41</v>
      </c>
      <c r="W451" s="78" t="s">
        <v>49</v>
      </c>
      <c r="X451" s="78" t="s">
        <v>49</v>
      </c>
      <c r="Y451" s="78" t="s">
        <v>49</v>
      </c>
      <c r="Z451" s="78" t="s">
        <v>49</v>
      </c>
      <c r="AA451" s="119" t="s">
        <v>41</v>
      </c>
      <c r="AB451" s="78" t="s">
        <v>49</v>
      </c>
      <c r="AC451" s="78" t="s">
        <v>49</v>
      </c>
      <c r="AD451" s="78" t="s">
        <v>49</v>
      </c>
      <c r="AE451" s="78" t="s">
        <v>49</v>
      </c>
      <c r="AF451" s="119" t="s">
        <v>41</v>
      </c>
      <c r="AG451" s="68">
        <v>219</v>
      </c>
      <c r="AH451" s="68">
        <v>218</v>
      </c>
      <c r="AI451" s="68">
        <v>214</v>
      </c>
      <c r="AJ451" s="68">
        <f>AK451-AI451-AH451-AG451</f>
        <v>236</v>
      </c>
      <c r="AK451" s="36">
        <v>887</v>
      </c>
      <c r="AL451" s="68">
        <v>236</v>
      </c>
      <c r="AM451" s="68">
        <v>227</v>
      </c>
      <c r="AN451" s="68">
        <v>225</v>
      </c>
      <c r="AO451" s="68">
        <v>244</v>
      </c>
      <c r="AP451" s="36">
        <v>932</v>
      </c>
      <c r="AQ451" s="68">
        <v>245</v>
      </c>
      <c r="AR451" s="68">
        <v>223</v>
      </c>
      <c r="AS451" s="68">
        <v>233</v>
      </c>
      <c r="AT451" s="68">
        <v>246</v>
      </c>
      <c r="AU451" s="36">
        <v>947</v>
      </c>
      <c r="AV451" s="68">
        <v>243</v>
      </c>
      <c r="AW451" s="68">
        <v>237</v>
      </c>
      <c r="AX451" s="68">
        <v>237</v>
      </c>
      <c r="AY451" s="68">
        <v>240</v>
      </c>
      <c r="AZ451" s="36">
        <v>957</v>
      </c>
      <c r="BA451" s="143">
        <v>237</v>
      </c>
      <c r="BB451" s="68">
        <v>246</v>
      </c>
      <c r="BC451" s="68">
        <v>229</v>
      </c>
      <c r="BD451" s="68">
        <v>244</v>
      </c>
      <c r="BE451" s="36">
        <v>956</v>
      </c>
      <c r="BF451" s="68">
        <v>234</v>
      </c>
      <c r="BG451" s="68">
        <v>248</v>
      </c>
      <c r="BH451" s="68">
        <v>211</v>
      </c>
    </row>
    <row r="452" spans="1:60" ht="12.75" customHeight="1">
      <c r="A452" s="69" t="s">
        <v>7</v>
      </c>
      <c r="B452" s="23"/>
      <c r="C452" s="71"/>
      <c r="D452" s="71"/>
      <c r="E452" s="71"/>
      <c r="F452" s="71"/>
      <c r="G452" s="23"/>
      <c r="H452" s="71"/>
      <c r="I452" s="71"/>
      <c r="J452" s="71"/>
      <c r="K452" s="71"/>
      <c r="L452" s="23"/>
      <c r="M452" s="71"/>
      <c r="N452" s="71"/>
      <c r="O452" s="71"/>
      <c r="P452" s="71"/>
      <c r="Q452" s="23"/>
      <c r="R452" s="71"/>
      <c r="S452" s="71"/>
      <c r="T452" s="71"/>
      <c r="U452" s="71"/>
      <c r="V452" s="23"/>
      <c r="W452" s="71"/>
      <c r="X452" s="71"/>
      <c r="Y452" s="71"/>
      <c r="Z452" s="71"/>
      <c r="AA452" s="23"/>
      <c r="AB452" s="71"/>
      <c r="AC452" s="71"/>
      <c r="AD452" s="71"/>
      <c r="AE452" s="71"/>
      <c r="AF452" s="23"/>
      <c r="AG452" s="70"/>
      <c r="AH452" s="70">
        <f>AH451/AG451-1</f>
        <v>-4.5662100456621557E-3</v>
      </c>
      <c r="AI452" s="70">
        <f>AI451/AH451-1</f>
        <v>-1.834862385321101E-2</v>
      </c>
      <c r="AJ452" s="70">
        <f>AJ451/AI451-1</f>
        <v>0.10280373831775691</v>
      </c>
      <c r="AK452" s="23"/>
      <c r="AL452" s="70">
        <v>0</v>
      </c>
      <c r="AM452" s="70">
        <v>-3.8135593220338992E-2</v>
      </c>
      <c r="AN452" s="70">
        <v>-8.8105726872246271E-3</v>
      </c>
      <c r="AO452" s="70">
        <v>8.4444444444444544E-2</v>
      </c>
      <c r="AP452" s="23"/>
      <c r="AQ452" s="70">
        <v>4.098360655737654E-3</v>
      </c>
      <c r="AR452" s="70">
        <v>-8.9795918367346905E-2</v>
      </c>
      <c r="AS452" s="70">
        <v>4.4843049327354167E-2</v>
      </c>
      <c r="AT452" s="70">
        <v>5.579399141630903E-2</v>
      </c>
      <c r="AU452" s="23"/>
      <c r="AV452" s="70">
        <v>-1.2195121951219523E-2</v>
      </c>
      <c r="AW452" s="70">
        <v>-2.4691358024691357E-2</v>
      </c>
      <c r="AX452" s="70">
        <v>0</v>
      </c>
      <c r="AY452" s="70">
        <v>1.2658227848101333E-2</v>
      </c>
      <c r="AZ452" s="23"/>
      <c r="BA452" s="161">
        <v>-1.2499999999999956E-2</v>
      </c>
      <c r="BB452" s="70">
        <v>3.7974683544303778E-2</v>
      </c>
      <c r="BC452" s="70">
        <v>-6.9105691056910556E-2</v>
      </c>
      <c r="BD452" s="70">
        <v>6.5502183406113579E-2</v>
      </c>
      <c r="BE452" s="23"/>
      <c r="BF452" s="70">
        <v>-4.0983606557377095E-2</v>
      </c>
      <c r="BG452" s="70">
        <v>5.9829059829059839E-2</v>
      </c>
      <c r="BH452" s="70">
        <v>-0.14919354838709675</v>
      </c>
    </row>
    <row r="453" spans="1:60" ht="12.75" customHeight="1">
      <c r="A453" s="69" t="s">
        <v>8</v>
      </c>
      <c r="B453" s="23"/>
      <c r="C453" s="71"/>
      <c r="D453" s="71"/>
      <c r="E453" s="71"/>
      <c r="F453" s="71"/>
      <c r="G453" s="23"/>
      <c r="H453" s="71"/>
      <c r="I453" s="71"/>
      <c r="J453" s="71"/>
      <c r="K453" s="71"/>
      <c r="L453" s="23"/>
      <c r="M453" s="71"/>
      <c r="N453" s="71"/>
      <c r="O453" s="71"/>
      <c r="P453" s="71"/>
      <c r="Q453" s="23"/>
      <c r="R453" s="71"/>
      <c r="S453" s="71"/>
      <c r="T453" s="71"/>
      <c r="U453" s="71"/>
      <c r="V453" s="23"/>
      <c r="W453" s="71"/>
      <c r="X453" s="71"/>
      <c r="Y453" s="71"/>
      <c r="Z453" s="71"/>
      <c r="AA453" s="23"/>
      <c r="AB453" s="71"/>
      <c r="AC453" s="71"/>
      <c r="AD453" s="71"/>
      <c r="AE453" s="71"/>
      <c r="AF453" s="23"/>
      <c r="AG453" s="71"/>
      <c r="AH453" s="71"/>
      <c r="AI453" s="71"/>
      <c r="AJ453" s="71"/>
      <c r="AK453" s="23"/>
      <c r="AL453" s="71">
        <v>7.7625570776255648E-2</v>
      </c>
      <c r="AM453" s="71">
        <v>4.1284403669724856E-2</v>
      </c>
      <c r="AN453" s="71">
        <v>5.1401869158878455E-2</v>
      </c>
      <c r="AO453" s="71">
        <v>3.3898305084745672E-2</v>
      </c>
      <c r="AP453" s="23">
        <v>5.0732807215332576E-2</v>
      </c>
      <c r="AQ453" s="71">
        <v>3.8135593220338881E-2</v>
      </c>
      <c r="AR453" s="71">
        <v>-1.7621145374449365E-2</v>
      </c>
      <c r="AS453" s="71">
        <v>3.5555555555555562E-2</v>
      </c>
      <c r="AT453" s="71">
        <v>8.1967213114753079E-3</v>
      </c>
      <c r="AU453" s="23">
        <v>1.6094420600858417E-2</v>
      </c>
      <c r="AV453" s="71">
        <v>-8.1632653061224358E-3</v>
      </c>
      <c r="AW453" s="71">
        <v>6.2780269058295923E-2</v>
      </c>
      <c r="AX453" s="71">
        <v>1.716738197424883E-2</v>
      </c>
      <c r="AY453" s="71">
        <v>-2.4390243902439046E-2</v>
      </c>
      <c r="AZ453" s="23">
        <v>1.0559662090813049E-2</v>
      </c>
      <c r="BA453" s="160">
        <v>-2.4691358024691357E-2</v>
      </c>
      <c r="BB453" s="71">
        <v>3.7974683544303778E-2</v>
      </c>
      <c r="BC453" s="71">
        <v>-3.3755274261603407E-2</v>
      </c>
      <c r="BD453" s="71">
        <v>1.6666666666666607E-2</v>
      </c>
      <c r="BE453" s="23">
        <v>-1.0449320794148065E-3</v>
      </c>
      <c r="BF453" s="71">
        <v>-1.2658227848101222E-2</v>
      </c>
      <c r="BG453" s="71">
        <v>8.1300813008129413E-3</v>
      </c>
      <c r="BH453" s="71">
        <v>-7.8602620087336206E-2</v>
      </c>
    </row>
    <row r="454" spans="1:60" hidden="1">
      <c r="A454" s="67" t="s">
        <v>79</v>
      </c>
      <c r="B454" s="36">
        <v>1117.098</v>
      </c>
      <c r="C454" s="78" t="s">
        <v>49</v>
      </c>
      <c r="D454" s="78" t="s">
        <v>49</v>
      </c>
      <c r="E454" s="78" t="s">
        <v>49</v>
      </c>
      <c r="F454" s="78" t="s">
        <v>49</v>
      </c>
      <c r="G454" s="36">
        <v>1091.171</v>
      </c>
      <c r="H454" s="68">
        <v>258.45400000000001</v>
      </c>
      <c r="I454" s="68">
        <v>255.61500000000001</v>
      </c>
      <c r="J454" s="68">
        <v>261.83600000000001</v>
      </c>
      <c r="K454" s="68">
        <f>L454-J454-I454-H454</f>
        <v>266.19600000000008</v>
      </c>
      <c r="L454" s="36">
        <v>1042.1010000000001</v>
      </c>
      <c r="M454" s="68">
        <v>261.553</v>
      </c>
      <c r="N454" s="68">
        <v>322.11099999999999</v>
      </c>
      <c r="O454" s="68">
        <v>258.524</v>
      </c>
      <c r="P454" s="68">
        <f>Q454-O454-N454-M454</f>
        <v>286.65999999999997</v>
      </c>
      <c r="Q454" s="36">
        <v>1128.848</v>
      </c>
      <c r="R454" s="68">
        <v>271.899</v>
      </c>
      <c r="S454" s="68">
        <v>268.99700000000001</v>
      </c>
      <c r="T454" s="68">
        <v>267.77999999999997</v>
      </c>
      <c r="U454" s="68">
        <f>V454-T454-S454-R454</f>
        <v>219.4919999999999</v>
      </c>
      <c r="V454" s="36">
        <v>1028.1679999999999</v>
      </c>
      <c r="W454" s="68">
        <v>272.23700000000002</v>
      </c>
      <c r="X454" s="68">
        <v>255.75399999999999</v>
      </c>
      <c r="Y454" s="68">
        <v>272.64100000000002</v>
      </c>
      <c r="Z454" s="68">
        <f>AA454-Y454-X454-W454</f>
        <v>266.45499999999987</v>
      </c>
      <c r="AA454" s="36">
        <v>1067.087</v>
      </c>
      <c r="AB454" s="68">
        <f>258.114+18.5</f>
        <v>276.61399999999998</v>
      </c>
      <c r="AC454" s="68">
        <f>260.881+19</f>
        <v>279.88099999999997</v>
      </c>
      <c r="AD454" s="68">
        <f>257.775+19.7</f>
        <v>277.47499999999997</v>
      </c>
      <c r="AE454" s="68">
        <f>AF454-AD454-AC454-AB454</f>
        <v>296.03000000000014</v>
      </c>
      <c r="AF454" s="36">
        <v>1130</v>
      </c>
      <c r="AG454" s="68">
        <v>292</v>
      </c>
      <c r="AH454" s="143">
        <v>297</v>
      </c>
      <c r="AI454" s="68">
        <v>300</v>
      </c>
      <c r="AJ454" s="68">
        <f>AK454-AI454-AH454-AG454</f>
        <v>314</v>
      </c>
      <c r="AK454" s="36">
        <v>1203</v>
      </c>
      <c r="AL454" s="68">
        <v>320</v>
      </c>
      <c r="AM454" s="68">
        <v>313</v>
      </c>
      <c r="AN454" s="68">
        <v>314</v>
      </c>
      <c r="AO454" s="68">
        <v>342</v>
      </c>
      <c r="AP454" s="36">
        <v>1289</v>
      </c>
      <c r="AQ454" s="68">
        <v>321</v>
      </c>
      <c r="AR454" s="68">
        <v>312</v>
      </c>
      <c r="AS454" s="68">
        <v>314</v>
      </c>
      <c r="AT454" s="68">
        <v>314</v>
      </c>
      <c r="AU454" s="36">
        <v>1261</v>
      </c>
      <c r="AV454" s="68">
        <v>315</v>
      </c>
      <c r="AW454" s="68">
        <v>313</v>
      </c>
      <c r="AX454" s="68">
        <v>312</v>
      </c>
      <c r="AY454" s="68">
        <v>320</v>
      </c>
      <c r="AZ454" s="36">
        <v>1260</v>
      </c>
      <c r="BA454" s="143">
        <v>318</v>
      </c>
      <c r="BB454" s="68">
        <v>331</v>
      </c>
      <c r="BC454" s="68">
        <v>310</v>
      </c>
      <c r="BD454" s="68"/>
      <c r="BE454" s="36"/>
      <c r="BF454" s="68"/>
      <c r="BG454" s="68"/>
      <c r="BH454" s="68"/>
    </row>
    <row r="455" spans="1:60" hidden="1">
      <c r="A455" s="69" t="s">
        <v>7</v>
      </c>
      <c r="B455" s="23"/>
      <c r="C455" s="70"/>
      <c r="D455" s="70"/>
      <c r="E455" s="70"/>
      <c r="F455" s="70"/>
      <c r="G455" s="23"/>
      <c r="H455" s="70"/>
      <c r="I455" s="70">
        <f>I454/H454-1</f>
        <v>-1.0984546573084564E-2</v>
      </c>
      <c r="J455" s="70">
        <f>J454/I454-1</f>
        <v>2.4337382391487195E-2</v>
      </c>
      <c r="K455" s="70">
        <f>K454/J454-1</f>
        <v>1.6651644540857991E-2</v>
      </c>
      <c r="L455" s="23"/>
      <c r="M455" s="70">
        <f>M454/K454-1</f>
        <v>-1.7442035192114402E-2</v>
      </c>
      <c r="N455" s="70">
        <f>N454/M454-1</f>
        <v>0.23153242363880366</v>
      </c>
      <c r="O455" s="70">
        <f>O454/N454-1</f>
        <v>-0.19740710500417558</v>
      </c>
      <c r="P455" s="70">
        <f>P454/O454-1</f>
        <v>0.10883322244743221</v>
      </c>
      <c r="Q455" s="23"/>
      <c r="R455" s="70">
        <f>R454/P454-1</f>
        <v>-5.1493057978092449E-2</v>
      </c>
      <c r="S455" s="70">
        <f>S454/R454-1</f>
        <v>-1.0673080813096036E-2</v>
      </c>
      <c r="T455" s="70">
        <f>T454/S454-1</f>
        <v>-4.5242140246918305E-3</v>
      </c>
      <c r="U455" s="70">
        <f>U454/T454-1</f>
        <v>-0.18032713421465407</v>
      </c>
      <c r="V455" s="23"/>
      <c r="W455" s="70">
        <f>W454/U454-1</f>
        <v>0.24030488582727449</v>
      </c>
      <c r="X455" s="70">
        <f>X454/W454-1</f>
        <v>-6.054650910787307E-2</v>
      </c>
      <c r="Y455" s="70">
        <f>Y454/X454-1</f>
        <v>6.6028292812624789E-2</v>
      </c>
      <c r="Z455" s="70">
        <f>Z454/Y454-1</f>
        <v>-2.2689177343100053E-2</v>
      </c>
      <c r="AA455" s="23"/>
      <c r="AB455" s="70">
        <f>AB454/Z454-1</f>
        <v>3.8126512919630429E-2</v>
      </c>
      <c r="AC455" s="70">
        <f>AC454/AB454-1</f>
        <v>1.1810682033447373E-2</v>
      </c>
      <c r="AD455" s="70">
        <f>AD454/AC454-1</f>
        <v>-8.5965106598876462E-3</v>
      </c>
      <c r="AE455" s="70">
        <f>AE454/AD454-1</f>
        <v>6.6870889269304179E-2</v>
      </c>
      <c r="AF455" s="23"/>
      <c r="AG455" s="70">
        <f>AG454/AE454-1</f>
        <v>-1.36134851197518E-2</v>
      </c>
      <c r="AH455" s="161">
        <f>AH454/AG454-1</f>
        <v>1.7123287671232834E-2</v>
      </c>
      <c r="AI455" s="70">
        <f>AI454/AH454-1</f>
        <v>1.0101010101010166E-2</v>
      </c>
      <c r="AJ455" s="70">
        <f>AJ454/AI454-1</f>
        <v>4.6666666666666634E-2</v>
      </c>
      <c r="AK455" s="23"/>
      <c r="AL455" s="70">
        <v>1.9108280254777066E-2</v>
      </c>
      <c r="AM455" s="70">
        <v>-2.1874999999999978E-2</v>
      </c>
      <c r="AN455" s="70">
        <v>3.1948881789136685E-3</v>
      </c>
      <c r="AO455" s="70">
        <v>8.9171974522292974E-2</v>
      </c>
      <c r="AP455" s="23"/>
      <c r="AQ455" s="70">
        <v>-6.1403508771929793E-2</v>
      </c>
      <c r="AR455" s="70">
        <v>-2.8037383177570097E-2</v>
      </c>
      <c r="AS455" s="70">
        <v>6.4102564102563875E-3</v>
      </c>
      <c r="AT455" s="70">
        <v>0</v>
      </c>
      <c r="AU455" s="23"/>
      <c r="AV455" s="70">
        <v>3.1847133757962887E-3</v>
      </c>
      <c r="AW455" s="70">
        <v>-6.3492063492063266E-3</v>
      </c>
      <c r="AX455" s="70">
        <v>-3.1948881789137795E-3</v>
      </c>
      <c r="AY455" s="70">
        <v>2.564102564102555E-2</v>
      </c>
      <c r="AZ455" s="23"/>
      <c r="BA455" s="161">
        <v>-6.2499999999999778E-3</v>
      </c>
      <c r="BB455" s="70">
        <v>4.088050314465419E-2</v>
      </c>
      <c r="BC455" s="70">
        <v>-6.3444108761329332E-2</v>
      </c>
      <c r="BD455" s="70"/>
      <c r="BE455" s="23"/>
      <c r="BF455" s="70"/>
      <c r="BG455" s="70"/>
      <c r="BH455" s="70"/>
    </row>
    <row r="456" spans="1:60" hidden="1">
      <c r="A456" s="69" t="s">
        <v>8</v>
      </c>
      <c r="B456" s="23"/>
      <c r="C456" s="71"/>
      <c r="D456" s="71"/>
      <c r="E456" s="71"/>
      <c r="F456" s="71"/>
      <c r="G456" s="23">
        <f>G454/B454-1</f>
        <v>-2.3209243951739178E-2</v>
      </c>
      <c r="H456" s="71"/>
      <c r="I456" s="71"/>
      <c r="J456" s="71"/>
      <c r="K456" s="71"/>
      <c r="L456" s="23">
        <f t="shared" ref="L456:AD456" si="412">L454/G454-1</f>
        <v>-4.497003677700373E-2</v>
      </c>
      <c r="M456" s="71">
        <f t="shared" si="412"/>
        <v>1.1990528295170444E-2</v>
      </c>
      <c r="N456" s="71">
        <f t="shared" si="412"/>
        <v>0.26014122801869988</v>
      </c>
      <c r="O456" s="71">
        <f t="shared" si="412"/>
        <v>-1.2649139155807454E-2</v>
      </c>
      <c r="P456" s="71">
        <f t="shared" si="412"/>
        <v>7.6875685585057196E-2</v>
      </c>
      <c r="Q456" s="23">
        <f t="shared" si="412"/>
        <v>8.3242411244207393E-2</v>
      </c>
      <c r="R456" s="71">
        <f t="shared" si="412"/>
        <v>3.9556036443856524E-2</v>
      </c>
      <c r="S456" s="71">
        <f t="shared" si="412"/>
        <v>-0.16489346840064445</v>
      </c>
      <c r="T456" s="71">
        <f t="shared" si="412"/>
        <v>3.5803252309263289E-2</v>
      </c>
      <c r="U456" s="71">
        <f t="shared" si="412"/>
        <v>-0.23431242587036938</v>
      </c>
      <c r="V456" s="23">
        <f t="shared" si="412"/>
        <v>-8.9188269811347531E-2</v>
      </c>
      <c r="W456" s="71">
        <f t="shared" si="412"/>
        <v>1.2431086543165382E-3</v>
      </c>
      <c r="X456" s="71">
        <f t="shared" si="412"/>
        <v>-4.9231032316345624E-2</v>
      </c>
      <c r="Y456" s="71">
        <f t="shared" si="412"/>
        <v>1.8152961386212807E-2</v>
      </c>
      <c r="Z456" s="71">
        <f t="shared" si="412"/>
        <v>0.213962240081643</v>
      </c>
      <c r="AA456" s="23">
        <f t="shared" si="412"/>
        <v>3.7852763361629682E-2</v>
      </c>
      <c r="AB456" s="71">
        <f t="shared" si="412"/>
        <v>1.6077902709771053E-2</v>
      </c>
      <c r="AC456" s="71">
        <f t="shared" si="412"/>
        <v>9.4336745466346406E-2</v>
      </c>
      <c r="AD456" s="71">
        <f t="shared" si="412"/>
        <v>1.7730275343766921E-2</v>
      </c>
      <c r="AE456" s="71">
        <f t="shared" ref="AE456:AJ456" si="413">AE454/Z454-1</f>
        <v>0.11099435176671602</v>
      </c>
      <c r="AF456" s="23">
        <f t="shared" si="413"/>
        <v>5.8957704479578599E-2</v>
      </c>
      <c r="AG456" s="71">
        <f t="shared" si="413"/>
        <v>5.5622636598292363E-2</v>
      </c>
      <c r="AH456" s="160">
        <f t="shared" si="413"/>
        <v>6.1165280958693335E-2</v>
      </c>
      <c r="AI456" s="71">
        <f t="shared" si="413"/>
        <v>8.117848454815757E-2</v>
      </c>
      <c r="AJ456" s="71">
        <f t="shared" si="413"/>
        <v>6.0703307097253134E-2</v>
      </c>
      <c r="AK456" s="23">
        <v>6.4601769911504459E-2</v>
      </c>
      <c r="AL456" s="71">
        <v>9.5890410958904049E-2</v>
      </c>
      <c r="AM456" s="71">
        <v>5.3872053872053849E-2</v>
      </c>
      <c r="AN456" s="71">
        <v>4.6666666666666634E-2</v>
      </c>
      <c r="AO456" s="71">
        <v>8.9171974522292974E-2</v>
      </c>
      <c r="AP456" s="23">
        <v>7.1487946799667412E-2</v>
      </c>
      <c r="AQ456" s="71">
        <v>3.1250000000000444E-3</v>
      </c>
      <c r="AR456" s="71">
        <v>-3.1948881789137795E-3</v>
      </c>
      <c r="AS456" s="71">
        <v>0</v>
      </c>
      <c r="AT456" s="71">
        <v>-8.1871345029239762E-2</v>
      </c>
      <c r="AU456" s="23">
        <v>-2.1722265321954981E-2</v>
      </c>
      <c r="AV456" s="71">
        <v>-1.8691588785046731E-2</v>
      </c>
      <c r="AW456" s="71">
        <v>3.2051282051281937E-3</v>
      </c>
      <c r="AX456" s="71">
        <v>-6.3694267515923553E-3</v>
      </c>
      <c r="AY456" s="71">
        <v>1.9108280254777066E-2</v>
      </c>
      <c r="AZ456" s="23">
        <v>-7.9302141157810979E-4</v>
      </c>
      <c r="BA456" s="160">
        <v>9.52380952380949E-3</v>
      </c>
      <c r="BB456" s="71">
        <v>5.7507987220447365E-2</v>
      </c>
      <c r="BC456" s="71">
        <v>-6.4102564102563875E-3</v>
      </c>
      <c r="BD456" s="71"/>
      <c r="BE456" s="23"/>
      <c r="BF456" s="71"/>
      <c r="BG456" s="71"/>
      <c r="BH456" s="71"/>
    </row>
    <row r="457" spans="1:60" hidden="1">
      <c r="A457" s="67" t="s">
        <v>98</v>
      </c>
      <c r="B457" s="36">
        <v>297.72500000000002</v>
      </c>
      <c r="C457" s="78" t="s">
        <v>49</v>
      </c>
      <c r="D457" s="78" t="s">
        <v>49</v>
      </c>
      <c r="E457" s="78" t="s">
        <v>49</v>
      </c>
      <c r="F457" s="78" t="s">
        <v>49</v>
      </c>
      <c r="G457" s="36">
        <v>421.46100000000001</v>
      </c>
      <c r="H457" s="68">
        <v>125.328</v>
      </c>
      <c r="I457" s="68">
        <v>120.483</v>
      </c>
      <c r="J457" s="68">
        <v>118.61499999999999</v>
      </c>
      <c r="K457" s="68">
        <f>L457-J457-I457-H457</f>
        <v>123.90799999999999</v>
      </c>
      <c r="L457" s="36">
        <v>488.334</v>
      </c>
      <c r="M457" s="68">
        <v>129.863</v>
      </c>
      <c r="N457" s="68">
        <v>73.835999999999999</v>
      </c>
      <c r="O457" s="68">
        <v>136.82300000000001</v>
      </c>
      <c r="P457" s="68">
        <f>Q457-O457-N457-M457</f>
        <v>113.56</v>
      </c>
      <c r="Q457" s="36">
        <v>454.08199999999999</v>
      </c>
      <c r="R457" s="68">
        <v>133.65100000000001</v>
      </c>
      <c r="S457" s="68">
        <v>134.96299999999999</v>
      </c>
      <c r="T457" s="68">
        <v>137.68799999999999</v>
      </c>
      <c r="U457" s="68">
        <f>V457-T457-S457-R457</f>
        <v>184.339</v>
      </c>
      <c r="V457" s="36">
        <v>590.64099999999996</v>
      </c>
      <c r="W457" s="68">
        <v>144.46700000000001</v>
      </c>
      <c r="X457" s="68">
        <v>152.97800000000001</v>
      </c>
      <c r="Y457" s="68">
        <v>130.07900000000001</v>
      </c>
      <c r="Z457" s="68">
        <f>AA457-Y457-X457-W457</f>
        <v>141.38300000000001</v>
      </c>
      <c r="AA457" s="36">
        <v>568.90700000000004</v>
      </c>
      <c r="AB457" s="68">
        <f>145.427-18.5</f>
        <v>126.92699999999999</v>
      </c>
      <c r="AC457" s="68">
        <f>142.959-19</f>
        <v>123.959</v>
      </c>
      <c r="AD457" s="68">
        <f>152.489-19.7</f>
        <v>132.78900000000002</v>
      </c>
      <c r="AE457" s="68">
        <f>AF457-AD457-AC457-AB457</f>
        <v>121.32500000000002</v>
      </c>
      <c r="AF457" s="36">
        <v>505</v>
      </c>
      <c r="AG457" s="68">
        <v>132</v>
      </c>
      <c r="AH457" s="143">
        <v>130</v>
      </c>
      <c r="AI457" s="68">
        <v>133</v>
      </c>
      <c r="AJ457" s="68">
        <f>AK457-AI457-AH457-AG457</f>
        <v>126</v>
      </c>
      <c r="AK457" s="36">
        <v>521</v>
      </c>
      <c r="AL457" s="68">
        <v>120</v>
      </c>
      <c r="AM457" s="68">
        <v>126</v>
      </c>
      <c r="AN457" s="68">
        <v>132</v>
      </c>
      <c r="AO457" s="68">
        <v>107</v>
      </c>
      <c r="AP457" s="36">
        <v>485</v>
      </c>
      <c r="AQ457" s="68">
        <v>118</v>
      </c>
      <c r="AR457" s="68">
        <v>122</v>
      </c>
      <c r="AS457" s="68">
        <v>120</v>
      </c>
      <c r="AT457" s="68">
        <v>124</v>
      </c>
      <c r="AU457" s="36">
        <v>484</v>
      </c>
      <c r="AV457" s="68">
        <v>109</v>
      </c>
      <c r="AW457" s="68">
        <v>103</v>
      </c>
      <c r="AX457" s="68">
        <v>94</v>
      </c>
      <c r="AY457" s="68">
        <v>84</v>
      </c>
      <c r="AZ457" s="36">
        <v>390</v>
      </c>
      <c r="BA457" s="143">
        <v>57</v>
      </c>
      <c r="BB457" s="68">
        <v>44</v>
      </c>
      <c r="BC457" s="68">
        <v>57</v>
      </c>
      <c r="BD457" s="68"/>
      <c r="BE457" s="36"/>
      <c r="BF457" s="68"/>
      <c r="BG457" s="68"/>
      <c r="BH457" s="68"/>
    </row>
    <row r="458" spans="1:60" hidden="1">
      <c r="A458" s="69" t="s">
        <v>7</v>
      </c>
      <c r="B458" s="23"/>
      <c r="C458" s="70"/>
      <c r="D458" s="70"/>
      <c r="E458" s="70"/>
      <c r="F458" s="70"/>
      <c r="G458" s="23"/>
      <c r="H458" s="70"/>
      <c r="I458" s="70">
        <f>I457/H457-1</f>
        <v>-3.8658559938720805E-2</v>
      </c>
      <c r="J458" s="70">
        <f>J457/I457-1</f>
        <v>-1.5504262012068115E-2</v>
      </c>
      <c r="K458" s="70">
        <f>K457/J457-1</f>
        <v>4.4623361294945818E-2</v>
      </c>
      <c r="L458" s="23"/>
      <c r="M458" s="70">
        <f>M457/K457-1</f>
        <v>4.8059850857087527E-2</v>
      </c>
      <c r="N458" s="70">
        <f>N457/M457-1</f>
        <v>-0.43143158559404915</v>
      </c>
      <c r="O458" s="70">
        <f>O457/N457-1</f>
        <v>0.85306625494338828</v>
      </c>
      <c r="P458" s="70">
        <f>P457/O457-1</f>
        <v>-0.17002258392229375</v>
      </c>
      <c r="Q458" s="23"/>
      <c r="R458" s="70">
        <f>R457/P457-1</f>
        <v>0.17691969003170138</v>
      </c>
      <c r="S458" s="70">
        <f>S457/R457-1</f>
        <v>9.8166119220954862E-3</v>
      </c>
      <c r="T458" s="70">
        <f>T457/S457-1</f>
        <v>2.0190718937783014E-2</v>
      </c>
      <c r="U458" s="70">
        <f>U457/T457-1</f>
        <v>0.33881674510487492</v>
      </c>
      <c r="V458" s="23"/>
      <c r="W458" s="70">
        <f>W457/U457-1</f>
        <v>-0.21629714818893442</v>
      </c>
      <c r="X458" s="70">
        <f>X457/W457-1</f>
        <v>5.8913108183875851E-2</v>
      </c>
      <c r="Y458" s="70">
        <f>Y457/X457-1</f>
        <v>-0.14968819045875881</v>
      </c>
      <c r="Z458" s="70">
        <f>Z457/Y457-1</f>
        <v>8.6901037062093067E-2</v>
      </c>
      <c r="AA458" s="23"/>
      <c r="AB458" s="70">
        <f>AB457/Z457-1</f>
        <v>-0.10224708769795532</v>
      </c>
      <c r="AC458" s="70">
        <f>AC457/AB457-1</f>
        <v>-2.3383519660907348E-2</v>
      </c>
      <c r="AD458" s="70">
        <f>AD457/AC457-1</f>
        <v>7.1233230342290677E-2</v>
      </c>
      <c r="AE458" s="70">
        <f>AE457/AD457-1</f>
        <v>-8.633245223625452E-2</v>
      </c>
      <c r="AF458" s="23"/>
      <c r="AG458" s="70">
        <f>AG457/AE457-1</f>
        <v>8.7986812281063198E-2</v>
      </c>
      <c r="AH458" s="70">
        <f>AH457/AG457-1</f>
        <v>-1.5151515151515138E-2</v>
      </c>
      <c r="AI458" s="70">
        <f>AI457/AH457-1</f>
        <v>2.3076923076922995E-2</v>
      </c>
      <c r="AJ458" s="70">
        <f>AJ457/AI457-1</f>
        <v>-5.2631578947368474E-2</v>
      </c>
      <c r="AK458" s="23"/>
      <c r="AL458" s="70">
        <v>-4.7619047619047672E-2</v>
      </c>
      <c r="AM458" s="70">
        <v>5.0000000000000044E-2</v>
      </c>
      <c r="AN458" s="70">
        <v>4.7619047619047672E-2</v>
      </c>
      <c r="AO458" s="70">
        <v>-0.18939393939393945</v>
      </c>
      <c r="AP458" s="23"/>
      <c r="AQ458" s="70">
        <v>0.10280373831775691</v>
      </c>
      <c r="AR458" s="70">
        <v>3.3898305084745672E-2</v>
      </c>
      <c r="AS458" s="70">
        <v>-1.6393442622950838E-2</v>
      </c>
      <c r="AT458" s="70">
        <v>3.3333333333333437E-2</v>
      </c>
      <c r="AU458" s="23"/>
      <c r="AV458" s="70">
        <v>-0.12096774193548387</v>
      </c>
      <c r="AW458" s="70">
        <v>-5.5045871559633031E-2</v>
      </c>
      <c r="AX458" s="70">
        <v>-8.737864077669899E-2</v>
      </c>
      <c r="AY458" s="70">
        <v>-0.1063829787234043</v>
      </c>
      <c r="AZ458" s="23"/>
      <c r="BA458" s="161">
        <v>-0.3214285714285714</v>
      </c>
      <c r="BB458" s="70">
        <v>-0.22807017543859653</v>
      </c>
      <c r="BC458" s="70">
        <v>0.29545454545454541</v>
      </c>
      <c r="BD458" s="70"/>
      <c r="BE458" s="23"/>
      <c r="BF458" s="70"/>
      <c r="BG458" s="70"/>
      <c r="BH458" s="70"/>
    </row>
    <row r="459" spans="1:60" hidden="1">
      <c r="A459" s="69" t="s">
        <v>8</v>
      </c>
      <c r="B459" s="23"/>
      <c r="C459" s="71"/>
      <c r="D459" s="71"/>
      <c r="E459" s="71"/>
      <c r="F459" s="71"/>
      <c r="G459" s="23">
        <f>G457/B457-1</f>
        <v>0.4156050046183557</v>
      </c>
      <c r="H459" s="71"/>
      <c r="I459" s="71"/>
      <c r="J459" s="71"/>
      <c r="K459" s="71"/>
      <c r="L459" s="23">
        <f t="shared" ref="L459:AD459" si="414">L457/G457-1</f>
        <v>0.15866948543281589</v>
      </c>
      <c r="M459" s="71">
        <f t="shared" si="414"/>
        <v>3.6185050427677723E-2</v>
      </c>
      <c r="N459" s="71">
        <f t="shared" si="414"/>
        <v>-0.38716665421677754</v>
      </c>
      <c r="O459" s="71">
        <f t="shared" si="414"/>
        <v>0.15350503730556864</v>
      </c>
      <c r="P459" s="71">
        <f t="shared" si="414"/>
        <v>-8.3513574587597117E-2</v>
      </c>
      <c r="Q459" s="23">
        <f t="shared" si="414"/>
        <v>-7.014051857949688E-2</v>
      </c>
      <c r="R459" s="71">
        <f t="shared" si="414"/>
        <v>2.9169201389156241E-2</v>
      </c>
      <c r="S459" s="71">
        <f t="shared" si="414"/>
        <v>0.82787529118587133</v>
      </c>
      <c r="T459" s="71">
        <f t="shared" si="414"/>
        <v>6.3220364997111922E-3</v>
      </c>
      <c r="U459" s="71">
        <f t="shared" si="414"/>
        <v>0.62327404015498411</v>
      </c>
      <c r="V459" s="23">
        <f t="shared" si="414"/>
        <v>0.30073643086490986</v>
      </c>
      <c r="W459" s="71">
        <f t="shared" si="414"/>
        <v>8.0927190967519991E-2</v>
      </c>
      <c r="X459" s="71">
        <f t="shared" si="414"/>
        <v>0.13348102813363671</v>
      </c>
      <c r="Y459" s="71">
        <f t="shared" si="414"/>
        <v>-5.5262622741270029E-2</v>
      </c>
      <c r="Z459" s="71">
        <f t="shared" si="414"/>
        <v>-0.2330271944623763</v>
      </c>
      <c r="AA459" s="23">
        <f t="shared" si="414"/>
        <v>-3.6797310041124631E-2</v>
      </c>
      <c r="AB459" s="71">
        <f t="shared" si="414"/>
        <v>-0.121411810309621</v>
      </c>
      <c r="AC459" s="71">
        <f t="shared" si="414"/>
        <v>-0.18969394291989705</v>
      </c>
      <c r="AD459" s="71">
        <f t="shared" si="414"/>
        <v>2.0833493492416144E-2</v>
      </c>
      <c r="AE459" s="71">
        <f t="shared" ref="AE459:AJ459" si="415">AE457/Z457-1</f>
        <v>-0.14186995607675601</v>
      </c>
      <c r="AF459" s="23">
        <f t="shared" si="415"/>
        <v>-0.11233294721281339</v>
      </c>
      <c r="AG459" s="71">
        <f t="shared" si="415"/>
        <v>3.996785553901061E-2</v>
      </c>
      <c r="AH459" s="71">
        <f t="shared" si="415"/>
        <v>4.8733855549012217E-2</v>
      </c>
      <c r="AI459" s="71">
        <f t="shared" si="415"/>
        <v>1.5889870395890959E-3</v>
      </c>
      <c r="AJ459" s="71">
        <f t="shared" si="415"/>
        <v>3.8532866268287558E-2</v>
      </c>
      <c r="AK459" s="23">
        <v>3.1683168316831711E-2</v>
      </c>
      <c r="AL459" s="71">
        <v>-9.0909090909090939E-2</v>
      </c>
      <c r="AM459" s="71">
        <v>-3.0769230769230771E-2</v>
      </c>
      <c r="AN459" s="71">
        <v>-7.5187969924812581E-3</v>
      </c>
      <c r="AO459" s="71">
        <v>-0.15079365079365081</v>
      </c>
      <c r="AP459" s="23">
        <v>-6.9097888675623831E-2</v>
      </c>
      <c r="AQ459" s="71">
        <v>-1.6666666666666718E-2</v>
      </c>
      <c r="AR459" s="71">
        <v>-3.1746031746031744E-2</v>
      </c>
      <c r="AS459" s="71">
        <v>-9.0909090909090939E-2</v>
      </c>
      <c r="AT459" s="71">
        <v>0.1588785046728971</v>
      </c>
      <c r="AU459" s="23">
        <v>-2.0618556701030855E-3</v>
      </c>
      <c r="AV459" s="71">
        <v>-7.6271186440677985E-2</v>
      </c>
      <c r="AW459" s="71">
        <v>-0.15573770491803274</v>
      </c>
      <c r="AX459" s="71">
        <v>-0.21666666666666667</v>
      </c>
      <c r="AY459" s="71">
        <v>-0.32258064516129037</v>
      </c>
      <c r="AZ459" s="23">
        <v>-0.19421487603305787</v>
      </c>
      <c r="BA459" s="160">
        <v>-0.47706422018348627</v>
      </c>
      <c r="BB459" s="71">
        <v>-0.57281553398058249</v>
      </c>
      <c r="BC459" s="71">
        <v>-0.3936170212765957</v>
      </c>
      <c r="BD459" s="71"/>
      <c r="BE459" s="23"/>
      <c r="BF459" s="71"/>
      <c r="BG459" s="71"/>
      <c r="BH459" s="71"/>
    </row>
    <row r="460" spans="1:60" hidden="1">
      <c r="A460" s="67" t="s">
        <v>80</v>
      </c>
      <c r="B460" s="36">
        <v>137.679</v>
      </c>
      <c r="C460" s="78" t="s">
        <v>49</v>
      </c>
      <c r="D460" s="78" t="s">
        <v>49</v>
      </c>
      <c r="E460" s="78" t="s">
        <v>49</v>
      </c>
      <c r="F460" s="78" t="s">
        <v>49</v>
      </c>
      <c r="G460" s="36">
        <v>128.16200000000001</v>
      </c>
      <c r="H460" s="68">
        <v>28.420999999999999</v>
      </c>
      <c r="I460" s="68">
        <v>33.017000000000003</v>
      </c>
      <c r="J460" s="68">
        <v>28.779</v>
      </c>
      <c r="K460" s="68">
        <f>L460-J460-I460-H460</f>
        <v>32.094999999999999</v>
      </c>
      <c r="L460" s="36">
        <v>122.312</v>
      </c>
      <c r="M460" s="68">
        <v>38.936</v>
      </c>
      <c r="N460" s="68">
        <v>33.042000000000002</v>
      </c>
      <c r="O460" s="68">
        <v>31.542999999999999</v>
      </c>
      <c r="P460" s="68">
        <f>Q460-O460-N460-M460</f>
        <v>39.68099999999999</v>
      </c>
      <c r="Q460" s="36">
        <v>143.202</v>
      </c>
      <c r="R460" s="68">
        <v>40.058999999999997</v>
      </c>
      <c r="S460" s="68">
        <v>34.738</v>
      </c>
      <c r="T460" s="68">
        <v>37.170999999999999</v>
      </c>
      <c r="U460" s="68">
        <f>V460-T460-S460-R460</f>
        <v>40.769000000000005</v>
      </c>
      <c r="V460" s="36">
        <v>152.73699999999999</v>
      </c>
      <c r="W460" s="68">
        <v>53.506999999999998</v>
      </c>
      <c r="X460" s="68">
        <v>41.585000000000001</v>
      </c>
      <c r="Y460" s="68">
        <v>40.06</v>
      </c>
      <c r="Z460" s="68">
        <f>AA460-Y460-X460-W460</f>
        <v>31.121999999999993</v>
      </c>
      <c r="AA460" s="36">
        <v>166.274</v>
      </c>
      <c r="AB460" s="68">
        <v>39.119</v>
      </c>
      <c r="AC460" s="68">
        <v>36.228999999999999</v>
      </c>
      <c r="AD460" s="68">
        <v>41.195999999999998</v>
      </c>
      <c r="AE460" s="68">
        <f>AF460-AD460-AC460-AB460</f>
        <v>37.167999999999992</v>
      </c>
      <c r="AF460" s="36">
        <v>153.71199999999999</v>
      </c>
      <c r="AG460" s="68">
        <v>40</v>
      </c>
      <c r="AH460" s="143">
        <v>40</v>
      </c>
      <c r="AI460" s="68">
        <v>34</v>
      </c>
      <c r="AJ460" s="68">
        <f>AK460-AI460-AH460-AG460</f>
        <v>40</v>
      </c>
      <c r="AK460" s="36">
        <v>154</v>
      </c>
      <c r="AL460" s="68">
        <v>36</v>
      </c>
      <c r="AM460" s="68">
        <v>35</v>
      </c>
      <c r="AN460" s="68">
        <v>37</v>
      </c>
      <c r="AO460" s="68">
        <v>32</v>
      </c>
      <c r="AP460" s="36">
        <v>140</v>
      </c>
      <c r="AQ460" s="68">
        <v>38</v>
      </c>
      <c r="AR460" s="68">
        <v>24</v>
      </c>
      <c r="AS460" s="68">
        <v>35</v>
      </c>
      <c r="AT460" s="68">
        <v>31</v>
      </c>
      <c r="AU460" s="36">
        <v>128</v>
      </c>
      <c r="AV460" s="68">
        <v>35</v>
      </c>
      <c r="AW460" s="68">
        <v>29</v>
      </c>
      <c r="AX460" s="68">
        <v>34</v>
      </c>
      <c r="AY460" s="68">
        <v>33</v>
      </c>
      <c r="AZ460" s="36">
        <v>131</v>
      </c>
      <c r="BA460" s="143">
        <v>35</v>
      </c>
      <c r="BB460" s="68">
        <v>31</v>
      </c>
      <c r="BC460" s="68">
        <v>34</v>
      </c>
      <c r="BD460" s="68"/>
      <c r="BE460" s="36"/>
      <c r="BF460" s="68"/>
      <c r="BG460" s="68"/>
      <c r="BH460" s="68"/>
    </row>
    <row r="461" spans="1:60" hidden="1">
      <c r="A461" s="69" t="s">
        <v>7</v>
      </c>
      <c r="B461" s="23"/>
      <c r="C461" s="70"/>
      <c r="D461" s="70"/>
      <c r="E461" s="70"/>
      <c r="F461" s="70"/>
      <c r="G461" s="23"/>
      <c r="H461" s="70"/>
      <c r="I461" s="70">
        <f>I460/H460-1</f>
        <v>0.16171141057668637</v>
      </c>
      <c r="J461" s="70">
        <f>J460/I460-1</f>
        <v>-0.12835811854499202</v>
      </c>
      <c r="K461" s="70">
        <f>K460/J460-1</f>
        <v>0.11522290559088222</v>
      </c>
      <c r="L461" s="23"/>
      <c r="M461" s="70">
        <f>M460/K460-1</f>
        <v>0.21314846549306754</v>
      </c>
      <c r="N461" s="70">
        <f>N460/M460-1</f>
        <v>-0.15137661803986024</v>
      </c>
      <c r="O461" s="70">
        <f>O460/N460-1</f>
        <v>-4.5366503238302824E-2</v>
      </c>
      <c r="P461" s="70">
        <f>P460/O460-1</f>
        <v>0.25799701994103263</v>
      </c>
      <c r="Q461" s="23"/>
      <c r="R461" s="70">
        <f>R460/P460-1</f>
        <v>9.5259696076208655E-3</v>
      </c>
      <c r="S461" s="70">
        <f>S460/R460-1</f>
        <v>-0.1328290771112608</v>
      </c>
      <c r="T461" s="70">
        <f>T460/S460-1</f>
        <v>7.0038574471759985E-2</v>
      </c>
      <c r="U461" s="70">
        <f>U460/T460-1</f>
        <v>9.67958892685159E-2</v>
      </c>
      <c r="V461" s="23"/>
      <c r="W461" s="70">
        <f>W460/U460-1</f>
        <v>0.31244327798081861</v>
      </c>
      <c r="X461" s="70">
        <f>X460/W460-1</f>
        <v>-0.22281196852748231</v>
      </c>
      <c r="Y461" s="70">
        <f>Y460/X460-1</f>
        <v>-3.667187687868223E-2</v>
      </c>
      <c r="Z461" s="70">
        <f>Z460/Y460-1</f>
        <v>-0.223115327009486</v>
      </c>
      <c r="AA461" s="23"/>
      <c r="AB461" s="70">
        <f>AB460/Z460-1</f>
        <v>0.25695649379859931</v>
      </c>
      <c r="AC461" s="70">
        <f>AC460/AB460-1</f>
        <v>-7.3877144098775549E-2</v>
      </c>
      <c r="AD461" s="70">
        <f>AD460/AC460-1</f>
        <v>0.13710011316900816</v>
      </c>
      <c r="AE461" s="70">
        <f>AE460/AD460-1</f>
        <v>-9.7776483153704352E-2</v>
      </c>
      <c r="AF461" s="23"/>
      <c r="AG461" s="70">
        <f>AG460/AE460-1</f>
        <v>7.6194575979337209E-2</v>
      </c>
      <c r="AH461" s="161">
        <f>AH460/AG460-1</f>
        <v>0</v>
      </c>
      <c r="AI461" s="70">
        <f>AI460/AH460-1</f>
        <v>-0.15000000000000002</v>
      </c>
      <c r="AJ461" s="70">
        <f>AJ460/AI460-1</f>
        <v>0.17647058823529416</v>
      </c>
      <c r="AK461" s="23"/>
      <c r="AL461" s="70">
        <v>-9.9999999999999978E-2</v>
      </c>
      <c r="AM461" s="70">
        <v>-2.777777777777779E-2</v>
      </c>
      <c r="AN461" s="70">
        <v>5.7142857142857162E-2</v>
      </c>
      <c r="AO461" s="70">
        <v>-0.13513513513513509</v>
      </c>
      <c r="AP461" s="23"/>
      <c r="AQ461" s="70">
        <v>0.1875</v>
      </c>
      <c r="AR461" s="70">
        <v>-0.36842105263157898</v>
      </c>
      <c r="AS461" s="70">
        <v>0.45833333333333326</v>
      </c>
      <c r="AT461" s="70">
        <v>-0.11428571428571432</v>
      </c>
      <c r="AU461" s="23"/>
      <c r="AV461" s="70">
        <v>0.12903225806451624</v>
      </c>
      <c r="AW461" s="70">
        <v>-0.17142857142857137</v>
      </c>
      <c r="AX461" s="70">
        <v>0.17241379310344818</v>
      </c>
      <c r="AY461" s="70">
        <v>-2.9411764705882359E-2</v>
      </c>
      <c r="AZ461" s="23"/>
      <c r="BA461" s="161">
        <v>6.0606060606060552E-2</v>
      </c>
      <c r="BB461" s="70">
        <v>-0.11428571428571432</v>
      </c>
      <c r="BC461" s="70">
        <v>9.6774193548387011E-2</v>
      </c>
      <c r="BD461" s="70"/>
      <c r="BE461" s="23"/>
      <c r="BF461" s="70"/>
      <c r="BG461" s="70"/>
      <c r="BH461" s="70"/>
    </row>
    <row r="462" spans="1:60" hidden="1">
      <c r="A462" s="69" t="s">
        <v>8</v>
      </c>
      <c r="B462" s="23"/>
      <c r="C462" s="71"/>
      <c r="D462" s="71"/>
      <c r="E462" s="71"/>
      <c r="F462" s="71"/>
      <c r="G462" s="23">
        <f>G460/B460-1</f>
        <v>-6.9124557848328272E-2</v>
      </c>
      <c r="H462" s="71"/>
      <c r="I462" s="71"/>
      <c r="J462" s="71"/>
      <c r="K462" s="71"/>
      <c r="L462" s="23">
        <f t="shared" ref="L462:AD462" si="416">L460/G460-1</f>
        <v>-4.5645355097454821E-2</v>
      </c>
      <c r="M462" s="71">
        <f t="shared" si="416"/>
        <v>0.36997290735723598</v>
      </c>
      <c r="N462" s="71">
        <f t="shared" si="416"/>
        <v>7.5718569221905341E-4</v>
      </c>
      <c r="O462" s="71">
        <f t="shared" si="416"/>
        <v>9.6042253031724423E-2</v>
      </c>
      <c r="P462" s="71">
        <f t="shared" si="416"/>
        <v>0.23636080386352987</v>
      </c>
      <c r="Q462" s="23">
        <f t="shared" si="416"/>
        <v>0.17079272679704371</v>
      </c>
      <c r="R462" s="71">
        <f t="shared" si="416"/>
        <v>2.8842202588863719E-2</v>
      </c>
      <c r="S462" s="71">
        <f t="shared" si="416"/>
        <v>5.1328612069487356E-2</v>
      </c>
      <c r="T462" s="71">
        <f t="shared" si="416"/>
        <v>0.17842310496782177</v>
      </c>
      <c r="U462" s="71">
        <f t="shared" si="416"/>
        <v>2.7418663844157587E-2</v>
      </c>
      <c r="V462" s="23">
        <f t="shared" si="416"/>
        <v>6.6584265582882995E-2</v>
      </c>
      <c r="W462" s="71">
        <f t="shared" si="416"/>
        <v>0.33570483536783247</v>
      </c>
      <c r="X462" s="71">
        <f t="shared" si="416"/>
        <v>0.19710403592607517</v>
      </c>
      <c r="Y462" s="71">
        <f t="shared" si="416"/>
        <v>7.7721879960184204E-2</v>
      </c>
      <c r="Z462" s="71">
        <f t="shared" si="416"/>
        <v>-0.23662586769359095</v>
      </c>
      <c r="AA462" s="23">
        <f t="shared" si="416"/>
        <v>8.8629474194203084E-2</v>
      </c>
      <c r="AB462" s="71">
        <f t="shared" si="416"/>
        <v>-0.26889939634066573</v>
      </c>
      <c r="AC462" s="71">
        <f t="shared" si="416"/>
        <v>-0.1287964410244079</v>
      </c>
      <c r="AD462" s="71">
        <f t="shared" si="416"/>
        <v>2.8357463804293381E-2</v>
      </c>
      <c r="AE462" s="71">
        <f t="shared" ref="AE462:AJ462" si="417">AE460/Z460-1</f>
        <v>0.19426772058351016</v>
      </c>
      <c r="AF462" s="23">
        <f t="shared" si="417"/>
        <v>-7.5549995790081481E-2</v>
      </c>
      <c r="AG462" s="71">
        <f t="shared" si="417"/>
        <v>2.2521025588588595E-2</v>
      </c>
      <c r="AH462" s="160">
        <f t="shared" si="417"/>
        <v>0.10408788539567748</v>
      </c>
      <c r="AI462" s="71">
        <f t="shared" si="417"/>
        <v>-0.17467715312166221</v>
      </c>
      <c r="AJ462" s="71">
        <f t="shared" si="417"/>
        <v>7.6194575979337209E-2</v>
      </c>
      <c r="AK462" s="23">
        <v>1.8736338086813298E-3</v>
      </c>
      <c r="AL462" s="71">
        <v>-9.9999999999999978E-2</v>
      </c>
      <c r="AM462" s="71">
        <v>-0.125</v>
      </c>
      <c r="AN462" s="71">
        <v>8.8235294117646967E-2</v>
      </c>
      <c r="AO462" s="71">
        <v>-0.19999999999999996</v>
      </c>
      <c r="AP462" s="23">
        <v>-9.0909090909090939E-2</v>
      </c>
      <c r="AQ462" s="71">
        <v>5.555555555555558E-2</v>
      </c>
      <c r="AR462" s="71">
        <v>-0.31428571428571428</v>
      </c>
      <c r="AS462" s="71">
        <v>-5.4054054054054057E-2</v>
      </c>
      <c r="AT462" s="71">
        <v>-3.125E-2</v>
      </c>
      <c r="AU462" s="23">
        <v>-8.5714285714285743E-2</v>
      </c>
      <c r="AV462" s="71">
        <v>-7.8947368421052655E-2</v>
      </c>
      <c r="AW462" s="71">
        <v>0.20833333333333326</v>
      </c>
      <c r="AX462" s="71">
        <v>-2.8571428571428581E-2</v>
      </c>
      <c r="AY462" s="71">
        <v>6.4516129032258007E-2</v>
      </c>
      <c r="AZ462" s="23">
        <v>2.34375E-2</v>
      </c>
      <c r="BA462" s="160">
        <v>0</v>
      </c>
      <c r="BB462" s="71">
        <v>6.8965517241379226E-2</v>
      </c>
      <c r="BC462" s="71">
        <v>0</v>
      </c>
      <c r="BD462" s="71"/>
      <c r="BE462" s="23"/>
      <c r="BF462" s="71"/>
      <c r="BG462" s="71"/>
      <c r="BH462" s="71"/>
    </row>
    <row r="463" spans="1:60" hidden="1">
      <c r="A463" s="67" t="s">
        <v>81</v>
      </c>
      <c r="B463" s="36">
        <v>104.047</v>
      </c>
      <c r="C463" s="78" t="s">
        <v>49</v>
      </c>
      <c r="D463" s="78" t="s">
        <v>49</v>
      </c>
      <c r="E463" s="78" t="s">
        <v>49</v>
      </c>
      <c r="F463" s="78" t="s">
        <v>49</v>
      </c>
      <c r="G463" s="36">
        <v>116.151</v>
      </c>
      <c r="H463" s="68">
        <v>30.957000000000001</v>
      </c>
      <c r="I463" s="68">
        <v>28.411999999999999</v>
      </c>
      <c r="J463" s="68">
        <v>29.175000000000001</v>
      </c>
      <c r="K463" s="68">
        <f>L463-J463-I463-H463</f>
        <v>29.26100000000001</v>
      </c>
      <c r="L463" s="36">
        <v>117.80500000000001</v>
      </c>
      <c r="M463" s="68">
        <v>32.235999999999997</v>
      </c>
      <c r="N463" s="68">
        <v>33.509</v>
      </c>
      <c r="O463" s="68">
        <v>33.537999999999997</v>
      </c>
      <c r="P463" s="68">
        <f>Q463-O463-N463-M463</f>
        <v>33.278000000000013</v>
      </c>
      <c r="Q463" s="36">
        <v>132.56100000000001</v>
      </c>
      <c r="R463" s="68">
        <v>32.222000000000001</v>
      </c>
      <c r="S463" s="68">
        <v>34.911999999999999</v>
      </c>
      <c r="T463" s="68">
        <v>37.152999999999999</v>
      </c>
      <c r="U463" s="68">
        <f>V463-T463-S463-R463</f>
        <v>38.749000000000002</v>
      </c>
      <c r="V463" s="36">
        <v>143.036</v>
      </c>
      <c r="W463" s="68">
        <v>39.354999999999997</v>
      </c>
      <c r="X463" s="68">
        <v>36.905000000000001</v>
      </c>
      <c r="Y463" s="68">
        <v>36.029000000000003</v>
      </c>
      <c r="Z463" s="68">
        <f>AA463-Y463-X463-W463</f>
        <v>37.594999999999992</v>
      </c>
      <c r="AA463" s="36">
        <v>149.88399999999999</v>
      </c>
      <c r="AB463" s="68">
        <f>38.879-18.5</f>
        <v>20.378999999999998</v>
      </c>
      <c r="AC463" s="68">
        <f>39.146-19</f>
        <v>20.146000000000001</v>
      </c>
      <c r="AD463" s="68">
        <f>38.885-19.7</f>
        <v>19.184999999999999</v>
      </c>
      <c r="AE463" s="68">
        <f>AF463-AD463-AC463-AB463</f>
        <v>24.29</v>
      </c>
      <c r="AF463" s="36">
        <v>84</v>
      </c>
      <c r="AG463" s="68">
        <v>20</v>
      </c>
      <c r="AH463" s="143">
        <v>23</v>
      </c>
      <c r="AI463" s="68">
        <v>23</v>
      </c>
      <c r="AJ463" s="68">
        <f>AK463-AI463-AH463-AG463</f>
        <v>28</v>
      </c>
      <c r="AK463" s="36">
        <v>94</v>
      </c>
      <c r="AL463" s="68">
        <v>25</v>
      </c>
      <c r="AM463" s="68">
        <v>21</v>
      </c>
      <c r="AN463" s="68">
        <v>21</v>
      </c>
      <c r="AO463" s="68">
        <v>28</v>
      </c>
      <c r="AP463" s="36">
        <v>95</v>
      </c>
      <c r="AQ463" s="68">
        <v>23</v>
      </c>
      <c r="AR463" s="68">
        <v>21</v>
      </c>
      <c r="AS463" s="68">
        <v>23</v>
      </c>
      <c r="AT463" s="68">
        <v>25</v>
      </c>
      <c r="AU463" s="36">
        <v>92</v>
      </c>
      <c r="AV463" s="68">
        <v>22</v>
      </c>
      <c r="AW463" s="68">
        <v>25</v>
      </c>
      <c r="AX463" s="68">
        <v>25</v>
      </c>
      <c r="AY463" s="68">
        <v>24</v>
      </c>
      <c r="AZ463" s="36">
        <v>96</v>
      </c>
      <c r="BA463" s="143">
        <v>23</v>
      </c>
      <c r="BB463" s="68">
        <v>30</v>
      </c>
      <c r="BC463" s="68">
        <v>22</v>
      </c>
      <c r="BD463" s="68"/>
      <c r="BE463" s="36"/>
      <c r="BF463" s="68"/>
      <c r="BG463" s="68"/>
      <c r="BH463" s="68"/>
    </row>
    <row r="464" spans="1:60" hidden="1">
      <c r="A464" s="69" t="s">
        <v>7</v>
      </c>
      <c r="B464" s="23"/>
      <c r="C464" s="70"/>
      <c r="D464" s="70"/>
      <c r="E464" s="70"/>
      <c r="F464" s="70"/>
      <c r="G464" s="23"/>
      <c r="H464" s="70"/>
      <c r="I464" s="70">
        <f>I463/H463-1</f>
        <v>-8.2210808540879365E-2</v>
      </c>
      <c r="J464" s="70">
        <f>J463/I463-1</f>
        <v>2.6854850063353641E-2</v>
      </c>
      <c r="K464" s="70">
        <f>K463/J463-1</f>
        <v>2.9477292202231276E-3</v>
      </c>
      <c r="L464" s="23"/>
      <c r="M464" s="70">
        <f>M463/K463-1</f>
        <v>0.10167116639896068</v>
      </c>
      <c r="N464" s="70">
        <f>N463/M463-1</f>
        <v>3.9490011167638839E-2</v>
      </c>
      <c r="O464" s="70">
        <f>O463/N463-1</f>
        <v>8.6543913575454212E-4</v>
      </c>
      <c r="P464" s="70">
        <f>P463/O463-1</f>
        <v>-7.7524002623884369E-3</v>
      </c>
      <c r="Q464" s="23"/>
      <c r="R464" s="70">
        <f>R463/P463-1</f>
        <v>-3.173267624256304E-2</v>
      </c>
      <c r="S464" s="70">
        <f>S463/R463-1</f>
        <v>8.3483334367823181E-2</v>
      </c>
      <c r="T464" s="70">
        <f>T463/S463-1</f>
        <v>6.4189963336388711E-2</v>
      </c>
      <c r="U464" s="70">
        <f>U463/T463-1</f>
        <v>4.2957500067289489E-2</v>
      </c>
      <c r="V464" s="23"/>
      <c r="W464" s="70">
        <f>W463/U463-1</f>
        <v>1.5639113267438942E-2</v>
      </c>
      <c r="X464" s="70">
        <f>X463/W463-1</f>
        <v>-6.2253843221953931E-2</v>
      </c>
      <c r="Y464" s="70">
        <f>Y463/X463-1</f>
        <v>-2.3736621054057605E-2</v>
      </c>
      <c r="Z464" s="70">
        <f>Z463/Y463-1</f>
        <v>4.3464986538621408E-2</v>
      </c>
      <c r="AA464" s="23"/>
      <c r="AB464" s="70">
        <f>AB463/Z463-1</f>
        <v>-0.45793323580263323</v>
      </c>
      <c r="AC464" s="70">
        <f>AC463/AB463-1</f>
        <v>-1.1433338240345314E-2</v>
      </c>
      <c r="AD464" s="70">
        <f>AD463/AC463-1</f>
        <v>-4.7701777027697956E-2</v>
      </c>
      <c r="AE464" s="70">
        <f>AE463/AD463-1</f>
        <v>0.26609330205890025</v>
      </c>
      <c r="AF464" s="23"/>
      <c r="AG464" s="70">
        <f>AG463/AE463-1</f>
        <v>-0.17661589131329758</v>
      </c>
      <c r="AH464" s="70">
        <f>AH463/AG463-1</f>
        <v>0.14999999999999991</v>
      </c>
      <c r="AI464" s="70">
        <f>AI463/AH463-1</f>
        <v>0</v>
      </c>
      <c r="AJ464" s="70">
        <f>AJ463/AI463-1</f>
        <v>0.21739130434782616</v>
      </c>
      <c r="AK464" s="23"/>
      <c r="AL464" s="70">
        <v>-0.1071428571428571</v>
      </c>
      <c r="AM464" s="70">
        <v>-0.16000000000000003</v>
      </c>
      <c r="AN464" s="70">
        <v>0</v>
      </c>
      <c r="AO464" s="70">
        <v>0.33333333333333326</v>
      </c>
      <c r="AP464" s="23"/>
      <c r="AQ464" s="70">
        <v>-0.1785714285714286</v>
      </c>
      <c r="AR464" s="70">
        <v>-8.6956521739130488E-2</v>
      </c>
      <c r="AS464" s="70">
        <v>9.5238095238095344E-2</v>
      </c>
      <c r="AT464" s="70">
        <v>8.6956521739130377E-2</v>
      </c>
      <c r="AU464" s="23"/>
      <c r="AV464" s="70">
        <v>-0.12</v>
      </c>
      <c r="AW464" s="70">
        <v>0.13636363636363646</v>
      </c>
      <c r="AX464" s="70">
        <v>0</v>
      </c>
      <c r="AY464" s="70">
        <v>-4.0000000000000036E-2</v>
      </c>
      <c r="AZ464" s="23"/>
      <c r="BA464" s="161">
        <v>-4.166666666666663E-2</v>
      </c>
      <c r="BB464" s="70">
        <v>0.30434782608695654</v>
      </c>
      <c r="BC464" s="70">
        <v>-0.26666666666666672</v>
      </c>
      <c r="BD464" s="70"/>
      <c r="BE464" s="23"/>
      <c r="BF464" s="70"/>
      <c r="BG464" s="70"/>
      <c r="BH464" s="70"/>
    </row>
    <row r="465" spans="1:60" hidden="1">
      <c r="A465" s="69" t="s">
        <v>8</v>
      </c>
      <c r="B465" s="23"/>
      <c r="C465" s="71"/>
      <c r="D465" s="71"/>
      <c r="E465" s="71"/>
      <c r="F465" s="71"/>
      <c r="G465" s="23">
        <f>G463/B463-1</f>
        <v>0.11633204225013705</v>
      </c>
      <c r="H465" s="71"/>
      <c r="I465" s="71"/>
      <c r="J465" s="71"/>
      <c r="K465" s="71"/>
      <c r="L465" s="23">
        <f t="shared" ref="L465:AD465" si="418">L463/G463-1</f>
        <v>1.4240084028549038E-2</v>
      </c>
      <c r="M465" s="71">
        <f t="shared" si="418"/>
        <v>4.1315372936653993E-2</v>
      </c>
      <c r="N465" s="71">
        <f t="shared" si="418"/>
        <v>0.17939602984654379</v>
      </c>
      <c r="O465" s="71">
        <f t="shared" si="418"/>
        <v>0.14954584404455851</v>
      </c>
      <c r="P465" s="71">
        <f t="shared" si="418"/>
        <v>0.1372817060250846</v>
      </c>
      <c r="Q465" s="23">
        <f t="shared" si="418"/>
        <v>0.12525784134799034</v>
      </c>
      <c r="R465" s="71">
        <f t="shared" si="418"/>
        <v>-4.3429705918840433E-4</v>
      </c>
      <c r="S465" s="71">
        <f t="shared" si="418"/>
        <v>4.1869348533229767E-2</v>
      </c>
      <c r="T465" s="71">
        <f t="shared" si="418"/>
        <v>0.10778818057129236</v>
      </c>
      <c r="U465" s="71">
        <f t="shared" si="418"/>
        <v>0.16440290882865516</v>
      </c>
      <c r="V465" s="23">
        <f t="shared" si="418"/>
        <v>7.9020224651292548E-2</v>
      </c>
      <c r="W465" s="71">
        <f t="shared" si="418"/>
        <v>0.22137049221029104</v>
      </c>
      <c r="X465" s="71">
        <f t="shared" si="418"/>
        <v>5.7086388634280505E-2</v>
      </c>
      <c r="Y465" s="71">
        <f t="shared" si="418"/>
        <v>-3.0253276989745004E-2</v>
      </c>
      <c r="Z465" s="71">
        <f t="shared" si="418"/>
        <v>-2.9781413713902527E-2</v>
      </c>
      <c r="AA465" s="23">
        <f t="shared" si="418"/>
        <v>4.7876059173914243E-2</v>
      </c>
      <c r="AB465" s="71">
        <f t="shared" si="418"/>
        <v>-0.48217507305297935</v>
      </c>
      <c r="AC465" s="71">
        <f t="shared" si="418"/>
        <v>-0.45411190895542608</v>
      </c>
      <c r="AD465" s="71">
        <f t="shared" si="418"/>
        <v>-0.46751228177301629</v>
      </c>
      <c r="AE465" s="71">
        <f t="shared" ref="AE465:AJ465" si="419">AE463/Z463-1</f>
        <v>-0.35390344460699552</v>
      </c>
      <c r="AF465" s="23">
        <f t="shared" si="419"/>
        <v>-0.43956659816925081</v>
      </c>
      <c r="AG465" s="71">
        <f t="shared" si="419"/>
        <v>-1.8597575936012412E-2</v>
      </c>
      <c r="AH465" s="71">
        <f t="shared" si="419"/>
        <v>0.14166583937258004</v>
      </c>
      <c r="AI465" s="71">
        <f t="shared" si="419"/>
        <v>0.19885327078446702</v>
      </c>
      <c r="AJ465" s="71">
        <f t="shared" si="419"/>
        <v>0.1527377521613833</v>
      </c>
      <c r="AK465" s="23">
        <v>0.11904761904761907</v>
      </c>
      <c r="AL465" s="71">
        <v>0.25</v>
      </c>
      <c r="AM465" s="71">
        <v>-8.6956521739130488E-2</v>
      </c>
      <c r="AN465" s="71">
        <v>-8.6956521739130488E-2</v>
      </c>
      <c r="AO465" s="71">
        <v>0</v>
      </c>
      <c r="AP465" s="23">
        <v>1.0638297872340496E-2</v>
      </c>
      <c r="AQ465" s="71">
        <v>-7.999999999999996E-2</v>
      </c>
      <c r="AR465" s="71">
        <v>0</v>
      </c>
      <c r="AS465" s="71">
        <v>9.5238095238095344E-2</v>
      </c>
      <c r="AT465" s="71">
        <v>-0.1071428571428571</v>
      </c>
      <c r="AU465" s="23">
        <v>-3.157894736842104E-2</v>
      </c>
      <c r="AV465" s="71">
        <v>-4.3478260869565188E-2</v>
      </c>
      <c r="AW465" s="71">
        <v>0.19047619047619047</v>
      </c>
      <c r="AX465" s="71">
        <v>8.6956521739130377E-2</v>
      </c>
      <c r="AY465" s="71">
        <v>-4.0000000000000036E-2</v>
      </c>
      <c r="AZ465" s="23">
        <v>4.3478260869565188E-2</v>
      </c>
      <c r="BA465" s="160">
        <v>4.5454545454545414E-2</v>
      </c>
      <c r="BB465" s="71">
        <v>0.19999999999999996</v>
      </c>
      <c r="BC465" s="71">
        <v>-0.12</v>
      </c>
      <c r="BD465" s="71"/>
      <c r="BE465" s="23"/>
      <c r="BF465" s="71"/>
      <c r="BG465" s="71"/>
      <c r="BH465" s="71"/>
    </row>
    <row r="466" spans="1:60">
      <c r="A466" s="67" t="s">
        <v>243</v>
      </c>
      <c r="B466" s="23"/>
      <c r="C466" s="71"/>
      <c r="D466" s="71"/>
      <c r="E466" s="71"/>
      <c r="F466" s="71"/>
      <c r="G466" s="23"/>
      <c r="H466" s="71"/>
      <c r="I466" s="71"/>
      <c r="J466" s="71"/>
      <c r="K466" s="71"/>
      <c r="L466" s="23"/>
      <c r="M466" s="71"/>
      <c r="N466" s="71"/>
      <c r="O466" s="71"/>
      <c r="P466" s="71"/>
      <c r="Q466" s="23"/>
      <c r="R466" s="71"/>
      <c r="S466" s="71"/>
      <c r="T466" s="71"/>
      <c r="U466" s="71"/>
      <c r="V466" s="23"/>
      <c r="W466" s="71"/>
      <c r="X466" s="71"/>
      <c r="Y466" s="71"/>
      <c r="Z466" s="71"/>
      <c r="AA466" s="23"/>
      <c r="AB466" s="71"/>
      <c r="AC466" s="71"/>
      <c r="AD466" s="71"/>
      <c r="AE466" s="71"/>
      <c r="AF466" s="61"/>
      <c r="AG466" s="182"/>
      <c r="AH466" s="182"/>
      <c r="AI466" s="182"/>
      <c r="AJ466" s="182"/>
      <c r="AK466" s="61" t="s">
        <v>141</v>
      </c>
      <c r="AL466" s="182" t="s">
        <v>141</v>
      </c>
      <c r="AM466" s="182" t="s">
        <v>141</v>
      </c>
      <c r="AN466" s="182" t="s">
        <v>141</v>
      </c>
      <c r="AO466" s="182" t="s">
        <v>141</v>
      </c>
      <c r="AP466" s="61" t="s">
        <v>141</v>
      </c>
      <c r="AQ466" s="182" t="s">
        <v>141</v>
      </c>
      <c r="AR466" s="182" t="s">
        <v>141</v>
      </c>
      <c r="AS466" s="182" t="s">
        <v>141</v>
      </c>
      <c r="AT466" s="182" t="s">
        <v>141</v>
      </c>
      <c r="AU466" s="61" t="s">
        <v>141</v>
      </c>
      <c r="AV466" s="182" t="s">
        <v>141</v>
      </c>
      <c r="AW466" s="182" t="s">
        <v>141</v>
      </c>
      <c r="AX466" s="182" t="s">
        <v>141</v>
      </c>
      <c r="AY466" s="182" t="s">
        <v>141</v>
      </c>
      <c r="AZ466" s="61" t="s">
        <v>141</v>
      </c>
      <c r="BA466" s="182" t="s">
        <v>141</v>
      </c>
      <c r="BB466" s="182" t="s">
        <v>141</v>
      </c>
      <c r="BC466" s="182" t="s">
        <v>141</v>
      </c>
      <c r="BD466" s="143">
        <v>1100</v>
      </c>
      <c r="BE466" s="224">
        <v>1100</v>
      </c>
      <c r="BF466" s="182" t="s">
        <v>141</v>
      </c>
      <c r="BG466" s="182" t="s">
        <v>141</v>
      </c>
      <c r="BH466" s="182" t="s">
        <v>141</v>
      </c>
    </row>
    <row r="467" spans="1:60" ht="19.95" customHeight="1">
      <c r="A467" s="67" t="s">
        <v>265</v>
      </c>
      <c r="B467" s="23"/>
      <c r="C467" s="71"/>
      <c r="D467" s="71"/>
      <c r="E467" s="71"/>
      <c r="F467" s="71"/>
      <c r="G467" s="23"/>
      <c r="H467" s="71"/>
      <c r="I467" s="71"/>
      <c r="J467" s="71"/>
      <c r="K467" s="71"/>
      <c r="L467" s="23"/>
      <c r="M467" s="71"/>
      <c r="N467" s="71"/>
      <c r="O467" s="71"/>
      <c r="P467" s="71"/>
      <c r="Q467" s="23"/>
      <c r="R467" s="71"/>
      <c r="S467" s="71"/>
      <c r="T467" s="71"/>
      <c r="U467" s="71"/>
      <c r="V467" s="23"/>
      <c r="W467" s="71"/>
      <c r="X467" s="71"/>
      <c r="Y467" s="71"/>
      <c r="Z467" s="71"/>
      <c r="AA467" s="23"/>
      <c r="AB467" s="71"/>
      <c r="AC467" s="71"/>
      <c r="AD467" s="71"/>
      <c r="AE467" s="71"/>
      <c r="AF467" s="61"/>
      <c r="AG467" s="182"/>
      <c r="AH467" s="182"/>
      <c r="AI467" s="182"/>
      <c r="AJ467" s="182"/>
      <c r="AK467" s="61" t="s">
        <v>141</v>
      </c>
      <c r="AL467" s="182" t="s">
        <v>141</v>
      </c>
      <c r="AM467" s="182" t="s">
        <v>141</v>
      </c>
      <c r="AN467" s="182" t="s">
        <v>141</v>
      </c>
      <c r="AO467" s="182" t="s">
        <v>141</v>
      </c>
      <c r="AP467" s="61" t="s">
        <v>141</v>
      </c>
      <c r="AQ467" s="182" t="s">
        <v>141</v>
      </c>
      <c r="AR467" s="182" t="s">
        <v>141</v>
      </c>
      <c r="AS467" s="182" t="s">
        <v>141</v>
      </c>
      <c r="AT467" s="182" t="s">
        <v>141</v>
      </c>
      <c r="AU467" s="174">
        <v>-11</v>
      </c>
      <c r="AV467" s="182" t="s">
        <v>141</v>
      </c>
      <c r="AW467" s="182" t="s">
        <v>141</v>
      </c>
      <c r="AX467" s="182" t="s">
        <v>141</v>
      </c>
      <c r="AY467" s="182" t="s">
        <v>141</v>
      </c>
      <c r="AZ467" s="61" t="s">
        <v>141</v>
      </c>
      <c r="BA467" s="147">
        <v>2</v>
      </c>
      <c r="BB467" s="182">
        <v>7</v>
      </c>
      <c r="BC467" s="182" t="s">
        <v>141</v>
      </c>
      <c r="BD467" s="147">
        <v>8</v>
      </c>
      <c r="BE467" s="36">
        <v>17</v>
      </c>
      <c r="BF467" s="147">
        <v>43</v>
      </c>
      <c r="BG467" s="147">
        <v>-9</v>
      </c>
      <c r="BH467" s="147">
        <v>1</v>
      </c>
    </row>
    <row r="468" spans="1:60" s="35" customFormat="1" ht="18" customHeight="1">
      <c r="A468" s="67" t="s">
        <v>261</v>
      </c>
      <c r="B468" s="36">
        <v>55.999000000000002</v>
      </c>
      <c r="C468" s="68">
        <v>26.847999999999999</v>
      </c>
      <c r="D468" s="68">
        <v>42.551000000000002</v>
      </c>
      <c r="E468" s="68">
        <v>52.412999999999997</v>
      </c>
      <c r="F468" s="68">
        <f>G468-E468-D468-C468</f>
        <v>55.335999999999999</v>
      </c>
      <c r="G468" s="36">
        <v>177.148</v>
      </c>
      <c r="H468" s="68">
        <v>65.95</v>
      </c>
      <c r="I468" s="68">
        <v>59.054000000000002</v>
      </c>
      <c r="J468" s="68">
        <v>60.661000000000001</v>
      </c>
      <c r="K468" s="68">
        <f>L468-J468-I468-H468</f>
        <v>62.552000000000007</v>
      </c>
      <c r="L468" s="36">
        <v>248.21700000000001</v>
      </c>
      <c r="M468" s="68">
        <v>58.691000000000003</v>
      </c>
      <c r="N468" s="68">
        <v>7.2850000000000001</v>
      </c>
      <c r="O468" s="68">
        <v>71.742000000000004</v>
      </c>
      <c r="P468" s="68">
        <f>Q468-O468-N468-M468</f>
        <v>40.600999999999985</v>
      </c>
      <c r="Q468" s="36">
        <v>178.31899999999999</v>
      </c>
      <c r="R468" s="68">
        <v>61.37</v>
      </c>
      <c r="S468" s="68">
        <v>65.313000000000002</v>
      </c>
      <c r="T468" s="68">
        <v>63.363999999999997</v>
      </c>
      <c r="U468" s="68">
        <v>106</v>
      </c>
      <c r="V468" s="36">
        <v>294.86799999999999</v>
      </c>
      <c r="W468" s="68">
        <v>51.604999999999997</v>
      </c>
      <c r="X468" s="68">
        <v>74.488</v>
      </c>
      <c r="Y468" s="68">
        <v>53.99</v>
      </c>
      <c r="Z468" s="68">
        <f>AA468-Y468-X468-W468</f>
        <v>72.665999999999997</v>
      </c>
      <c r="AA468" s="36">
        <v>252.749</v>
      </c>
      <c r="AB468" s="68">
        <v>67.429000000000002</v>
      </c>
      <c r="AC468" s="68">
        <v>67.584000000000003</v>
      </c>
      <c r="AD468" s="68">
        <v>72.408000000000001</v>
      </c>
      <c r="AE468" s="68">
        <f>AF468-AD468-AC468-AB468</f>
        <v>59.578999999999979</v>
      </c>
      <c r="AF468" s="36">
        <v>267</v>
      </c>
      <c r="AG468" s="68">
        <v>73</v>
      </c>
      <c r="AH468" s="68">
        <v>67</v>
      </c>
      <c r="AI468" s="68">
        <v>76</v>
      </c>
      <c r="AJ468" s="68">
        <f>AK468-AI468-AH468-AG468</f>
        <v>57</v>
      </c>
      <c r="AK468" s="36">
        <v>273</v>
      </c>
      <c r="AL468" s="68">
        <v>59</v>
      </c>
      <c r="AM468" s="68">
        <v>70</v>
      </c>
      <c r="AN468" s="68">
        <v>74</v>
      </c>
      <c r="AO468" s="68">
        <v>47</v>
      </c>
      <c r="AP468" s="36">
        <v>250</v>
      </c>
      <c r="AQ468" s="68">
        <v>57</v>
      </c>
      <c r="AR468" s="68">
        <v>77</v>
      </c>
      <c r="AS468" s="68">
        <v>62</v>
      </c>
      <c r="AT468" s="68">
        <v>68</v>
      </c>
      <c r="AU468" s="36">
        <v>264</v>
      </c>
      <c r="AV468" s="68">
        <v>52</v>
      </c>
      <c r="AW468" s="68">
        <v>49</v>
      </c>
      <c r="AX468" s="68">
        <v>35</v>
      </c>
      <c r="AY468" s="68">
        <v>27</v>
      </c>
      <c r="AZ468" s="36">
        <v>163</v>
      </c>
      <c r="BA468" s="147">
        <v>-1</v>
      </c>
      <c r="BB468" s="147">
        <v>-17</v>
      </c>
      <c r="BC468" s="68">
        <v>1</v>
      </c>
      <c r="BD468" s="147">
        <v>-1139</v>
      </c>
      <c r="BE468" s="174">
        <v>-1156</v>
      </c>
      <c r="BF468" s="182">
        <v>-45</v>
      </c>
      <c r="BG468" s="182">
        <v>-24</v>
      </c>
      <c r="BH468" s="182">
        <v>20</v>
      </c>
    </row>
    <row r="469" spans="1:60">
      <c r="A469" s="69" t="s">
        <v>7</v>
      </c>
      <c r="B469" s="23"/>
      <c r="C469" s="70"/>
      <c r="D469" s="70">
        <f>D468/C468-1</f>
        <v>0.58488528009535168</v>
      </c>
      <c r="E469" s="70">
        <f>E468/D468-1</f>
        <v>0.2317689361002091</v>
      </c>
      <c r="F469" s="70">
        <f>F468/E468-1</f>
        <v>5.576860702497477E-2</v>
      </c>
      <c r="G469" s="23"/>
      <c r="H469" s="70">
        <f>H468/F468-1</f>
        <v>0.19181003325140966</v>
      </c>
      <c r="I469" s="70">
        <f>I468/H468-1</f>
        <v>-0.10456406368460958</v>
      </c>
      <c r="J469" s="70">
        <f>J468/I468-1</f>
        <v>2.7212381887763648E-2</v>
      </c>
      <c r="K469" s="70">
        <f>K468/J468-1</f>
        <v>3.1173241456619705E-2</v>
      </c>
      <c r="L469" s="23"/>
      <c r="M469" s="70">
        <f>M468/K468-1</f>
        <v>-6.172464509528075E-2</v>
      </c>
      <c r="N469" s="70">
        <f>N468/M468-1</f>
        <v>-0.87587534715714499</v>
      </c>
      <c r="O469" s="70">
        <f>O468/N468-1</f>
        <v>8.847906657515443</v>
      </c>
      <c r="P469" s="70">
        <f>P468/O468-1</f>
        <v>-0.43406930389451115</v>
      </c>
      <c r="Q469" s="23"/>
      <c r="R469" s="70">
        <f>R468/P468-1</f>
        <v>0.51153912465210261</v>
      </c>
      <c r="S469" s="70">
        <f>S468/R468-1</f>
        <v>6.4249633371354253E-2</v>
      </c>
      <c r="T469" s="70">
        <f>T468/S468-1</f>
        <v>-2.9840919878125427E-2</v>
      </c>
      <c r="U469" s="70">
        <f>U468/T468-1</f>
        <v>0.67287418723565429</v>
      </c>
      <c r="V469" s="23"/>
      <c r="W469" s="70">
        <f>W468/U468-1</f>
        <v>-0.51316037735849052</v>
      </c>
      <c r="X469" s="70">
        <f>X468/W468-1</f>
        <v>0.44342602461001857</v>
      </c>
      <c r="Y469" s="70">
        <f>Y468/X468-1</f>
        <v>-0.27518526474062932</v>
      </c>
      <c r="Z469" s="70">
        <v>0.34591591035376901</v>
      </c>
      <c r="AA469" s="23"/>
      <c r="AB469" s="70">
        <f>AB468/Z468-1</f>
        <v>-7.2069468527234171E-2</v>
      </c>
      <c r="AC469" s="70">
        <f>AC468/AB468-1</f>
        <v>2.2987142030876928E-3</v>
      </c>
      <c r="AD469" s="70">
        <f>AD468/AC468-1</f>
        <v>7.1377840909090828E-2</v>
      </c>
      <c r="AE469" s="70">
        <f>AE468/AD468-1</f>
        <v>-0.17717655507678742</v>
      </c>
      <c r="AF469" s="23"/>
      <c r="AG469" s="70">
        <f>AG468/AE468-1</f>
        <v>0.22526393527920963</v>
      </c>
      <c r="AH469" s="70">
        <f>AH468/AG468-1</f>
        <v>-8.2191780821917804E-2</v>
      </c>
      <c r="AI469" s="70">
        <f>AI468/AH468-1</f>
        <v>0.13432835820895517</v>
      </c>
      <c r="AJ469" s="70">
        <f>AJ468/AI468-1</f>
        <v>-0.25</v>
      </c>
      <c r="AK469" s="23"/>
      <c r="AL469" s="70">
        <v>3.5087719298245723E-2</v>
      </c>
      <c r="AM469" s="70">
        <v>0.18644067796610164</v>
      </c>
      <c r="AN469" s="70">
        <v>5.7142857142857162E-2</v>
      </c>
      <c r="AO469" s="70">
        <v>-0.36486486486486491</v>
      </c>
      <c r="AP469" s="23"/>
      <c r="AQ469" s="70">
        <v>0.2127659574468086</v>
      </c>
      <c r="AR469" s="70">
        <v>0.35087719298245612</v>
      </c>
      <c r="AS469" s="70">
        <v>-0.19480519480519476</v>
      </c>
      <c r="AT469" s="70">
        <v>9.6774193548387011E-2</v>
      </c>
      <c r="AU469" s="23"/>
      <c r="AV469" s="70">
        <v>-0.23529411764705888</v>
      </c>
      <c r="AW469" s="70">
        <v>-5.7692307692307709E-2</v>
      </c>
      <c r="AX469" s="70">
        <v>-0.2857142857142857</v>
      </c>
      <c r="AY469" s="70">
        <v>-0.22857142857142854</v>
      </c>
      <c r="AZ469" s="23"/>
      <c r="BA469" s="83" t="s">
        <v>40</v>
      </c>
      <c r="BB469" s="70">
        <v>16</v>
      </c>
      <c r="BC469" s="83" t="s">
        <v>40</v>
      </c>
      <c r="BD469" s="83" t="s">
        <v>40</v>
      </c>
      <c r="BE469" s="23"/>
      <c r="BF469" s="83" t="s">
        <v>40</v>
      </c>
      <c r="BG469" s="70">
        <v>-0.46666666666666667</v>
      </c>
      <c r="BH469" s="83" t="s">
        <v>40</v>
      </c>
    </row>
    <row r="470" spans="1:60">
      <c r="A470" s="69" t="s">
        <v>8</v>
      </c>
      <c r="B470" s="23"/>
      <c r="C470" s="71"/>
      <c r="D470" s="71"/>
      <c r="E470" s="71"/>
      <c r="F470" s="71"/>
      <c r="G470" s="23">
        <f t="shared" ref="G470:N470" si="420">G468/B468-1</f>
        <v>2.1634136323862925</v>
      </c>
      <c r="H470" s="71">
        <f t="shared" si="420"/>
        <v>1.4564213349225272</v>
      </c>
      <c r="I470" s="71">
        <f t="shared" si="420"/>
        <v>0.3878404737843999</v>
      </c>
      <c r="J470" s="71">
        <f t="shared" si="420"/>
        <v>0.15736553908381512</v>
      </c>
      <c r="K470" s="71">
        <f t="shared" si="420"/>
        <v>0.13040335405522629</v>
      </c>
      <c r="L470" s="23">
        <f t="shared" si="420"/>
        <v>0.4011843204552128</v>
      </c>
      <c r="M470" s="71">
        <f t="shared" si="420"/>
        <v>-0.11006823351023498</v>
      </c>
      <c r="N470" s="71">
        <f t="shared" si="420"/>
        <v>-0.8766383310190673</v>
      </c>
      <c r="O470" s="71">
        <f t="shared" ref="O470:Y470" si="421">O468/J468-1</f>
        <v>0.18267090882115378</v>
      </c>
      <c r="P470" s="71">
        <f t="shared" si="421"/>
        <v>-0.35092403120603688</v>
      </c>
      <c r="Q470" s="23">
        <f t="shared" si="421"/>
        <v>-0.28160037386641534</v>
      </c>
      <c r="R470" s="71">
        <f t="shared" si="421"/>
        <v>4.5645840077694899E-2</v>
      </c>
      <c r="S470" s="71">
        <f t="shared" si="421"/>
        <v>7.9654083733699377</v>
      </c>
      <c r="T470" s="71">
        <f t="shared" si="421"/>
        <v>-0.11677957124139282</v>
      </c>
      <c r="U470" s="71">
        <f t="shared" si="421"/>
        <v>1.6107731336666595</v>
      </c>
      <c r="V470" s="23">
        <f t="shared" si="421"/>
        <v>0.65359832659447403</v>
      </c>
      <c r="W470" s="71">
        <f t="shared" si="421"/>
        <v>-0.15911683232849927</v>
      </c>
      <c r="X470" s="71">
        <f t="shared" si="421"/>
        <v>0.14047739347449961</v>
      </c>
      <c r="Y470" s="71">
        <f t="shared" si="421"/>
        <v>-0.14793889274666994</v>
      </c>
      <c r="Z470" s="71">
        <v>-0.30676104978964125</v>
      </c>
      <c r="AA470" s="23">
        <v>-0.14284018611717786</v>
      </c>
      <c r="AB470" s="71">
        <f t="shared" ref="AB470:AI470" si="422">AB468/W468-1</f>
        <v>0.30663695378354827</v>
      </c>
      <c r="AC470" s="71">
        <f t="shared" si="422"/>
        <v>-9.2686070239501595E-2</v>
      </c>
      <c r="AD470" s="71">
        <f t="shared" si="422"/>
        <v>0.34113724763845155</v>
      </c>
      <c r="AE470" s="71">
        <f t="shared" si="422"/>
        <v>-0.18009798255029885</v>
      </c>
      <c r="AF470" s="23">
        <f t="shared" si="422"/>
        <v>5.6384001519293792E-2</v>
      </c>
      <c r="AG470" s="71">
        <f t="shared" si="422"/>
        <v>8.2620237583235667E-2</v>
      </c>
      <c r="AH470" s="71">
        <f t="shared" si="422"/>
        <v>-8.6410984848485084E-3</v>
      </c>
      <c r="AI470" s="71">
        <f t="shared" si="422"/>
        <v>4.9607778146061099E-2</v>
      </c>
      <c r="AJ470" s="71">
        <f t="shared" ref="AJ470" si="423">AJ468/AE468-1</f>
        <v>-4.3287064234041828E-2</v>
      </c>
      <c r="AK470" s="23">
        <v>2.2471910112359605E-2</v>
      </c>
      <c r="AL470" s="71">
        <v>-0.19178082191780821</v>
      </c>
      <c r="AM470" s="71">
        <v>4.4776119402984982E-2</v>
      </c>
      <c r="AN470" s="71">
        <v>-2.6315789473684181E-2</v>
      </c>
      <c r="AO470" s="71">
        <v>-0.17543859649122806</v>
      </c>
      <c r="AP470" s="23">
        <v>-8.4249084249084283E-2</v>
      </c>
      <c r="AQ470" s="71">
        <v>-3.3898305084745783E-2</v>
      </c>
      <c r="AR470" s="71">
        <v>0.10000000000000009</v>
      </c>
      <c r="AS470" s="71">
        <v>-0.16216216216216217</v>
      </c>
      <c r="AT470" s="71">
        <v>0.44680851063829796</v>
      </c>
      <c r="AU470" s="23">
        <v>5.600000000000005E-2</v>
      </c>
      <c r="AV470" s="71">
        <v>-8.7719298245614086E-2</v>
      </c>
      <c r="AW470" s="71">
        <v>-0.36363636363636365</v>
      </c>
      <c r="AX470" s="71">
        <v>-0.43548387096774188</v>
      </c>
      <c r="AY470" s="71">
        <v>-0.60294117647058831</v>
      </c>
      <c r="AZ470" s="23">
        <v>-0.38257575757575757</v>
      </c>
      <c r="BA470" s="83" t="s">
        <v>40</v>
      </c>
      <c r="BB470" s="83" t="s">
        <v>40</v>
      </c>
      <c r="BC470" s="71">
        <v>-0.97142857142857142</v>
      </c>
      <c r="BD470" s="83" t="s">
        <v>40</v>
      </c>
      <c r="BE470" s="90" t="s">
        <v>40</v>
      </c>
      <c r="BF470" s="83" t="s">
        <v>40</v>
      </c>
      <c r="BG470" s="71">
        <v>0.41176470588235303</v>
      </c>
      <c r="BH470" s="71">
        <v>19</v>
      </c>
    </row>
    <row r="471" spans="1:60">
      <c r="A471" s="67" t="s">
        <v>89</v>
      </c>
      <c r="B471" s="36">
        <v>153</v>
      </c>
      <c r="C471" s="68"/>
      <c r="D471" s="68"/>
      <c r="E471" s="68"/>
      <c r="F471" s="68"/>
      <c r="G471" s="36">
        <v>178</v>
      </c>
      <c r="H471" s="68"/>
      <c r="I471" s="68"/>
      <c r="J471" s="68"/>
      <c r="K471" s="68"/>
      <c r="L471" s="36">
        <v>170</v>
      </c>
      <c r="M471" s="78" t="s">
        <v>49</v>
      </c>
      <c r="N471" s="78" t="s">
        <v>49</v>
      </c>
      <c r="O471" s="78" t="s">
        <v>49</v>
      </c>
      <c r="P471" s="78" t="s">
        <v>49</v>
      </c>
      <c r="Q471" s="36">
        <v>172</v>
      </c>
      <c r="R471" s="78" t="s">
        <v>49</v>
      </c>
      <c r="S471" s="78" t="s">
        <v>49</v>
      </c>
      <c r="T471" s="78" t="s">
        <v>49</v>
      </c>
      <c r="U471" s="78" t="s">
        <v>49</v>
      </c>
      <c r="V471" s="36">
        <v>146</v>
      </c>
      <c r="W471" s="78" t="s">
        <v>49</v>
      </c>
      <c r="X471" s="78" t="s">
        <v>49</v>
      </c>
      <c r="Y471" s="78" t="s">
        <v>49</v>
      </c>
      <c r="Z471" s="78" t="s">
        <v>49</v>
      </c>
      <c r="AA471" s="36">
        <v>154</v>
      </c>
      <c r="AB471" s="78" t="s">
        <v>49</v>
      </c>
      <c r="AC471" s="78" t="s">
        <v>49</v>
      </c>
      <c r="AD471" s="78" t="s">
        <v>49</v>
      </c>
      <c r="AE471" s="78" t="s">
        <v>49</v>
      </c>
      <c r="AF471" s="36">
        <v>161</v>
      </c>
      <c r="AG471" s="78" t="s">
        <v>49</v>
      </c>
      <c r="AH471" s="78" t="s">
        <v>49</v>
      </c>
      <c r="AI471" s="78" t="s">
        <v>49</v>
      </c>
      <c r="AJ471" s="78" t="s">
        <v>49</v>
      </c>
      <c r="AK471" s="36">
        <v>111</v>
      </c>
      <c r="AL471" s="78" t="s">
        <v>49</v>
      </c>
      <c r="AM471" s="78" t="s">
        <v>49</v>
      </c>
      <c r="AN471" s="78" t="s">
        <v>49</v>
      </c>
      <c r="AO471" s="78" t="s">
        <v>49</v>
      </c>
      <c r="AP471" s="36">
        <v>90</v>
      </c>
      <c r="AQ471" s="68">
        <v>19</v>
      </c>
      <c r="AR471" s="68">
        <v>12</v>
      </c>
      <c r="AS471" s="68">
        <v>26</v>
      </c>
      <c r="AT471" s="68">
        <v>1</v>
      </c>
      <c r="AU471" s="36">
        <v>58</v>
      </c>
      <c r="AV471" s="68">
        <v>27</v>
      </c>
      <c r="AW471" s="68">
        <v>32</v>
      </c>
      <c r="AX471" s="147">
        <v>-1</v>
      </c>
      <c r="AY471" s="68">
        <v>13</v>
      </c>
      <c r="AZ471" s="36">
        <v>71</v>
      </c>
      <c r="BA471" s="147">
        <v>-3</v>
      </c>
      <c r="BB471" s="147">
        <v>-7</v>
      </c>
      <c r="BC471" s="147">
        <v>3</v>
      </c>
      <c r="BD471" s="147">
        <v>-4</v>
      </c>
      <c r="BE471" s="174">
        <v>-11</v>
      </c>
      <c r="BF471" s="147">
        <v>5</v>
      </c>
      <c r="BG471" s="147">
        <v>2</v>
      </c>
      <c r="BH471" s="147">
        <v>4</v>
      </c>
    </row>
    <row r="472" spans="1:60">
      <c r="A472" s="69" t="s">
        <v>7</v>
      </c>
      <c r="B472" s="23"/>
      <c r="C472" s="70"/>
      <c r="D472" s="70"/>
      <c r="E472" s="70"/>
      <c r="F472" s="70"/>
      <c r="G472" s="23"/>
      <c r="H472" s="70"/>
      <c r="I472" s="70"/>
      <c r="J472" s="70"/>
      <c r="K472" s="70"/>
      <c r="L472" s="23"/>
      <c r="M472" s="70"/>
      <c r="N472" s="70"/>
      <c r="O472" s="70"/>
      <c r="P472" s="70"/>
      <c r="Q472" s="23"/>
      <c r="R472" s="70"/>
      <c r="S472" s="70"/>
      <c r="T472" s="70"/>
      <c r="U472" s="70"/>
      <c r="V472" s="23"/>
      <c r="W472" s="70"/>
      <c r="X472" s="70"/>
      <c r="Y472" s="70"/>
      <c r="Z472" s="70"/>
      <c r="AA472" s="23"/>
      <c r="AB472" s="70"/>
      <c r="AC472" s="70"/>
      <c r="AD472" s="70"/>
      <c r="AE472" s="70"/>
      <c r="AF472" s="23"/>
      <c r="AG472" s="70"/>
      <c r="AH472" s="70"/>
      <c r="AI472" s="70"/>
      <c r="AJ472" s="70"/>
      <c r="AK472" s="23"/>
      <c r="AL472" s="70"/>
      <c r="AM472" s="70"/>
      <c r="AN472" s="70"/>
      <c r="AO472" s="70"/>
      <c r="AP472" s="23"/>
      <c r="AQ472" s="70"/>
      <c r="AR472" s="70">
        <v>-0.36842105263157898</v>
      </c>
      <c r="AS472" s="70">
        <v>1.1666666666666665</v>
      </c>
      <c r="AT472" s="70">
        <v>-0.96153846153846156</v>
      </c>
      <c r="AU472" s="23"/>
      <c r="AV472" s="70">
        <v>26</v>
      </c>
      <c r="AW472" s="70">
        <v>0.18518518518518512</v>
      </c>
      <c r="AX472" s="83" t="s">
        <v>40</v>
      </c>
      <c r="AY472" s="83" t="s">
        <v>40</v>
      </c>
      <c r="AZ472" s="23"/>
      <c r="BA472" s="81" t="s">
        <v>40</v>
      </c>
      <c r="BB472" s="70">
        <v>1.3333333333333335</v>
      </c>
      <c r="BC472" s="83" t="s">
        <v>40</v>
      </c>
      <c r="BD472" s="83" t="s">
        <v>40</v>
      </c>
      <c r="BE472" s="23"/>
      <c r="BF472" s="81" t="s">
        <v>40</v>
      </c>
      <c r="BG472" s="70">
        <v>-0.6</v>
      </c>
      <c r="BH472" s="70">
        <v>1</v>
      </c>
    </row>
    <row r="473" spans="1:60">
      <c r="A473" s="69" t="s">
        <v>8</v>
      </c>
      <c r="B473" s="23"/>
      <c r="C473" s="71"/>
      <c r="D473" s="71"/>
      <c r="E473" s="71"/>
      <c r="F473" s="71"/>
      <c r="G473" s="23">
        <f t="shared" ref="G473" si="424">G471/B471-1</f>
        <v>0.1633986928104576</v>
      </c>
      <c r="H473" s="71"/>
      <c r="I473" s="71"/>
      <c r="J473" s="71"/>
      <c r="K473" s="71"/>
      <c r="L473" s="23">
        <f t="shared" ref="L473:Q473" si="425">L471/G471-1</f>
        <v>-4.49438202247191E-2</v>
      </c>
      <c r="M473" s="71"/>
      <c r="N473" s="71"/>
      <c r="O473" s="71"/>
      <c r="P473" s="71"/>
      <c r="Q473" s="23">
        <f t="shared" si="425"/>
        <v>1.1764705882352899E-2</v>
      </c>
      <c r="R473" s="71"/>
      <c r="S473" s="71"/>
      <c r="T473" s="71"/>
      <c r="U473" s="71"/>
      <c r="V473" s="23">
        <f t="shared" ref="V473" si="426">V471/Q471-1</f>
        <v>-0.15116279069767447</v>
      </c>
      <c r="W473" s="71"/>
      <c r="X473" s="71"/>
      <c r="Y473" s="71"/>
      <c r="Z473" s="71"/>
      <c r="AA473" s="23">
        <f t="shared" ref="AA473" si="427">AA471/V471-1</f>
        <v>5.4794520547945202E-2</v>
      </c>
      <c r="AB473" s="71"/>
      <c r="AC473" s="71"/>
      <c r="AD473" s="71"/>
      <c r="AE473" s="71"/>
      <c r="AF473" s="23">
        <f t="shared" ref="AF473" si="428">AF471/AA471-1</f>
        <v>4.5454545454545414E-2</v>
      </c>
      <c r="AG473" s="71"/>
      <c r="AH473" s="71"/>
      <c r="AI473" s="71"/>
      <c r="AJ473" s="71"/>
      <c r="AK473" s="23">
        <v>-0.31055900621118016</v>
      </c>
      <c r="AL473" s="71"/>
      <c r="AM473" s="71"/>
      <c r="AN473" s="71"/>
      <c r="AO473" s="71"/>
      <c r="AP473" s="23">
        <v>-0.18918918918918914</v>
      </c>
      <c r="AQ473" s="71"/>
      <c r="AR473" s="71"/>
      <c r="AS473" s="71"/>
      <c r="AT473" s="71"/>
      <c r="AU473" s="23">
        <v>-0.35555555555555551</v>
      </c>
      <c r="AV473" s="71">
        <v>0.42105263157894735</v>
      </c>
      <c r="AW473" s="71">
        <v>1.6666666666666665</v>
      </c>
      <c r="AX473" s="83" t="s">
        <v>40</v>
      </c>
      <c r="AY473" s="71">
        <v>12</v>
      </c>
      <c r="AZ473" s="23">
        <v>0.22413793103448265</v>
      </c>
      <c r="BA473" s="81" t="s">
        <v>40</v>
      </c>
      <c r="BB473" s="83" t="s">
        <v>40</v>
      </c>
      <c r="BC473" s="83" t="s">
        <v>40</v>
      </c>
      <c r="BD473" s="83" t="s">
        <v>40</v>
      </c>
      <c r="BE473" s="90" t="s">
        <v>40</v>
      </c>
      <c r="BF473" s="81" t="s">
        <v>40</v>
      </c>
      <c r="BG473" s="81" t="s">
        <v>40</v>
      </c>
      <c r="BH473" s="71">
        <v>0.33333333333333326</v>
      </c>
    </row>
    <row r="474" spans="1:60" hidden="1">
      <c r="A474" s="188" t="s">
        <v>162</v>
      </c>
      <c r="B474" s="174">
        <f>55.999-166.523+13.392</f>
        <v>-97.132000000000005</v>
      </c>
      <c r="C474" s="78" t="s">
        <v>49</v>
      </c>
      <c r="D474" s="78" t="s">
        <v>49</v>
      </c>
      <c r="E474" s="78" t="s">
        <v>49</v>
      </c>
      <c r="F474" s="78" t="s">
        <v>49</v>
      </c>
      <c r="G474" s="174">
        <f>177.148-229.65+51.805</f>
        <v>-0.69700000000000983</v>
      </c>
      <c r="H474" s="78" t="s">
        <v>49</v>
      </c>
      <c r="I474" s="78" t="s">
        <v>49</v>
      </c>
      <c r="J474" s="78" t="s">
        <v>49</v>
      </c>
      <c r="K474" s="78" t="s">
        <v>49</v>
      </c>
      <c r="L474" s="36">
        <f>248.217-177.9+8.347</f>
        <v>78.664000000000001</v>
      </c>
      <c r="M474" s="78" t="s">
        <v>49</v>
      </c>
      <c r="N474" s="78" t="s">
        <v>49</v>
      </c>
      <c r="O474" s="78" t="s">
        <v>49</v>
      </c>
      <c r="P474" s="78" t="s">
        <v>49</v>
      </c>
      <c r="Q474" s="36">
        <f>178.319-181.584+9.313</f>
        <v>6.0479999999999858</v>
      </c>
      <c r="R474" s="78" t="s">
        <v>49</v>
      </c>
      <c r="S474" s="78" t="s">
        <v>49</v>
      </c>
      <c r="T474" s="78" t="s">
        <v>49</v>
      </c>
      <c r="U474" s="78" t="s">
        <v>49</v>
      </c>
      <c r="V474" s="36">
        <f>294.868-168.991+23.163</f>
        <v>149.04</v>
      </c>
      <c r="W474" s="78" t="s">
        <v>49</v>
      </c>
      <c r="X474" s="78" t="s">
        <v>49</v>
      </c>
      <c r="Y474" s="78" t="s">
        <v>49</v>
      </c>
      <c r="Z474" s="78" t="s">
        <v>49</v>
      </c>
      <c r="AA474" s="36">
        <f>252.749-155.431+1.859</f>
        <v>99.176999999999978</v>
      </c>
      <c r="AB474" s="78" t="s">
        <v>49</v>
      </c>
      <c r="AC474" s="78" t="s">
        <v>49</v>
      </c>
      <c r="AD474" s="78" t="s">
        <v>49</v>
      </c>
      <c r="AE474" s="78" t="s">
        <v>49</v>
      </c>
      <c r="AF474" s="36">
        <f>267-168+7</f>
        <v>106</v>
      </c>
      <c r="AG474" s="68">
        <v>55</v>
      </c>
      <c r="AH474" s="68">
        <f>67-50+6</f>
        <v>23</v>
      </c>
      <c r="AI474" s="68">
        <f>76-42+16</f>
        <v>50</v>
      </c>
      <c r="AJ474" s="68">
        <v>34</v>
      </c>
      <c r="AK474" s="36">
        <v>162</v>
      </c>
      <c r="AL474" s="68">
        <v>60</v>
      </c>
      <c r="AM474" s="68">
        <v>15</v>
      </c>
      <c r="AN474" s="68">
        <v>80</v>
      </c>
      <c r="AO474" s="68">
        <v>5</v>
      </c>
      <c r="AP474" s="36">
        <v>160</v>
      </c>
      <c r="AQ474" s="68">
        <v>38</v>
      </c>
      <c r="AR474" s="68">
        <v>65</v>
      </c>
      <c r="AS474" s="143">
        <v>36</v>
      </c>
      <c r="AT474" s="68">
        <v>67</v>
      </c>
      <c r="AU474" s="36">
        <v>206</v>
      </c>
      <c r="AV474" s="68">
        <v>25</v>
      </c>
      <c r="AW474" s="68">
        <v>16</v>
      </c>
      <c r="AX474" s="68">
        <v>36</v>
      </c>
      <c r="AY474" s="68">
        <v>15</v>
      </c>
      <c r="AZ474" s="36">
        <v>92</v>
      </c>
      <c r="BA474" s="68">
        <v>2</v>
      </c>
      <c r="BB474" s="68">
        <v>16</v>
      </c>
      <c r="BC474" s="68">
        <v>36</v>
      </c>
      <c r="BD474" s="68">
        <v>38</v>
      </c>
      <c r="BE474" s="36">
        <v>92</v>
      </c>
      <c r="BF474" s="68"/>
      <c r="BG474" s="68"/>
      <c r="BH474" s="68"/>
    </row>
    <row r="475" spans="1:60" hidden="1">
      <c r="A475" s="69" t="s">
        <v>7</v>
      </c>
      <c r="B475" s="23"/>
      <c r="C475" s="71"/>
      <c r="D475" s="71"/>
      <c r="E475" s="71"/>
      <c r="F475" s="71"/>
      <c r="G475" s="23"/>
      <c r="H475" s="71"/>
      <c r="I475" s="71"/>
      <c r="J475" s="71"/>
      <c r="K475" s="71"/>
      <c r="L475" s="23"/>
      <c r="M475" s="71"/>
      <c r="N475" s="71"/>
      <c r="O475" s="71"/>
      <c r="P475" s="71"/>
      <c r="Q475" s="23"/>
      <c r="R475" s="71"/>
      <c r="S475" s="71"/>
      <c r="T475" s="71"/>
      <c r="U475" s="71"/>
      <c r="V475" s="23"/>
      <c r="W475" s="71"/>
      <c r="X475" s="71"/>
      <c r="Y475" s="71"/>
      <c r="Z475" s="71"/>
      <c r="AA475" s="23"/>
      <c r="AB475" s="71"/>
      <c r="AC475" s="71"/>
      <c r="AD475" s="71"/>
      <c r="AE475" s="71"/>
      <c r="AF475" s="23"/>
      <c r="AG475" s="70"/>
      <c r="AH475" s="70">
        <f>AH474/AG474-1</f>
        <v>-0.58181818181818179</v>
      </c>
      <c r="AI475" s="70">
        <f>AI474/AH474-1</f>
        <v>1.1739130434782608</v>
      </c>
      <c r="AJ475" s="70">
        <f>AJ474/AI474-1</f>
        <v>-0.31999999999999995</v>
      </c>
      <c r="AK475" s="23"/>
      <c r="AL475" s="70">
        <v>0.76470588235294112</v>
      </c>
      <c r="AM475" s="70">
        <v>-0.75</v>
      </c>
      <c r="AN475" s="70">
        <v>4.333333333333333</v>
      </c>
      <c r="AO475" s="70">
        <v>-0.9375</v>
      </c>
      <c r="AP475" s="23"/>
      <c r="AQ475" s="70">
        <v>6.6</v>
      </c>
      <c r="AR475" s="70">
        <v>0.71052631578947367</v>
      </c>
      <c r="AS475" s="70">
        <v>-0.44615384615384612</v>
      </c>
      <c r="AT475" s="70">
        <v>0.86111111111111116</v>
      </c>
      <c r="AU475" s="23"/>
      <c r="AV475" s="70">
        <v>-0.62686567164179108</v>
      </c>
      <c r="AW475" s="70">
        <v>-0.36</v>
      </c>
      <c r="AX475" s="70">
        <v>1.25</v>
      </c>
      <c r="AY475" s="70">
        <v>-0.58333333333333326</v>
      </c>
      <c r="AZ475" s="23"/>
      <c r="BA475" s="70">
        <v>-0.8666666666666667</v>
      </c>
      <c r="BB475" s="70">
        <v>7</v>
      </c>
      <c r="BC475" s="70">
        <v>1.25</v>
      </c>
      <c r="BD475" s="70">
        <v>5.555555555555558E-2</v>
      </c>
      <c r="BE475" s="23"/>
      <c r="BF475" s="70"/>
      <c r="BG475" s="70"/>
      <c r="BH475" s="70"/>
    </row>
    <row r="476" spans="1:60" hidden="1">
      <c r="A476" s="69" t="s">
        <v>8</v>
      </c>
      <c r="B476" s="23"/>
      <c r="C476" s="71"/>
      <c r="D476" s="71"/>
      <c r="E476" s="71"/>
      <c r="F476" s="71"/>
      <c r="G476" s="23">
        <f t="shared" ref="G476" si="429">G474/B474-1</f>
        <v>-0.99282419799859978</v>
      </c>
      <c r="H476" s="71"/>
      <c r="I476" s="71"/>
      <c r="J476" s="71"/>
      <c r="K476" s="71"/>
      <c r="L476" s="90" t="s">
        <v>40</v>
      </c>
      <c r="M476" s="71"/>
      <c r="N476" s="71"/>
      <c r="O476" s="71"/>
      <c r="P476" s="71"/>
      <c r="Q476" s="23">
        <f t="shared" ref="Q476" si="430">Q474/L474-1</f>
        <v>-0.92311603783179108</v>
      </c>
      <c r="R476" s="71"/>
      <c r="S476" s="71"/>
      <c r="T476" s="71"/>
      <c r="U476" s="71"/>
      <c r="V476" s="23">
        <f t="shared" ref="V476" si="431">V474/Q474-1</f>
        <v>23.642857142857199</v>
      </c>
      <c r="W476" s="71"/>
      <c r="X476" s="71"/>
      <c r="Y476" s="71"/>
      <c r="Z476" s="71"/>
      <c r="AA476" s="23">
        <f t="shared" ref="AA476" si="432">AA474/V474-1</f>
        <v>-0.33456119162640918</v>
      </c>
      <c r="AB476" s="71"/>
      <c r="AC476" s="71"/>
      <c r="AD476" s="71"/>
      <c r="AE476" s="71"/>
      <c r="AF476" s="23">
        <f t="shared" ref="AF476" si="433">AF474/AA474-1</f>
        <v>6.8796192665638412E-2</v>
      </c>
      <c r="AG476" s="71"/>
      <c r="AH476" s="71"/>
      <c r="AI476" s="71"/>
      <c r="AJ476" s="71"/>
      <c r="AK476" s="23">
        <v>0.52830188679245293</v>
      </c>
      <c r="AL476" s="71">
        <v>9.0909090909090828E-2</v>
      </c>
      <c r="AM476" s="71">
        <v>-0.34782608695652173</v>
      </c>
      <c r="AN476" s="71">
        <v>0.60000000000000009</v>
      </c>
      <c r="AO476" s="71">
        <v>-0.8529411764705882</v>
      </c>
      <c r="AP476" s="23"/>
      <c r="AQ476" s="71">
        <v>-0.3666666666666667</v>
      </c>
      <c r="AR476" s="71">
        <v>3.333333333333333</v>
      </c>
      <c r="AS476" s="71">
        <v>-0.55000000000000004</v>
      </c>
      <c r="AT476" s="71">
        <v>12.4</v>
      </c>
      <c r="AU476" s="23">
        <v>0.28750000000000009</v>
      </c>
      <c r="AV476" s="71">
        <v>-0.34210526315789469</v>
      </c>
      <c r="AW476" s="71">
        <v>-0.75384615384615383</v>
      </c>
      <c r="AX476" s="71">
        <v>0</v>
      </c>
      <c r="AY476" s="71">
        <v>-0.77611940298507465</v>
      </c>
      <c r="AZ476" s="23">
        <v>-0.55339805825242716</v>
      </c>
      <c r="BA476" s="71">
        <v>-0.92</v>
      </c>
      <c r="BB476" s="71">
        <v>0</v>
      </c>
      <c r="BC476" s="71">
        <v>0</v>
      </c>
      <c r="BD476" s="71">
        <v>1.5333333333333332</v>
      </c>
      <c r="BE476" s="23">
        <v>0</v>
      </c>
      <c r="BF476" s="71"/>
      <c r="BG476" s="71"/>
      <c r="BH476" s="71"/>
    </row>
    <row r="477" spans="1:60" s="35" customFormat="1">
      <c r="A477" s="67" t="s">
        <v>163</v>
      </c>
      <c r="B477" s="174">
        <v>-117.61</v>
      </c>
      <c r="C477" s="182">
        <v>-65.766999999999996</v>
      </c>
      <c r="D477" s="182">
        <v>-99.322000000000003</v>
      </c>
      <c r="E477" s="182">
        <v>-82.126999999999995</v>
      </c>
      <c r="F477" s="182">
        <f>G477-E477-D477-C477</f>
        <v>-17.490000000000009</v>
      </c>
      <c r="G477" s="174">
        <v>-264.70600000000002</v>
      </c>
      <c r="H477" s="182">
        <v>-1.153</v>
      </c>
      <c r="I477" s="182">
        <v>-95.153999999999996</v>
      </c>
      <c r="J477" s="182">
        <v>-88.456999999999994</v>
      </c>
      <c r="K477" s="182">
        <f>L477-J477-I477-H477</f>
        <v>-37.690000000000019</v>
      </c>
      <c r="L477" s="174">
        <v>-222.45400000000001</v>
      </c>
      <c r="M477" s="182">
        <v>-8.2669999999999995</v>
      </c>
      <c r="N477" s="182">
        <v>-142.78399999999999</v>
      </c>
      <c r="O477" s="182">
        <v>-78.350999999999999</v>
      </c>
      <c r="P477" s="182">
        <f>Q477-O477-N477-M477</f>
        <v>-84.237000000000023</v>
      </c>
      <c r="Q477" s="174">
        <v>-313.63900000000001</v>
      </c>
      <c r="R477" s="182">
        <v>-73.378</v>
      </c>
      <c r="S477" s="182">
        <v>-88.364000000000004</v>
      </c>
      <c r="T477" s="182">
        <v>-75.885000000000005</v>
      </c>
      <c r="U477" s="182">
        <f>V477-T477-S477-R477</f>
        <v>8.0100000000000335</v>
      </c>
      <c r="V477" s="174">
        <v>-229.61699999999999</v>
      </c>
      <c r="W477" s="182">
        <v>-63.862000000000002</v>
      </c>
      <c r="X477" s="182">
        <v>-106.64400000000001</v>
      </c>
      <c r="Y477" s="182">
        <v>-118.672</v>
      </c>
      <c r="Z477" s="182">
        <f>AA477-Y477-X477-W477</f>
        <v>-21.139000000000003</v>
      </c>
      <c r="AA477" s="174">
        <v>-310.31700000000001</v>
      </c>
      <c r="AB477" s="182">
        <v>-60.701000000000001</v>
      </c>
      <c r="AC477" s="182">
        <v>-100.938</v>
      </c>
      <c r="AD477" s="182">
        <v>-136.084</v>
      </c>
      <c r="AE477" s="182">
        <f>AF477-AD477-AC477-AB477</f>
        <v>-82.971000000000032</v>
      </c>
      <c r="AF477" s="174">
        <v>-380.69400000000002</v>
      </c>
      <c r="AG477" s="182">
        <v>-34</v>
      </c>
      <c r="AH477" s="182">
        <v>-115</v>
      </c>
      <c r="AI477" s="182">
        <v>-86</v>
      </c>
      <c r="AJ477" s="182">
        <f>AK477-AI477-AH477-AG477</f>
        <v>-87</v>
      </c>
      <c r="AK477" s="174">
        <v>-322</v>
      </c>
      <c r="AL477" s="182">
        <v>-3</v>
      </c>
      <c r="AM477" s="182">
        <v>-166</v>
      </c>
      <c r="AN477" s="182">
        <v>-75</v>
      </c>
      <c r="AO477" s="182">
        <v>-110</v>
      </c>
      <c r="AP477" s="174">
        <v>-354</v>
      </c>
      <c r="AQ477" s="182">
        <v>-71</v>
      </c>
      <c r="AR477" s="182">
        <v>-114</v>
      </c>
      <c r="AS477" s="182">
        <v>-142</v>
      </c>
      <c r="AT477" s="182">
        <v>395</v>
      </c>
      <c r="AU477" s="174">
        <v>68</v>
      </c>
      <c r="AV477" s="182">
        <v>19</v>
      </c>
      <c r="AW477" s="182">
        <v>-151</v>
      </c>
      <c r="AX477" s="182">
        <v>-123</v>
      </c>
      <c r="AY477" s="182">
        <v>11</v>
      </c>
      <c r="AZ477" s="174">
        <v>-244</v>
      </c>
      <c r="BA477" s="182">
        <v>1</v>
      </c>
      <c r="BB477" s="182">
        <v>-10</v>
      </c>
      <c r="BC477" s="182">
        <v>-2</v>
      </c>
      <c r="BD477" s="182">
        <v>-1137</v>
      </c>
      <c r="BE477" s="174">
        <v>-1148</v>
      </c>
      <c r="BF477" s="182">
        <v>-50</v>
      </c>
      <c r="BG477" s="182">
        <v>-27</v>
      </c>
      <c r="BH477" s="182">
        <v>15</v>
      </c>
    </row>
    <row r="478" spans="1:60">
      <c r="A478" s="69" t="s">
        <v>7</v>
      </c>
      <c r="B478" s="174"/>
      <c r="C478" s="70"/>
      <c r="D478" s="70">
        <f>D477/C477-1</f>
        <v>0.51021028783432443</v>
      </c>
      <c r="E478" s="70">
        <f>E477/D477-1</f>
        <v>-0.17312377922313293</v>
      </c>
      <c r="F478" s="70">
        <f>F477/E477-1</f>
        <v>-0.78703714978021833</v>
      </c>
      <c r="G478" s="23"/>
      <c r="H478" s="70">
        <f>H477/F477-1</f>
        <v>-0.93407661520869067</v>
      </c>
      <c r="I478" s="70">
        <f>I477/H477-1</f>
        <v>81.527320034692096</v>
      </c>
      <c r="J478" s="70">
        <f>J477/I477-1</f>
        <v>-7.0380646110515643E-2</v>
      </c>
      <c r="K478" s="70">
        <f>K477/J477-1</f>
        <v>-0.57391727053822739</v>
      </c>
      <c r="L478" s="23"/>
      <c r="M478" s="70">
        <f>M477/K477-1</f>
        <v>-0.78065799946935543</v>
      </c>
      <c r="N478" s="70">
        <f>N477/M477-1</f>
        <v>16.271561630579413</v>
      </c>
      <c r="O478" s="70">
        <f>O477/N477-1</f>
        <v>-0.45126204616763776</v>
      </c>
      <c r="P478" s="70">
        <f>P477/O477-1</f>
        <v>7.5123482788988394E-2</v>
      </c>
      <c r="Q478" s="23"/>
      <c r="R478" s="70">
        <f>R477/P477-1</f>
        <v>-0.12891009888766247</v>
      </c>
      <c r="S478" s="70">
        <f>S477/R477-1</f>
        <v>0.20423015072637574</v>
      </c>
      <c r="T478" s="70">
        <f>T477/S477-1</f>
        <v>-0.14122266986555609</v>
      </c>
      <c r="U478" s="83" t="s">
        <v>40</v>
      </c>
      <c r="V478" s="23"/>
      <c r="W478" s="83" t="s">
        <v>40</v>
      </c>
      <c r="X478" s="70">
        <f>X477/W477-1</f>
        <v>0.66991325044627481</v>
      </c>
      <c r="Y478" s="70">
        <f>Y477/X477-1</f>
        <v>0.11278646712426377</v>
      </c>
      <c r="Z478" s="70">
        <v>-0.821870365376837</v>
      </c>
      <c r="AA478" s="23"/>
      <c r="AB478" s="70">
        <f>AB477/Z477-1</f>
        <v>1.8715171010927665</v>
      </c>
      <c r="AC478" s="70">
        <f>AC477/AB477-1</f>
        <v>0.66287211083837172</v>
      </c>
      <c r="AD478" s="70">
        <f>AD477/AC477-1</f>
        <v>0.34819394083496791</v>
      </c>
      <c r="AE478" s="70">
        <f>AE477/AD477-1</f>
        <v>-0.39029569971488176</v>
      </c>
      <c r="AF478" s="23"/>
      <c r="AG478" s="70">
        <f>AG477/AE477-1</f>
        <v>-0.59021826903375896</v>
      </c>
      <c r="AH478" s="70">
        <f>AH477/AG477-1</f>
        <v>2.3823529411764706</v>
      </c>
      <c r="AI478" s="70">
        <f>AI477/AH477-1</f>
        <v>-0.25217391304347825</v>
      </c>
      <c r="AJ478" s="70">
        <f>AJ477/AI477-1</f>
        <v>1.1627906976744207E-2</v>
      </c>
      <c r="AK478" s="23"/>
      <c r="AL478" s="70">
        <v>-0.96551724137931039</v>
      </c>
      <c r="AM478" s="70">
        <v>54.333333333333336</v>
      </c>
      <c r="AN478" s="70">
        <v>-0.54819277108433728</v>
      </c>
      <c r="AO478" s="70">
        <v>0.46666666666666656</v>
      </c>
      <c r="AP478" s="23"/>
      <c r="AQ478" s="70">
        <v>-0.3545454545454545</v>
      </c>
      <c r="AR478" s="70">
        <v>0.60563380281690149</v>
      </c>
      <c r="AS478" s="70">
        <v>0.2456140350877194</v>
      </c>
      <c r="AT478" s="83" t="s">
        <v>40</v>
      </c>
      <c r="AU478" s="23"/>
      <c r="AV478" s="70">
        <v>-0.95189873417721516</v>
      </c>
      <c r="AW478" s="83" t="s">
        <v>40</v>
      </c>
      <c r="AX478" s="70">
        <v>-0.18543046357615889</v>
      </c>
      <c r="AY478" s="70">
        <v>-1.089430894308943</v>
      </c>
      <c r="AZ478" s="23"/>
      <c r="BA478" s="70">
        <v>-0.90909090909090906</v>
      </c>
      <c r="BB478" s="83" t="s">
        <v>40</v>
      </c>
      <c r="BC478" s="70">
        <v>-0.8</v>
      </c>
      <c r="BD478" s="83" t="s">
        <v>40</v>
      </c>
      <c r="BE478" s="23"/>
      <c r="BF478" s="70">
        <v>-0.95602462620932283</v>
      </c>
      <c r="BG478" s="70">
        <v>-0.45999999999999996</v>
      </c>
      <c r="BH478" s="83" t="s">
        <v>40</v>
      </c>
    </row>
    <row r="479" spans="1:60">
      <c r="A479" s="69" t="s">
        <v>8</v>
      </c>
      <c r="B479" s="23"/>
      <c r="C479" s="71"/>
      <c r="D479" s="71"/>
      <c r="E479" s="71"/>
      <c r="F479" s="71"/>
      <c r="G479" s="23">
        <f t="shared" ref="G479:N479" si="434">G477/B477-1</f>
        <v>1.2507099736416971</v>
      </c>
      <c r="H479" s="71">
        <f t="shared" si="434"/>
        <v>-0.98246841120926909</v>
      </c>
      <c r="I479" s="71">
        <f t="shared" si="434"/>
        <v>-4.1964519441815562E-2</v>
      </c>
      <c r="J479" s="71">
        <f t="shared" si="434"/>
        <v>7.7075748535804234E-2</v>
      </c>
      <c r="K479" s="71">
        <f t="shared" si="434"/>
        <v>1.1549456832475702</v>
      </c>
      <c r="L479" s="23">
        <f t="shared" si="434"/>
        <v>-0.15961859572506865</v>
      </c>
      <c r="M479" s="71">
        <f t="shared" si="434"/>
        <v>6.169991326973113</v>
      </c>
      <c r="N479" s="71">
        <f t="shared" si="434"/>
        <v>0.50055699182378044</v>
      </c>
      <c r="O479" s="71">
        <f t="shared" ref="O479:Y479" si="435">O477/J477-1</f>
        <v>-0.11424760052907057</v>
      </c>
      <c r="P479" s="71">
        <f t="shared" si="435"/>
        <v>1.2349960201644992</v>
      </c>
      <c r="Q479" s="23">
        <f t="shared" si="435"/>
        <v>0.40990496911721075</v>
      </c>
      <c r="R479" s="71">
        <f t="shared" si="435"/>
        <v>7.8760130639893564</v>
      </c>
      <c r="S479" s="71">
        <f t="shared" si="435"/>
        <v>-0.38113514119229042</v>
      </c>
      <c r="T479" s="71">
        <f t="shared" si="435"/>
        <v>-3.147375272810804E-2</v>
      </c>
      <c r="U479" s="83" t="s">
        <v>40</v>
      </c>
      <c r="V479" s="23">
        <f t="shared" si="435"/>
        <v>-0.26789398002161724</v>
      </c>
      <c r="W479" s="71">
        <f t="shared" si="435"/>
        <v>-0.12968464662432877</v>
      </c>
      <c r="X479" s="71">
        <f t="shared" si="435"/>
        <v>0.2068715766601783</v>
      </c>
      <c r="Y479" s="71">
        <f t="shared" si="435"/>
        <v>0.56384002108453557</v>
      </c>
      <c r="Z479" s="83" t="s">
        <v>40</v>
      </c>
      <c r="AA479" s="23">
        <v>0.35145481388573163</v>
      </c>
      <c r="AB479" s="71">
        <f t="shared" ref="AB479:AI479" si="436">AB477/W477-1</f>
        <v>-4.9497353668848443E-2</v>
      </c>
      <c r="AC479" s="71">
        <f t="shared" si="436"/>
        <v>-5.3505119837965576E-2</v>
      </c>
      <c r="AD479" s="71">
        <f t="shared" si="436"/>
        <v>0.14672374275313471</v>
      </c>
      <c r="AE479" s="71">
        <f t="shared" si="436"/>
        <v>2.92502010501916</v>
      </c>
      <c r="AF479" s="23">
        <f t="shared" si="436"/>
        <v>0.22679066889664434</v>
      </c>
      <c r="AG479" s="71">
        <f t="shared" si="436"/>
        <v>-0.43987743200276763</v>
      </c>
      <c r="AH479" s="160">
        <f t="shared" si="436"/>
        <v>0.13931324179199112</v>
      </c>
      <c r="AI479" s="71">
        <f t="shared" si="436"/>
        <v>-0.36803738867170277</v>
      </c>
      <c r="AJ479" s="71">
        <f t="shared" ref="AJ479" si="437">AJ477/AE477-1</f>
        <v>4.8559135119499164E-2</v>
      </c>
      <c r="AK479" s="23">
        <v>-0.15417632008910043</v>
      </c>
      <c r="AL479" s="71">
        <v>-0.91176470588235292</v>
      </c>
      <c r="AM479" s="71">
        <v>0.44347826086956532</v>
      </c>
      <c r="AN479" s="71">
        <v>-0.12790697674418605</v>
      </c>
      <c r="AO479" s="71">
        <v>0.26436781609195403</v>
      </c>
      <c r="AP479" s="23">
        <v>9.9378881987577605E-2</v>
      </c>
      <c r="AQ479" s="71">
        <v>22.666666666666668</v>
      </c>
      <c r="AR479" s="71">
        <v>-0.31325301204819278</v>
      </c>
      <c r="AS479" s="71">
        <v>0.89333333333333331</v>
      </c>
      <c r="AT479" s="83" t="s">
        <v>40</v>
      </c>
      <c r="AU479" s="90" t="s">
        <v>40</v>
      </c>
      <c r="AV479" s="81" t="s">
        <v>40</v>
      </c>
      <c r="AW479" s="71">
        <v>0.32456140350877183</v>
      </c>
      <c r="AX479" s="71">
        <v>-0.13380281690140849</v>
      </c>
      <c r="AY479" s="71">
        <v>-0.97215189873417718</v>
      </c>
      <c r="AZ479" s="90" t="s">
        <v>40</v>
      </c>
      <c r="BA479" s="71">
        <v>-0.94736842105263164</v>
      </c>
      <c r="BB479" s="71">
        <v>-0.93377483443708609</v>
      </c>
      <c r="BC479" s="71">
        <v>-0.98373983739837401</v>
      </c>
      <c r="BD479" s="83" t="s">
        <v>40</v>
      </c>
      <c r="BE479" s="23">
        <v>3.7049180327868854</v>
      </c>
      <c r="BF479" s="81" t="s">
        <v>40</v>
      </c>
      <c r="BG479" s="71">
        <v>1.7000000000000002</v>
      </c>
      <c r="BH479" s="83" t="s">
        <v>40</v>
      </c>
    </row>
    <row r="480" spans="1:60" s="35" customFormat="1">
      <c r="A480" s="67" t="s">
        <v>250</v>
      </c>
      <c r="B480" s="36">
        <f>B445+B468</f>
        <v>329.20100000000002</v>
      </c>
      <c r="C480" s="75">
        <f>C445+C468</f>
        <v>91.557999999999993</v>
      </c>
      <c r="D480" s="75">
        <f>D445+D468</f>
        <v>103.146</v>
      </c>
      <c r="E480" s="75">
        <f>E445+E468</f>
        <v>111.151</v>
      </c>
      <c r="F480" s="68">
        <f>G480-E480-D480-C480</f>
        <v>121.173</v>
      </c>
      <c r="G480" s="36">
        <f>G445+G468</f>
        <v>427.02800000000002</v>
      </c>
      <c r="H480" s="75">
        <f>H445+H468</f>
        <v>122.495</v>
      </c>
      <c r="I480" s="75">
        <f>I445+I468</f>
        <v>114.616</v>
      </c>
      <c r="J480" s="75">
        <f>J445+J468</f>
        <v>119.589</v>
      </c>
      <c r="K480" s="68">
        <f>L480-J480-I480-H480</f>
        <v>125.72000000000003</v>
      </c>
      <c r="L480" s="36">
        <f>L445+L468</f>
        <v>482.42</v>
      </c>
      <c r="M480" s="75">
        <f>M445+M468</f>
        <v>122.44499999999999</v>
      </c>
      <c r="N480" s="75">
        <f>N445+N468</f>
        <v>75.460999999999999</v>
      </c>
      <c r="O480" s="75">
        <f>O445+O468</f>
        <v>139.52199999999999</v>
      </c>
      <c r="P480" s="68">
        <f>Q480-O480-N480-M480</f>
        <v>125.62300000000005</v>
      </c>
      <c r="Q480" s="36">
        <f>Q445+Q468</f>
        <v>463.05100000000004</v>
      </c>
      <c r="R480" s="75">
        <f>R445+R468</f>
        <v>129.96299999999999</v>
      </c>
      <c r="S480" s="75">
        <f>S445+S468</f>
        <v>136.44400000000002</v>
      </c>
      <c r="T480" s="75">
        <f>T445+T468</f>
        <v>137.43799999999999</v>
      </c>
      <c r="U480" s="68">
        <v>168</v>
      </c>
      <c r="V480" s="36">
        <f>V445+V468</f>
        <v>571.26099999999997</v>
      </c>
      <c r="W480" s="75">
        <v>118</v>
      </c>
      <c r="X480" s="75">
        <f>X445+X468</f>
        <v>128.29</v>
      </c>
      <c r="Y480" s="75">
        <f>Y445+Y468</f>
        <v>118.422</v>
      </c>
      <c r="Z480" s="68">
        <f>AA480-Y480-X480-W480</f>
        <v>136.79100000000003</v>
      </c>
      <c r="AA480" s="36">
        <f>500.999+0.504</f>
        <v>501.50300000000004</v>
      </c>
      <c r="AB480" s="75">
        <f>AB468+AB445+0.8</f>
        <v>130.18200000000002</v>
      </c>
      <c r="AC480" s="75">
        <f>AC445+AC468</f>
        <v>131.68900000000002</v>
      </c>
      <c r="AD480" s="75">
        <f>AD445+AD468</f>
        <v>138.41399999999999</v>
      </c>
      <c r="AE480" s="75">
        <v>131</v>
      </c>
      <c r="AF480" s="36">
        <f>AF445+AF468</f>
        <v>529.73500000000001</v>
      </c>
      <c r="AG480" s="75">
        <f>AG468+AG445</f>
        <v>143</v>
      </c>
      <c r="AH480" s="75">
        <f>AH445+AH468</f>
        <v>141</v>
      </c>
      <c r="AI480" s="75">
        <f>AI445+AI468</f>
        <v>151</v>
      </c>
      <c r="AJ480" s="75">
        <v>135</v>
      </c>
      <c r="AK480" s="36">
        <v>570</v>
      </c>
      <c r="AL480" s="75">
        <v>135</v>
      </c>
      <c r="AM480" s="75">
        <v>150</v>
      </c>
      <c r="AN480" s="75">
        <v>152</v>
      </c>
      <c r="AO480" s="68">
        <v>135</v>
      </c>
      <c r="AP480" s="36">
        <v>572</v>
      </c>
      <c r="AQ480" s="75">
        <v>133</v>
      </c>
      <c r="AR480" s="75">
        <v>151</v>
      </c>
      <c r="AS480" s="75">
        <v>137</v>
      </c>
      <c r="AT480" s="68">
        <v>139</v>
      </c>
      <c r="AU480" s="36">
        <v>560</v>
      </c>
      <c r="AV480" s="75">
        <v>122</v>
      </c>
      <c r="AW480" s="75">
        <v>120</v>
      </c>
      <c r="AX480" s="75">
        <v>107</v>
      </c>
      <c r="AY480" s="68">
        <v>99</v>
      </c>
      <c r="AZ480" s="36">
        <v>448</v>
      </c>
      <c r="BA480" s="75">
        <v>78</v>
      </c>
      <c r="BB480" s="75">
        <v>62</v>
      </c>
      <c r="BC480" s="75">
        <v>82</v>
      </c>
      <c r="BD480" s="182">
        <v>-1055</v>
      </c>
      <c r="BE480" s="174">
        <v>-833</v>
      </c>
      <c r="BF480" s="75">
        <v>10</v>
      </c>
      <c r="BG480" s="75">
        <v>44</v>
      </c>
      <c r="BH480" s="75">
        <v>70</v>
      </c>
    </row>
    <row r="481" spans="1:60">
      <c r="A481" s="69" t="s">
        <v>7</v>
      </c>
      <c r="B481" s="23"/>
      <c r="C481" s="70"/>
      <c r="D481" s="70">
        <f>D480/C480-1</f>
        <v>0.12656458201358722</v>
      </c>
      <c r="E481" s="70">
        <f>E480/D480-1</f>
        <v>7.7608438524033874E-2</v>
      </c>
      <c r="F481" s="70">
        <f>F480/E480-1</f>
        <v>9.0165630538636687E-2</v>
      </c>
      <c r="G481" s="23"/>
      <c r="H481" s="70">
        <f>H480/F480-1</f>
        <v>1.0910021209345366E-2</v>
      </c>
      <c r="I481" s="70">
        <f>I480/H480-1</f>
        <v>-6.4320992693579382E-2</v>
      </c>
      <c r="J481" s="70">
        <f>J480/I480-1</f>
        <v>4.3388357646401809E-2</v>
      </c>
      <c r="K481" s="70">
        <f>K480/J480-1</f>
        <v>5.1267257021967216E-2</v>
      </c>
      <c r="L481" s="23"/>
      <c r="M481" s="70">
        <f>M480/K480-1</f>
        <v>-2.6049952274896815E-2</v>
      </c>
      <c r="N481" s="70">
        <f>N480/M480-1</f>
        <v>-0.38371513740863239</v>
      </c>
      <c r="O481" s="70">
        <f>O480/N480-1</f>
        <v>0.84892858562701257</v>
      </c>
      <c r="P481" s="70">
        <f>P480/O480-1</f>
        <v>-9.9618698126459959E-2</v>
      </c>
      <c r="Q481" s="23"/>
      <c r="R481" s="70">
        <f>R480/P480-1</f>
        <v>3.4547813696536034E-2</v>
      </c>
      <c r="S481" s="70">
        <f>S480/R480-1</f>
        <v>4.9868039365050132E-2</v>
      </c>
      <c r="T481" s="70">
        <f>T480/S480-1</f>
        <v>7.2850400164168327E-3</v>
      </c>
      <c r="U481" s="70">
        <f>U480/T480-1</f>
        <v>0.22236935927472756</v>
      </c>
      <c r="V481" s="23"/>
      <c r="W481" s="70">
        <f>W480/U480-1</f>
        <v>-0.29761904761904767</v>
      </c>
      <c r="X481" s="70">
        <f>X480/W480-1</f>
        <v>8.720338983050846E-2</v>
      </c>
      <c r="Y481" s="70">
        <f>Y480/X480-1</f>
        <v>-7.6919479304700222E-2</v>
      </c>
      <c r="Z481" s="70">
        <v>0.150858793129655</v>
      </c>
      <c r="AA481" s="23"/>
      <c r="AB481" s="70">
        <f>AB480/Z480-1</f>
        <v>-4.8314582099699632E-2</v>
      </c>
      <c r="AC481" s="70">
        <f>AC480/AB480-1</f>
        <v>1.1576101150696738E-2</v>
      </c>
      <c r="AD481" s="70">
        <f>AD480/AC480-1</f>
        <v>5.1067287320884613E-2</v>
      </c>
      <c r="AE481" s="70">
        <f>AE480/AD480-1</f>
        <v>-5.3563945843628447E-2</v>
      </c>
      <c r="AF481" s="23"/>
      <c r="AG481" s="70">
        <f>AG480/AE480-1</f>
        <v>9.1603053435114434E-2</v>
      </c>
      <c r="AH481" s="70">
        <f>AH480/AG480-1</f>
        <v>-1.3986013986013957E-2</v>
      </c>
      <c r="AI481" s="70">
        <f>AI480/AH480-1</f>
        <v>7.0921985815602939E-2</v>
      </c>
      <c r="AJ481" s="70">
        <f>AJ480/AI480-1</f>
        <v>-0.10596026490066224</v>
      </c>
      <c r="AK481" s="23"/>
      <c r="AL481" s="70">
        <v>0</v>
      </c>
      <c r="AM481" s="70">
        <v>0.11111111111111116</v>
      </c>
      <c r="AN481" s="70">
        <v>1.3333333333333419E-2</v>
      </c>
      <c r="AO481" s="70">
        <v>-0.11184210526315785</v>
      </c>
      <c r="AP481" s="23"/>
      <c r="AQ481" s="70">
        <v>-1.4814814814814836E-2</v>
      </c>
      <c r="AR481" s="70">
        <v>0.13533834586466176</v>
      </c>
      <c r="AS481" s="70">
        <v>-9.27152317880795E-2</v>
      </c>
      <c r="AT481" s="70">
        <v>1.4598540145985384E-2</v>
      </c>
      <c r="AU481" s="23"/>
      <c r="AV481" s="70">
        <v>-0.12230215827338131</v>
      </c>
      <c r="AW481" s="70">
        <v>-1.6393442622950838E-2</v>
      </c>
      <c r="AX481" s="70">
        <v>-0.10833333333333328</v>
      </c>
      <c r="AY481" s="70">
        <v>-7.4766355140186924E-2</v>
      </c>
      <c r="AZ481" s="23"/>
      <c r="BA481" s="70">
        <v>-0.21212121212121215</v>
      </c>
      <c r="BB481" s="70">
        <v>-0.20512820512820518</v>
      </c>
      <c r="BC481" s="70">
        <v>0.32258064516129026</v>
      </c>
      <c r="BD481" s="83" t="s">
        <v>40</v>
      </c>
      <c r="BE481" s="23"/>
      <c r="BF481" s="81" t="s">
        <v>40</v>
      </c>
      <c r="BG481" s="70">
        <v>3.4000000000000004</v>
      </c>
      <c r="BH481" s="70">
        <v>0.59090909090909083</v>
      </c>
    </row>
    <row r="482" spans="1:60">
      <c r="A482" s="69" t="s">
        <v>8</v>
      </c>
      <c r="B482" s="23"/>
      <c r="C482" s="71"/>
      <c r="D482" s="71"/>
      <c r="E482" s="71"/>
      <c r="F482" s="71"/>
      <c r="G482" s="23">
        <f t="shared" ref="G482:N482" si="438">G480/B480-1</f>
        <v>0.29716495393391873</v>
      </c>
      <c r="H482" s="71">
        <f t="shared" si="438"/>
        <v>0.33789510474234929</v>
      </c>
      <c r="I482" s="71">
        <f t="shared" si="438"/>
        <v>0.11120159773524896</v>
      </c>
      <c r="J482" s="71">
        <f t="shared" si="438"/>
        <v>7.591474660596842E-2</v>
      </c>
      <c r="K482" s="71">
        <f t="shared" si="438"/>
        <v>3.7524861148936051E-2</v>
      </c>
      <c r="L482" s="23">
        <f t="shared" si="438"/>
        <v>0.12971514748447399</v>
      </c>
      <c r="M482" s="71">
        <f t="shared" si="438"/>
        <v>-4.0817992571129391E-4</v>
      </c>
      <c r="N482" s="71">
        <f t="shared" si="438"/>
        <v>-0.34161897117330919</v>
      </c>
      <c r="O482" s="71">
        <f t="shared" ref="O482:V482" si="439">O480/J480-1</f>
        <v>0.16667920962630345</v>
      </c>
      <c r="P482" s="71">
        <f t="shared" si="439"/>
        <v>-7.7155583837085207E-4</v>
      </c>
      <c r="Q482" s="23">
        <f t="shared" si="439"/>
        <v>-4.0149662120144258E-2</v>
      </c>
      <c r="R482" s="71">
        <f t="shared" si="439"/>
        <v>6.1398995467352613E-2</v>
      </c>
      <c r="S482" s="71">
        <f t="shared" si="439"/>
        <v>0.80813930374630627</v>
      </c>
      <c r="T482" s="71">
        <f t="shared" si="439"/>
        <v>-1.4936712489786563E-2</v>
      </c>
      <c r="U482" s="71">
        <f t="shared" si="439"/>
        <v>0.33733472373689488</v>
      </c>
      <c r="V482" s="23">
        <f t="shared" si="439"/>
        <v>0.23368916166901688</v>
      </c>
      <c r="W482" s="71">
        <v>-9.1999999999999998E-2</v>
      </c>
      <c r="X482" s="71">
        <f>X480/S480-1</f>
        <v>-5.97607809797428E-2</v>
      </c>
      <c r="Y482" s="71">
        <f>Y480/T480-1</f>
        <v>-0.13836056985695366</v>
      </c>
      <c r="Z482" s="71">
        <v>-0.18593802265016468</v>
      </c>
      <c r="AA482" s="23">
        <v>-0.12299456815711196</v>
      </c>
      <c r="AB482" s="71">
        <v>0.104</v>
      </c>
      <c r="AC482" s="71">
        <f>AC480/X480-1</f>
        <v>2.6494660534726266E-2</v>
      </c>
      <c r="AD482" s="71">
        <f>AD480/Y480-1</f>
        <v>0.1688199827734711</v>
      </c>
      <c r="AE482" s="71">
        <v>-4.4999999999999998E-2</v>
      </c>
      <c r="AF482" s="23">
        <f>AF480/AA480-1</f>
        <v>5.6294777897639703E-2</v>
      </c>
      <c r="AG482" s="71">
        <f>AG480/AB480-1</f>
        <v>9.8462152985819618E-2</v>
      </c>
      <c r="AH482" s="71">
        <f>AH480/AC480-1</f>
        <v>7.0704462787324562E-2</v>
      </c>
      <c r="AI482" s="71">
        <f>AI480/AD480-1</f>
        <v>9.0930108226046524E-2</v>
      </c>
      <c r="AJ482" s="71">
        <v>3.5000000000000003E-2</v>
      </c>
      <c r="AK482" s="23">
        <v>7.6009702964689785E-2</v>
      </c>
      <c r="AL482" s="71">
        <v>-5.5944055944055937E-2</v>
      </c>
      <c r="AM482" s="71">
        <v>6.3829787234042534E-2</v>
      </c>
      <c r="AN482" s="71">
        <v>6.6225165562914245E-3</v>
      </c>
      <c r="AO482" s="71">
        <v>0</v>
      </c>
      <c r="AP482" s="23">
        <v>3.5087719298245723E-3</v>
      </c>
      <c r="AQ482" s="71">
        <v>-1.4814814814814836E-2</v>
      </c>
      <c r="AR482" s="71">
        <v>6.6666666666665986E-3</v>
      </c>
      <c r="AS482" s="71">
        <v>-9.8684210526315819E-2</v>
      </c>
      <c r="AT482" s="71">
        <v>2.9629629629629672E-2</v>
      </c>
      <c r="AU482" s="23">
        <v>-2.0979020979020935E-2</v>
      </c>
      <c r="AV482" s="71">
        <v>-8.2706766917293284E-2</v>
      </c>
      <c r="AW482" s="71">
        <v>-0.20529801324503316</v>
      </c>
      <c r="AX482" s="71">
        <v>-0.21897810218978098</v>
      </c>
      <c r="AY482" s="71">
        <v>-0.28776978417266186</v>
      </c>
      <c r="AZ482" s="23">
        <v>-0.19999999999999996</v>
      </c>
      <c r="BA482" s="71">
        <v>-0.36065573770491799</v>
      </c>
      <c r="BB482" s="71">
        <v>-0.48333333333333328</v>
      </c>
      <c r="BC482" s="71">
        <v>-0.23364485981308414</v>
      </c>
      <c r="BD482" s="83" t="s">
        <v>40</v>
      </c>
      <c r="BE482" s="90" t="s">
        <v>40</v>
      </c>
      <c r="BF482" s="71">
        <v>-0.87179487179487181</v>
      </c>
      <c r="BG482" s="71">
        <v>-0.29032258064516125</v>
      </c>
      <c r="BH482" s="71">
        <v>-0.14634146341463417</v>
      </c>
    </row>
    <row r="483" spans="1:60" ht="24">
      <c r="A483" s="87" t="s">
        <v>272</v>
      </c>
      <c r="B483" s="23"/>
      <c r="C483" s="71"/>
      <c r="D483" s="71"/>
      <c r="E483" s="71"/>
      <c r="F483" s="71"/>
      <c r="G483" s="23"/>
      <c r="H483" s="71"/>
      <c r="I483" s="71"/>
      <c r="J483" s="71"/>
      <c r="K483" s="71"/>
      <c r="L483" s="23"/>
      <c r="M483" s="71"/>
      <c r="N483" s="71"/>
      <c r="O483" s="71"/>
      <c r="P483" s="71"/>
      <c r="Q483" s="23"/>
      <c r="R483" s="71"/>
      <c r="S483" s="71"/>
      <c r="T483" s="71"/>
      <c r="U483" s="71"/>
      <c r="V483" s="23"/>
      <c r="W483" s="71"/>
      <c r="X483" s="71"/>
      <c r="Y483" s="71"/>
      <c r="Z483" s="71"/>
      <c r="AA483" s="23"/>
      <c r="AB483" s="75"/>
      <c r="AC483" s="75"/>
      <c r="AD483" s="75"/>
      <c r="AE483" s="232"/>
      <c r="AF483" s="174"/>
      <c r="AG483" s="75"/>
      <c r="AH483" s="75"/>
      <c r="AI483" s="75"/>
      <c r="AJ483" s="232"/>
      <c r="AK483" s="174"/>
      <c r="AL483" s="75"/>
      <c r="AM483" s="75"/>
      <c r="AN483" s="75"/>
      <c r="AO483" s="232"/>
      <c r="AP483" s="174">
        <v>572</v>
      </c>
      <c r="AQ483" s="182" t="s">
        <v>141</v>
      </c>
      <c r="AR483" s="182" t="s">
        <v>141</v>
      </c>
      <c r="AS483" s="182" t="s">
        <v>141</v>
      </c>
      <c r="AT483" s="182" t="s">
        <v>141</v>
      </c>
      <c r="AU483" s="174">
        <v>549</v>
      </c>
      <c r="AV483" s="182" t="s">
        <v>141</v>
      </c>
      <c r="AW483" s="182" t="s">
        <v>141</v>
      </c>
      <c r="AX483" s="182" t="s">
        <v>141</v>
      </c>
      <c r="AY483" s="182" t="s">
        <v>141</v>
      </c>
      <c r="AZ483" s="174">
        <v>448</v>
      </c>
      <c r="BA483" s="75">
        <v>80</v>
      </c>
      <c r="BB483" s="75">
        <v>69</v>
      </c>
      <c r="BC483" s="75">
        <v>82</v>
      </c>
      <c r="BD483" s="232">
        <v>53</v>
      </c>
      <c r="BE483" s="174">
        <v>284</v>
      </c>
      <c r="BF483" s="75">
        <v>53</v>
      </c>
      <c r="BG483" s="75">
        <v>35</v>
      </c>
      <c r="BH483" s="75">
        <v>71</v>
      </c>
    </row>
    <row r="484" spans="1:60" ht="13.95" hidden="1" customHeight="1">
      <c r="A484" s="67" t="s">
        <v>267</v>
      </c>
      <c r="B484" s="21"/>
      <c r="C484" s="71"/>
      <c r="D484" s="71"/>
      <c r="E484" s="71"/>
      <c r="F484" s="71"/>
      <c r="G484" s="21"/>
      <c r="H484" s="71"/>
      <c r="I484" s="71"/>
      <c r="J484" s="71"/>
      <c r="K484" s="71"/>
      <c r="L484" s="21"/>
      <c r="M484" s="71"/>
      <c r="N484" s="71"/>
      <c r="O484" s="71"/>
      <c r="P484" s="71"/>
      <c r="Q484" s="21"/>
      <c r="R484" s="71"/>
      <c r="S484" s="71"/>
      <c r="T484" s="71"/>
      <c r="U484" s="71"/>
      <c r="V484" s="21"/>
      <c r="W484" s="71"/>
      <c r="X484" s="71"/>
      <c r="Y484" s="71"/>
      <c r="Z484" s="71"/>
      <c r="AA484" s="21"/>
      <c r="AB484" s="71"/>
      <c r="AC484" s="71"/>
      <c r="AD484" s="71"/>
      <c r="AE484" s="71"/>
      <c r="AF484" s="21"/>
      <c r="AG484" s="71"/>
      <c r="AH484" s="71"/>
      <c r="AI484" s="71"/>
      <c r="AJ484" s="71"/>
      <c r="AK484" s="21"/>
      <c r="AL484" s="71"/>
      <c r="AM484" s="71"/>
      <c r="AN484" s="71"/>
      <c r="AO484" s="71"/>
      <c r="AP484" s="21"/>
      <c r="AQ484" s="71"/>
      <c r="AR484" s="71"/>
      <c r="AS484" s="71"/>
      <c r="AT484" s="71"/>
      <c r="AU484" s="21"/>
      <c r="AV484" s="71"/>
      <c r="AW484" s="71"/>
      <c r="AX484" s="71"/>
      <c r="AY484" s="71"/>
      <c r="AZ484" s="21"/>
      <c r="BA484" s="75">
        <v>70</v>
      </c>
      <c r="BB484" s="75">
        <v>54</v>
      </c>
      <c r="BC484" s="75">
        <v>73</v>
      </c>
      <c r="BD484" s="182">
        <v>39</v>
      </c>
      <c r="BE484" s="174">
        <v>236</v>
      </c>
      <c r="BF484" s="75"/>
      <c r="BG484" s="75"/>
      <c r="BH484" s="75"/>
    </row>
    <row r="485" spans="1:60">
      <c r="A485" s="67"/>
      <c r="B485" s="21"/>
      <c r="C485" s="71"/>
      <c r="D485" s="71"/>
      <c r="E485" s="71"/>
      <c r="F485" s="71"/>
      <c r="G485" s="21"/>
      <c r="H485" s="71"/>
      <c r="I485" s="71"/>
      <c r="J485" s="71"/>
      <c r="K485" s="71"/>
      <c r="L485" s="21"/>
      <c r="M485" s="71"/>
      <c r="N485" s="71"/>
      <c r="O485" s="71"/>
      <c r="P485" s="71"/>
      <c r="Q485" s="21"/>
      <c r="R485" s="71"/>
      <c r="S485" s="71"/>
      <c r="T485" s="71"/>
      <c r="U485" s="71"/>
      <c r="V485" s="21"/>
      <c r="W485" s="71"/>
      <c r="X485" s="71"/>
      <c r="Y485" s="71"/>
      <c r="Z485" s="71"/>
      <c r="AA485" s="21"/>
      <c r="AB485" s="71"/>
      <c r="AC485" s="71"/>
      <c r="AD485" s="71"/>
      <c r="AE485" s="71"/>
      <c r="AF485" s="21"/>
      <c r="AG485" s="71"/>
      <c r="AH485" s="71"/>
      <c r="AI485" s="71"/>
      <c r="AJ485" s="71"/>
      <c r="AK485" s="21"/>
      <c r="AL485" s="71"/>
      <c r="AM485" s="71"/>
      <c r="AN485" s="71"/>
      <c r="AO485" s="71"/>
      <c r="AP485" s="21"/>
      <c r="AQ485" s="71"/>
      <c r="AR485" s="71"/>
      <c r="AS485" s="71"/>
      <c r="AT485" s="71"/>
      <c r="AU485" s="21"/>
      <c r="AV485" s="71"/>
      <c r="AW485" s="71"/>
      <c r="AX485" s="71"/>
      <c r="AY485" s="71"/>
      <c r="AZ485" s="21"/>
      <c r="BA485" s="71"/>
      <c r="BB485" s="71"/>
      <c r="BC485" s="71"/>
      <c r="BD485" s="71"/>
      <c r="BE485" s="21"/>
      <c r="BF485" s="71"/>
      <c r="BG485" s="71"/>
      <c r="BH485" s="71"/>
    </row>
    <row r="486" spans="1:60">
      <c r="A486" s="39" t="s">
        <v>24</v>
      </c>
      <c r="B486" s="40"/>
      <c r="C486" s="52"/>
      <c r="D486" s="52"/>
      <c r="E486" s="52"/>
      <c r="F486" s="52"/>
      <c r="G486" s="40"/>
      <c r="H486" s="52"/>
      <c r="I486" s="52"/>
      <c r="J486" s="52"/>
      <c r="K486" s="52"/>
      <c r="L486" s="40"/>
      <c r="M486" s="52"/>
      <c r="N486" s="52"/>
      <c r="O486" s="52"/>
      <c r="P486" s="52"/>
      <c r="Q486" s="40"/>
      <c r="R486" s="52"/>
      <c r="S486" s="52"/>
      <c r="T486" s="52"/>
      <c r="U486" s="52"/>
      <c r="V486" s="40"/>
      <c r="W486" s="52"/>
      <c r="X486" s="52"/>
      <c r="Y486" s="52"/>
      <c r="Z486" s="52"/>
      <c r="AA486" s="40"/>
      <c r="AB486" s="52"/>
      <c r="AC486" s="52"/>
      <c r="AD486" s="52"/>
      <c r="AE486" s="52"/>
      <c r="AF486" s="40"/>
      <c r="AG486" s="52"/>
      <c r="AH486" s="52"/>
      <c r="AI486" s="52"/>
      <c r="AJ486" s="52"/>
      <c r="AK486" s="40"/>
      <c r="AL486" s="52"/>
      <c r="AM486" s="52"/>
      <c r="AN486" s="52"/>
      <c r="AO486" s="52"/>
      <c r="AP486" s="40"/>
      <c r="AQ486" s="52"/>
      <c r="AR486" s="52"/>
      <c r="AS486" s="52"/>
      <c r="AT486" s="52"/>
      <c r="AU486" s="40"/>
      <c r="AV486" s="52"/>
      <c r="AW486" s="52"/>
      <c r="AX486" s="52"/>
      <c r="AY486" s="52"/>
      <c r="AZ486" s="40"/>
      <c r="BA486" s="52"/>
      <c r="BB486" s="52"/>
      <c r="BC486" s="52"/>
      <c r="BD486" s="52"/>
      <c r="BE486" s="40"/>
      <c r="BF486" s="52"/>
      <c r="BG486" s="52"/>
      <c r="BH486" s="52"/>
    </row>
    <row r="487" spans="1:60" s="35" customFormat="1">
      <c r="A487" s="67" t="s">
        <v>12</v>
      </c>
      <c r="B487" s="36">
        <v>249.875</v>
      </c>
      <c r="C487" s="68">
        <v>84.1</v>
      </c>
      <c r="D487" s="68">
        <v>32.369999999999997</v>
      </c>
      <c r="E487" s="68">
        <v>97.233000000000004</v>
      </c>
      <c r="F487" s="68">
        <f>G487-E487-D487-C487</f>
        <v>133.32399999999998</v>
      </c>
      <c r="G487" s="36">
        <v>347.02699999999999</v>
      </c>
      <c r="H487" s="68">
        <v>90.685000000000002</v>
      </c>
      <c r="I487" s="68">
        <v>93.376000000000005</v>
      </c>
      <c r="J487" s="68">
        <v>135.02799999999999</v>
      </c>
      <c r="K487" s="68">
        <f>L487-J487-I487-H487</f>
        <v>90.639000000000038</v>
      </c>
      <c r="L487" s="36">
        <v>409.72800000000001</v>
      </c>
      <c r="M487" s="68">
        <v>124.29600000000001</v>
      </c>
      <c r="N487" s="68">
        <v>109.545</v>
      </c>
      <c r="O487" s="68">
        <v>126.117</v>
      </c>
      <c r="P487" s="68">
        <f>Q487-O487-N487-M487</f>
        <v>131.55599999999998</v>
      </c>
      <c r="Q487" s="36">
        <v>491.51400000000001</v>
      </c>
      <c r="R487" s="68">
        <v>141.339</v>
      </c>
      <c r="S487" s="68">
        <v>118.801</v>
      </c>
      <c r="T487" s="68">
        <v>134.20099999999999</v>
      </c>
      <c r="U487" s="68">
        <f>V487-T487-S487-R487</f>
        <v>118.80799999999999</v>
      </c>
      <c r="V487" s="36">
        <v>513.149</v>
      </c>
      <c r="W487" s="68">
        <v>115.95099999999999</v>
      </c>
      <c r="X487" s="68">
        <v>100.084</v>
      </c>
      <c r="Y487" s="68">
        <v>82.509</v>
      </c>
      <c r="Z487" s="68">
        <f>AA487-Y487-X487-W487</f>
        <v>119.50300000000001</v>
      </c>
      <c r="AA487" s="36">
        <v>418.04700000000003</v>
      </c>
      <c r="AB487" s="68">
        <v>121.581</v>
      </c>
      <c r="AC487" s="68">
        <v>110.20099999999999</v>
      </c>
      <c r="AD487" s="68">
        <v>125.82599999999999</v>
      </c>
      <c r="AE487" s="68">
        <v>134</v>
      </c>
      <c r="AF487" s="36">
        <v>490</v>
      </c>
      <c r="AG487" s="68">
        <v>113</v>
      </c>
      <c r="AH487" s="68">
        <v>106</v>
      </c>
      <c r="AI487" s="68">
        <v>101</v>
      </c>
      <c r="AJ487" s="68">
        <f>AK487-AI487-AH487-AG487</f>
        <v>122</v>
      </c>
      <c r="AK487" s="36">
        <v>442</v>
      </c>
      <c r="AL487" s="68">
        <v>149</v>
      </c>
      <c r="AM487" s="68">
        <v>106</v>
      </c>
      <c r="AN487" s="68">
        <v>145</v>
      </c>
      <c r="AO487" s="68">
        <v>105</v>
      </c>
      <c r="AP487" s="36">
        <v>505</v>
      </c>
      <c r="AQ487" s="68">
        <v>158</v>
      </c>
      <c r="AR487" s="68">
        <v>110</v>
      </c>
      <c r="AS487" s="68">
        <v>154</v>
      </c>
      <c r="AT487" s="68">
        <v>207</v>
      </c>
      <c r="AU487" s="36">
        <v>629</v>
      </c>
      <c r="AV487" s="68">
        <v>51</v>
      </c>
      <c r="AW487" s="68">
        <v>169</v>
      </c>
      <c r="AX487" s="68">
        <v>115</v>
      </c>
      <c r="AY487" s="68">
        <v>95</v>
      </c>
      <c r="AZ487" s="36">
        <v>430</v>
      </c>
      <c r="BA487" s="68">
        <v>86</v>
      </c>
      <c r="BB487" s="68">
        <v>60</v>
      </c>
      <c r="BC487" s="68">
        <v>34</v>
      </c>
      <c r="BD487" s="68">
        <v>46</v>
      </c>
      <c r="BE487" s="36">
        <v>226</v>
      </c>
      <c r="BF487" s="68">
        <v>53</v>
      </c>
      <c r="BG487" s="68">
        <v>22</v>
      </c>
      <c r="BH487" s="68">
        <v>37</v>
      </c>
    </row>
    <row r="488" spans="1:60">
      <c r="A488" s="80" t="s">
        <v>7</v>
      </c>
      <c r="B488" s="23"/>
      <c r="C488" s="70"/>
      <c r="D488" s="70">
        <f>D487/C487-1</f>
        <v>-0.61510107015457782</v>
      </c>
      <c r="E488" s="70">
        <f>E487/D487-1</f>
        <v>2.0037998146431883</v>
      </c>
      <c r="F488" s="70">
        <f>F487/E487-1</f>
        <v>0.37118056626865337</v>
      </c>
      <c r="G488" s="23"/>
      <c r="H488" s="70">
        <f>H487/F487-1</f>
        <v>-0.31981488704209282</v>
      </c>
      <c r="I488" s="70">
        <f>I487/H487-1</f>
        <v>2.9674146771792476E-2</v>
      </c>
      <c r="J488" s="70">
        <f>J487/I487-1</f>
        <v>0.44606751199451655</v>
      </c>
      <c r="K488" s="70">
        <f>K487/J487-1</f>
        <v>-0.32873922445714931</v>
      </c>
      <c r="L488" s="23"/>
      <c r="M488" s="70">
        <f>M487/K487-1</f>
        <v>0.37133022208982847</v>
      </c>
      <c r="N488" s="70">
        <f>N487/M487-1</f>
        <v>-0.1186763854025874</v>
      </c>
      <c r="O488" s="70">
        <f>O487/N487-1</f>
        <v>0.15128029576886215</v>
      </c>
      <c r="P488" s="70">
        <f>P487/O487-1</f>
        <v>4.3126620519041703E-2</v>
      </c>
      <c r="Q488" s="23"/>
      <c r="R488" s="70">
        <f>R487/P487-1</f>
        <v>7.4363769041321026E-2</v>
      </c>
      <c r="S488" s="70">
        <f>S487/R487-1</f>
        <v>-0.15946058766511717</v>
      </c>
      <c r="T488" s="70">
        <f>T487/S487-1</f>
        <v>0.12962853848031575</v>
      </c>
      <c r="U488" s="70">
        <f>U487/T487-1</f>
        <v>-0.11470108270430179</v>
      </c>
      <c r="V488" s="23"/>
      <c r="W488" s="70">
        <f>W487/U487-1</f>
        <v>-2.4047202208605456E-2</v>
      </c>
      <c r="X488" s="70">
        <f>X487/W487-1</f>
        <v>-0.13684228682805655</v>
      </c>
      <c r="Y488" s="70">
        <f>Y487/X487-1</f>
        <v>-0.17560249390511973</v>
      </c>
      <c r="Z488" s="70">
        <v>0.44838744864196656</v>
      </c>
      <c r="AA488" s="23"/>
      <c r="AB488" s="70">
        <f>AB487/Z487-1</f>
        <v>1.7388684802891907E-2</v>
      </c>
      <c r="AC488" s="70">
        <f>AC487/AB487-1</f>
        <v>-9.3600151339436333E-2</v>
      </c>
      <c r="AD488" s="70">
        <f>AD487/AC487-1</f>
        <v>0.1417863721744812</v>
      </c>
      <c r="AE488" s="70">
        <f>AE487/AD487-1</f>
        <v>6.4962726304579332E-2</v>
      </c>
      <c r="AF488" s="23"/>
      <c r="AG488" s="70">
        <f>AG487/AE487-1</f>
        <v>-0.15671641791044777</v>
      </c>
      <c r="AH488" s="70">
        <f>AH487/AG487-1</f>
        <v>-6.1946902654867242E-2</v>
      </c>
      <c r="AI488" s="70">
        <f>AI487/AH487-1</f>
        <v>-4.7169811320754707E-2</v>
      </c>
      <c r="AJ488" s="70">
        <f>AJ487/AI487-1</f>
        <v>0.20792079207920788</v>
      </c>
      <c r="AK488" s="23"/>
      <c r="AL488" s="70">
        <v>0.22131147540983598</v>
      </c>
      <c r="AM488" s="70">
        <v>-0.28859060402684567</v>
      </c>
      <c r="AN488" s="70">
        <v>0.36792452830188682</v>
      </c>
      <c r="AO488" s="70">
        <v>-0.27586206896551724</v>
      </c>
      <c r="AP488" s="23"/>
      <c r="AQ488" s="70">
        <v>0.50476190476190474</v>
      </c>
      <c r="AR488" s="70">
        <v>-0.30379746835443033</v>
      </c>
      <c r="AS488" s="70">
        <v>0.39999999999999991</v>
      </c>
      <c r="AT488" s="70">
        <v>0.3441558441558441</v>
      </c>
      <c r="AU488" s="23"/>
      <c r="AV488" s="70">
        <v>-0.75362318840579712</v>
      </c>
      <c r="AW488" s="70">
        <v>2.3137254901960786</v>
      </c>
      <c r="AX488" s="70">
        <v>-0.31952662721893488</v>
      </c>
      <c r="AY488" s="70">
        <v>-0.17391304347826086</v>
      </c>
      <c r="AZ488" s="23"/>
      <c r="BA488" s="70">
        <v>-9.4736842105263119E-2</v>
      </c>
      <c r="BB488" s="70">
        <v>-0.30232558139534882</v>
      </c>
      <c r="BC488" s="70">
        <v>-0.43333333333333335</v>
      </c>
      <c r="BD488" s="70">
        <v>0.35294117647058831</v>
      </c>
      <c r="BE488" s="23"/>
      <c r="BF488" s="70">
        <v>0.15217391304347827</v>
      </c>
      <c r="BG488" s="70">
        <v>-0.58490566037735847</v>
      </c>
      <c r="BH488" s="70">
        <v>0.68181818181818188</v>
      </c>
    </row>
    <row r="489" spans="1:60">
      <c r="A489" s="80" t="s">
        <v>8</v>
      </c>
      <c r="B489" s="23"/>
      <c r="C489" s="71"/>
      <c r="D489" s="71"/>
      <c r="E489" s="71"/>
      <c r="F489" s="71"/>
      <c r="G489" s="23">
        <f t="shared" ref="G489:N489" si="440">G487/B487-1</f>
        <v>0.38880240120060017</v>
      </c>
      <c r="H489" s="71">
        <f t="shared" si="440"/>
        <v>7.8299643281807496E-2</v>
      </c>
      <c r="I489" s="71">
        <f t="shared" si="440"/>
        <v>1.884646277417362</v>
      </c>
      <c r="J489" s="71">
        <f t="shared" si="440"/>
        <v>0.38870548064957355</v>
      </c>
      <c r="K489" s="71">
        <f t="shared" si="440"/>
        <v>-0.32015991119378318</v>
      </c>
      <c r="L489" s="23">
        <f t="shared" si="440"/>
        <v>0.18068046578508312</v>
      </c>
      <c r="M489" s="71">
        <f t="shared" si="440"/>
        <v>0.37063461432430955</v>
      </c>
      <c r="N489" s="71">
        <f t="shared" si="440"/>
        <v>0.17316012679917758</v>
      </c>
      <c r="O489" s="71">
        <f t="shared" ref="O489:Y489" si="441">O487/J487-1</f>
        <v>-6.5993719821074048E-2</v>
      </c>
      <c r="P489" s="71">
        <f t="shared" si="441"/>
        <v>0.4514281931618831</v>
      </c>
      <c r="Q489" s="23">
        <f t="shared" si="441"/>
        <v>0.19961047328959691</v>
      </c>
      <c r="R489" s="71">
        <f t="shared" si="441"/>
        <v>0.13711623865611111</v>
      </c>
      <c r="S489" s="71">
        <f t="shared" si="441"/>
        <v>8.4494956410607447E-2</v>
      </c>
      <c r="T489" s="71">
        <f t="shared" si="441"/>
        <v>6.4099209464227647E-2</v>
      </c>
      <c r="U489" s="71">
        <f t="shared" si="441"/>
        <v>-9.6901699656420037E-2</v>
      </c>
      <c r="V489" s="23">
        <f t="shared" si="441"/>
        <v>4.4017057499888157E-2</v>
      </c>
      <c r="W489" s="71">
        <f t="shared" si="441"/>
        <v>-0.17962487353101408</v>
      </c>
      <c r="X489" s="71">
        <f t="shared" si="441"/>
        <v>-0.15754917887896569</v>
      </c>
      <c r="Y489" s="71">
        <f t="shared" si="441"/>
        <v>-0.38518341890149843</v>
      </c>
      <c r="Z489" s="71">
        <v>5.8666083092049348E-3</v>
      </c>
      <c r="AA489" s="23">
        <v>-0.18533018674887791</v>
      </c>
      <c r="AB489" s="71">
        <f t="shared" ref="AB489:AI489" si="442">AB487/W487-1</f>
        <v>4.8554993057412288E-2</v>
      </c>
      <c r="AC489" s="71">
        <f t="shared" si="442"/>
        <v>0.10108508852563847</v>
      </c>
      <c r="AD489" s="71">
        <f t="shared" si="442"/>
        <v>0.52499727302476096</v>
      </c>
      <c r="AE489" s="71">
        <f t="shared" si="442"/>
        <v>0.12131076207291858</v>
      </c>
      <c r="AF489" s="23">
        <f t="shared" si="442"/>
        <v>0.1721170107667318</v>
      </c>
      <c r="AG489" s="71">
        <f t="shared" si="442"/>
        <v>-7.0578462095228667E-2</v>
      </c>
      <c r="AH489" s="71">
        <f t="shared" si="442"/>
        <v>-3.8121251168319659E-2</v>
      </c>
      <c r="AI489" s="71">
        <f t="shared" si="442"/>
        <v>-0.19730421375550355</v>
      </c>
      <c r="AJ489" s="71">
        <v>-8.7999999999999995E-2</v>
      </c>
      <c r="AK489" s="23">
        <v>-0.10100000000000001</v>
      </c>
      <c r="AL489" s="71">
        <v>0.31858407079646023</v>
      </c>
      <c r="AM489" s="71">
        <v>0</v>
      </c>
      <c r="AN489" s="71">
        <v>0.43564356435643559</v>
      </c>
      <c r="AO489" s="71">
        <v>-0.13934426229508201</v>
      </c>
      <c r="AP489" s="23">
        <v>0.14253393665158365</v>
      </c>
      <c r="AQ489" s="71">
        <v>6.0402684563758413E-2</v>
      </c>
      <c r="AR489" s="71">
        <v>3.7735849056603765E-2</v>
      </c>
      <c r="AS489" s="71">
        <v>6.2068965517241281E-2</v>
      </c>
      <c r="AT489" s="71">
        <v>0.97142857142857153</v>
      </c>
      <c r="AU489" s="23">
        <v>0.24554455445544554</v>
      </c>
      <c r="AV489" s="71">
        <v>-0.67721518987341778</v>
      </c>
      <c r="AW489" s="71">
        <v>0.53636363636363638</v>
      </c>
      <c r="AX489" s="71">
        <v>-0.25324675324675328</v>
      </c>
      <c r="AY489" s="71">
        <v>-0.54106280193236711</v>
      </c>
      <c r="AZ489" s="23">
        <v>-0.31637519872813991</v>
      </c>
      <c r="BA489" s="71">
        <v>0.68627450980392157</v>
      </c>
      <c r="BB489" s="71">
        <v>-0.6449704142011834</v>
      </c>
      <c r="BC489" s="71">
        <v>-0.70434782608695645</v>
      </c>
      <c r="BD489" s="71">
        <v>-0.51578947368421058</v>
      </c>
      <c r="BE489" s="23">
        <v>-0.47441860465116281</v>
      </c>
      <c r="BF489" s="71">
        <v>-0.38372093023255816</v>
      </c>
      <c r="BG489" s="71">
        <v>-0.6333333333333333</v>
      </c>
      <c r="BH489" s="71">
        <v>8.8235294117646967E-2</v>
      </c>
    </row>
    <row r="490" spans="1:60" hidden="1">
      <c r="A490" s="67" t="s">
        <v>46</v>
      </c>
      <c r="B490" s="36">
        <v>299</v>
      </c>
      <c r="C490" s="68">
        <v>70</v>
      </c>
      <c r="D490" s="68">
        <v>52</v>
      </c>
      <c r="E490" s="68">
        <v>77</v>
      </c>
      <c r="F490" s="68">
        <f>G490-E490-D490-C490</f>
        <v>66</v>
      </c>
      <c r="G490" s="36">
        <v>265</v>
      </c>
      <c r="H490" s="68">
        <v>20</v>
      </c>
      <c r="I490" s="68">
        <v>71</v>
      </c>
      <c r="J490" s="68">
        <v>101</v>
      </c>
      <c r="K490" s="68">
        <f>L490-J490-I490-H490</f>
        <v>78</v>
      </c>
      <c r="L490" s="36">
        <v>270</v>
      </c>
      <c r="M490" s="68">
        <v>66</v>
      </c>
      <c r="N490" s="68">
        <v>79</v>
      </c>
      <c r="O490" s="68">
        <v>82</v>
      </c>
      <c r="P490" s="68">
        <f>Q490-O490-N490-M490</f>
        <v>68.427000000000021</v>
      </c>
      <c r="Q490" s="36">
        <f>235.103+60.324</f>
        <v>295.42700000000002</v>
      </c>
      <c r="R490" s="68">
        <v>79</v>
      </c>
      <c r="S490" s="68">
        <v>75</v>
      </c>
      <c r="T490" s="68">
        <v>68</v>
      </c>
      <c r="U490" s="68">
        <f>V490-T490-S490-R490</f>
        <v>69</v>
      </c>
      <c r="V490" s="36">
        <f>79+75+68+69</f>
        <v>291</v>
      </c>
      <c r="W490" s="68">
        <v>60</v>
      </c>
      <c r="X490" s="68">
        <v>88</v>
      </c>
      <c r="Y490" s="68">
        <v>102</v>
      </c>
      <c r="Z490" s="68">
        <f>AA490-Y490-X490-W490</f>
        <v>74</v>
      </c>
      <c r="AA490" s="36">
        <v>324</v>
      </c>
      <c r="AB490" s="68">
        <v>71</v>
      </c>
      <c r="AC490" s="68">
        <v>76</v>
      </c>
      <c r="AD490" s="68">
        <v>98</v>
      </c>
      <c r="AE490" s="68">
        <f>AF490-AD490-AC490-AB490</f>
        <v>82</v>
      </c>
      <c r="AF490" s="36">
        <v>327</v>
      </c>
      <c r="AG490" s="68">
        <v>87</v>
      </c>
      <c r="AH490" s="68">
        <v>70</v>
      </c>
      <c r="AI490" s="68">
        <v>78</v>
      </c>
      <c r="AJ490" s="68">
        <f>AK490-AI490-AH490-AG490</f>
        <v>97</v>
      </c>
      <c r="AK490" s="36">
        <v>332</v>
      </c>
      <c r="AL490" s="68">
        <v>80</v>
      </c>
      <c r="AM490" s="68">
        <v>61</v>
      </c>
      <c r="AN490" s="68">
        <v>73</v>
      </c>
      <c r="AO490" s="68">
        <v>67</v>
      </c>
      <c r="AP490" s="36">
        <v>281</v>
      </c>
      <c r="AQ490" s="68">
        <v>72</v>
      </c>
      <c r="AR490" s="68">
        <v>43</v>
      </c>
      <c r="AS490" s="68">
        <v>45</v>
      </c>
      <c r="AT490" s="68"/>
      <c r="AU490" s="36"/>
      <c r="AV490" s="68"/>
      <c r="AW490" s="68"/>
      <c r="AX490" s="68"/>
      <c r="AY490" s="68"/>
      <c r="AZ490" s="36"/>
      <c r="BA490" s="68"/>
      <c r="BB490" s="68"/>
      <c r="BC490" s="68"/>
      <c r="BD490" s="68"/>
      <c r="BE490" s="36"/>
      <c r="BF490" s="68"/>
      <c r="BG490" s="68"/>
      <c r="BH490" s="68"/>
    </row>
    <row r="491" spans="1:60" hidden="1">
      <c r="A491" s="69" t="s">
        <v>7</v>
      </c>
      <c r="B491" s="23"/>
      <c r="C491" s="70"/>
      <c r="D491" s="70">
        <f>D490/C490-1</f>
        <v>-0.25714285714285712</v>
      </c>
      <c r="E491" s="70">
        <f>E490/D490-1</f>
        <v>0.48076923076923084</v>
      </c>
      <c r="F491" s="70">
        <f>F490/E490-1</f>
        <v>-0.1428571428571429</v>
      </c>
      <c r="G491" s="23"/>
      <c r="H491" s="70">
        <f>H490/F490-1</f>
        <v>-0.69696969696969702</v>
      </c>
      <c r="I491" s="70">
        <f>I490/H490-1</f>
        <v>2.5499999999999998</v>
      </c>
      <c r="J491" s="70">
        <f>J490/I490-1</f>
        <v>0.42253521126760574</v>
      </c>
      <c r="K491" s="70">
        <f>K490/J490-1</f>
        <v>-0.2277227722772277</v>
      </c>
      <c r="L491" s="23"/>
      <c r="M491" s="70">
        <f>M490/K490-1</f>
        <v>-0.15384615384615385</v>
      </c>
      <c r="N491" s="70">
        <f>N490/M490-1</f>
        <v>0.19696969696969702</v>
      </c>
      <c r="O491" s="70">
        <f>O490/N490-1</f>
        <v>3.7974683544303778E-2</v>
      </c>
      <c r="P491" s="70">
        <f>P490/O490-1</f>
        <v>-0.1655243902439022</v>
      </c>
      <c r="Q491" s="23"/>
      <c r="R491" s="70">
        <f>R490/P490-1</f>
        <v>0.15451503061656924</v>
      </c>
      <c r="S491" s="70">
        <f>S490/R490-1</f>
        <v>-5.0632911392405111E-2</v>
      </c>
      <c r="T491" s="70">
        <f>T490/S490-1</f>
        <v>-9.3333333333333379E-2</v>
      </c>
      <c r="U491" s="70">
        <f>U490/T490-1</f>
        <v>1.4705882352941124E-2</v>
      </c>
      <c r="V491" s="23"/>
      <c r="W491" s="70">
        <f>W490/U490-1</f>
        <v>-0.13043478260869568</v>
      </c>
      <c r="X491" s="70">
        <f>X490/W490-1</f>
        <v>0.46666666666666656</v>
      </c>
      <c r="Y491" s="70">
        <f>Y490/X490-1</f>
        <v>0.15909090909090917</v>
      </c>
      <c r="Z491" s="70">
        <v>-0.27450980392156865</v>
      </c>
      <c r="AA491" s="23"/>
      <c r="AB491" s="70">
        <f>AB490/Z490-1</f>
        <v>-4.0540540540540571E-2</v>
      </c>
      <c r="AC491" s="70">
        <f>AC490/AB490-1</f>
        <v>7.0422535211267512E-2</v>
      </c>
      <c r="AD491" s="70">
        <f>AD490/AC490-1</f>
        <v>0.28947368421052633</v>
      </c>
      <c r="AE491" s="70">
        <f>AE490/AD490-1</f>
        <v>-0.16326530612244894</v>
      </c>
      <c r="AF491" s="23"/>
      <c r="AG491" s="70">
        <f>AG490/AE490-1</f>
        <v>6.0975609756097615E-2</v>
      </c>
      <c r="AH491" s="70">
        <f>AH490/AG490-1</f>
        <v>-0.1954022988505747</v>
      </c>
      <c r="AI491" s="70">
        <f>AI490/AH490-1</f>
        <v>0.11428571428571432</v>
      </c>
      <c r="AJ491" s="70">
        <f>AJ490/AI490-1</f>
        <v>0.24358974358974361</v>
      </c>
      <c r="AK491" s="23"/>
      <c r="AL491" s="70">
        <v>-0.17525773195876293</v>
      </c>
      <c r="AM491" s="70">
        <v>-0.23750000000000004</v>
      </c>
      <c r="AN491" s="70">
        <v>0.19672131147540983</v>
      </c>
      <c r="AO491" s="70">
        <v>-8.2191780821917804E-2</v>
      </c>
      <c r="AP491" s="23"/>
      <c r="AQ491" s="70">
        <v>7.4626865671641784E-2</v>
      </c>
      <c r="AR491" s="70">
        <v>-0.40277777777777779</v>
      </c>
      <c r="AS491" s="70">
        <v>4.6511627906976827E-2</v>
      </c>
      <c r="AT491" s="70"/>
      <c r="AU491" s="23"/>
      <c r="AV491" s="70"/>
      <c r="AW491" s="70"/>
      <c r="AX491" s="70"/>
      <c r="AY491" s="70"/>
      <c r="AZ491" s="23"/>
      <c r="BA491" s="70"/>
      <c r="BB491" s="70"/>
      <c r="BC491" s="70"/>
      <c r="BD491" s="70"/>
      <c r="BE491" s="23"/>
      <c r="BF491" s="70"/>
      <c r="BG491" s="70"/>
      <c r="BH491" s="70"/>
    </row>
    <row r="492" spans="1:60" hidden="1">
      <c r="A492" s="69" t="s">
        <v>8</v>
      </c>
      <c r="B492" s="23"/>
      <c r="C492" s="71"/>
      <c r="D492" s="71"/>
      <c r="E492" s="71"/>
      <c r="F492" s="71"/>
      <c r="G492" s="23">
        <f t="shared" ref="G492:N492" si="443">G490/B490-1</f>
        <v>-0.11371237458193983</v>
      </c>
      <c r="H492" s="71">
        <f t="shared" si="443"/>
        <v>-0.7142857142857143</v>
      </c>
      <c r="I492" s="71">
        <f t="shared" si="443"/>
        <v>0.36538461538461542</v>
      </c>
      <c r="J492" s="71">
        <f t="shared" si="443"/>
        <v>0.31168831168831179</v>
      </c>
      <c r="K492" s="71">
        <f t="shared" si="443"/>
        <v>0.18181818181818188</v>
      </c>
      <c r="L492" s="23">
        <f t="shared" si="443"/>
        <v>1.8867924528301883E-2</v>
      </c>
      <c r="M492" s="71">
        <f t="shared" si="443"/>
        <v>2.2999999999999998</v>
      </c>
      <c r="N492" s="71">
        <f t="shared" si="443"/>
        <v>0.11267605633802824</v>
      </c>
      <c r="O492" s="71">
        <f t="shared" ref="O492:Y492" si="444">O490/J490-1</f>
        <v>-0.18811881188118806</v>
      </c>
      <c r="P492" s="71">
        <f t="shared" si="444"/>
        <v>-0.12273076923076898</v>
      </c>
      <c r="Q492" s="23">
        <f t="shared" si="444"/>
        <v>9.4174074074074188E-2</v>
      </c>
      <c r="R492" s="71">
        <f t="shared" si="444"/>
        <v>0.19696969696969702</v>
      </c>
      <c r="S492" s="71">
        <f t="shared" si="444"/>
        <v>-5.0632911392405111E-2</v>
      </c>
      <c r="T492" s="71">
        <f t="shared" si="444"/>
        <v>-0.17073170731707321</v>
      </c>
      <c r="U492" s="71">
        <f t="shared" si="444"/>
        <v>8.3738875005476832E-3</v>
      </c>
      <c r="V492" s="23">
        <f t="shared" si="444"/>
        <v>-1.4985089379102146E-2</v>
      </c>
      <c r="W492" s="71">
        <f t="shared" si="444"/>
        <v>-0.240506329113924</v>
      </c>
      <c r="X492" s="71">
        <f t="shared" si="444"/>
        <v>0.17333333333333334</v>
      </c>
      <c r="Y492" s="71">
        <f t="shared" si="444"/>
        <v>0.5</v>
      </c>
      <c r="Z492" s="71">
        <v>7.2463768115942129E-2</v>
      </c>
      <c r="AA492" s="23">
        <v>0.11340206185567014</v>
      </c>
      <c r="AB492" s="71">
        <f t="shared" ref="AB492:AI492" si="445">AB490/W490-1</f>
        <v>0.18333333333333335</v>
      </c>
      <c r="AC492" s="71">
        <f t="shared" si="445"/>
        <v>-0.13636363636363635</v>
      </c>
      <c r="AD492" s="71">
        <f t="shared" si="445"/>
        <v>-3.9215686274509776E-2</v>
      </c>
      <c r="AE492" s="71">
        <f t="shared" si="445"/>
        <v>0.10810810810810811</v>
      </c>
      <c r="AF492" s="23">
        <f t="shared" si="445"/>
        <v>9.2592592592593004E-3</v>
      </c>
      <c r="AG492" s="71">
        <f t="shared" si="445"/>
        <v>0.22535211267605626</v>
      </c>
      <c r="AH492" s="71">
        <f t="shared" si="445"/>
        <v>-7.8947368421052655E-2</v>
      </c>
      <c r="AI492" s="71">
        <f t="shared" si="445"/>
        <v>-0.20408163265306123</v>
      </c>
      <c r="AJ492" s="71">
        <f t="shared" ref="AJ492" si="446">AJ490/AE490-1</f>
        <v>0.18292682926829262</v>
      </c>
      <c r="AK492" s="23">
        <v>1.5290519877675823E-2</v>
      </c>
      <c r="AL492" s="71">
        <v>-8.0459770114942541E-2</v>
      </c>
      <c r="AM492" s="71">
        <v>-0.12857142857142856</v>
      </c>
      <c r="AN492" s="71">
        <v>-6.4102564102564097E-2</v>
      </c>
      <c r="AO492" s="71">
        <v>-0.30927835051546393</v>
      </c>
      <c r="AP492" s="23">
        <v>-0.15361445783132532</v>
      </c>
      <c r="AQ492" s="71">
        <v>-9.9999999999999978E-2</v>
      </c>
      <c r="AR492" s="71">
        <v>-0.29508196721311475</v>
      </c>
      <c r="AS492" s="71">
        <v>-0.38356164383561642</v>
      </c>
      <c r="AT492" s="71"/>
      <c r="AU492" s="23"/>
      <c r="AV492" s="71"/>
      <c r="AW492" s="71"/>
      <c r="AX492" s="71"/>
      <c r="AY492" s="71"/>
      <c r="AZ492" s="23"/>
      <c r="BA492" s="71"/>
      <c r="BB492" s="71"/>
      <c r="BC492" s="71"/>
      <c r="BD492" s="71"/>
      <c r="BE492" s="23"/>
      <c r="BF492" s="71"/>
      <c r="BG492" s="71"/>
      <c r="BH492" s="71"/>
    </row>
    <row r="493" spans="1:60">
      <c r="A493" s="67" t="s">
        <v>47</v>
      </c>
      <c r="B493" s="36">
        <f>223.607+11.995+18.948</f>
        <v>254.55</v>
      </c>
      <c r="C493" s="68">
        <v>79.400000000000006</v>
      </c>
      <c r="D493" s="68">
        <f>28.849+2.175+8.53</f>
        <v>39.554000000000002</v>
      </c>
      <c r="E493" s="68">
        <f>55.85</f>
        <v>55.85</v>
      </c>
      <c r="F493" s="68">
        <f>G493-E493-D493-C493</f>
        <v>62.736999999999995</v>
      </c>
      <c r="G493" s="36">
        <f>198.208+12.643+26.69</f>
        <v>237.541</v>
      </c>
      <c r="H493" s="68">
        <f>52.092+2.389+6.955</f>
        <v>61.436</v>
      </c>
      <c r="I493" s="68">
        <v>59.911999999999999</v>
      </c>
      <c r="J493" s="68">
        <f>72.635+5.449+9.304</f>
        <v>87.388000000000005</v>
      </c>
      <c r="K493" s="68">
        <f>L493-J493-I493-H493</f>
        <v>52.824999999999967</v>
      </c>
      <c r="L493" s="36">
        <f>214.368+9.262+37.931</f>
        <v>261.56099999999998</v>
      </c>
      <c r="M493" s="68">
        <f>48.421+3.632+8.981</f>
        <v>61.033999999999999</v>
      </c>
      <c r="N493" s="68">
        <f>50.599+4.089+8.547</f>
        <v>63.234999999999999</v>
      </c>
      <c r="O493" s="68">
        <f>52.441+2.5+9.771</f>
        <v>64.712000000000003</v>
      </c>
      <c r="P493" s="68">
        <f>Q493-O493-N493-M493</f>
        <v>89.399999999999977</v>
      </c>
      <c r="Q493" s="36">
        <f>226.728+14.897+36.756</f>
        <v>278.38099999999997</v>
      </c>
      <c r="R493" s="68">
        <f>57.453+3.813+9.85</f>
        <v>71.116</v>
      </c>
      <c r="S493" s="68">
        <f>47.551+7.177+9.667</f>
        <v>64.394999999999996</v>
      </c>
      <c r="T493" s="68">
        <f>51.634+6.428+9.274</f>
        <v>67.335999999999999</v>
      </c>
      <c r="U493" s="68">
        <v>62</v>
      </c>
      <c r="V493" s="36">
        <f>207.741+32.181+24.414</f>
        <v>264.33600000000001</v>
      </c>
      <c r="W493" s="68">
        <f>48.463+7.914</f>
        <v>56.377000000000002</v>
      </c>
      <c r="X493" s="68">
        <f>55.722+13.527</f>
        <v>69.248999999999995</v>
      </c>
      <c r="Y493" s="68">
        <f>75.056+11.515</f>
        <v>86.570999999999998</v>
      </c>
      <c r="Z493" s="68">
        <f>AA493-Y493-X493-W493</f>
        <v>72.019999999999982</v>
      </c>
      <c r="AA493" s="36">
        <f>240.686+43.531</f>
        <v>284.21699999999998</v>
      </c>
      <c r="AB493" s="68">
        <f>75.656+13.99</f>
        <v>89.646000000000001</v>
      </c>
      <c r="AC493" s="68">
        <f>68.451+16.277</f>
        <v>84.727999999999994</v>
      </c>
      <c r="AD493" s="68">
        <f>46.951+19.847</f>
        <v>66.798000000000002</v>
      </c>
      <c r="AE493" s="68">
        <f>AF493-AD493-AC493-AB493</f>
        <v>81.827999999999989</v>
      </c>
      <c r="AF493" s="36">
        <f>260+63</f>
        <v>323</v>
      </c>
      <c r="AG493" s="68">
        <v>78</v>
      </c>
      <c r="AH493" s="68">
        <v>68</v>
      </c>
      <c r="AI493" s="68">
        <v>64</v>
      </c>
      <c r="AJ493" s="68">
        <f>AK493-AI493-AH493-AG493</f>
        <v>95</v>
      </c>
      <c r="AK493" s="36">
        <v>305</v>
      </c>
      <c r="AL493" s="68">
        <v>65</v>
      </c>
      <c r="AM493" s="68">
        <v>82</v>
      </c>
      <c r="AN493" s="68">
        <v>75</v>
      </c>
      <c r="AO493" s="68">
        <v>43</v>
      </c>
      <c r="AP493" s="36">
        <v>265</v>
      </c>
      <c r="AQ493" s="68">
        <v>59</v>
      </c>
      <c r="AR493" s="68">
        <v>58</v>
      </c>
      <c r="AS493" s="68">
        <v>51</v>
      </c>
      <c r="AT493" s="68">
        <v>41</v>
      </c>
      <c r="AU493" s="36">
        <v>209</v>
      </c>
      <c r="AV493" s="68">
        <v>60</v>
      </c>
      <c r="AW493" s="68">
        <v>53</v>
      </c>
      <c r="AX493" s="68">
        <v>69</v>
      </c>
      <c r="AY493" s="68">
        <v>53</v>
      </c>
      <c r="AZ493" s="36">
        <v>235</v>
      </c>
      <c r="BA493" s="68">
        <v>62</v>
      </c>
      <c r="BB493" s="68">
        <v>75</v>
      </c>
      <c r="BC493" s="68">
        <v>79</v>
      </c>
      <c r="BD493" s="68">
        <v>82</v>
      </c>
      <c r="BE493" s="36">
        <v>298</v>
      </c>
      <c r="BF493" s="68">
        <v>64</v>
      </c>
      <c r="BG493" s="68">
        <v>74</v>
      </c>
      <c r="BH493" s="68">
        <v>69</v>
      </c>
    </row>
    <row r="494" spans="1:60">
      <c r="A494" s="69" t="s">
        <v>7</v>
      </c>
      <c r="B494" s="23"/>
      <c r="C494" s="70"/>
      <c r="D494" s="70">
        <f>D493/C493-1</f>
        <v>-0.50183879093198991</v>
      </c>
      <c r="E494" s="70">
        <f>E493/D493-1</f>
        <v>0.41199373009050921</v>
      </c>
      <c r="F494" s="70">
        <f>F493/E493-1</f>
        <v>0.12331244404655317</v>
      </c>
      <c r="G494" s="23"/>
      <c r="H494" s="70">
        <f>H493/F493-1</f>
        <v>-2.0737363916030316E-2</v>
      </c>
      <c r="I494" s="70">
        <f>I493/H493-1</f>
        <v>-2.4806302493651899E-2</v>
      </c>
      <c r="J494" s="70">
        <f>J493/I493-1</f>
        <v>0.45860595540125537</v>
      </c>
      <c r="K494" s="70">
        <f>K493/J493-1</f>
        <v>-0.39551196960681145</v>
      </c>
      <c r="L494" s="23"/>
      <c r="M494" s="70">
        <f>M493/K493-1</f>
        <v>0.15539990534784742</v>
      </c>
      <c r="N494" s="70">
        <f>N493/M493-1</f>
        <v>3.606186715601134E-2</v>
      </c>
      <c r="O494" s="70">
        <f>O493/N493-1</f>
        <v>2.3357317941013811E-2</v>
      </c>
      <c r="P494" s="70">
        <f>P493/O493-1</f>
        <v>0.3815057485474096</v>
      </c>
      <c r="Q494" s="23"/>
      <c r="R494" s="70">
        <f>R493/P493-1</f>
        <v>-0.20451901565995501</v>
      </c>
      <c r="S494" s="70">
        <f>S493/R493-1</f>
        <v>-9.4507565104899105E-2</v>
      </c>
      <c r="T494" s="70">
        <f>T493/S493-1</f>
        <v>4.5671247767683942E-2</v>
      </c>
      <c r="U494" s="70">
        <f>U493/T493-1</f>
        <v>-7.9244386360936225E-2</v>
      </c>
      <c r="V494" s="23"/>
      <c r="W494" s="70">
        <f>W493/U493-1</f>
        <v>-9.0693548387096756E-2</v>
      </c>
      <c r="X494" s="70">
        <f>X493/W493-1</f>
        <v>0.22832005959877244</v>
      </c>
      <c r="Y494" s="70">
        <f>Y493/X493-1</f>
        <v>0.25014079625698571</v>
      </c>
      <c r="Z494" s="70">
        <v>-0.16807013896108447</v>
      </c>
      <c r="AA494" s="23"/>
      <c r="AB494" s="70">
        <f>AB493/Z493-1</f>
        <v>0.24473757289641807</v>
      </c>
      <c r="AC494" s="70">
        <f>AC493/AB493-1</f>
        <v>-5.4860228007942435E-2</v>
      </c>
      <c r="AD494" s="70">
        <f>AD493/AC493-1</f>
        <v>-0.21161835520725136</v>
      </c>
      <c r="AE494" s="70">
        <f>AE493/AD493-1</f>
        <v>0.22500673672864435</v>
      </c>
      <c r="AF494" s="23"/>
      <c r="AG494" s="70">
        <f>AG493/AE493-1</f>
        <v>-4.678105294031365E-2</v>
      </c>
      <c r="AH494" s="70">
        <f>AH493/AG493-1</f>
        <v>-0.12820512820512819</v>
      </c>
      <c r="AI494" s="70">
        <f>AI493/AH493-1</f>
        <v>-5.8823529411764719E-2</v>
      </c>
      <c r="AJ494" s="70">
        <f>AJ493/AI493-1</f>
        <v>0.484375</v>
      </c>
      <c r="AK494" s="23"/>
      <c r="AL494" s="70">
        <v>-0.31578947368421051</v>
      </c>
      <c r="AM494" s="70">
        <v>0.2615384615384615</v>
      </c>
      <c r="AN494" s="70">
        <v>-8.536585365853655E-2</v>
      </c>
      <c r="AO494" s="70">
        <v>-0.42666666666666664</v>
      </c>
      <c r="AP494" s="23"/>
      <c r="AQ494" s="70">
        <v>0.37209302325581395</v>
      </c>
      <c r="AR494" s="70">
        <v>-1.6949152542372836E-2</v>
      </c>
      <c r="AS494" s="70">
        <v>-0.12068965517241381</v>
      </c>
      <c r="AT494" s="70">
        <v>-0.19607843137254899</v>
      </c>
      <c r="AU494" s="23"/>
      <c r="AV494" s="70">
        <v>0.46341463414634143</v>
      </c>
      <c r="AW494" s="70">
        <v>-0.1166666666666667</v>
      </c>
      <c r="AX494" s="70">
        <v>0.30188679245283012</v>
      </c>
      <c r="AY494" s="70">
        <v>-0.23188405797101452</v>
      </c>
      <c r="AZ494" s="23"/>
      <c r="BA494" s="70">
        <v>0.16981132075471694</v>
      </c>
      <c r="BB494" s="70">
        <v>0.20967741935483875</v>
      </c>
      <c r="BC494" s="70">
        <v>5.3333333333333233E-2</v>
      </c>
      <c r="BD494" s="70">
        <v>3.7974683544303778E-2</v>
      </c>
      <c r="BE494" s="23"/>
      <c r="BF494" s="70">
        <v>-0.21951219512195119</v>
      </c>
      <c r="BG494" s="70">
        <v>0.15625</v>
      </c>
      <c r="BH494" s="70">
        <v>-6.7567567567567544E-2</v>
      </c>
    </row>
    <row r="495" spans="1:60">
      <c r="A495" s="69" t="s">
        <v>8</v>
      </c>
      <c r="B495" s="23"/>
      <c r="C495" s="71"/>
      <c r="D495" s="71"/>
      <c r="E495" s="71"/>
      <c r="F495" s="71"/>
      <c r="G495" s="23">
        <f t="shared" ref="G495:N495" si="447">G493/B493-1</f>
        <v>-6.6819878216460515E-2</v>
      </c>
      <c r="H495" s="71">
        <f t="shared" si="447"/>
        <v>-0.22624685138539047</v>
      </c>
      <c r="I495" s="71">
        <f t="shared" si="447"/>
        <v>0.51468877989583839</v>
      </c>
      <c r="J495" s="71">
        <f t="shared" si="447"/>
        <v>0.56469113697403772</v>
      </c>
      <c r="K495" s="71">
        <f t="shared" si="447"/>
        <v>-0.1579928909574897</v>
      </c>
      <c r="L495" s="23">
        <f t="shared" si="447"/>
        <v>0.10111938570604639</v>
      </c>
      <c r="M495" s="71">
        <f t="shared" si="447"/>
        <v>-6.5433947522625102E-3</v>
      </c>
      <c r="N495" s="71">
        <f t="shared" si="447"/>
        <v>5.546468153291495E-2</v>
      </c>
      <c r="O495" s="71">
        <f t="shared" ref="O495:Y495" si="448">O493/J493-1</f>
        <v>-0.25948642834256419</v>
      </c>
      <c r="P495" s="71">
        <f t="shared" si="448"/>
        <v>0.69238050165641329</v>
      </c>
      <c r="Q495" s="23">
        <f t="shared" si="448"/>
        <v>6.4306223022545295E-2</v>
      </c>
      <c r="R495" s="71">
        <f t="shared" si="448"/>
        <v>0.16518661729527806</v>
      </c>
      <c r="S495" s="71">
        <f t="shared" si="448"/>
        <v>1.834427136870409E-2</v>
      </c>
      <c r="T495" s="71">
        <f t="shared" si="448"/>
        <v>4.0548893559154253E-2</v>
      </c>
      <c r="U495" s="71">
        <f t="shared" si="448"/>
        <v>-0.30648769574944057</v>
      </c>
      <c r="V495" s="23">
        <f t="shared" si="448"/>
        <v>-5.0452437486753654E-2</v>
      </c>
      <c r="W495" s="71">
        <f t="shared" si="448"/>
        <v>-0.20725293886045326</v>
      </c>
      <c r="X495" s="71">
        <f t="shared" si="448"/>
        <v>7.5378523177265233E-2</v>
      </c>
      <c r="Y495" s="71">
        <f t="shared" si="448"/>
        <v>0.28565700368302238</v>
      </c>
      <c r="Z495" s="71">
        <v>0.17128266844476148</v>
      </c>
      <c r="AA495" s="23">
        <v>7.5211094970037973E-2</v>
      </c>
      <c r="AB495" s="71">
        <f t="shared" ref="AB495:AI495" si="449">AB493/W493-1</f>
        <v>0.59011653688560939</v>
      </c>
      <c r="AC495" s="71">
        <f t="shared" si="449"/>
        <v>0.22352669352626031</v>
      </c>
      <c r="AD495" s="71">
        <f t="shared" si="449"/>
        <v>-0.22840212080257816</v>
      </c>
      <c r="AE495" s="71">
        <f t="shared" si="449"/>
        <v>0.13618439322410447</v>
      </c>
      <c r="AF495" s="23">
        <f t="shared" si="449"/>
        <v>0.13645559554847186</v>
      </c>
      <c r="AG495" s="71">
        <f t="shared" si="449"/>
        <v>-0.12991098320058903</v>
      </c>
      <c r="AH495" s="71">
        <f t="shared" si="449"/>
        <v>-0.1974317817014446</v>
      </c>
      <c r="AI495" s="71">
        <f t="shared" si="449"/>
        <v>-4.1887481661127657E-2</v>
      </c>
      <c r="AJ495" s="71">
        <f t="shared" ref="AJ495" si="450">AJ493/AE493-1</f>
        <v>0.16097179449577181</v>
      </c>
      <c r="AK495" s="23">
        <v>-5.5727554179566541E-2</v>
      </c>
      <c r="AL495" s="71">
        <v>-0.16666666666666663</v>
      </c>
      <c r="AM495" s="71">
        <v>0.20588235294117641</v>
      </c>
      <c r="AN495" s="71">
        <v>0.171875</v>
      </c>
      <c r="AO495" s="71">
        <v>-0.5473684210526315</v>
      </c>
      <c r="AP495" s="23">
        <v>-0.13114754098360659</v>
      </c>
      <c r="AQ495" s="71">
        <v>-9.2307692307692313E-2</v>
      </c>
      <c r="AR495" s="71">
        <v>-0.29268292682926833</v>
      </c>
      <c r="AS495" s="71">
        <v>-0.31999999999999995</v>
      </c>
      <c r="AT495" s="71">
        <v>-4.6511627906976716E-2</v>
      </c>
      <c r="AU495" s="23">
        <v>-0.21132075471698109</v>
      </c>
      <c r="AV495" s="71">
        <v>1.6949152542372836E-2</v>
      </c>
      <c r="AW495" s="71">
        <v>-8.6206896551724088E-2</v>
      </c>
      <c r="AX495" s="71">
        <v>0.35294117647058831</v>
      </c>
      <c r="AY495" s="71">
        <v>0.29268292682926833</v>
      </c>
      <c r="AZ495" s="23">
        <v>0.12440191387559807</v>
      </c>
      <c r="BA495" s="71">
        <v>3.3333333333333437E-2</v>
      </c>
      <c r="BB495" s="71">
        <v>0.41509433962264142</v>
      </c>
      <c r="BC495" s="71">
        <v>0.14492753623188404</v>
      </c>
      <c r="BD495" s="71">
        <v>0.54716981132075482</v>
      </c>
      <c r="BE495" s="23">
        <v>0.26808510638297878</v>
      </c>
      <c r="BF495" s="71">
        <v>3.2258064516129004E-2</v>
      </c>
      <c r="BG495" s="71">
        <v>-1.3333333333333308E-2</v>
      </c>
      <c r="BH495" s="71">
        <v>-0.12658227848101267</v>
      </c>
    </row>
    <row r="496" spans="1:60" s="35" customFormat="1">
      <c r="A496" s="67" t="s">
        <v>48</v>
      </c>
      <c r="B496" s="36">
        <f>B493</f>
        <v>254.55</v>
      </c>
      <c r="C496" s="68">
        <v>79.400000000000006</v>
      </c>
      <c r="D496" s="68">
        <f>28.849+2.175+8.53</f>
        <v>39.554000000000002</v>
      </c>
      <c r="E496" s="68">
        <f>E493</f>
        <v>55.85</v>
      </c>
      <c r="F496" s="68">
        <f>G496-E496-D496-C496</f>
        <v>62.736999999999995</v>
      </c>
      <c r="G496" s="36">
        <f>G493</f>
        <v>237.541</v>
      </c>
      <c r="H496" s="68">
        <f>H493</f>
        <v>61.436</v>
      </c>
      <c r="I496" s="68">
        <v>59.911999999999999</v>
      </c>
      <c r="J496" s="68">
        <f>J493-0.578</f>
        <v>86.81</v>
      </c>
      <c r="K496" s="68">
        <f>L496-J496-I496-H496</f>
        <v>52.453999999999958</v>
      </c>
      <c r="L496" s="36">
        <f>L493-0.949</f>
        <v>260.61199999999997</v>
      </c>
      <c r="M496" s="68">
        <f>M493-0.184</f>
        <v>60.85</v>
      </c>
      <c r="N496" s="68">
        <f>N493-0.253</f>
        <v>62.981999999999999</v>
      </c>
      <c r="O496" s="68">
        <f>O493-1.056</f>
        <v>63.656000000000006</v>
      </c>
      <c r="P496" s="68">
        <f>Q496-O496-N496-M496</f>
        <v>89.303999999999974</v>
      </c>
      <c r="Q496" s="36">
        <f>Q493-1.589</f>
        <v>276.79199999999997</v>
      </c>
      <c r="R496" s="68">
        <f>R493-0.129</f>
        <v>70.986999999999995</v>
      </c>
      <c r="S496" s="68">
        <f>S493-0.069</f>
        <v>64.325999999999993</v>
      </c>
      <c r="T496" s="68">
        <f>T493-0.156</f>
        <v>67.179999999999993</v>
      </c>
      <c r="U496" s="68">
        <v>62</v>
      </c>
      <c r="V496" s="36">
        <f>V493-0.747</f>
        <v>263.589</v>
      </c>
      <c r="W496" s="68">
        <f>W493-0.109</f>
        <v>56.268000000000001</v>
      </c>
      <c r="X496" s="68">
        <f>X493-0.063</f>
        <v>69.185999999999993</v>
      </c>
      <c r="Y496" s="68">
        <f>Y493-0.052</f>
        <v>86.518999999999991</v>
      </c>
      <c r="Z496" s="68">
        <f>AA496-Y496-X496-W496</f>
        <v>71.772999999999996</v>
      </c>
      <c r="AA496" s="36">
        <f>AA493-0.471</f>
        <v>283.74599999999998</v>
      </c>
      <c r="AB496" s="68">
        <f>AB493-0.035</f>
        <v>89.611000000000004</v>
      </c>
      <c r="AC496" s="68">
        <f>AC493-0.082</f>
        <v>84.646000000000001</v>
      </c>
      <c r="AD496" s="68">
        <f>AD493-0.212</f>
        <v>66.585999999999999</v>
      </c>
      <c r="AE496" s="68">
        <f>AF496-AD496-AC496-AB496</f>
        <v>82.156999999999968</v>
      </c>
      <c r="AF496" s="36">
        <f>AF493</f>
        <v>323</v>
      </c>
      <c r="AG496" s="68">
        <v>78</v>
      </c>
      <c r="AH496" s="68">
        <v>68</v>
      </c>
      <c r="AI496" s="68">
        <v>64</v>
      </c>
      <c r="AJ496" s="68">
        <f>AK496-AI496-AH496-AG496</f>
        <v>95</v>
      </c>
      <c r="AK496" s="36">
        <v>305</v>
      </c>
      <c r="AL496" s="68">
        <v>65</v>
      </c>
      <c r="AM496" s="68">
        <v>82</v>
      </c>
      <c r="AN496" s="68">
        <v>75</v>
      </c>
      <c r="AO496" s="68">
        <v>43</v>
      </c>
      <c r="AP496" s="36">
        <v>265</v>
      </c>
      <c r="AQ496" s="68">
        <v>59</v>
      </c>
      <c r="AR496" s="68">
        <v>58</v>
      </c>
      <c r="AS496" s="68">
        <v>50</v>
      </c>
      <c r="AT496" s="68">
        <v>41</v>
      </c>
      <c r="AU496" s="36">
        <v>208</v>
      </c>
      <c r="AV496" s="68">
        <v>60</v>
      </c>
      <c r="AW496" s="68">
        <v>52</v>
      </c>
      <c r="AX496" s="68">
        <v>69</v>
      </c>
      <c r="AY496" s="68">
        <v>53</v>
      </c>
      <c r="AZ496" s="36">
        <v>234</v>
      </c>
      <c r="BA496" s="68">
        <v>62</v>
      </c>
      <c r="BB496" s="68">
        <v>75</v>
      </c>
      <c r="BC496" s="68">
        <v>79</v>
      </c>
      <c r="BD496" s="68">
        <v>81</v>
      </c>
      <c r="BE496" s="36">
        <v>297</v>
      </c>
      <c r="BF496" s="68">
        <v>64</v>
      </c>
      <c r="BG496" s="68">
        <v>73</v>
      </c>
      <c r="BH496" s="68">
        <v>69</v>
      </c>
    </row>
    <row r="497" spans="1:60">
      <c r="A497" s="69" t="s">
        <v>7</v>
      </c>
      <c r="B497" s="23"/>
      <c r="C497" s="70"/>
      <c r="D497" s="70">
        <f>D496/C496-1</f>
        <v>-0.50183879093198991</v>
      </c>
      <c r="E497" s="70">
        <f>E496/D496-1</f>
        <v>0.41199373009050921</v>
      </c>
      <c r="F497" s="70">
        <f>F496/E496-1</f>
        <v>0.12331244404655317</v>
      </c>
      <c r="G497" s="23"/>
      <c r="H497" s="70">
        <f>H496/F496-1</f>
        <v>-2.0737363916030316E-2</v>
      </c>
      <c r="I497" s="70">
        <f>I496/H496-1</f>
        <v>-2.4806302493651899E-2</v>
      </c>
      <c r="J497" s="70">
        <f>J496/I496-1</f>
        <v>0.44895847242622522</v>
      </c>
      <c r="K497" s="70">
        <f>K496/J496-1</f>
        <v>-0.3957608570441199</v>
      </c>
      <c r="L497" s="23"/>
      <c r="M497" s="70">
        <f>M496/K496-1</f>
        <v>0.16006405612536789</v>
      </c>
      <c r="N497" s="70">
        <f>N496/M496-1</f>
        <v>3.5036976170911949E-2</v>
      </c>
      <c r="O497" s="70">
        <f>O496/N496-1</f>
        <v>1.0701470261344603E-2</v>
      </c>
      <c r="P497" s="70">
        <f>P496/O496-1</f>
        <v>0.40291567173557818</v>
      </c>
      <c r="Q497" s="23"/>
      <c r="R497" s="70">
        <f>R496/P496-1</f>
        <v>-0.20510839380094936</v>
      </c>
      <c r="S497" s="70">
        <f>S496/R496-1</f>
        <v>-9.3834082296758603E-2</v>
      </c>
      <c r="T497" s="70">
        <f>T496/S496-1</f>
        <v>4.4367751764449848E-2</v>
      </c>
      <c r="U497" s="70">
        <f>U496/T496-1</f>
        <v>-7.7106281631437845E-2</v>
      </c>
      <c r="V497" s="23"/>
      <c r="W497" s="70">
        <f>W496/U496-1</f>
        <v>-9.2451612903225788E-2</v>
      </c>
      <c r="X497" s="70">
        <f>X496/W496-1</f>
        <v>0.22957986777564487</v>
      </c>
      <c r="Y497" s="70">
        <f>Y496/X496-1</f>
        <v>0.25052756337987447</v>
      </c>
      <c r="Z497" s="70">
        <v>-0.17042499335406114</v>
      </c>
      <c r="AA497" s="23"/>
      <c r="AB497" s="70">
        <f>AB496/Z496-1</f>
        <v>0.24853357112005914</v>
      </c>
      <c r="AC497" s="70">
        <f>AC496/AB496-1</f>
        <v>-5.540614433495894E-2</v>
      </c>
      <c r="AD497" s="70">
        <f>AD496/AC496-1</f>
        <v>-0.21335916641069874</v>
      </c>
      <c r="AE497" s="70">
        <f>AE496/AD496-1</f>
        <v>0.23384795602679187</v>
      </c>
      <c r="AF497" s="23"/>
      <c r="AG497" s="70">
        <f>AG496/AE496-1</f>
        <v>-5.0598244823934269E-2</v>
      </c>
      <c r="AH497" s="70">
        <f>AH496/AG496-1</f>
        <v>-0.12820512820512819</v>
      </c>
      <c r="AI497" s="70">
        <f>AI496/AH496-1</f>
        <v>-5.8823529411764719E-2</v>
      </c>
      <c r="AJ497" s="70">
        <f>AJ496/AI496-1</f>
        <v>0.484375</v>
      </c>
      <c r="AK497" s="23"/>
      <c r="AL497" s="70">
        <v>-0.31578947368421051</v>
      </c>
      <c r="AM497" s="70">
        <v>0.2615384615384615</v>
      </c>
      <c r="AN497" s="70">
        <v>-8.536585365853655E-2</v>
      </c>
      <c r="AO497" s="70">
        <v>-0.42666666666666664</v>
      </c>
      <c r="AP497" s="23"/>
      <c r="AQ497" s="70">
        <v>0.37209302325581395</v>
      </c>
      <c r="AR497" s="70">
        <v>-1.6949152542372836E-2</v>
      </c>
      <c r="AS497" s="70">
        <v>-0.13793103448275867</v>
      </c>
      <c r="AT497" s="70">
        <v>-0.18000000000000005</v>
      </c>
      <c r="AU497" s="23"/>
      <c r="AV497" s="70">
        <v>0.46341463414634143</v>
      </c>
      <c r="AW497" s="70">
        <v>-0.1333333333333333</v>
      </c>
      <c r="AX497" s="70">
        <v>0.32692307692307687</v>
      </c>
      <c r="AY497" s="70">
        <v>-0.23188405797101452</v>
      </c>
      <c r="AZ497" s="23"/>
      <c r="BA497" s="70">
        <v>0.16981132075471694</v>
      </c>
      <c r="BB497" s="70">
        <v>0.20967741935483875</v>
      </c>
      <c r="BC497" s="70">
        <v>5.3333333333333233E-2</v>
      </c>
      <c r="BD497" s="70">
        <v>2.5316455696202445E-2</v>
      </c>
      <c r="BE497" s="23"/>
      <c r="BF497" s="70">
        <v>-0.20987654320987659</v>
      </c>
      <c r="BG497" s="70">
        <v>0.140625</v>
      </c>
      <c r="BH497" s="70">
        <v>-5.4794520547945202E-2</v>
      </c>
    </row>
    <row r="498" spans="1:60">
      <c r="A498" s="69" t="s">
        <v>8</v>
      </c>
      <c r="B498" s="23"/>
      <c r="C498" s="71"/>
      <c r="D498" s="71"/>
      <c r="E498" s="71"/>
      <c r="F498" s="71"/>
      <c r="G498" s="23">
        <f t="shared" ref="G498:N498" si="451">G496/B496-1</f>
        <v>-6.6819878216460515E-2</v>
      </c>
      <c r="H498" s="71">
        <f t="shared" si="451"/>
        <v>-0.22624685138539047</v>
      </c>
      <c r="I498" s="71">
        <f t="shared" si="451"/>
        <v>0.51468877989583839</v>
      </c>
      <c r="J498" s="71">
        <f t="shared" si="451"/>
        <v>0.55434198746642793</v>
      </c>
      <c r="K498" s="71">
        <f t="shared" si="451"/>
        <v>-0.16390646667835629</v>
      </c>
      <c r="L498" s="23">
        <f t="shared" si="451"/>
        <v>9.7124285912747466E-2</v>
      </c>
      <c r="M498" s="71">
        <f t="shared" si="451"/>
        <v>-9.5383814050393756E-3</v>
      </c>
      <c r="N498" s="71">
        <f t="shared" si="451"/>
        <v>5.1241821337962401E-2</v>
      </c>
      <c r="O498" s="71">
        <f t="shared" ref="O498:Y498" si="452">O496/J496-1</f>
        <v>-0.26672042391429551</v>
      </c>
      <c r="P498" s="71">
        <f t="shared" si="452"/>
        <v>0.7025203035040235</v>
      </c>
      <c r="Q498" s="23">
        <f t="shared" si="452"/>
        <v>6.2084631559559789E-2</v>
      </c>
      <c r="R498" s="71">
        <f t="shared" si="452"/>
        <v>0.16658997534921927</v>
      </c>
      <c r="S498" s="71">
        <f t="shared" si="452"/>
        <v>2.1339430313422891E-2</v>
      </c>
      <c r="T498" s="71">
        <f t="shared" si="452"/>
        <v>5.5360060324242566E-2</v>
      </c>
      <c r="U498" s="71">
        <f t="shared" si="452"/>
        <v>-0.3057421840007164</v>
      </c>
      <c r="V498" s="23">
        <f t="shared" si="452"/>
        <v>-4.7700078036937432E-2</v>
      </c>
      <c r="W498" s="71">
        <f t="shared" si="452"/>
        <v>-0.20734782424951037</v>
      </c>
      <c r="X498" s="71">
        <f t="shared" si="452"/>
        <v>7.5552653670366565E-2</v>
      </c>
      <c r="Y498" s="71">
        <f t="shared" si="452"/>
        <v>0.28786841321821965</v>
      </c>
      <c r="Z498" s="71">
        <v>0.17477412596569275</v>
      </c>
      <c r="AA498" s="23">
        <v>7.6471324675915886E-2</v>
      </c>
      <c r="AB498" s="71">
        <f t="shared" ref="AB498:AI498" si="453">AB496/W496-1</f>
        <v>0.59257482050188393</v>
      </c>
      <c r="AC498" s="71">
        <f t="shared" si="453"/>
        <v>0.22345561240713452</v>
      </c>
      <c r="AD498" s="71">
        <f t="shared" si="453"/>
        <v>-0.23038870074781259</v>
      </c>
      <c r="AE498" s="71">
        <f t="shared" si="453"/>
        <v>0.14467836094352982</v>
      </c>
      <c r="AF498" s="23">
        <f t="shared" si="453"/>
        <v>0.13834203830186165</v>
      </c>
      <c r="AG498" s="71">
        <f t="shared" si="453"/>
        <v>-0.12957114639943756</v>
      </c>
      <c r="AH498" s="71">
        <f t="shared" si="453"/>
        <v>-0.19665430144365947</v>
      </c>
      <c r="AI498" s="71">
        <f t="shared" si="453"/>
        <v>-3.8836992761241085E-2</v>
      </c>
      <c r="AJ498" s="71">
        <f t="shared" ref="AJ498" si="454">AJ496/AE496-1</f>
        <v>0.15632265053495176</v>
      </c>
      <c r="AK498" s="23">
        <v>-5.5727554179566541E-2</v>
      </c>
      <c r="AL498" s="71">
        <v>-0.16666666666666663</v>
      </c>
      <c r="AM498" s="71">
        <v>0.20588235294117641</v>
      </c>
      <c r="AN498" s="71">
        <v>0.171875</v>
      </c>
      <c r="AO498" s="71">
        <v>-0.5473684210526315</v>
      </c>
      <c r="AP498" s="23">
        <v>-0.13114754098360659</v>
      </c>
      <c r="AQ498" s="71">
        <v>-9.2307692307692313E-2</v>
      </c>
      <c r="AR498" s="71">
        <v>-0.29268292682926833</v>
      </c>
      <c r="AS498" s="71">
        <v>-0.33333333333333337</v>
      </c>
      <c r="AT498" s="71">
        <v>-4.6511627906976716E-2</v>
      </c>
      <c r="AU498" s="23">
        <v>-0.21509433962264146</v>
      </c>
      <c r="AV498" s="71">
        <v>1.6949152542372836E-2</v>
      </c>
      <c r="AW498" s="71">
        <v>-0.10344827586206895</v>
      </c>
      <c r="AX498" s="71">
        <v>0.37999999999999989</v>
      </c>
      <c r="AY498" s="71">
        <v>0.29268292682926833</v>
      </c>
      <c r="AZ498" s="23">
        <v>0.125</v>
      </c>
      <c r="BA498" s="71">
        <v>3.3333333333333437E-2</v>
      </c>
      <c r="BB498" s="71">
        <v>0.44230769230769229</v>
      </c>
      <c r="BC498" s="71">
        <v>0.14492753623188404</v>
      </c>
      <c r="BD498" s="71">
        <v>0.52830188679245293</v>
      </c>
      <c r="BE498" s="23">
        <v>0.26923076923076916</v>
      </c>
      <c r="BF498" s="71">
        <v>3.2258064516129004E-2</v>
      </c>
      <c r="BG498" s="71">
        <v>-2.6666666666666616E-2</v>
      </c>
      <c r="BH498" s="71">
        <v>-0.12658227848101267</v>
      </c>
    </row>
    <row r="499" spans="1:60">
      <c r="A499" s="67" t="s">
        <v>251</v>
      </c>
      <c r="B499" s="23"/>
      <c r="C499" s="71"/>
      <c r="D499" s="71"/>
      <c r="E499" s="71"/>
      <c r="F499" s="71"/>
      <c r="G499" s="23"/>
      <c r="H499" s="71"/>
      <c r="I499" s="71"/>
      <c r="J499" s="71"/>
      <c r="K499" s="71"/>
      <c r="L499" s="23"/>
      <c r="M499" s="71"/>
      <c r="N499" s="71"/>
      <c r="O499" s="71"/>
      <c r="P499" s="71"/>
      <c r="Q499" s="23"/>
      <c r="R499" s="71"/>
      <c r="S499" s="71"/>
      <c r="T499" s="71"/>
      <c r="U499" s="71"/>
      <c r="V499" s="23"/>
      <c r="W499" s="71"/>
      <c r="X499" s="71"/>
      <c r="Y499" s="71"/>
      <c r="Z499" s="71"/>
      <c r="AA499" s="23"/>
      <c r="AB499" s="71"/>
      <c r="AC499" s="71"/>
      <c r="AD499" s="71"/>
      <c r="AE499" s="71"/>
      <c r="AF499" s="23"/>
      <c r="AG499" s="71"/>
      <c r="AH499" s="71"/>
      <c r="AI499" s="71"/>
      <c r="AJ499" s="71"/>
      <c r="AK499" s="23"/>
      <c r="AL499" s="71"/>
      <c r="AM499" s="71"/>
      <c r="AN499" s="71"/>
      <c r="AO499" s="71"/>
      <c r="AP499" s="23"/>
      <c r="AQ499" s="71"/>
      <c r="AR499" s="71"/>
      <c r="AS499" s="71"/>
      <c r="AT499" s="71"/>
      <c r="AU499" s="23"/>
      <c r="AV499" s="71"/>
      <c r="AW499" s="71"/>
      <c r="AX499" s="71"/>
      <c r="AY499" s="71"/>
      <c r="AZ499" s="23"/>
      <c r="BA499" s="68">
        <v>8</v>
      </c>
      <c r="BB499" s="68">
        <v>8</v>
      </c>
      <c r="BC499" s="68">
        <v>9</v>
      </c>
      <c r="BD499" s="68">
        <v>6</v>
      </c>
      <c r="BE499" s="36">
        <v>31</v>
      </c>
      <c r="BF499" s="68">
        <v>8</v>
      </c>
      <c r="BG499" s="68">
        <v>7</v>
      </c>
      <c r="BH499" s="68">
        <v>8</v>
      </c>
    </row>
    <row r="500" spans="1:60" s="35" customFormat="1" ht="18.600000000000001" customHeight="1">
      <c r="A500" s="67" t="s">
        <v>13</v>
      </c>
      <c r="B500" s="174">
        <f>B487-B496</f>
        <v>-4.6750000000000114</v>
      </c>
      <c r="C500" s="182">
        <f>C487-C496</f>
        <v>4.6999999999999886</v>
      </c>
      <c r="D500" s="182">
        <f>D487-D496</f>
        <v>-7.1840000000000046</v>
      </c>
      <c r="E500" s="182">
        <f>E487-E496</f>
        <v>41.383000000000003</v>
      </c>
      <c r="F500" s="182">
        <f>G500-E500-D500-C500</f>
        <v>70.586999999999989</v>
      </c>
      <c r="G500" s="36">
        <f>G487-G496</f>
        <v>109.48599999999999</v>
      </c>
      <c r="H500" s="75">
        <f>H487-H496</f>
        <v>29.249000000000002</v>
      </c>
      <c r="I500" s="75">
        <f>I487-I496</f>
        <v>33.464000000000006</v>
      </c>
      <c r="J500" s="75">
        <f>J487-J496</f>
        <v>48.217999999999989</v>
      </c>
      <c r="K500" s="68">
        <f>L500-J500-I500-H500</f>
        <v>38.185000000000052</v>
      </c>
      <c r="L500" s="36">
        <f>L487-L496</f>
        <v>149.11600000000004</v>
      </c>
      <c r="M500" s="75">
        <f>M487-M496</f>
        <v>63.446000000000005</v>
      </c>
      <c r="N500" s="75">
        <f>N487-N496</f>
        <v>46.563000000000002</v>
      </c>
      <c r="O500" s="75">
        <f>O487-O496</f>
        <v>62.460999999999999</v>
      </c>
      <c r="P500" s="68">
        <f>Q500-O500-N500-M500</f>
        <v>42.252000000000017</v>
      </c>
      <c r="Q500" s="36">
        <f>Q487-Q496</f>
        <v>214.72200000000004</v>
      </c>
      <c r="R500" s="75">
        <f>R487-R496</f>
        <v>70.352000000000004</v>
      </c>
      <c r="S500" s="75">
        <f>S487-S496</f>
        <v>54.475000000000009</v>
      </c>
      <c r="T500" s="75">
        <f>T487-T496</f>
        <v>67.021000000000001</v>
      </c>
      <c r="U500" s="68">
        <v>57</v>
      </c>
      <c r="V500" s="36">
        <f>V487-V496</f>
        <v>249.56</v>
      </c>
      <c r="W500" s="182">
        <f>W487-W496</f>
        <v>59.682999999999993</v>
      </c>
      <c r="X500" s="182">
        <f>X487-X496</f>
        <v>30.89800000000001</v>
      </c>
      <c r="Y500" s="182">
        <f>Y487-Y496</f>
        <v>-4.0099999999999909</v>
      </c>
      <c r="Z500" s="182">
        <f>AA500-Y500-X500-W500</f>
        <v>47.730000000000032</v>
      </c>
      <c r="AA500" s="36">
        <v>134.30100000000004</v>
      </c>
      <c r="AB500" s="75">
        <f>AB487-AB496</f>
        <v>31.97</v>
      </c>
      <c r="AC500" s="75">
        <f>AC487-AC496</f>
        <v>25.554999999999993</v>
      </c>
      <c r="AD500" s="75">
        <f>AD487-AD496</f>
        <v>59.239999999999995</v>
      </c>
      <c r="AE500" s="68">
        <f>AF500-AD500-AC500-AB500</f>
        <v>50.235000000000014</v>
      </c>
      <c r="AF500" s="36">
        <v>167</v>
      </c>
      <c r="AG500" s="75">
        <f>AG487-AG496</f>
        <v>35</v>
      </c>
      <c r="AH500" s="75">
        <f>AH487-AH496</f>
        <v>38</v>
      </c>
      <c r="AI500" s="75">
        <f>AI487-AI496</f>
        <v>37</v>
      </c>
      <c r="AJ500" s="68">
        <f>AK500-AI500-AH500-AG500</f>
        <v>27</v>
      </c>
      <c r="AK500" s="36">
        <v>137</v>
      </c>
      <c r="AL500" s="75">
        <v>84</v>
      </c>
      <c r="AM500" s="75">
        <v>24</v>
      </c>
      <c r="AN500" s="75">
        <v>70</v>
      </c>
      <c r="AO500" s="68">
        <v>62</v>
      </c>
      <c r="AP500" s="36">
        <v>240</v>
      </c>
      <c r="AQ500" s="75">
        <v>99</v>
      </c>
      <c r="AR500" s="75">
        <v>52</v>
      </c>
      <c r="AS500" s="75">
        <v>104</v>
      </c>
      <c r="AT500" s="68">
        <v>166</v>
      </c>
      <c r="AU500" s="36">
        <v>421</v>
      </c>
      <c r="AV500" s="182">
        <v>-9</v>
      </c>
      <c r="AW500" s="75">
        <v>117</v>
      </c>
      <c r="AX500" s="75">
        <v>46</v>
      </c>
      <c r="AY500" s="68">
        <v>42</v>
      </c>
      <c r="AZ500" s="36">
        <v>196</v>
      </c>
      <c r="BA500" s="182">
        <v>16</v>
      </c>
      <c r="BB500" s="182">
        <v>-23</v>
      </c>
      <c r="BC500" s="182">
        <v>-54</v>
      </c>
      <c r="BD500" s="182">
        <v>-41</v>
      </c>
      <c r="BE500" s="174">
        <v>-102</v>
      </c>
      <c r="BF500" s="182">
        <v>-19</v>
      </c>
      <c r="BG500" s="182">
        <v>-58</v>
      </c>
      <c r="BH500" s="182">
        <v>-40</v>
      </c>
    </row>
    <row r="501" spans="1:60">
      <c r="A501" s="69" t="s">
        <v>7</v>
      </c>
      <c r="B501" s="23"/>
      <c r="C501" s="70"/>
      <c r="D501" s="83" t="s">
        <v>45</v>
      </c>
      <c r="E501" s="83" t="s">
        <v>45</v>
      </c>
      <c r="F501" s="70">
        <f>F500/E500-1</f>
        <v>0.7057004083802525</v>
      </c>
      <c r="G501" s="23"/>
      <c r="H501" s="70">
        <f>H500/F500-1</f>
        <v>-0.58563191522518299</v>
      </c>
      <c r="I501" s="70">
        <f>I500/H500-1</f>
        <v>0.14410749085438823</v>
      </c>
      <c r="J501" s="70">
        <f>J500/I500-1</f>
        <v>0.44089170451828785</v>
      </c>
      <c r="K501" s="70">
        <f>K500/J500-1</f>
        <v>-0.20807582230702104</v>
      </c>
      <c r="L501" s="23"/>
      <c r="M501" s="70">
        <f>M500/K500-1</f>
        <v>0.6615424905067413</v>
      </c>
      <c r="N501" s="70">
        <f>N500/M500-1</f>
        <v>-0.26610030577183752</v>
      </c>
      <c r="O501" s="70">
        <f>O500/N500-1</f>
        <v>0.34142989068573759</v>
      </c>
      <c r="P501" s="70">
        <f>P500/O500-1</f>
        <v>-0.32354589263700517</v>
      </c>
      <c r="Q501" s="23"/>
      <c r="R501" s="70">
        <f>R500/P500-1</f>
        <v>0.66505727539524706</v>
      </c>
      <c r="S501" s="70">
        <f>S500/R500-1</f>
        <v>-0.22567944052763245</v>
      </c>
      <c r="T501" s="70">
        <f>T500/S500-1</f>
        <v>0.23030748049563998</v>
      </c>
      <c r="U501" s="70">
        <f>U500/T500-1</f>
        <v>-0.14952029960758573</v>
      </c>
      <c r="V501" s="23"/>
      <c r="W501" s="70">
        <f>W500/U500-1</f>
        <v>4.7070175438596262E-2</v>
      </c>
      <c r="X501" s="70">
        <f>X500/W500-1</f>
        <v>-0.48229814184943764</v>
      </c>
      <c r="Y501" s="83" t="s">
        <v>40</v>
      </c>
      <c r="Z501" s="83" t="s">
        <v>40</v>
      </c>
      <c r="AA501" s="23"/>
      <c r="AB501" s="70">
        <f>AB500/Z500-1</f>
        <v>-0.33019065577205164</v>
      </c>
      <c r="AC501" s="70">
        <f>AC500/AB500-1</f>
        <v>-0.20065686581169861</v>
      </c>
      <c r="AD501" s="70">
        <f>AD500/AC500-1</f>
        <v>1.3181373508119747</v>
      </c>
      <c r="AE501" s="70">
        <f>AE500/AD500-1</f>
        <v>-0.15200877785280187</v>
      </c>
      <c r="AF501" s="23"/>
      <c r="AG501" s="70">
        <f>AG500/AE500-1</f>
        <v>-0.30327460933612038</v>
      </c>
      <c r="AH501" s="70">
        <f>AH500/AG500-1</f>
        <v>8.5714285714285632E-2</v>
      </c>
      <c r="AI501" s="70">
        <f>AI500/AH500-1</f>
        <v>-2.6315789473684181E-2</v>
      </c>
      <c r="AJ501" s="70">
        <f>AJ500/AI500-1</f>
        <v>-0.27027027027027029</v>
      </c>
      <c r="AK501" s="23"/>
      <c r="AL501" s="70">
        <v>2.1111111111111112</v>
      </c>
      <c r="AM501" s="70">
        <v>-0.7142857142857143</v>
      </c>
      <c r="AN501" s="70">
        <v>1.9166666666666665</v>
      </c>
      <c r="AO501" s="70">
        <v>-0.11428571428571432</v>
      </c>
      <c r="AP501" s="23"/>
      <c r="AQ501" s="70">
        <v>0.59677419354838701</v>
      </c>
      <c r="AR501" s="70">
        <v>-0.4747474747474747</v>
      </c>
      <c r="AS501" s="70">
        <v>1</v>
      </c>
      <c r="AT501" s="70">
        <v>0.59615384615384626</v>
      </c>
      <c r="AU501" s="23"/>
      <c r="AV501" s="83" t="s">
        <v>40</v>
      </c>
      <c r="AW501" s="83" t="s">
        <v>40</v>
      </c>
      <c r="AX501" s="70">
        <v>-0.6068376068376069</v>
      </c>
      <c r="AY501" s="70">
        <v>-8.6956521739130488E-2</v>
      </c>
      <c r="AZ501" s="23"/>
      <c r="BA501" s="70">
        <v>-0.61904761904761907</v>
      </c>
      <c r="BB501" s="83" t="s">
        <v>40</v>
      </c>
      <c r="BC501" s="70">
        <v>1.347826086956522</v>
      </c>
      <c r="BD501" s="70">
        <v>-0.2407407407407407</v>
      </c>
      <c r="BE501" s="23"/>
      <c r="BF501" s="70">
        <v>-0.53658536585365857</v>
      </c>
      <c r="BG501" s="70">
        <v>2.0526315789473686</v>
      </c>
      <c r="BH501" s="70">
        <v>-0.31034482758620685</v>
      </c>
    </row>
    <row r="502" spans="1:60">
      <c r="A502" s="69" t="s">
        <v>8</v>
      </c>
      <c r="B502" s="23"/>
      <c r="C502" s="71"/>
      <c r="D502" s="71"/>
      <c r="E502" s="71"/>
      <c r="F502" s="71"/>
      <c r="G502" s="90" t="s">
        <v>45</v>
      </c>
      <c r="H502" s="71">
        <f>H500/C500-1</f>
        <v>5.2231914893617173</v>
      </c>
      <c r="I502" s="83" t="s">
        <v>45</v>
      </c>
      <c r="J502" s="71">
        <f t="shared" ref="J502:R502" si="455">J500/E500-1</f>
        <v>0.16516443950414383</v>
      </c>
      <c r="K502" s="71">
        <f t="shared" si="455"/>
        <v>-0.45903636646974577</v>
      </c>
      <c r="L502" s="23">
        <f t="shared" si="455"/>
        <v>0.36196408673255087</v>
      </c>
      <c r="M502" s="71">
        <f t="shared" si="455"/>
        <v>1.1691681766898014</v>
      </c>
      <c r="N502" s="71">
        <f t="shared" si="455"/>
        <v>0.39143557255558203</v>
      </c>
      <c r="O502" s="71">
        <f t="shared" si="455"/>
        <v>0.29538761458376572</v>
      </c>
      <c r="P502" s="71">
        <f t="shared" si="455"/>
        <v>0.10650779101741414</v>
      </c>
      <c r="Q502" s="23">
        <f t="shared" si="455"/>
        <v>0.43996620081010751</v>
      </c>
      <c r="R502" s="71">
        <f t="shared" si="455"/>
        <v>0.1088484695646692</v>
      </c>
      <c r="S502" s="71">
        <f t="shared" ref="S502:X502" si="456">S500/N500-1</f>
        <v>0.16992032300324311</v>
      </c>
      <c r="T502" s="71">
        <f t="shared" si="456"/>
        <v>7.3005555466611138E-2</v>
      </c>
      <c r="U502" s="71">
        <f t="shared" si="456"/>
        <v>0.3490485657483664</v>
      </c>
      <c r="V502" s="23">
        <f t="shared" si="456"/>
        <v>0.16224699844450008</v>
      </c>
      <c r="W502" s="71">
        <f t="shared" si="456"/>
        <v>-0.15165169433704817</v>
      </c>
      <c r="X502" s="71">
        <f t="shared" si="456"/>
        <v>-0.43280403854979344</v>
      </c>
      <c r="Y502" s="83" t="s">
        <v>40</v>
      </c>
      <c r="Z502" s="71">
        <v>-0.17294496811754778</v>
      </c>
      <c r="AA502" s="23">
        <v>-0.4618488539830099</v>
      </c>
      <c r="AB502" s="71">
        <f>AB500/W500-1</f>
        <v>-0.46433657825511443</v>
      </c>
      <c r="AC502" s="71">
        <f>AC500/X500-1</f>
        <v>-0.17292381383908395</v>
      </c>
      <c r="AD502" s="83" t="s">
        <v>40</v>
      </c>
      <c r="AE502" s="71">
        <f>AE500/Z500-1</f>
        <v>5.2482715273412417E-2</v>
      </c>
      <c r="AF502" s="23">
        <f>AF500/AA500-1</f>
        <v>0.24347547672764858</v>
      </c>
      <c r="AG502" s="71">
        <f>AG500/AB500-1</f>
        <v>9.4776352830778787E-2</v>
      </c>
      <c r="AH502" s="71">
        <f>AH500/AC500-1</f>
        <v>0.48698884758364347</v>
      </c>
      <c r="AI502" s="71">
        <f>AI500/AD500-1</f>
        <v>-0.37542201215394999</v>
      </c>
      <c r="AJ502" s="71">
        <v>-0.47899999999999998</v>
      </c>
      <c r="AK502" s="23">
        <v>-0.17799999999999999</v>
      </c>
      <c r="AL502" s="71">
        <v>1.4</v>
      </c>
      <c r="AM502" s="71">
        <v>-0.36842105263157898</v>
      </c>
      <c r="AN502" s="71">
        <v>0.89189189189189189</v>
      </c>
      <c r="AO502" s="71">
        <v>1.2962962962962963</v>
      </c>
      <c r="AP502" s="23">
        <v>0.75182481751824826</v>
      </c>
      <c r="AQ502" s="71">
        <v>0.1785714285714286</v>
      </c>
      <c r="AR502" s="71">
        <v>1.1666666666666665</v>
      </c>
      <c r="AS502" s="71">
        <v>0.48571428571428577</v>
      </c>
      <c r="AT502" s="71">
        <v>1.6774193548387095</v>
      </c>
      <c r="AU502" s="23">
        <v>0.75416666666666665</v>
      </c>
      <c r="AV502" s="83" t="s">
        <v>40</v>
      </c>
      <c r="AW502" s="71">
        <v>1.25</v>
      </c>
      <c r="AX502" s="71">
        <v>-0.55769230769230771</v>
      </c>
      <c r="AY502" s="71">
        <v>-0.74698795180722888</v>
      </c>
      <c r="AZ502" s="23">
        <v>-0.53444180522565321</v>
      </c>
      <c r="BA502" s="81" t="s">
        <v>40</v>
      </c>
      <c r="BB502" s="83" t="s">
        <v>40</v>
      </c>
      <c r="BC502" s="83" t="s">
        <v>40</v>
      </c>
      <c r="BD502" s="83" t="s">
        <v>40</v>
      </c>
      <c r="BE502" s="90" t="s">
        <v>40</v>
      </c>
      <c r="BF502" s="81" t="s">
        <v>40</v>
      </c>
      <c r="BG502" s="71">
        <v>1.5217391304347827</v>
      </c>
      <c r="BH502" s="71">
        <v>-0.2592592592592593</v>
      </c>
    </row>
    <row r="503" spans="1:60">
      <c r="A503" s="69"/>
      <c r="B503" s="23"/>
      <c r="C503" s="71"/>
      <c r="D503" s="71"/>
      <c r="E503" s="71"/>
      <c r="F503" s="71"/>
      <c r="G503" s="23"/>
      <c r="H503" s="71"/>
      <c r="I503" s="71"/>
      <c r="J503" s="71"/>
      <c r="K503" s="71"/>
      <c r="L503" s="23"/>
      <c r="M503" s="71"/>
      <c r="N503" s="71"/>
      <c r="O503" s="71"/>
      <c r="P503" s="71"/>
      <c r="Q503" s="23"/>
      <c r="R503" s="71"/>
      <c r="S503" s="71"/>
      <c r="T503" s="71"/>
      <c r="U503" s="71"/>
      <c r="V503" s="23"/>
      <c r="W503" s="71"/>
      <c r="X503" s="71"/>
      <c r="Y503" s="71"/>
      <c r="Z503" s="71"/>
      <c r="AA503" s="23"/>
      <c r="AB503" s="71"/>
      <c r="AC503" s="71"/>
      <c r="AD503" s="71"/>
      <c r="AE503" s="71"/>
      <c r="AF503" s="23"/>
      <c r="AG503" s="71"/>
      <c r="AH503" s="71"/>
      <c r="AI503" s="71"/>
      <c r="AJ503" s="71"/>
      <c r="AK503" s="23"/>
      <c r="AL503" s="71"/>
      <c r="AM503" s="71"/>
      <c r="AN503" s="71"/>
      <c r="AO503" s="71"/>
      <c r="AP503" s="23"/>
      <c r="AQ503" s="71"/>
      <c r="AR503" s="71"/>
      <c r="AS503" s="71"/>
      <c r="AT503" s="71"/>
      <c r="AU503" s="23"/>
      <c r="AV503" s="71"/>
      <c r="AW503" s="71"/>
      <c r="AX503" s="71"/>
      <c r="AY503" s="71"/>
      <c r="AZ503" s="23"/>
      <c r="BA503" s="71"/>
      <c r="BB503" s="71"/>
      <c r="BC503" s="71"/>
      <c r="BD503" s="71"/>
      <c r="BE503" s="23"/>
      <c r="BF503" s="71"/>
      <c r="BG503" s="71"/>
      <c r="BH503" s="71"/>
    </row>
    <row r="504" spans="1:60">
      <c r="A504" s="49" t="s">
        <v>19</v>
      </c>
      <c r="B504" s="39"/>
      <c r="C504" s="51"/>
      <c r="D504" s="51"/>
      <c r="E504" s="51"/>
      <c r="F504" s="51"/>
      <c r="G504" s="39"/>
      <c r="H504" s="51"/>
      <c r="I504" s="51"/>
      <c r="J504" s="51"/>
      <c r="K504" s="51"/>
      <c r="L504" s="39"/>
      <c r="M504" s="51"/>
      <c r="N504" s="51"/>
      <c r="O504" s="51"/>
      <c r="P504" s="51"/>
      <c r="Q504" s="39"/>
      <c r="R504" s="51"/>
      <c r="S504" s="51"/>
      <c r="T504" s="51"/>
      <c r="U504" s="51"/>
      <c r="V504" s="39"/>
      <c r="W504" s="51"/>
      <c r="X504" s="51"/>
      <c r="Y504" s="51"/>
      <c r="Z504" s="51"/>
      <c r="AA504" s="39"/>
      <c r="AB504" s="51"/>
      <c r="AC504" s="51"/>
      <c r="AD504" s="51"/>
      <c r="AE504" s="51"/>
      <c r="AF504" s="39"/>
      <c r="AG504" s="51"/>
      <c r="AH504" s="51"/>
      <c r="AI504" s="51"/>
      <c r="AJ504" s="51"/>
      <c r="AK504" s="39"/>
      <c r="AL504" s="51"/>
      <c r="AM504" s="51"/>
      <c r="AN504" s="51"/>
      <c r="AO504" s="51"/>
      <c r="AP504" s="39"/>
      <c r="AQ504" s="51"/>
      <c r="AR504" s="51"/>
      <c r="AS504" s="51"/>
      <c r="AT504" s="51"/>
      <c r="AU504" s="39"/>
      <c r="AV504" s="51"/>
      <c r="AW504" s="51"/>
      <c r="AX504" s="51"/>
      <c r="AY504" s="51"/>
      <c r="AZ504" s="39"/>
      <c r="BA504" s="51"/>
      <c r="BB504" s="51"/>
      <c r="BC504" s="51"/>
      <c r="BD504" s="51"/>
      <c r="BE504" s="39"/>
      <c r="BF504" s="51"/>
      <c r="BG504" s="51"/>
      <c r="BH504" s="51"/>
    </row>
    <row r="505" spans="1:60" s="35" customFormat="1">
      <c r="A505" s="35" t="s">
        <v>28</v>
      </c>
      <c r="B505" s="54">
        <f t="shared" ref="B505:AG505" si="457">B468/B442</f>
        <v>3.9580216041158502E-2</v>
      </c>
      <c r="C505" s="76">
        <f t="shared" si="457"/>
        <v>7.0400302075193641E-2</v>
      </c>
      <c r="D505" s="187">
        <f t="shared" si="457"/>
        <v>0.11201316222441593</v>
      </c>
      <c r="E505" s="187">
        <f t="shared" si="457"/>
        <v>0.13971211515393842</v>
      </c>
      <c r="F505" s="187">
        <f t="shared" si="457"/>
        <v>0.14707437972597645</v>
      </c>
      <c r="G505" s="54">
        <f t="shared" si="457"/>
        <v>0.11711242390746725</v>
      </c>
      <c r="H505" s="76">
        <f t="shared" si="457"/>
        <v>0.17184234799964565</v>
      </c>
      <c r="I505" s="76">
        <f t="shared" si="457"/>
        <v>0.15701758584198799</v>
      </c>
      <c r="J505" s="76">
        <f t="shared" si="457"/>
        <v>0.15944497451708631</v>
      </c>
      <c r="K505" s="76">
        <f t="shared" si="457"/>
        <v>0.16034698439390524</v>
      </c>
      <c r="L505" s="54">
        <f t="shared" si="457"/>
        <v>0.16218722128022425</v>
      </c>
      <c r="M505" s="76">
        <f t="shared" si="457"/>
        <v>0.14994532671122285</v>
      </c>
      <c r="N505" s="76">
        <f t="shared" si="457"/>
        <v>1.8398927129135972E-2</v>
      </c>
      <c r="O505" s="76">
        <f t="shared" si="457"/>
        <v>0.18146590210625099</v>
      </c>
      <c r="P505" s="76">
        <f t="shared" si="457"/>
        <v>0.10144670431262799</v>
      </c>
      <c r="Q505" s="54">
        <f t="shared" si="457"/>
        <v>0.11265122273252764</v>
      </c>
      <c r="R505" s="121">
        <f t="shared" si="457"/>
        <v>0.15132536062137836</v>
      </c>
      <c r="S505" s="121">
        <f t="shared" si="457"/>
        <v>0.16168184968808794</v>
      </c>
      <c r="T505" s="121">
        <f t="shared" si="457"/>
        <v>0.15627373800151922</v>
      </c>
      <c r="U505" s="121">
        <f t="shared" si="457"/>
        <v>0.26248603995235642</v>
      </c>
      <c r="V505" s="54">
        <f t="shared" si="457"/>
        <v>0.18215119881344866</v>
      </c>
      <c r="W505" s="121">
        <f t="shared" si="457"/>
        <v>0.12384090385501458</v>
      </c>
      <c r="X505" s="121">
        <f t="shared" si="457"/>
        <v>0.18224166446473483</v>
      </c>
      <c r="Y505" s="121">
        <f t="shared" si="457"/>
        <v>0.13406336909018673</v>
      </c>
      <c r="Z505" s="121">
        <f t="shared" si="457"/>
        <v>0.17817368661086022</v>
      </c>
      <c r="AA505" s="54">
        <f t="shared" si="457"/>
        <v>0.15449262038858333</v>
      </c>
      <c r="AB505" s="121">
        <f t="shared" si="457"/>
        <v>0.16709330650417181</v>
      </c>
      <c r="AC505" s="121">
        <f t="shared" si="457"/>
        <v>0.16735340729001585</v>
      </c>
      <c r="AD505" s="121">
        <f t="shared" si="457"/>
        <v>0.17649123491215413</v>
      </c>
      <c r="AE505" s="121">
        <f t="shared" si="457"/>
        <v>0.14267992748538572</v>
      </c>
      <c r="AF505" s="54">
        <f t="shared" si="457"/>
        <v>0.1632811812017495</v>
      </c>
      <c r="AG505" s="121">
        <f t="shared" si="457"/>
        <v>0.17216981132075471</v>
      </c>
      <c r="AH505" s="121">
        <f t="shared" ref="AH505:AJ505" si="458">AH468/AH442</f>
        <v>0.15654205607476634</v>
      </c>
      <c r="AI505" s="121">
        <f t="shared" si="458"/>
        <v>0.17592592592592593</v>
      </c>
      <c r="AJ505" s="121">
        <f t="shared" si="458"/>
        <v>0.12954545454545455</v>
      </c>
      <c r="AK505" s="54">
        <v>0.15835266821345709</v>
      </c>
      <c r="AL505" s="121">
        <v>0.13409090909090909</v>
      </c>
      <c r="AM505" s="121">
        <v>0.15945330296127563</v>
      </c>
      <c r="AN505" s="121">
        <v>0.16591928251121077</v>
      </c>
      <c r="AO505" s="121">
        <v>0.10467706013363029</v>
      </c>
      <c r="AP505" s="54">
        <v>0.14092446448703494</v>
      </c>
      <c r="AQ505" s="121">
        <v>0.12984054669703873</v>
      </c>
      <c r="AR505" s="121">
        <v>0.17741935483870969</v>
      </c>
      <c r="AS505" s="121">
        <v>0.14285714285714285</v>
      </c>
      <c r="AT505" s="121">
        <v>0.15525114155251141</v>
      </c>
      <c r="AU505" s="54">
        <v>0.15128939828080229</v>
      </c>
      <c r="AV505" s="121">
        <v>0.12264150943396226</v>
      </c>
      <c r="AW505" s="121">
        <v>0.11778846153846154</v>
      </c>
      <c r="AX505" s="121">
        <v>8.6206896551724144E-2</v>
      </c>
      <c r="AY505" s="121">
        <v>6.6831683168316836E-2</v>
      </c>
      <c r="AZ505" s="54">
        <v>9.8787878787878786E-2</v>
      </c>
      <c r="BA505" s="187">
        <v>-2.6666666666666666E-3</v>
      </c>
      <c r="BB505" s="187">
        <v>-4.5333333333333337E-2</v>
      </c>
      <c r="BC505" s="121">
        <v>2.7247956403269754E-3</v>
      </c>
      <c r="BD505" s="187">
        <v>-3.1994382022471912</v>
      </c>
      <c r="BE505" s="186">
        <v>-0.78479293957909024</v>
      </c>
      <c r="BF505" s="187">
        <v>-0.13119533527696792</v>
      </c>
      <c r="BG505" s="187">
        <v>-7.1216617210682495E-2</v>
      </c>
      <c r="BH505" s="187">
        <v>5.9880239520958084E-2</v>
      </c>
    </row>
    <row r="506" spans="1:60" s="35" customFormat="1">
      <c r="A506" s="67" t="s">
        <v>36</v>
      </c>
      <c r="B506" s="186">
        <f t="shared" ref="B506:Y506" si="459">B477/B442</f>
        <v>-8.3127005992975789E-2</v>
      </c>
      <c r="C506" s="187">
        <f t="shared" si="459"/>
        <v>-0.17245294497092001</v>
      </c>
      <c r="D506" s="187">
        <f t="shared" si="459"/>
        <v>-0.26145969068772623</v>
      </c>
      <c r="E506" s="187">
        <f t="shared" si="459"/>
        <v>-0.21891776622684259</v>
      </c>
      <c r="F506" s="187">
        <f t="shared" si="459"/>
        <v>-4.6485667583622402E-2</v>
      </c>
      <c r="G506" s="186">
        <f t="shared" si="459"/>
        <v>-0.17499695894308728</v>
      </c>
      <c r="H506" s="187">
        <f t="shared" si="459"/>
        <v>-3.0043097383410378E-3</v>
      </c>
      <c r="I506" s="187">
        <f t="shared" si="459"/>
        <v>-0.25300320661104286</v>
      </c>
      <c r="J506" s="187">
        <f t="shared" si="459"/>
        <v>-0.23250563147422398</v>
      </c>
      <c r="K506" s="187">
        <f t="shared" si="459"/>
        <v>-9.6615261571273356E-2</v>
      </c>
      <c r="L506" s="186">
        <f t="shared" si="459"/>
        <v>-0.14535344526229471</v>
      </c>
      <c r="M506" s="187">
        <f t="shared" si="459"/>
        <v>-2.1120751323400168E-2</v>
      </c>
      <c r="N506" s="187">
        <f t="shared" si="459"/>
        <v>-0.3606139205499726</v>
      </c>
      <c r="O506" s="187">
        <f t="shared" si="459"/>
        <v>-0.1981828621438888</v>
      </c>
      <c r="P506" s="187">
        <f t="shared" si="459"/>
        <v>-0.21047673779421319</v>
      </c>
      <c r="Q506" s="186">
        <f t="shared" si="459"/>
        <v>-0.19813826258899636</v>
      </c>
      <c r="R506" s="187">
        <f t="shared" si="459"/>
        <v>-0.18093453334977191</v>
      </c>
      <c r="S506" s="187">
        <f t="shared" si="459"/>
        <v>-0.2187444301415982</v>
      </c>
      <c r="T506" s="187">
        <f t="shared" si="459"/>
        <v>-0.18715410340643404</v>
      </c>
      <c r="U506" s="187">
        <f t="shared" si="459"/>
        <v>1.9835030000173431E-2</v>
      </c>
      <c r="V506" s="186">
        <f t="shared" si="459"/>
        <v>-0.14184316988600879</v>
      </c>
      <c r="W506" s="187">
        <f t="shared" si="459"/>
        <v>-0.15325506834587621</v>
      </c>
      <c r="X506" s="187">
        <f t="shared" si="459"/>
        <v>-0.26091424209506475</v>
      </c>
      <c r="Y506" s="187">
        <f t="shared" si="459"/>
        <v>-0.29467620182757248</v>
      </c>
      <c r="Z506" s="187">
        <v>-5.1831854805094196E-2</v>
      </c>
      <c r="AA506" s="186">
        <v>-0.18968101350004954</v>
      </c>
      <c r="AB506" s="187">
        <f t="shared" ref="AB506:AJ506" si="460">AB477/AB442</f>
        <v>-0.15042089899167618</v>
      </c>
      <c r="AC506" s="187">
        <f t="shared" si="460"/>
        <v>-0.24994552297939782</v>
      </c>
      <c r="AD506" s="187">
        <f t="shared" si="460"/>
        <v>-0.33169861357564884</v>
      </c>
      <c r="AE506" s="187">
        <f t="shared" si="460"/>
        <v>-0.19869914337920991</v>
      </c>
      <c r="AF506" s="186">
        <f t="shared" si="460"/>
        <v>-0.23280961047347876</v>
      </c>
      <c r="AG506" s="187">
        <f t="shared" si="460"/>
        <v>-8.0188679245283015E-2</v>
      </c>
      <c r="AH506" s="187">
        <f t="shared" si="460"/>
        <v>-0.26869158878504673</v>
      </c>
      <c r="AI506" s="187">
        <f t="shared" si="460"/>
        <v>-0.19907407407407407</v>
      </c>
      <c r="AJ506" s="187">
        <f t="shared" si="460"/>
        <v>-0.19772727272727272</v>
      </c>
      <c r="AK506" s="186">
        <v>-0.18677494199535963</v>
      </c>
      <c r="AL506" s="187">
        <v>-6.8181818181818179E-3</v>
      </c>
      <c r="AM506" s="187">
        <v>-0.37813211845102507</v>
      </c>
      <c r="AN506" s="187">
        <v>-0.16816143497757849</v>
      </c>
      <c r="AO506" s="187">
        <v>-0.24498886414253898</v>
      </c>
      <c r="AP506" s="186">
        <v>-0.19954904171364149</v>
      </c>
      <c r="AQ506" s="187">
        <v>-0.16173120728929385</v>
      </c>
      <c r="AR506" s="187">
        <v>-0.26267281105990781</v>
      </c>
      <c r="AS506" s="187">
        <v>-0.32718894009216593</v>
      </c>
      <c r="AT506" s="187">
        <v>0.90182648401826482</v>
      </c>
      <c r="AU506" s="186">
        <v>3.8968481375358167E-2</v>
      </c>
      <c r="AV506" s="187">
        <v>4.4811320754716978E-2</v>
      </c>
      <c r="AW506" s="187">
        <v>-0.36298076923076922</v>
      </c>
      <c r="AX506" s="187">
        <v>-0.30295566502463056</v>
      </c>
      <c r="AY506" s="187">
        <v>2.7227722772277228E-2</v>
      </c>
      <c r="AZ506" s="186">
        <v>-0.14787878787878789</v>
      </c>
      <c r="BA506" s="187">
        <v>2.6666666666666666E-3</v>
      </c>
      <c r="BB506" s="187">
        <v>0</v>
      </c>
      <c r="BC506" s="187">
        <v>-5.4495912806539508E-3</v>
      </c>
      <c r="BD506" s="187">
        <v>-3.1938202247191012</v>
      </c>
      <c r="BE506" s="186">
        <v>-0.77936184657162255</v>
      </c>
      <c r="BF506" s="187">
        <v>-0.1457725947521866</v>
      </c>
      <c r="BG506" s="187">
        <v>-8.0118694362017809E-2</v>
      </c>
      <c r="BH506" s="187">
        <v>4.4910179640718563E-2</v>
      </c>
    </row>
    <row r="507" spans="1:60" s="35" customFormat="1">
      <c r="A507" s="67" t="s">
        <v>10</v>
      </c>
      <c r="B507" s="54">
        <f t="shared" ref="B507:Y507" si="461">B480/B442</f>
        <v>0.2326799889456137</v>
      </c>
      <c r="C507" s="76">
        <f t="shared" si="461"/>
        <v>0.24008160225717295</v>
      </c>
      <c r="D507" s="187">
        <f t="shared" si="461"/>
        <v>0.27152615992102663</v>
      </c>
      <c r="E507" s="187">
        <f t="shared" si="461"/>
        <v>0.29628415300546451</v>
      </c>
      <c r="F507" s="187">
        <f t="shared" si="461"/>
        <v>0.32205876490053031</v>
      </c>
      <c r="G507" s="54">
        <f t="shared" si="461"/>
        <v>0.28230792420099537</v>
      </c>
      <c r="H507" s="76">
        <f t="shared" si="461"/>
        <v>0.31917859618220762</v>
      </c>
      <c r="I507" s="76">
        <f t="shared" si="461"/>
        <v>0.3047503576195566</v>
      </c>
      <c r="J507" s="76">
        <f t="shared" si="461"/>
        <v>0.31433482892672115</v>
      </c>
      <c r="K507" s="76">
        <f t="shared" si="461"/>
        <v>0.32227303488300563</v>
      </c>
      <c r="L507" s="54">
        <f t="shared" si="461"/>
        <v>0.31521756886114083</v>
      </c>
      <c r="M507" s="76">
        <f t="shared" si="461"/>
        <v>0.31282574038874239</v>
      </c>
      <c r="N507" s="76">
        <f t="shared" si="461"/>
        <v>0.19058358820751262</v>
      </c>
      <c r="O507" s="76">
        <f t="shared" si="461"/>
        <v>0.3529102282298841</v>
      </c>
      <c r="P507" s="76">
        <f t="shared" si="461"/>
        <v>0.31388486332517118</v>
      </c>
      <c r="Q507" s="54">
        <f t="shared" si="461"/>
        <v>0.29252778076099389</v>
      </c>
      <c r="R507" s="76">
        <f t="shared" si="461"/>
        <v>0.32046110220687951</v>
      </c>
      <c r="S507" s="76">
        <f t="shared" si="461"/>
        <v>0.33776611545697599</v>
      </c>
      <c r="T507" s="76">
        <f t="shared" si="461"/>
        <v>0.3389613976935294</v>
      </c>
      <c r="U507" s="76">
        <f t="shared" si="461"/>
        <v>0.41601561049052715</v>
      </c>
      <c r="V507" s="54">
        <f t="shared" si="461"/>
        <v>0.35288968618286654</v>
      </c>
      <c r="W507" s="76">
        <f t="shared" si="461"/>
        <v>0.28317462755337119</v>
      </c>
      <c r="X507" s="76">
        <f t="shared" si="461"/>
        <v>0.3138731491539688</v>
      </c>
      <c r="Y507" s="76">
        <f t="shared" si="461"/>
        <v>0.29405542312276517</v>
      </c>
      <c r="Z507" s="76">
        <v>0.33600000000000002</v>
      </c>
      <c r="AA507" s="54">
        <f>AA480/AA442</f>
        <v>0.30654330028105242</v>
      </c>
      <c r="AB507" s="76">
        <f>AB480/AB442</f>
        <v>0.32259919066464132</v>
      </c>
      <c r="AC507" s="76">
        <f>AC480/AC442</f>
        <v>0.32609201664025361</v>
      </c>
      <c r="AD507" s="76">
        <f>AD480/AD442</f>
        <v>0.33737788350915504</v>
      </c>
      <c r="AE507" s="76">
        <v>0.313</v>
      </c>
      <c r="AF507" s="54">
        <f t="shared" ref="AF507:AJ507" si="462">AF480/AF442</f>
        <v>0.32395414428430253</v>
      </c>
      <c r="AG507" s="76">
        <f t="shared" si="462"/>
        <v>0.33726415094339623</v>
      </c>
      <c r="AH507" s="76">
        <f t="shared" si="462"/>
        <v>0.32943925233644861</v>
      </c>
      <c r="AI507" s="76">
        <f t="shared" si="462"/>
        <v>0.34953703703703703</v>
      </c>
      <c r="AJ507" s="76">
        <f t="shared" si="462"/>
        <v>0.30681818181818182</v>
      </c>
      <c r="AK507" s="54">
        <v>0.33062645011600927</v>
      </c>
      <c r="AL507" s="76">
        <v>0.30681818181818182</v>
      </c>
      <c r="AM507" s="76">
        <v>0.34168564920273348</v>
      </c>
      <c r="AN507" s="76">
        <v>0.34080717488789236</v>
      </c>
      <c r="AO507" s="76">
        <v>0.30066815144766146</v>
      </c>
      <c r="AP507" s="54">
        <v>0.32243517474633598</v>
      </c>
      <c r="AQ507" s="76">
        <v>0.30296127562642367</v>
      </c>
      <c r="AR507" s="76">
        <v>0.34792626728110598</v>
      </c>
      <c r="AS507" s="76">
        <v>0.31566820276497698</v>
      </c>
      <c r="AT507" s="76">
        <v>0.31735159817351599</v>
      </c>
      <c r="AU507" s="54">
        <v>0.3209169054441261</v>
      </c>
      <c r="AV507" s="76">
        <v>0.28773584905660377</v>
      </c>
      <c r="AW507" s="76">
        <v>0.28846153846153844</v>
      </c>
      <c r="AX507" s="76">
        <v>0.26354679802955666</v>
      </c>
      <c r="AY507" s="76">
        <v>0.24504950495049505</v>
      </c>
      <c r="AZ507" s="54">
        <v>0.27151515151515154</v>
      </c>
      <c r="BA507" s="76">
        <v>0.20799999999999999</v>
      </c>
      <c r="BB507" s="76">
        <v>0.16533333333333333</v>
      </c>
      <c r="BC507" s="76">
        <v>0.22343324250681199</v>
      </c>
      <c r="BD507" s="187">
        <v>-2.9634831460674156</v>
      </c>
      <c r="BE507" s="186">
        <v>-0.56551255940257972</v>
      </c>
      <c r="BF507" s="76">
        <v>2.9154518950437316E-2</v>
      </c>
      <c r="BG507" s="76">
        <v>0.13056379821958458</v>
      </c>
      <c r="BH507" s="76">
        <v>0.20958083832335328</v>
      </c>
    </row>
    <row r="508" spans="1:60" s="35" customFormat="1">
      <c r="A508" s="67" t="s">
        <v>18</v>
      </c>
      <c r="B508" s="54">
        <f t="shared" ref="B508:AG508" si="463">B493/B442</f>
        <v>0.17991649838884441</v>
      </c>
      <c r="C508" s="76">
        <f t="shared" si="463"/>
        <v>0.20820113173310398</v>
      </c>
      <c r="D508" s="187">
        <f t="shared" si="463"/>
        <v>0.10412372490950972</v>
      </c>
      <c r="E508" s="187">
        <f t="shared" si="463"/>
        <v>0.14887378381980543</v>
      </c>
      <c r="F508" s="187">
        <f t="shared" si="463"/>
        <v>0.16674507302422625</v>
      </c>
      <c r="G508" s="54">
        <f t="shared" si="463"/>
        <v>0.15703819567482374</v>
      </c>
      <c r="H508" s="76">
        <f t="shared" si="463"/>
        <v>0.16008046234581091</v>
      </c>
      <c r="I508" s="187">
        <f t="shared" si="463"/>
        <v>0.15929890613616662</v>
      </c>
      <c r="J508" s="187">
        <f t="shared" si="463"/>
        <v>0.22969580839582496</v>
      </c>
      <c r="K508" s="187">
        <f t="shared" si="463"/>
        <v>0.13541260791993923</v>
      </c>
      <c r="L508" s="54">
        <f t="shared" si="463"/>
        <v>0.1709063109508081</v>
      </c>
      <c r="M508" s="76">
        <f t="shared" si="463"/>
        <v>0.15593128538434811</v>
      </c>
      <c r="N508" s="187">
        <f t="shared" si="463"/>
        <v>0.15970571818955567</v>
      </c>
      <c r="O508" s="187">
        <f t="shared" si="463"/>
        <v>0.16368405476707806</v>
      </c>
      <c r="P508" s="187">
        <f t="shared" si="463"/>
        <v>0.22337714257158553</v>
      </c>
      <c r="Q508" s="54">
        <f t="shared" si="463"/>
        <v>0.17586437808368025</v>
      </c>
      <c r="R508" s="76">
        <f t="shared" si="463"/>
        <v>0.17535692269757119</v>
      </c>
      <c r="S508" s="187">
        <f t="shared" si="463"/>
        <v>0.15940934746014457</v>
      </c>
      <c r="T508" s="187">
        <f t="shared" si="463"/>
        <v>0.16606982548561167</v>
      </c>
      <c r="U508" s="187">
        <f t="shared" si="463"/>
        <v>0.15352957053817073</v>
      </c>
      <c r="V508" s="54">
        <f t="shared" si="463"/>
        <v>0.16329041906735137</v>
      </c>
      <c r="W508" s="76">
        <f t="shared" si="463"/>
        <v>0.13529267777607126</v>
      </c>
      <c r="X508" s="187">
        <f t="shared" si="463"/>
        <v>0.16942397463374531</v>
      </c>
      <c r="Y508" s="187">
        <f t="shared" si="463"/>
        <v>0.21496573301549463</v>
      </c>
      <c r="Z508" s="187">
        <f t="shared" si="463"/>
        <v>0.17658972435133558</v>
      </c>
      <c r="AA508" s="54">
        <f t="shared" si="463"/>
        <v>0.17372740975822651</v>
      </c>
      <c r="AB508" s="76">
        <f t="shared" si="463"/>
        <v>0.22214843101444462</v>
      </c>
      <c r="AC508" s="187">
        <f t="shared" si="463"/>
        <v>0.20980586370839938</v>
      </c>
      <c r="AD508" s="187">
        <f t="shared" si="463"/>
        <v>0.16281711288341166</v>
      </c>
      <c r="AE508" s="187">
        <f t="shared" si="463"/>
        <v>0.19596188432625833</v>
      </c>
      <c r="AF508" s="54">
        <f t="shared" si="463"/>
        <v>0.19752742145380184</v>
      </c>
      <c r="AG508" s="76">
        <f t="shared" si="463"/>
        <v>0.18396226415094338</v>
      </c>
      <c r="AH508" s="187">
        <f t="shared" ref="AH508:AJ508" si="464">AH493/AH442</f>
        <v>0.15887850467289719</v>
      </c>
      <c r="AI508" s="187">
        <f t="shared" si="464"/>
        <v>0.14814814814814814</v>
      </c>
      <c r="AJ508" s="187">
        <f t="shared" si="464"/>
        <v>0.21590909090909091</v>
      </c>
      <c r="AK508" s="54">
        <v>0.17691415313225059</v>
      </c>
      <c r="AL508" s="76">
        <v>0.14772727272727273</v>
      </c>
      <c r="AM508" s="187">
        <v>0.18678815489749431</v>
      </c>
      <c r="AN508" s="187">
        <v>0.16816143497757849</v>
      </c>
      <c r="AO508" s="187">
        <v>9.5768374164810696E-2</v>
      </c>
      <c r="AP508" s="54">
        <v>0.14937993235625704</v>
      </c>
      <c r="AQ508" s="76">
        <v>0.13439635535307518</v>
      </c>
      <c r="AR508" s="187">
        <v>0.13364055299539171</v>
      </c>
      <c r="AS508" s="187">
        <v>0.11751152073732719</v>
      </c>
      <c r="AT508" s="187">
        <v>9.3607305936073054E-2</v>
      </c>
      <c r="AU508" s="54">
        <v>0.11977077363896849</v>
      </c>
      <c r="AV508" s="76">
        <v>0.14150943396226415</v>
      </c>
      <c r="AW508" s="76">
        <v>0.12740384615384615</v>
      </c>
      <c r="AX508" s="76">
        <v>0.16995073891625614</v>
      </c>
      <c r="AY508" s="187">
        <v>0.13118811881188119</v>
      </c>
      <c r="AZ508" s="54">
        <v>0.14242424242424243</v>
      </c>
      <c r="BA508" s="76">
        <v>0.16533333333333333</v>
      </c>
      <c r="BB508" s="76">
        <v>0.2</v>
      </c>
      <c r="BC508" s="76">
        <v>0.21525885558583105</v>
      </c>
      <c r="BD508" s="187">
        <v>0.2303370786516854</v>
      </c>
      <c r="BE508" s="54">
        <v>0.2023082145281738</v>
      </c>
      <c r="BF508" s="76">
        <v>0.18658892128279883</v>
      </c>
      <c r="BG508" s="76">
        <v>0.21958456973293769</v>
      </c>
      <c r="BH508" s="76">
        <v>0.20658682634730538</v>
      </c>
    </row>
    <row r="509" spans="1:60" ht="12.75" hidden="1" customHeight="1">
      <c r="A509" s="67" t="s">
        <v>138</v>
      </c>
      <c r="B509" s="119" t="s">
        <v>41</v>
      </c>
      <c r="C509" s="78" t="s">
        <v>49</v>
      </c>
      <c r="D509" s="78" t="s">
        <v>49</v>
      </c>
      <c r="E509" s="78" t="s">
        <v>49</v>
      </c>
      <c r="F509" s="78" t="s">
        <v>49</v>
      </c>
      <c r="G509" s="119" t="s">
        <v>41</v>
      </c>
      <c r="H509" s="78" t="s">
        <v>49</v>
      </c>
      <c r="I509" s="78" t="s">
        <v>49</v>
      </c>
      <c r="J509" s="78" t="s">
        <v>49</v>
      </c>
      <c r="K509" s="78" t="s">
        <v>49</v>
      </c>
      <c r="L509" s="36">
        <v>51</v>
      </c>
      <c r="M509" s="78" t="s">
        <v>49</v>
      </c>
      <c r="N509" s="78" t="s">
        <v>49</v>
      </c>
      <c r="O509" s="78" t="s">
        <v>49</v>
      </c>
      <c r="P509" s="78" t="s">
        <v>49</v>
      </c>
      <c r="Q509" s="36">
        <v>53</v>
      </c>
      <c r="R509" s="68">
        <v>20</v>
      </c>
      <c r="S509" s="68">
        <v>18</v>
      </c>
      <c r="T509" s="68">
        <v>20</v>
      </c>
      <c r="U509" s="68">
        <f>V509-R509-S509-T509</f>
        <v>18</v>
      </c>
      <c r="V509" s="36">
        <v>76</v>
      </c>
      <c r="W509" s="68">
        <v>28</v>
      </c>
      <c r="X509" s="68">
        <v>26</v>
      </c>
      <c r="Y509" s="68">
        <v>16</v>
      </c>
      <c r="Z509" s="68">
        <f>AA509-W509-X509-Y509</f>
        <v>11</v>
      </c>
      <c r="AA509" s="36">
        <v>81</v>
      </c>
      <c r="AB509" s="68">
        <v>7</v>
      </c>
      <c r="AC509" s="68">
        <v>6</v>
      </c>
      <c r="AD509" s="68">
        <v>6</v>
      </c>
      <c r="AE509" s="68">
        <f>AF509-AB509-AC509-AD509</f>
        <v>7</v>
      </c>
      <c r="AF509" s="36">
        <v>26</v>
      </c>
      <c r="AG509" s="68">
        <v>0</v>
      </c>
      <c r="AH509" s="74">
        <v>0</v>
      </c>
      <c r="AI509" s="74">
        <v>0</v>
      </c>
      <c r="AJ509" s="74">
        <v>0</v>
      </c>
      <c r="AK509" s="61"/>
      <c r="AL509" s="74"/>
      <c r="AM509" s="74"/>
      <c r="AN509" s="74"/>
      <c r="AO509" s="74"/>
      <c r="AP509" s="61"/>
      <c r="AQ509" s="74"/>
      <c r="AR509" s="74"/>
      <c r="AS509" s="74"/>
      <c r="AT509" s="74"/>
      <c r="AU509" s="61"/>
      <c r="AV509" s="74"/>
      <c r="AW509" s="74"/>
      <c r="AX509" s="74"/>
      <c r="AY509" s="74"/>
      <c r="AZ509" s="61"/>
      <c r="BA509" s="74"/>
      <c r="BB509" s="74"/>
      <c r="BC509" s="74"/>
      <c r="BD509" s="74"/>
      <c r="BE509" s="61"/>
      <c r="BF509" s="74"/>
      <c r="BG509" s="74"/>
      <c r="BH509" s="74"/>
    </row>
    <row r="510" spans="1:60" ht="12.75" hidden="1" customHeight="1">
      <c r="A510" s="69" t="s">
        <v>7</v>
      </c>
      <c r="B510" s="23"/>
      <c r="C510" s="70"/>
      <c r="D510" s="70"/>
      <c r="E510" s="70"/>
      <c r="F510" s="70"/>
      <c r="G510" s="23"/>
      <c r="H510" s="70"/>
      <c r="I510" s="70"/>
      <c r="J510" s="70"/>
      <c r="K510" s="70"/>
      <c r="L510" s="23"/>
      <c r="M510" s="70"/>
      <c r="N510" s="70"/>
      <c r="O510" s="70"/>
      <c r="P510" s="70"/>
      <c r="Q510" s="23"/>
      <c r="R510" s="70"/>
      <c r="S510" s="70">
        <f>S509/R509-1</f>
        <v>-9.9999999999999978E-2</v>
      </c>
      <c r="T510" s="70">
        <f>T509/S509-1</f>
        <v>0.11111111111111116</v>
      </c>
      <c r="U510" s="70">
        <f>U509/T509-1</f>
        <v>-9.9999999999999978E-2</v>
      </c>
      <c r="V510" s="23"/>
      <c r="W510" s="70">
        <f>W509/U509-1</f>
        <v>0.55555555555555558</v>
      </c>
      <c r="X510" s="70">
        <f>X509/W509-1</f>
        <v>-7.1428571428571397E-2</v>
      </c>
      <c r="Y510" s="70">
        <f>Y509/X509-1</f>
        <v>-0.38461538461538458</v>
      </c>
      <c r="Z510" s="70">
        <f>Z509/Y509-1</f>
        <v>-0.3125</v>
      </c>
      <c r="AA510" s="23"/>
      <c r="AB510" s="70">
        <f>AB509/Z509-1</f>
        <v>-0.36363636363636365</v>
      </c>
      <c r="AC510" s="70">
        <f>AC509/AB509-1</f>
        <v>-0.1428571428571429</v>
      </c>
      <c r="AD510" s="70">
        <f>AD509/AC509-1</f>
        <v>0</v>
      </c>
      <c r="AE510" s="70">
        <f>AE509/AD509-1</f>
        <v>0.16666666666666674</v>
      </c>
      <c r="AF510" s="23"/>
      <c r="AG510" s="83" t="s">
        <v>40</v>
      </c>
      <c r="AH510" s="83" t="s">
        <v>40</v>
      </c>
      <c r="AI510" s="83" t="s">
        <v>40</v>
      </c>
      <c r="AJ510" s="83" t="s">
        <v>40</v>
      </c>
      <c r="AK510" s="23"/>
      <c r="AL510" s="83"/>
      <c r="AM510" s="83"/>
      <c r="AN510" s="83"/>
      <c r="AO510" s="83"/>
      <c r="AP510" s="23"/>
      <c r="AQ510" s="83"/>
      <c r="AR510" s="83"/>
      <c r="AS510" s="83"/>
      <c r="AT510" s="83"/>
      <c r="AU510" s="23"/>
      <c r="AV510" s="83"/>
      <c r="AW510" s="83"/>
      <c r="AX510" s="83"/>
      <c r="AY510" s="83"/>
      <c r="AZ510" s="23"/>
      <c r="BA510" s="83"/>
      <c r="BB510" s="83"/>
      <c r="BC510" s="83"/>
      <c r="BD510" s="83"/>
      <c r="BE510" s="23"/>
      <c r="BF510" s="83"/>
      <c r="BG510" s="83"/>
      <c r="BH510" s="83"/>
    </row>
    <row r="511" spans="1:60" ht="11.7" hidden="1" customHeight="1">
      <c r="A511" s="69" t="s">
        <v>8</v>
      </c>
      <c r="B511" s="23"/>
      <c r="C511" s="71"/>
      <c r="D511" s="71"/>
      <c r="E511" s="71"/>
      <c r="F511" s="71"/>
      <c r="G511" s="23"/>
      <c r="H511" s="71"/>
      <c r="I511" s="71"/>
      <c r="J511" s="71"/>
      <c r="K511" s="71"/>
      <c r="L511" s="23"/>
      <c r="M511" s="71"/>
      <c r="N511" s="71"/>
      <c r="O511" s="71"/>
      <c r="P511" s="71"/>
      <c r="Q511" s="23">
        <f>Q509/L509-1</f>
        <v>3.9215686274509887E-2</v>
      </c>
      <c r="R511" s="71"/>
      <c r="S511" s="71"/>
      <c r="T511" s="71"/>
      <c r="U511" s="71"/>
      <c r="V511" s="23">
        <f t="shared" ref="V511" si="465">V509/Q509-1</f>
        <v>0.4339622641509433</v>
      </c>
      <c r="W511" s="71">
        <f t="shared" ref="W511" si="466">W509/R509-1</f>
        <v>0.39999999999999991</v>
      </c>
      <c r="X511" s="71">
        <f t="shared" ref="X511" si="467">X509/S509-1</f>
        <v>0.44444444444444442</v>
      </c>
      <c r="Y511" s="71">
        <f t="shared" ref="Y511" si="468">Y509/T509-1</f>
        <v>-0.19999999999999996</v>
      </c>
      <c r="Z511" s="71">
        <f t="shared" ref="Z511" si="469">Z509/U509-1</f>
        <v>-0.38888888888888884</v>
      </c>
      <c r="AA511" s="23">
        <f t="shared" ref="AA511" si="470">AA509/V509-1</f>
        <v>6.578947368421062E-2</v>
      </c>
      <c r="AB511" s="71">
        <f t="shared" ref="AB511" si="471">AB509/W509-1</f>
        <v>-0.75</v>
      </c>
      <c r="AC511" s="71">
        <f t="shared" ref="AC511" si="472">AC509/X509-1</f>
        <v>-0.76923076923076916</v>
      </c>
      <c r="AD511" s="71">
        <f t="shared" ref="AD511" si="473">AD509/Y509-1</f>
        <v>-0.625</v>
      </c>
      <c r="AE511" s="71">
        <f>AE509/Z509-1</f>
        <v>-0.36363636363636365</v>
      </c>
      <c r="AF511" s="23">
        <f>AF509/AA509-1</f>
        <v>-0.67901234567901236</v>
      </c>
      <c r="AG511" s="83" t="s">
        <v>40</v>
      </c>
      <c r="AH511" s="83" t="s">
        <v>40</v>
      </c>
      <c r="AI511" s="83" t="s">
        <v>40</v>
      </c>
      <c r="AJ511" s="83" t="s">
        <v>40</v>
      </c>
      <c r="AK511" s="90"/>
      <c r="AL511" s="83"/>
      <c r="AM511" s="83"/>
      <c r="AN511" s="83"/>
      <c r="AO511" s="83"/>
      <c r="AP511" s="90"/>
      <c r="AQ511" s="83"/>
      <c r="AR511" s="83"/>
      <c r="AS511" s="83"/>
      <c r="AT511" s="83"/>
      <c r="AU511" s="90"/>
      <c r="AV511" s="83"/>
      <c r="AW511" s="83"/>
      <c r="AX511" s="83"/>
      <c r="AY511" s="83"/>
      <c r="AZ511" s="90"/>
      <c r="BA511" s="83"/>
      <c r="BB511" s="83"/>
      <c r="BC511" s="83"/>
      <c r="BD511" s="83"/>
      <c r="BE511" s="90"/>
      <c r="BF511" s="83"/>
      <c r="BG511" s="83"/>
      <c r="BH511" s="83"/>
    </row>
    <row r="512" spans="1:60" ht="6"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row>
    <row r="513" spans="1:60" s="35" customFormat="1" ht="20.25" customHeight="1">
      <c r="A513" s="34" t="s">
        <v>292</v>
      </c>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row>
    <row r="514" spans="1:60">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row>
    <row r="515" spans="1:60">
      <c r="A515" s="39" t="s">
        <v>72</v>
      </c>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row>
    <row r="516" spans="1:60">
      <c r="A516" s="67" t="s">
        <v>16</v>
      </c>
      <c r="AK516" s="90" t="s">
        <v>41</v>
      </c>
      <c r="AP516" s="90" t="s">
        <v>41</v>
      </c>
      <c r="AU516" s="90" t="s">
        <v>41</v>
      </c>
      <c r="AV516" s="81" t="s">
        <v>41</v>
      </c>
      <c r="AW516" s="81" t="s">
        <v>41</v>
      </c>
      <c r="AX516" s="81" t="s">
        <v>41</v>
      </c>
      <c r="AY516" s="81" t="s">
        <v>41</v>
      </c>
      <c r="AZ516" s="174">
        <v>1650</v>
      </c>
      <c r="BA516" s="68">
        <v>375</v>
      </c>
      <c r="BB516" s="68">
        <v>375</v>
      </c>
      <c r="BC516" s="68">
        <v>367</v>
      </c>
      <c r="BD516" s="68">
        <v>356</v>
      </c>
      <c r="BE516" s="174">
        <v>1473</v>
      </c>
      <c r="BF516" s="68">
        <v>343</v>
      </c>
      <c r="BG516" s="68">
        <v>337</v>
      </c>
      <c r="BH516" s="68">
        <v>334</v>
      </c>
    </row>
    <row r="517" spans="1:60">
      <c r="A517" s="69" t="s">
        <v>7</v>
      </c>
      <c r="AK517" s="23"/>
      <c r="AP517" s="23"/>
      <c r="AU517" s="23"/>
      <c r="AZ517" s="23"/>
      <c r="BE517" s="23"/>
      <c r="BF517" s="70"/>
      <c r="BG517" s="70">
        <v>-1.7492711370262426E-2</v>
      </c>
      <c r="BH517" s="70">
        <v>-8.9020771513352859E-3</v>
      </c>
    </row>
    <row r="518" spans="1:60">
      <c r="A518" s="69" t="s">
        <v>8</v>
      </c>
      <c r="AK518" s="23"/>
      <c r="AL518" s="23"/>
      <c r="AM518" s="23"/>
      <c r="AN518" s="23"/>
      <c r="AO518" s="23"/>
      <c r="AP518" s="23"/>
      <c r="AQ518" s="23"/>
      <c r="AR518" s="23"/>
      <c r="AS518" s="23"/>
      <c r="AT518" s="23"/>
      <c r="AU518" s="23"/>
      <c r="AZ518" s="23"/>
      <c r="BE518" s="23">
        <v>-0.1072727272727273</v>
      </c>
      <c r="BF518" s="71">
        <v>-8.5333333333333372E-2</v>
      </c>
      <c r="BG518" s="71">
        <v>-0.10133333333333339</v>
      </c>
      <c r="BH518" s="71">
        <v>-8.9918256130790186E-2</v>
      </c>
    </row>
    <row r="519" spans="1:60">
      <c r="A519" s="67" t="s">
        <v>294</v>
      </c>
      <c r="AK519" s="90" t="s">
        <v>41</v>
      </c>
      <c r="AP519" s="90" t="s">
        <v>41</v>
      </c>
      <c r="AU519" s="90" t="s">
        <v>41</v>
      </c>
      <c r="AV519" s="81" t="s">
        <v>41</v>
      </c>
      <c r="AW519" s="81" t="s">
        <v>41</v>
      </c>
      <c r="AX519" s="81" t="s">
        <v>41</v>
      </c>
      <c r="AY519" s="81" t="s">
        <v>41</v>
      </c>
      <c r="AZ519" s="174">
        <v>285</v>
      </c>
      <c r="BA519" s="68">
        <v>79</v>
      </c>
      <c r="BB519" s="68">
        <v>79</v>
      </c>
      <c r="BC519" s="68">
        <v>81</v>
      </c>
      <c r="BD519" s="68">
        <v>84</v>
      </c>
      <c r="BE519" s="174">
        <v>323</v>
      </c>
      <c r="BF519" s="68">
        <v>78</v>
      </c>
      <c r="BG519" s="68">
        <v>81</v>
      </c>
      <c r="BH519" s="68">
        <v>93</v>
      </c>
    </row>
    <row r="520" spans="1:60">
      <c r="A520" s="80" t="s">
        <v>7</v>
      </c>
      <c r="AK520" s="23"/>
      <c r="AP520" s="23"/>
      <c r="AU520" s="23"/>
      <c r="AZ520" s="174"/>
      <c r="BE520" s="23"/>
      <c r="BF520" s="70"/>
      <c r="BG520" s="70">
        <v>3.8461538461538547E-2</v>
      </c>
      <c r="BH520" s="70">
        <v>0.14814814814814814</v>
      </c>
    </row>
    <row r="521" spans="1:60">
      <c r="A521" s="80" t="s">
        <v>8</v>
      </c>
      <c r="AK521" s="23"/>
      <c r="AP521" s="23"/>
      <c r="AU521" s="23"/>
      <c r="AZ521" s="174"/>
      <c r="BE521" s="23">
        <v>0.1333333333333333</v>
      </c>
      <c r="BF521" s="71">
        <v>-1.2658227848101222E-2</v>
      </c>
      <c r="BG521" s="71">
        <v>2.5316455696202445E-2</v>
      </c>
      <c r="BH521" s="71">
        <v>0.14814814814814814</v>
      </c>
    </row>
    <row r="522" spans="1:60">
      <c r="A522" s="67" t="s">
        <v>92</v>
      </c>
      <c r="AK522" s="90" t="s">
        <v>41</v>
      </c>
      <c r="AL522" s="81" t="s">
        <v>41</v>
      </c>
      <c r="AM522" s="81" t="s">
        <v>41</v>
      </c>
      <c r="AN522" s="81" t="s">
        <v>41</v>
      </c>
      <c r="AO522" s="81" t="s">
        <v>41</v>
      </c>
      <c r="AP522" s="90" t="s">
        <v>41</v>
      </c>
      <c r="AQ522" s="81" t="s">
        <v>41</v>
      </c>
      <c r="AR522" s="81" t="s">
        <v>41</v>
      </c>
      <c r="AS522" s="81" t="s">
        <v>41</v>
      </c>
      <c r="AT522" s="81" t="s">
        <v>41</v>
      </c>
      <c r="AU522" s="90" t="s">
        <v>41</v>
      </c>
      <c r="AV522" s="81" t="s">
        <v>41</v>
      </c>
      <c r="AW522" s="81" t="s">
        <v>41</v>
      </c>
      <c r="AX522" s="81" t="s">
        <v>41</v>
      </c>
      <c r="AY522" s="81" t="s">
        <v>41</v>
      </c>
      <c r="AZ522" s="174">
        <v>245</v>
      </c>
      <c r="BA522" s="68">
        <v>58</v>
      </c>
      <c r="BB522" s="68">
        <v>60</v>
      </c>
      <c r="BC522" s="68">
        <v>56</v>
      </c>
      <c r="BD522" s="68">
        <v>59</v>
      </c>
      <c r="BE522" s="174">
        <v>233</v>
      </c>
      <c r="BF522" s="68">
        <v>55</v>
      </c>
      <c r="BG522" s="68">
        <v>51</v>
      </c>
      <c r="BH522" s="68">
        <v>50</v>
      </c>
    </row>
    <row r="523" spans="1:60">
      <c r="A523" s="69" t="s">
        <v>7</v>
      </c>
      <c r="AK523" s="23"/>
      <c r="AP523" s="23"/>
      <c r="AU523" s="23"/>
      <c r="AZ523" s="174"/>
      <c r="BE523" s="23"/>
      <c r="BF523" s="70"/>
      <c r="BG523" s="70">
        <v>-7.2727272727272751E-2</v>
      </c>
      <c r="BH523" s="70">
        <v>-1.9607843137254943E-2</v>
      </c>
    </row>
    <row r="524" spans="1:60">
      <c r="A524" s="69" t="s">
        <v>8</v>
      </c>
      <c r="AK524" s="23"/>
      <c r="AP524" s="23"/>
      <c r="AU524" s="23"/>
      <c r="AZ524" s="174"/>
      <c r="BE524" s="23">
        <v>-4.8979591836734726E-2</v>
      </c>
      <c r="BF524" s="71">
        <v>-5.1724137931034475E-2</v>
      </c>
      <c r="BG524" s="71">
        <v>-0.15000000000000002</v>
      </c>
      <c r="BH524" s="71">
        <v>-0.1071428571428571</v>
      </c>
    </row>
    <row r="525" spans="1:60">
      <c r="A525" s="67" t="s">
        <v>82</v>
      </c>
      <c r="AK525" s="90" t="s">
        <v>41</v>
      </c>
      <c r="AP525" s="90" t="s">
        <v>41</v>
      </c>
      <c r="AU525" s="90" t="s">
        <v>41</v>
      </c>
      <c r="AV525" s="81" t="s">
        <v>41</v>
      </c>
      <c r="AW525" s="81" t="s">
        <v>41</v>
      </c>
      <c r="AX525" s="81" t="s">
        <v>41</v>
      </c>
      <c r="AY525" s="81" t="s">
        <v>41</v>
      </c>
      <c r="AZ525" s="174">
        <v>957</v>
      </c>
      <c r="BA525" s="68">
        <v>237</v>
      </c>
      <c r="BB525" s="68">
        <v>246</v>
      </c>
      <c r="BC525" s="68">
        <v>229</v>
      </c>
      <c r="BD525" s="68">
        <v>244</v>
      </c>
      <c r="BE525" s="174">
        <v>956</v>
      </c>
      <c r="BF525" s="68">
        <v>226</v>
      </c>
      <c r="BG525" s="68">
        <v>222</v>
      </c>
      <c r="BH525" s="68">
        <v>219</v>
      </c>
    </row>
    <row r="526" spans="1:60">
      <c r="A526" s="69" t="s">
        <v>7</v>
      </c>
      <c r="AK526" s="23"/>
      <c r="AP526" s="23"/>
      <c r="AU526" s="23"/>
      <c r="AZ526" s="174"/>
      <c r="BE526" s="23"/>
      <c r="BF526" s="70"/>
      <c r="BG526" s="70">
        <v>-1.7699115044247815E-2</v>
      </c>
      <c r="BH526" s="70">
        <v>-1.3513513513513487E-2</v>
      </c>
    </row>
    <row r="527" spans="1:60">
      <c r="A527" s="69" t="s">
        <v>8</v>
      </c>
      <c r="AK527" s="23"/>
      <c r="AP527" s="23"/>
      <c r="AU527" s="23"/>
      <c r="AZ527" s="174"/>
      <c r="BE527" s="23">
        <v>-1.0449320794148065E-3</v>
      </c>
      <c r="BF527" s="71">
        <v>-4.641350210970463E-2</v>
      </c>
      <c r="BG527" s="71">
        <v>-9.7560975609756073E-2</v>
      </c>
      <c r="BH527" s="71">
        <v>-4.3668122270742349E-2</v>
      </c>
    </row>
    <row r="528" spans="1:60">
      <c r="A528" s="67" t="s">
        <v>265</v>
      </c>
      <c r="AK528" s="90" t="s">
        <v>41</v>
      </c>
      <c r="AP528" s="90" t="s">
        <v>41</v>
      </c>
      <c r="AU528" s="90" t="s">
        <v>41</v>
      </c>
      <c r="AV528" s="81" t="s">
        <v>41</v>
      </c>
      <c r="AW528" s="81" t="s">
        <v>41</v>
      </c>
      <c r="AX528" s="81" t="s">
        <v>41</v>
      </c>
      <c r="AY528" s="81" t="s">
        <v>41</v>
      </c>
      <c r="AZ528" s="149" t="s">
        <v>141</v>
      </c>
      <c r="BA528" s="68">
        <v>2</v>
      </c>
      <c r="BB528" s="68">
        <v>7</v>
      </c>
      <c r="BC528" s="182" t="s">
        <v>141</v>
      </c>
      <c r="BD528" s="68">
        <v>8</v>
      </c>
      <c r="BE528" s="174">
        <v>17</v>
      </c>
      <c r="BF528" s="68">
        <v>43</v>
      </c>
      <c r="BG528" s="182">
        <v>-9</v>
      </c>
      <c r="BH528" s="182">
        <v>1</v>
      </c>
    </row>
    <row r="529" spans="1:60">
      <c r="A529" s="69" t="s">
        <v>7</v>
      </c>
      <c r="AK529" s="23"/>
      <c r="AP529" s="23"/>
      <c r="AU529" s="23"/>
      <c r="AZ529" s="174"/>
      <c r="BE529" s="174"/>
      <c r="BF529" s="70"/>
      <c r="BH529" s="83" t="s">
        <v>40</v>
      </c>
    </row>
    <row r="530" spans="1:60">
      <c r="A530" s="69" t="s">
        <v>8</v>
      </c>
      <c r="AK530" s="23"/>
      <c r="AP530" s="23"/>
      <c r="AU530" s="23"/>
      <c r="AZ530" s="174"/>
      <c r="BE530" s="174"/>
      <c r="BF530" s="71"/>
      <c r="BH530" s="83" t="s">
        <v>40</v>
      </c>
    </row>
    <row r="531" spans="1:60">
      <c r="A531" s="67" t="s">
        <v>261</v>
      </c>
      <c r="AK531" s="90" t="s">
        <v>41</v>
      </c>
      <c r="AP531" s="90" t="s">
        <v>41</v>
      </c>
      <c r="AU531" s="90" t="s">
        <v>41</v>
      </c>
      <c r="AV531" s="81" t="s">
        <v>41</v>
      </c>
      <c r="AW531" s="81" t="s">
        <v>41</v>
      </c>
      <c r="AX531" s="81" t="s">
        <v>41</v>
      </c>
      <c r="AY531" s="81" t="s">
        <v>41</v>
      </c>
      <c r="AZ531" s="174">
        <v>163</v>
      </c>
      <c r="BA531" s="182">
        <v>-1</v>
      </c>
      <c r="BB531" s="182">
        <v>-17</v>
      </c>
      <c r="BC531" s="68">
        <v>1</v>
      </c>
      <c r="BD531" s="182">
        <v>-39</v>
      </c>
      <c r="BE531" s="174">
        <v>-56</v>
      </c>
      <c r="BF531" s="182">
        <v>-59</v>
      </c>
      <c r="BG531" s="182">
        <v>-8</v>
      </c>
      <c r="BH531" s="182">
        <v>-29</v>
      </c>
    </row>
    <row r="532" spans="1:60">
      <c r="A532" s="69" t="s">
        <v>7</v>
      </c>
      <c r="AK532" s="23"/>
      <c r="AP532" s="23"/>
      <c r="AU532" s="23"/>
      <c r="AZ532" s="174"/>
      <c r="BD532" s="182"/>
      <c r="BE532" s="174"/>
      <c r="BG532" s="70">
        <v>-0.86440677966101698</v>
      </c>
      <c r="BH532" s="70">
        <v>2.625</v>
      </c>
    </row>
    <row r="533" spans="1:60">
      <c r="A533" s="69" t="s">
        <v>8</v>
      </c>
      <c r="AK533" s="23"/>
      <c r="AP533" s="23"/>
      <c r="AU533" s="23"/>
      <c r="AZ533" s="174"/>
      <c r="BD533" s="182"/>
      <c r="BE533" s="174"/>
      <c r="BG533" s="71">
        <v>-0.52941176470588236</v>
      </c>
      <c r="BH533" s="83" t="s">
        <v>40</v>
      </c>
    </row>
    <row r="534" spans="1:60">
      <c r="A534" s="67" t="s">
        <v>89</v>
      </c>
      <c r="AK534" s="90" t="s">
        <v>41</v>
      </c>
      <c r="AP534" s="90" t="s">
        <v>41</v>
      </c>
      <c r="AU534" s="90" t="s">
        <v>41</v>
      </c>
      <c r="AV534" s="81" t="s">
        <v>41</v>
      </c>
      <c r="AW534" s="81" t="s">
        <v>41</v>
      </c>
      <c r="AX534" s="81" t="s">
        <v>41</v>
      </c>
      <c r="AY534" s="81" t="s">
        <v>41</v>
      </c>
      <c r="AZ534" s="174">
        <v>71</v>
      </c>
      <c r="BA534" s="182">
        <v>-3</v>
      </c>
      <c r="BB534" s="182">
        <v>-7</v>
      </c>
      <c r="BC534" s="182">
        <v>3</v>
      </c>
      <c r="BD534" s="182">
        <v>-4</v>
      </c>
      <c r="BE534" s="174">
        <v>-11</v>
      </c>
      <c r="BF534" s="182">
        <v>5</v>
      </c>
      <c r="BG534" s="182">
        <v>2</v>
      </c>
      <c r="BH534" s="182">
        <v>4</v>
      </c>
    </row>
    <row r="535" spans="1:60">
      <c r="A535" s="69" t="s">
        <v>7</v>
      </c>
      <c r="AK535" s="23"/>
      <c r="AP535" s="23"/>
      <c r="AU535" s="23"/>
      <c r="AZ535" s="174"/>
      <c r="BD535" s="182"/>
      <c r="BE535" s="174"/>
      <c r="BH535" s="70">
        <v>1</v>
      </c>
    </row>
    <row r="536" spans="1:60">
      <c r="A536" s="69" t="s">
        <v>8</v>
      </c>
      <c r="AK536" s="23"/>
      <c r="AP536" s="23"/>
      <c r="AU536" s="23"/>
      <c r="AZ536" s="174"/>
      <c r="BD536" s="182"/>
      <c r="BE536" s="174"/>
      <c r="BH536" s="71">
        <v>0.33333333333333326</v>
      </c>
    </row>
    <row r="537" spans="1:60">
      <c r="A537" s="67" t="s">
        <v>163</v>
      </c>
      <c r="AK537" s="90" t="s">
        <v>41</v>
      </c>
      <c r="AP537" s="90" t="s">
        <v>41</v>
      </c>
      <c r="AU537" s="90" t="s">
        <v>41</v>
      </c>
      <c r="AV537" s="81" t="s">
        <v>41</v>
      </c>
      <c r="AW537" s="81" t="s">
        <v>41</v>
      </c>
      <c r="AX537" s="81" t="s">
        <v>41</v>
      </c>
      <c r="AY537" s="81" t="s">
        <v>41</v>
      </c>
      <c r="AZ537" s="174">
        <v>-244</v>
      </c>
      <c r="BA537" s="182">
        <v>1</v>
      </c>
      <c r="BB537" s="182">
        <v>-10</v>
      </c>
      <c r="BC537" s="182">
        <v>-2</v>
      </c>
      <c r="BD537" s="182">
        <v>-37</v>
      </c>
      <c r="BE537" s="174">
        <v>-48</v>
      </c>
      <c r="BF537" s="182">
        <v>-64</v>
      </c>
      <c r="BG537" s="182">
        <v>-11</v>
      </c>
      <c r="BH537" s="182">
        <v>-34</v>
      </c>
    </row>
    <row r="538" spans="1:60">
      <c r="A538" s="69" t="s">
        <v>7</v>
      </c>
      <c r="AK538" s="23"/>
      <c r="AP538" s="23"/>
      <c r="AU538" s="23"/>
      <c r="AZ538" s="174"/>
      <c r="BE538" s="23"/>
      <c r="BG538" s="70">
        <v>-0.828125</v>
      </c>
      <c r="BH538" s="70">
        <v>2.0909090909090908</v>
      </c>
    </row>
    <row r="539" spans="1:60">
      <c r="A539" s="69" t="s">
        <v>8</v>
      </c>
      <c r="AK539" s="23"/>
      <c r="AP539" s="23"/>
      <c r="AU539" s="23"/>
      <c r="AZ539" s="174"/>
      <c r="BE539" s="23">
        <v>-0.80327868852459017</v>
      </c>
      <c r="BG539" s="71">
        <v>0.10000000000000009</v>
      </c>
      <c r="BH539" s="71">
        <v>16</v>
      </c>
    </row>
    <row r="540" spans="1:60">
      <c r="A540" s="67" t="s">
        <v>9</v>
      </c>
      <c r="AK540" s="90" t="s">
        <v>41</v>
      </c>
      <c r="AP540" s="90" t="s">
        <v>41</v>
      </c>
      <c r="AU540" s="90" t="s">
        <v>41</v>
      </c>
      <c r="AV540" s="81" t="s">
        <v>41</v>
      </c>
      <c r="AW540" s="81" t="s">
        <v>41</v>
      </c>
      <c r="AX540" s="81" t="s">
        <v>41</v>
      </c>
      <c r="AY540" s="81" t="s">
        <v>41</v>
      </c>
      <c r="AZ540" s="174">
        <v>448</v>
      </c>
      <c r="BA540" s="182">
        <v>78</v>
      </c>
      <c r="BB540" s="182">
        <v>62</v>
      </c>
      <c r="BC540" s="182">
        <v>82</v>
      </c>
      <c r="BD540" s="68">
        <v>45</v>
      </c>
      <c r="BE540" s="174">
        <v>267</v>
      </c>
      <c r="BF540" s="182">
        <v>19</v>
      </c>
      <c r="BG540" s="182">
        <v>73</v>
      </c>
      <c r="BH540" s="182">
        <v>64</v>
      </c>
    </row>
    <row r="541" spans="1:60">
      <c r="A541" s="69" t="s">
        <v>7</v>
      </c>
      <c r="AK541" s="23"/>
      <c r="AP541" s="23"/>
      <c r="AU541" s="23"/>
      <c r="AZ541" s="174"/>
      <c r="BE541" s="23"/>
      <c r="BF541" s="70"/>
      <c r="BG541" s="70">
        <v>2.8421052631578947</v>
      </c>
      <c r="BH541" s="70">
        <v>-0.12328767123287676</v>
      </c>
    </row>
    <row r="542" spans="1:60">
      <c r="A542" s="69" t="s">
        <v>8</v>
      </c>
      <c r="AK542" s="23"/>
      <c r="AP542" s="23"/>
      <c r="AU542" s="23"/>
      <c r="AZ542" s="174"/>
      <c r="BE542" s="23">
        <v>-0.4040178571428571</v>
      </c>
      <c r="BF542" s="71">
        <v>-0.75641025641025639</v>
      </c>
      <c r="BG542" s="71">
        <v>0.17741935483870974</v>
      </c>
      <c r="BH542" s="71">
        <v>-0.21951219512195119</v>
      </c>
    </row>
    <row r="543" spans="1:60" ht="24">
      <c r="A543" s="87" t="s">
        <v>302</v>
      </c>
      <c r="AK543" s="90" t="s">
        <v>41</v>
      </c>
      <c r="AP543" s="90" t="s">
        <v>41</v>
      </c>
      <c r="AU543" s="90" t="s">
        <v>41</v>
      </c>
      <c r="AV543" s="81" t="s">
        <v>41</v>
      </c>
      <c r="AW543" s="81" t="s">
        <v>41</v>
      </c>
      <c r="AX543" s="81" t="s">
        <v>41</v>
      </c>
      <c r="AY543" s="81" t="s">
        <v>41</v>
      </c>
      <c r="AZ543" s="174">
        <v>448</v>
      </c>
      <c r="BA543" s="182">
        <v>80</v>
      </c>
      <c r="BB543" s="182">
        <v>69</v>
      </c>
      <c r="BC543" s="182">
        <v>82</v>
      </c>
      <c r="BD543" s="68">
        <v>53</v>
      </c>
      <c r="BE543" s="174">
        <v>284</v>
      </c>
      <c r="BF543" s="182">
        <v>62</v>
      </c>
      <c r="BG543" s="182">
        <v>64</v>
      </c>
      <c r="BH543" s="182">
        <v>65</v>
      </c>
    </row>
    <row r="544" spans="1:60">
      <c r="A544" s="69" t="s">
        <v>7</v>
      </c>
      <c r="AK544" s="23"/>
      <c r="AP544" s="23"/>
      <c r="AU544" s="23"/>
      <c r="AZ544" s="174"/>
      <c r="BE544" s="23"/>
      <c r="BF544" s="70"/>
      <c r="BG544" s="70">
        <v>3.2258064516129004E-2</v>
      </c>
      <c r="BH544" s="70">
        <v>1.5625E-2</v>
      </c>
    </row>
    <row r="545" spans="1:60">
      <c r="A545" s="69" t="s">
        <v>8</v>
      </c>
      <c r="AK545" s="23"/>
      <c r="AP545" s="23"/>
      <c r="AU545" s="23"/>
      <c r="AZ545" s="174"/>
      <c r="BE545" s="23">
        <v>-0.3660714285714286</v>
      </c>
      <c r="BF545" s="71">
        <v>-0.22499999999999998</v>
      </c>
      <c r="BG545" s="71">
        <v>-7.2463768115942018E-2</v>
      </c>
      <c r="BH545" s="71">
        <v>-0.20731707317073167</v>
      </c>
    </row>
    <row r="546" spans="1:60" ht="7.2"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c r="AP546" s="43"/>
      <c r="AQ546" s="43"/>
      <c r="AR546" s="43"/>
      <c r="AS546" s="43"/>
      <c r="AT546" s="43"/>
      <c r="AU546" s="43"/>
      <c r="AV546" s="43"/>
      <c r="AW546" s="43"/>
      <c r="AX546" s="43"/>
      <c r="AY546" s="43"/>
      <c r="AZ546" s="43"/>
      <c r="BA546" s="43"/>
      <c r="BB546" s="43"/>
      <c r="BC546" s="43"/>
      <c r="BD546" s="43"/>
      <c r="BE546" s="43"/>
      <c r="BF546" s="43"/>
      <c r="BG546" s="43"/>
      <c r="BH546"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1811023622047245"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8" manualBreakCount="8">
    <brk id="80" max="59" man="1"/>
    <brk id="130" max="59" man="1"/>
    <brk id="176" max="59" man="1"/>
    <brk id="257" max="59" man="1"/>
    <brk id="285" max="59" man="1"/>
    <brk id="361" max="59" man="1"/>
    <brk id="438" max="59" man="1"/>
    <brk id="512" max="59"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355"/>
  <sheetViews>
    <sheetView showGridLines="0" tabSelected="1" topLeftCell="A4" zoomScale="110" zoomScaleNormal="110" workbookViewId="0">
      <pane xSplit="2" ySplit="3" topLeftCell="C7" activePane="bottomRight" state="frozen"/>
      <selection activeCell="BH122" sqref="BH122"/>
      <selection pane="topRight" activeCell="BH122" sqref="BH122"/>
      <selection pane="bottomLeft" activeCell="BH122" sqref="BH122"/>
      <selection pane="bottomRight" activeCell="BH122" sqref="BH122"/>
    </sheetView>
  </sheetViews>
  <sheetFormatPr defaultColWidth="8.6640625" defaultRowHeight="13.2"/>
  <cols>
    <col min="1" max="1" width="46.44140625" bestFit="1" customWidth="1"/>
    <col min="2" max="2" width="0" hidden="1" customWidth="1"/>
    <col min="4" max="7" width="0" hidden="1" customWidth="1"/>
    <col min="9" max="12" width="0" hidden="1" customWidth="1"/>
    <col min="14" max="17" width="0" hidden="1" customWidth="1"/>
  </cols>
  <sheetData>
    <row r="4" spans="1:57">
      <c r="A4" s="101"/>
      <c r="B4" s="101"/>
      <c r="C4" s="101"/>
      <c r="D4" s="101"/>
      <c r="E4" s="101"/>
      <c r="F4" s="101"/>
      <c r="G4" s="101"/>
      <c r="H4" s="101"/>
      <c r="I4" s="101"/>
      <c r="AD4" s="227"/>
      <c r="BD4">
        <v>2018</v>
      </c>
      <c r="BE4">
        <v>2018</v>
      </c>
    </row>
    <row r="5" spans="1:57">
      <c r="A5" s="101"/>
      <c r="B5" s="46" t="s">
        <v>2</v>
      </c>
      <c r="C5" s="46" t="s">
        <v>5</v>
      </c>
      <c r="D5" s="46" t="s">
        <v>90</v>
      </c>
      <c r="E5" s="46" t="s">
        <v>0</v>
      </c>
      <c r="F5" s="46" t="s">
        <v>1</v>
      </c>
      <c r="G5" s="46" t="s">
        <v>2</v>
      </c>
      <c r="H5" s="46" t="s">
        <v>5</v>
      </c>
      <c r="I5" s="46" t="s">
        <v>90</v>
      </c>
      <c r="J5" s="46" t="s">
        <v>0</v>
      </c>
      <c r="K5" s="46" t="s">
        <v>1</v>
      </c>
      <c r="L5" s="46" t="s">
        <v>2</v>
      </c>
      <c r="M5" s="46" t="s">
        <v>5</v>
      </c>
      <c r="N5" s="46" t="s">
        <v>90</v>
      </c>
      <c r="O5" s="46" t="s">
        <v>0</v>
      </c>
      <c r="P5" s="46" t="s">
        <v>1</v>
      </c>
      <c r="Q5" s="46" t="s">
        <v>2</v>
      </c>
      <c r="R5" s="46" t="s">
        <v>5</v>
      </c>
      <c r="S5" s="46" t="s">
        <v>90</v>
      </c>
      <c r="T5" s="46" t="s">
        <v>0</v>
      </c>
      <c r="U5" s="46" t="s">
        <v>1</v>
      </c>
      <c r="V5" s="46" t="s">
        <v>2</v>
      </c>
      <c r="W5" s="46" t="s">
        <v>5</v>
      </c>
      <c r="X5" s="46" t="s">
        <v>90</v>
      </c>
      <c r="Y5" s="46" t="s">
        <v>0</v>
      </c>
      <c r="Z5" s="46" t="s">
        <v>1</v>
      </c>
      <c r="AA5" s="46" t="s">
        <v>2</v>
      </c>
      <c r="AB5" s="46" t="s">
        <v>5</v>
      </c>
      <c r="AC5" s="46" t="s">
        <v>90</v>
      </c>
      <c r="AD5" s="46" t="s">
        <v>0</v>
      </c>
      <c r="AE5" s="46" t="s">
        <v>1</v>
      </c>
    </row>
    <row r="6" spans="1:57">
      <c r="A6" s="56" t="s">
        <v>172</v>
      </c>
      <c r="B6" s="46">
        <v>2013</v>
      </c>
      <c r="C6" s="46">
        <v>2013</v>
      </c>
      <c r="D6" s="46">
        <v>2014</v>
      </c>
      <c r="E6" s="46">
        <v>2014</v>
      </c>
      <c r="F6" s="46">
        <v>2014</v>
      </c>
      <c r="G6" s="46">
        <v>2014</v>
      </c>
      <c r="H6" s="46">
        <v>2014</v>
      </c>
      <c r="I6" s="46">
        <v>2015</v>
      </c>
      <c r="J6" s="46">
        <v>2015</v>
      </c>
      <c r="K6" s="46">
        <v>2015</v>
      </c>
      <c r="L6" s="46">
        <v>2015</v>
      </c>
      <c r="M6" s="46">
        <v>2015</v>
      </c>
      <c r="N6" s="46">
        <v>2016</v>
      </c>
      <c r="O6" s="46">
        <v>2016</v>
      </c>
      <c r="P6" s="46">
        <v>2016</v>
      </c>
      <c r="Q6" s="46">
        <v>2016</v>
      </c>
      <c r="R6" s="46">
        <v>2016</v>
      </c>
      <c r="S6" s="46">
        <v>2017</v>
      </c>
      <c r="T6" s="46">
        <v>2017</v>
      </c>
      <c r="U6" s="46">
        <v>2017</v>
      </c>
      <c r="V6" s="46">
        <v>2017</v>
      </c>
      <c r="W6" s="46">
        <v>2017</v>
      </c>
      <c r="X6" s="46">
        <v>2018</v>
      </c>
      <c r="Y6" s="46">
        <v>2018</v>
      </c>
      <c r="Z6" s="46">
        <v>2018</v>
      </c>
      <c r="AA6" s="46">
        <v>2018</v>
      </c>
      <c r="AB6" s="46">
        <v>2018</v>
      </c>
      <c r="AC6" s="46">
        <v>2019</v>
      </c>
      <c r="AD6" s="46">
        <v>2019</v>
      </c>
      <c r="AE6" s="46">
        <v>2019</v>
      </c>
    </row>
    <row r="7" spans="1:57" ht="6" customHeight="1">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1:57" ht="21">
      <c r="A8" s="34" t="s">
        <v>173</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row>
    <row r="9" spans="1:57">
      <c r="A9" s="59"/>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row>
    <row r="10" spans="1:57">
      <c r="A10" s="39" t="s">
        <v>174</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row>
    <row r="11" spans="1:57">
      <c r="C11" s="36"/>
      <c r="H11" s="36"/>
      <c r="M11" s="36"/>
      <c r="N11" s="33"/>
      <c r="R11" s="36"/>
      <c r="S11" s="33"/>
      <c r="T11" s="33"/>
      <c r="U11" s="33"/>
      <c r="W11" s="36"/>
      <c r="X11" s="33"/>
      <c r="Y11" s="33"/>
      <c r="Z11" s="33"/>
      <c r="AB11" s="36"/>
      <c r="AC11" s="33"/>
      <c r="AD11" s="33"/>
      <c r="AE11" s="33"/>
    </row>
    <row r="12" spans="1:57" ht="13.2" customHeight="1">
      <c r="A12" s="173" t="s">
        <v>175</v>
      </c>
      <c r="B12" s="147" t="s">
        <v>141</v>
      </c>
      <c r="C12" s="149" t="s">
        <v>141</v>
      </c>
      <c r="D12" s="147" t="s">
        <v>141</v>
      </c>
      <c r="E12" s="147" t="s">
        <v>141</v>
      </c>
      <c r="F12" s="147" t="s">
        <v>141</v>
      </c>
      <c r="G12" s="147" t="s">
        <v>141</v>
      </c>
      <c r="H12" s="61" t="s">
        <v>141</v>
      </c>
      <c r="I12" s="147">
        <v>-12</v>
      </c>
      <c r="J12" s="147" t="s">
        <v>141</v>
      </c>
      <c r="K12" s="147" t="s">
        <v>141</v>
      </c>
      <c r="L12" s="147" t="s">
        <v>141</v>
      </c>
      <c r="M12" s="174">
        <v>-12</v>
      </c>
      <c r="N12" s="182" t="s">
        <v>141</v>
      </c>
      <c r="O12" s="182" t="s">
        <v>141</v>
      </c>
      <c r="P12" s="182" t="s">
        <v>141</v>
      </c>
      <c r="Q12" s="147" t="s">
        <v>141</v>
      </c>
      <c r="R12" s="61" t="s">
        <v>141</v>
      </c>
      <c r="S12" s="182" t="s">
        <v>141</v>
      </c>
      <c r="T12" s="182" t="s">
        <v>141</v>
      </c>
      <c r="U12" s="182" t="s">
        <v>141</v>
      </c>
      <c r="V12" s="147" t="s">
        <v>141</v>
      </c>
      <c r="W12" s="61" t="s">
        <v>141</v>
      </c>
      <c r="X12" s="182" t="s">
        <v>141</v>
      </c>
      <c r="Y12" s="182" t="s">
        <v>141</v>
      </c>
      <c r="Z12" s="182" t="s">
        <v>141</v>
      </c>
      <c r="AA12" s="147" t="s">
        <v>141</v>
      </c>
      <c r="AB12" s="61" t="s">
        <v>141</v>
      </c>
      <c r="AC12" s="182" t="s">
        <v>141</v>
      </c>
      <c r="AD12" s="182" t="s">
        <v>141</v>
      </c>
      <c r="AE12" s="182" t="s">
        <v>141</v>
      </c>
    </row>
    <row r="13" spans="1:57" ht="13.2" customHeight="1">
      <c r="C13" s="149"/>
      <c r="H13" s="36"/>
      <c r="M13" s="36"/>
      <c r="N13" s="33"/>
      <c r="O13" s="33"/>
      <c r="P13" s="33"/>
      <c r="R13" s="36"/>
      <c r="S13" s="33"/>
      <c r="T13" s="33"/>
      <c r="U13" s="33"/>
      <c r="W13" s="36"/>
      <c r="X13" s="33"/>
      <c r="Y13" s="33"/>
      <c r="Z13" s="33"/>
      <c r="AB13" s="36"/>
      <c r="AC13" s="33"/>
      <c r="AD13" s="33"/>
      <c r="AE13" s="33"/>
    </row>
    <row r="14" spans="1:57" ht="13.2" customHeight="1">
      <c r="A14" s="2" t="s">
        <v>176</v>
      </c>
      <c r="B14" s="147" t="s">
        <v>141</v>
      </c>
      <c r="C14" s="149" t="s">
        <v>141</v>
      </c>
      <c r="D14" s="147" t="s">
        <v>141</v>
      </c>
      <c r="E14" s="148">
        <v>-582</v>
      </c>
      <c r="F14" s="147" t="s">
        <v>141</v>
      </c>
      <c r="G14" s="147" t="s">
        <v>141</v>
      </c>
      <c r="H14" s="174">
        <v>-582</v>
      </c>
      <c r="I14" s="147" t="s">
        <v>141</v>
      </c>
      <c r="J14" s="147" t="s">
        <v>141</v>
      </c>
      <c r="K14" s="147" t="s">
        <v>141</v>
      </c>
      <c r="L14" s="147" t="s">
        <v>141</v>
      </c>
      <c r="M14" s="61" t="s">
        <v>141</v>
      </c>
      <c r="N14" s="182" t="s">
        <v>141</v>
      </c>
      <c r="O14" s="182" t="s">
        <v>141</v>
      </c>
      <c r="P14" s="182" t="s">
        <v>141</v>
      </c>
      <c r="Q14" s="147" t="s">
        <v>141</v>
      </c>
      <c r="R14" s="61" t="s">
        <v>141</v>
      </c>
      <c r="S14" s="182" t="s">
        <v>141</v>
      </c>
      <c r="T14" s="182" t="s">
        <v>141</v>
      </c>
      <c r="U14" s="182" t="s">
        <v>141</v>
      </c>
      <c r="V14" s="147" t="s">
        <v>141</v>
      </c>
      <c r="W14" s="61" t="s">
        <v>141</v>
      </c>
      <c r="X14" s="182" t="s">
        <v>141</v>
      </c>
      <c r="Y14" s="182" t="s">
        <v>141</v>
      </c>
      <c r="Z14" s="182" t="s">
        <v>141</v>
      </c>
      <c r="AA14" s="147" t="s">
        <v>141</v>
      </c>
      <c r="AB14" s="61" t="s">
        <v>141</v>
      </c>
      <c r="AC14" s="182" t="s">
        <v>141</v>
      </c>
      <c r="AD14" s="182" t="s">
        <v>141</v>
      </c>
      <c r="AE14" s="182" t="s">
        <v>141</v>
      </c>
    </row>
    <row r="15" spans="1:57" ht="13.2" customHeight="1">
      <c r="A15" s="69"/>
      <c r="B15" s="148"/>
      <c r="C15" s="174"/>
      <c r="D15" s="148"/>
      <c r="E15" s="148"/>
      <c r="F15" s="148"/>
      <c r="G15" s="148"/>
      <c r="H15" s="36"/>
      <c r="I15" s="147"/>
      <c r="J15" s="147"/>
      <c r="K15" s="147"/>
      <c r="L15" s="148"/>
      <c r="M15" s="36"/>
      <c r="N15" s="182"/>
      <c r="O15" s="182"/>
      <c r="P15" s="182"/>
      <c r="Q15" s="148"/>
      <c r="R15" s="36"/>
      <c r="S15" s="182"/>
      <c r="T15" s="182"/>
      <c r="U15" s="182"/>
      <c r="V15" s="148"/>
      <c r="W15" s="36"/>
      <c r="X15" s="182"/>
      <c r="Y15" s="182"/>
      <c r="Z15" s="182"/>
      <c r="AA15" s="148"/>
      <c r="AB15" s="36"/>
      <c r="AC15" s="182"/>
      <c r="AD15" s="182"/>
      <c r="AE15" s="182"/>
    </row>
    <row r="16" spans="1:57" ht="13.2" customHeight="1">
      <c r="A16" s="2" t="s">
        <v>264</v>
      </c>
      <c r="B16" s="148"/>
      <c r="C16" s="149" t="s">
        <v>141</v>
      </c>
      <c r="D16" s="148"/>
      <c r="E16" s="148"/>
      <c r="F16" s="148"/>
      <c r="G16" s="148"/>
      <c r="H16" s="149" t="s">
        <v>141</v>
      </c>
      <c r="I16" s="147"/>
      <c r="J16" s="147"/>
      <c r="K16" s="147"/>
      <c r="L16" s="148"/>
      <c r="M16" s="149" t="s">
        <v>141</v>
      </c>
      <c r="N16" s="182" t="s">
        <v>141</v>
      </c>
      <c r="O16" s="182" t="s">
        <v>141</v>
      </c>
      <c r="P16" s="182" t="s">
        <v>141</v>
      </c>
      <c r="Q16" s="147" t="s">
        <v>141</v>
      </c>
      <c r="R16" s="149" t="s">
        <v>141</v>
      </c>
      <c r="S16" s="182" t="s">
        <v>141</v>
      </c>
      <c r="T16" s="182" t="s">
        <v>141</v>
      </c>
      <c r="U16" s="182" t="s">
        <v>141</v>
      </c>
      <c r="V16" s="147" t="s">
        <v>141</v>
      </c>
      <c r="W16" s="149" t="s">
        <v>141</v>
      </c>
      <c r="X16" s="182" t="s">
        <v>141</v>
      </c>
      <c r="Y16" s="182" t="s">
        <v>141</v>
      </c>
      <c r="Z16" s="182" t="s">
        <v>141</v>
      </c>
      <c r="AA16" s="147">
        <v>-14</v>
      </c>
      <c r="AB16" s="174">
        <v>-14</v>
      </c>
      <c r="AC16" s="182" t="s">
        <v>141</v>
      </c>
      <c r="AD16" s="182" t="s">
        <v>141</v>
      </c>
      <c r="AE16" s="182" t="s">
        <v>141</v>
      </c>
    </row>
    <row r="17" spans="1:31" ht="13.2" customHeight="1">
      <c r="A17" s="69"/>
      <c r="B17" s="148"/>
      <c r="C17" s="174"/>
      <c r="D17" s="148"/>
      <c r="E17" s="148"/>
      <c r="F17" s="148"/>
      <c r="G17" s="148"/>
      <c r="H17" s="36"/>
      <c r="I17" s="147"/>
      <c r="J17" s="147"/>
      <c r="K17" s="147"/>
      <c r="L17" s="148"/>
      <c r="M17" s="36"/>
      <c r="N17" s="182"/>
      <c r="O17" s="182"/>
      <c r="P17" s="182"/>
      <c r="Q17" s="148"/>
      <c r="R17" s="36"/>
      <c r="S17" s="182"/>
      <c r="T17" s="182"/>
      <c r="U17" s="182"/>
      <c r="V17" s="148"/>
      <c r="W17" s="36"/>
      <c r="X17" s="182"/>
      <c r="Y17" s="182"/>
      <c r="Z17" s="182"/>
      <c r="AA17" s="148"/>
      <c r="AB17" s="36"/>
      <c r="AC17" s="182"/>
      <c r="AD17" s="182"/>
      <c r="AE17" s="182"/>
    </row>
    <row r="18" spans="1:31" ht="27" customHeight="1">
      <c r="A18" s="175" t="s">
        <v>177</v>
      </c>
      <c r="B18" s="148">
        <v>-29</v>
      </c>
      <c r="C18" s="174">
        <v>-120</v>
      </c>
      <c r="D18" s="148">
        <v>-12</v>
      </c>
      <c r="E18" s="148">
        <v>-102</v>
      </c>
      <c r="F18" s="147">
        <v>-27</v>
      </c>
      <c r="G18" s="148">
        <v>-26</v>
      </c>
      <c r="H18" s="174">
        <v>-167</v>
      </c>
      <c r="I18" s="147">
        <v>-11</v>
      </c>
      <c r="J18" s="147">
        <v>-148</v>
      </c>
      <c r="K18" s="147">
        <v>-13</v>
      </c>
      <c r="L18" s="148">
        <f>M18-SUM(I18:K18)</f>
        <v>-62</v>
      </c>
      <c r="M18" s="174">
        <v>-234</v>
      </c>
      <c r="N18" s="182">
        <v>-11</v>
      </c>
      <c r="O18" s="182">
        <v>-29</v>
      </c>
      <c r="P18" s="182">
        <v>-22</v>
      </c>
      <c r="Q18" s="148">
        <f>R18-P18-O18-N18</f>
        <v>-45</v>
      </c>
      <c r="R18" s="174">
        <v>-107</v>
      </c>
      <c r="S18" s="182">
        <v>-6</v>
      </c>
      <c r="T18" s="182">
        <v>-14</v>
      </c>
      <c r="U18" s="182">
        <v>-45</v>
      </c>
      <c r="V18" s="148">
        <v>-1</v>
      </c>
      <c r="W18" s="174">
        <v>-66</v>
      </c>
      <c r="X18" s="182">
        <v>-1</v>
      </c>
      <c r="Y18" s="182">
        <v>-5</v>
      </c>
      <c r="Z18" s="182">
        <v>-1</v>
      </c>
      <c r="AA18" s="148">
        <v>6</v>
      </c>
      <c r="AB18" s="174">
        <v>-1</v>
      </c>
      <c r="AC18" s="182">
        <v>-44</v>
      </c>
      <c r="AD18" s="182">
        <v>-417</v>
      </c>
      <c r="AE18" s="182">
        <v>-11</v>
      </c>
    </row>
    <row r="19" spans="1:31" ht="13.2" customHeight="1">
      <c r="A19" s="69"/>
      <c r="B19" s="148"/>
      <c r="C19" s="174"/>
      <c r="D19" s="148"/>
      <c r="E19" s="148"/>
      <c r="F19" s="148"/>
      <c r="G19" s="148"/>
      <c r="H19" s="174"/>
      <c r="I19" s="147"/>
      <c r="J19" s="147"/>
      <c r="K19" s="147"/>
      <c r="L19" s="148"/>
      <c r="M19" s="174"/>
      <c r="N19" s="182"/>
      <c r="O19" s="182"/>
      <c r="P19" s="182"/>
      <c r="Q19" s="148"/>
      <c r="R19" s="174"/>
      <c r="S19" s="182"/>
      <c r="T19" s="182"/>
      <c r="U19" s="182"/>
      <c r="V19" s="148"/>
      <c r="W19" s="174"/>
      <c r="X19" s="182"/>
      <c r="Y19" s="182"/>
      <c r="Z19" s="182"/>
      <c r="AA19" s="148"/>
      <c r="AB19" s="174"/>
      <c r="AC19" s="182"/>
      <c r="AD19" s="182"/>
      <c r="AE19" s="182"/>
    </row>
    <row r="20" spans="1:31" ht="13.2" customHeight="1">
      <c r="A20" s="2" t="s">
        <v>178</v>
      </c>
      <c r="B20" s="148">
        <v>-7</v>
      </c>
      <c r="C20" s="174">
        <v>-47</v>
      </c>
      <c r="D20" s="148">
        <v>-5</v>
      </c>
      <c r="E20" s="147">
        <v>-2</v>
      </c>
      <c r="F20" s="147">
        <v>-1</v>
      </c>
      <c r="G20" s="147" t="s">
        <v>141</v>
      </c>
      <c r="H20" s="174">
        <v>-8</v>
      </c>
      <c r="I20" s="147" t="s">
        <v>141</v>
      </c>
      <c r="J20" s="147" t="s">
        <v>141</v>
      </c>
      <c r="K20" s="147" t="s">
        <v>141</v>
      </c>
      <c r="L20" s="147" t="s">
        <v>141</v>
      </c>
      <c r="M20" s="61" t="s">
        <v>141</v>
      </c>
      <c r="N20" s="182" t="s">
        <v>141</v>
      </c>
      <c r="O20" s="182" t="s">
        <v>141</v>
      </c>
      <c r="P20" s="182" t="s">
        <v>141</v>
      </c>
      <c r="Q20" s="147" t="s">
        <v>141</v>
      </c>
      <c r="R20" s="61" t="s">
        <v>141</v>
      </c>
      <c r="S20" s="182" t="s">
        <v>141</v>
      </c>
      <c r="T20" s="182" t="s">
        <v>141</v>
      </c>
      <c r="U20" s="182" t="s">
        <v>141</v>
      </c>
      <c r="V20" s="147" t="s">
        <v>141</v>
      </c>
      <c r="W20" s="61" t="s">
        <v>141</v>
      </c>
      <c r="X20" s="182" t="s">
        <v>141</v>
      </c>
      <c r="Y20" s="182" t="s">
        <v>141</v>
      </c>
      <c r="Z20" s="182" t="s">
        <v>141</v>
      </c>
      <c r="AA20" s="147" t="s">
        <v>141</v>
      </c>
      <c r="AB20" s="61" t="s">
        <v>141</v>
      </c>
      <c r="AC20" s="182" t="s">
        <v>141</v>
      </c>
      <c r="AD20" s="182" t="s">
        <v>141</v>
      </c>
      <c r="AE20" s="182" t="s">
        <v>141</v>
      </c>
    </row>
    <row r="21" spans="1:31" ht="13.2" customHeight="1">
      <c r="A21" s="69"/>
      <c r="B21" s="148"/>
      <c r="C21" s="174"/>
      <c r="D21" s="148"/>
      <c r="E21" s="148"/>
      <c r="F21" s="148"/>
      <c r="G21" s="148"/>
      <c r="H21" s="174"/>
      <c r="I21" s="148"/>
      <c r="J21" s="148"/>
      <c r="K21" s="148"/>
      <c r="L21" s="148"/>
      <c r="M21" s="174"/>
      <c r="N21" s="183"/>
      <c r="O21" s="183"/>
      <c r="P21" s="183"/>
      <c r="Q21" s="148"/>
      <c r="R21" s="174"/>
      <c r="S21" s="183"/>
      <c r="T21" s="183"/>
      <c r="U21" s="183"/>
      <c r="V21" s="148"/>
      <c r="W21" s="174"/>
      <c r="X21" s="183"/>
      <c r="Y21" s="183"/>
      <c r="Z21" s="183"/>
      <c r="AA21" s="148"/>
      <c r="AB21" s="174"/>
      <c r="AC21" s="183"/>
      <c r="AD21" s="183"/>
      <c r="AE21" s="183"/>
    </row>
    <row r="22" spans="1:31" ht="13.2" customHeight="1">
      <c r="A22" s="2" t="s">
        <v>179</v>
      </c>
      <c r="B22" s="148">
        <v>2</v>
      </c>
      <c r="C22" s="149" t="s">
        <v>141</v>
      </c>
      <c r="D22" s="147" t="s">
        <v>141</v>
      </c>
      <c r="E22" s="147" t="s">
        <v>141</v>
      </c>
      <c r="F22" s="147">
        <v>-5</v>
      </c>
      <c r="G22" s="148">
        <f>H22-F22</f>
        <v>-18</v>
      </c>
      <c r="H22" s="174">
        <v>-23</v>
      </c>
      <c r="I22" s="148">
        <v>6</v>
      </c>
      <c r="J22" s="148">
        <v>6</v>
      </c>
      <c r="K22" s="147" t="s">
        <v>141</v>
      </c>
      <c r="L22" s="148">
        <f>M22-SUM(I22:K22)</f>
        <v>22</v>
      </c>
      <c r="M22" s="174">
        <v>34</v>
      </c>
      <c r="N22" s="182" t="s">
        <v>141</v>
      </c>
      <c r="O22" s="182" t="s">
        <v>141</v>
      </c>
      <c r="P22" s="182" t="s">
        <v>141</v>
      </c>
      <c r="Q22" s="148"/>
      <c r="R22" s="174"/>
      <c r="S22" s="182" t="s">
        <v>141</v>
      </c>
      <c r="T22" s="182" t="s">
        <v>141</v>
      </c>
      <c r="U22" s="182" t="s">
        <v>141</v>
      </c>
      <c r="V22" s="147" t="s">
        <v>141</v>
      </c>
      <c r="W22" s="174"/>
      <c r="X22" s="182" t="s">
        <v>141</v>
      </c>
      <c r="Y22" s="182" t="s">
        <v>141</v>
      </c>
      <c r="Z22" s="182" t="s">
        <v>141</v>
      </c>
      <c r="AA22" s="147" t="s">
        <v>141</v>
      </c>
      <c r="AB22" s="61" t="s">
        <v>141</v>
      </c>
      <c r="AC22" s="182" t="s">
        <v>141</v>
      </c>
      <c r="AD22" s="182" t="s">
        <v>141</v>
      </c>
      <c r="AE22" s="182" t="s">
        <v>141</v>
      </c>
    </row>
    <row r="23" spans="1:31" ht="13.2" customHeight="1">
      <c r="A23" s="69"/>
      <c r="B23" s="148"/>
      <c r="C23" s="174"/>
      <c r="D23" s="148"/>
      <c r="E23" s="148"/>
      <c r="F23" s="148"/>
      <c r="G23" s="148"/>
      <c r="H23" s="36"/>
      <c r="I23" s="148"/>
      <c r="J23" s="148"/>
      <c r="K23" s="148"/>
      <c r="L23" s="148"/>
      <c r="M23" s="36"/>
      <c r="N23" s="183"/>
      <c r="O23" s="183"/>
      <c r="P23" s="183"/>
      <c r="Q23" s="148"/>
      <c r="R23" s="36"/>
      <c r="S23" s="183"/>
      <c r="T23" s="183"/>
      <c r="U23" s="183"/>
      <c r="V23" s="148"/>
      <c r="W23" s="36"/>
      <c r="X23" s="183"/>
      <c r="Y23" s="183"/>
      <c r="Z23" s="183"/>
      <c r="AA23" s="148"/>
      <c r="AB23" s="36"/>
      <c r="AC23" s="183"/>
      <c r="AD23" s="183"/>
      <c r="AE23" s="183"/>
    </row>
    <row r="24" spans="1:31" ht="13.2" customHeight="1">
      <c r="A24" s="2" t="s">
        <v>288</v>
      </c>
      <c r="B24" s="148">
        <v>53</v>
      </c>
      <c r="C24" s="174">
        <v>90</v>
      </c>
      <c r="D24" s="148">
        <v>8</v>
      </c>
      <c r="E24" s="148">
        <v>117</v>
      </c>
      <c r="F24" s="148">
        <v>8</v>
      </c>
      <c r="G24" s="148">
        <v>43</v>
      </c>
      <c r="H24" s="61">
        <v>176</v>
      </c>
      <c r="I24" s="147" t="s">
        <v>141</v>
      </c>
      <c r="J24" s="147">
        <v>1</v>
      </c>
      <c r="K24" s="147" t="s">
        <v>141</v>
      </c>
      <c r="L24" s="148">
        <f>M24-SUM(I24:K24)</f>
        <v>116</v>
      </c>
      <c r="M24" s="174">
        <v>117</v>
      </c>
      <c r="N24" s="182">
        <v>1</v>
      </c>
      <c r="O24" s="182">
        <v>14</v>
      </c>
      <c r="P24" s="182">
        <v>3</v>
      </c>
      <c r="Q24" s="148">
        <f>R24-P24-O24-N24</f>
        <v>78</v>
      </c>
      <c r="R24" s="174">
        <v>96</v>
      </c>
      <c r="S24" s="182" t="s">
        <v>141</v>
      </c>
      <c r="T24" s="182">
        <v>12</v>
      </c>
      <c r="U24" s="182">
        <v>3</v>
      </c>
      <c r="V24" s="148">
        <v>8</v>
      </c>
      <c r="W24" s="174">
        <v>23</v>
      </c>
      <c r="X24" s="182">
        <v>12</v>
      </c>
      <c r="Y24" s="182">
        <v>81</v>
      </c>
      <c r="Z24" s="182">
        <v>6</v>
      </c>
      <c r="AA24" s="148">
        <v>460</v>
      </c>
      <c r="AB24" s="174">
        <v>559</v>
      </c>
      <c r="AC24" s="182">
        <v>-25</v>
      </c>
      <c r="AD24" s="182">
        <v>1</v>
      </c>
      <c r="AE24" s="182">
        <v>3</v>
      </c>
    </row>
    <row r="25" spans="1:31" ht="13.2" customHeight="1">
      <c r="A25" s="69"/>
      <c r="B25" s="148"/>
      <c r="C25" s="174"/>
      <c r="D25" s="148"/>
      <c r="E25" s="148"/>
      <c r="F25" s="148"/>
      <c r="G25" s="148"/>
      <c r="H25" s="36"/>
      <c r="I25" s="148"/>
      <c r="J25" s="148"/>
      <c r="K25" s="148"/>
      <c r="L25" s="148"/>
      <c r="M25" s="36"/>
      <c r="N25" s="183"/>
      <c r="O25" s="183"/>
      <c r="P25" s="183"/>
      <c r="Q25" s="148"/>
      <c r="R25" s="36"/>
      <c r="S25" s="183"/>
      <c r="T25" s="183"/>
      <c r="U25" s="183"/>
      <c r="V25" s="148"/>
      <c r="W25" s="36"/>
      <c r="X25" s="183"/>
      <c r="Y25" s="183"/>
      <c r="Z25" s="183"/>
      <c r="AA25" s="148"/>
      <c r="AB25" s="36"/>
      <c r="AC25" s="183"/>
      <c r="AD25" s="183"/>
      <c r="AE25" s="183"/>
    </row>
    <row r="26" spans="1:31" ht="15.6" customHeight="1">
      <c r="A26" s="175" t="s">
        <v>180</v>
      </c>
      <c r="B26" s="148">
        <v>61</v>
      </c>
      <c r="C26" s="174">
        <v>61</v>
      </c>
      <c r="D26" s="147" t="s">
        <v>141</v>
      </c>
      <c r="E26" s="147" t="s">
        <v>141</v>
      </c>
      <c r="F26" s="147" t="s">
        <v>141</v>
      </c>
      <c r="G26" s="148">
        <v>18</v>
      </c>
      <c r="H26" s="174">
        <v>18</v>
      </c>
      <c r="I26" s="147" t="s">
        <v>141</v>
      </c>
      <c r="J26" s="147" t="s">
        <v>141</v>
      </c>
      <c r="K26" s="147" t="s">
        <v>141</v>
      </c>
      <c r="L26" s="147" t="s">
        <v>141</v>
      </c>
      <c r="M26" s="61" t="s">
        <v>141</v>
      </c>
      <c r="N26" s="182" t="s">
        <v>141</v>
      </c>
      <c r="O26" s="182" t="s">
        <v>141</v>
      </c>
      <c r="P26" s="182" t="s">
        <v>141</v>
      </c>
      <c r="Q26" s="147" t="s">
        <v>141</v>
      </c>
      <c r="R26" s="61" t="s">
        <v>141</v>
      </c>
      <c r="S26" s="182" t="s">
        <v>141</v>
      </c>
      <c r="T26" s="182" t="s">
        <v>141</v>
      </c>
      <c r="U26" s="182" t="s">
        <v>141</v>
      </c>
      <c r="V26" s="147" t="s">
        <v>141</v>
      </c>
      <c r="W26" s="61" t="s">
        <v>141</v>
      </c>
      <c r="X26" s="182" t="s">
        <v>141</v>
      </c>
      <c r="Y26" s="182" t="s">
        <v>141</v>
      </c>
      <c r="Z26" s="182" t="s">
        <v>141</v>
      </c>
      <c r="AA26" s="147" t="s">
        <v>141</v>
      </c>
      <c r="AB26" s="61" t="s">
        <v>141</v>
      </c>
      <c r="AC26" s="182" t="s">
        <v>141</v>
      </c>
      <c r="AD26" s="182" t="s">
        <v>141</v>
      </c>
      <c r="AE26" s="182" t="s">
        <v>141</v>
      </c>
    </row>
    <row r="27" spans="1:31" ht="12" customHeight="1">
      <c r="A27" s="69"/>
      <c r="B27" s="148"/>
      <c r="C27" s="174"/>
      <c r="D27" s="148"/>
      <c r="E27" s="148"/>
      <c r="F27" s="148"/>
      <c r="G27" s="148"/>
      <c r="H27" s="36"/>
      <c r="I27" s="148"/>
      <c r="J27" s="148"/>
      <c r="K27" s="148"/>
      <c r="L27" s="148"/>
      <c r="M27" s="36"/>
      <c r="N27" s="183"/>
      <c r="O27" s="183"/>
      <c r="P27" s="183"/>
      <c r="Q27" s="148"/>
      <c r="R27" s="36"/>
      <c r="S27" s="183"/>
      <c r="T27" s="183"/>
      <c r="U27" s="183"/>
      <c r="V27" s="148"/>
      <c r="W27" s="36"/>
      <c r="X27" s="183"/>
      <c r="Y27" s="183"/>
      <c r="Z27" s="183"/>
      <c r="AA27" s="148"/>
      <c r="AB27" s="36"/>
      <c r="AC27" s="183"/>
      <c r="AD27" s="183"/>
      <c r="AE27" s="183"/>
    </row>
    <row r="28" spans="1:31" ht="16.2" customHeight="1">
      <c r="A28" s="175" t="s">
        <v>287</v>
      </c>
      <c r="B28" s="148"/>
      <c r="C28" s="61" t="s">
        <v>141</v>
      </c>
      <c r="D28" s="61" t="s">
        <v>141</v>
      </c>
      <c r="E28" s="61" t="s">
        <v>141</v>
      </c>
      <c r="F28" s="61" t="s">
        <v>141</v>
      </c>
      <c r="G28" s="61" t="s">
        <v>141</v>
      </c>
      <c r="H28" s="61" t="s">
        <v>141</v>
      </c>
      <c r="I28" s="61" t="s">
        <v>141</v>
      </c>
      <c r="J28" s="61" t="s">
        <v>141</v>
      </c>
      <c r="K28" s="61" t="s">
        <v>141</v>
      </c>
      <c r="L28" s="61" t="s">
        <v>141</v>
      </c>
      <c r="M28" s="61" t="s">
        <v>141</v>
      </c>
      <c r="N28" s="183"/>
      <c r="O28" s="183"/>
      <c r="P28" s="183"/>
      <c r="Q28" s="148"/>
      <c r="R28" s="61" t="s">
        <v>141</v>
      </c>
      <c r="S28" s="182" t="s">
        <v>141</v>
      </c>
      <c r="T28" s="182" t="s">
        <v>141</v>
      </c>
      <c r="U28" s="182" t="s">
        <v>141</v>
      </c>
      <c r="V28" s="147" t="s">
        <v>141</v>
      </c>
      <c r="W28" s="61" t="s">
        <v>141</v>
      </c>
      <c r="X28" s="182" t="s">
        <v>141</v>
      </c>
      <c r="Y28" s="182" t="s">
        <v>141</v>
      </c>
      <c r="Z28" s="182" t="s">
        <v>141</v>
      </c>
      <c r="AA28" s="147" t="s">
        <v>141</v>
      </c>
      <c r="AB28" s="61" t="s">
        <v>141</v>
      </c>
      <c r="AC28" s="182">
        <v>45</v>
      </c>
      <c r="AD28" s="182" t="s">
        <v>141</v>
      </c>
      <c r="AE28" s="182" t="s">
        <v>141</v>
      </c>
    </row>
    <row r="29" spans="1:31" ht="12" customHeight="1">
      <c r="A29" s="175"/>
      <c r="B29" s="148"/>
      <c r="C29" s="174"/>
      <c r="D29" s="148"/>
      <c r="E29" s="148"/>
      <c r="F29" s="148"/>
      <c r="G29" s="148"/>
      <c r="H29" s="36"/>
      <c r="I29" s="148"/>
      <c r="J29" s="148"/>
      <c r="K29" s="148"/>
      <c r="L29" s="148"/>
      <c r="M29" s="36"/>
      <c r="N29" s="183"/>
      <c r="O29" s="183"/>
      <c r="P29" s="183"/>
      <c r="Q29" s="148"/>
      <c r="R29" s="36"/>
      <c r="S29" s="183"/>
      <c r="T29" s="183"/>
      <c r="U29" s="183"/>
      <c r="V29" s="148"/>
      <c r="W29" s="36"/>
      <c r="X29" s="183"/>
      <c r="Y29" s="183"/>
      <c r="Z29" s="183"/>
      <c r="AA29" s="148"/>
      <c r="AB29" s="36"/>
      <c r="AC29" s="183"/>
      <c r="AD29" s="183"/>
      <c r="AE29" s="183"/>
    </row>
    <row r="30" spans="1:31" ht="27" customHeight="1">
      <c r="A30" s="175" t="s">
        <v>301</v>
      </c>
      <c r="B30" s="148"/>
      <c r="C30" s="61" t="s">
        <v>141</v>
      </c>
      <c r="D30" s="61" t="s">
        <v>141</v>
      </c>
      <c r="E30" s="61" t="s">
        <v>141</v>
      </c>
      <c r="F30" s="61" t="s">
        <v>141</v>
      </c>
      <c r="G30" s="61" t="s">
        <v>141</v>
      </c>
      <c r="H30" s="61" t="s">
        <v>141</v>
      </c>
      <c r="I30" s="61" t="s">
        <v>141</v>
      </c>
      <c r="J30" s="61" t="s">
        <v>141</v>
      </c>
      <c r="K30" s="61" t="s">
        <v>141</v>
      </c>
      <c r="L30" s="61" t="s">
        <v>141</v>
      </c>
      <c r="M30" s="61" t="s">
        <v>141</v>
      </c>
      <c r="N30" s="183"/>
      <c r="O30" s="183"/>
      <c r="P30" s="183"/>
      <c r="Q30" s="148"/>
      <c r="R30" s="61" t="s">
        <v>141</v>
      </c>
      <c r="S30" s="182" t="s">
        <v>141</v>
      </c>
      <c r="T30" s="182" t="s">
        <v>141</v>
      </c>
      <c r="U30" s="182" t="s">
        <v>141</v>
      </c>
      <c r="V30" s="147" t="s">
        <v>141</v>
      </c>
      <c r="W30" s="61" t="s">
        <v>141</v>
      </c>
      <c r="X30" s="182" t="s">
        <v>141</v>
      </c>
      <c r="Y30" s="182" t="s">
        <v>141</v>
      </c>
      <c r="Z30" s="182" t="s">
        <v>141</v>
      </c>
      <c r="AA30" s="147" t="s">
        <v>141</v>
      </c>
      <c r="AB30" s="61" t="s">
        <v>141</v>
      </c>
      <c r="AC30" s="182" t="s">
        <v>141</v>
      </c>
      <c r="AD30" s="182" t="s">
        <v>141</v>
      </c>
      <c r="AE30" s="183">
        <v>45</v>
      </c>
    </row>
    <row r="31" spans="1:31" ht="15" customHeight="1">
      <c r="A31" s="175"/>
      <c r="B31" s="148"/>
      <c r="C31" s="174"/>
      <c r="D31" s="148"/>
      <c r="E31" s="148"/>
      <c r="F31" s="148"/>
      <c r="G31" s="148"/>
      <c r="H31" s="36"/>
      <c r="I31" s="148"/>
      <c r="J31" s="148"/>
      <c r="K31" s="148"/>
      <c r="L31" s="148"/>
      <c r="M31" s="36"/>
      <c r="N31" s="183"/>
      <c r="O31" s="183"/>
      <c r="P31" s="183"/>
      <c r="Q31" s="148"/>
      <c r="R31" s="36"/>
      <c r="S31" s="183"/>
      <c r="T31" s="183"/>
      <c r="U31" s="183"/>
      <c r="V31" s="148"/>
      <c r="W31" s="36"/>
      <c r="X31" s="183"/>
      <c r="Y31" s="183"/>
      <c r="Z31" s="183"/>
      <c r="AA31" s="148"/>
      <c r="AB31" s="36"/>
      <c r="AC31" s="183"/>
      <c r="AD31" s="183"/>
      <c r="AE31" s="183"/>
    </row>
    <row r="32" spans="1:31" ht="27" customHeight="1">
      <c r="A32" s="175" t="s">
        <v>181</v>
      </c>
      <c r="B32" s="147">
        <v>1</v>
      </c>
      <c r="C32" s="174">
        <v>1</v>
      </c>
      <c r="D32" s="147" t="s">
        <v>141</v>
      </c>
      <c r="E32" s="147" t="s">
        <v>141</v>
      </c>
      <c r="F32" s="147" t="s">
        <v>141</v>
      </c>
      <c r="G32" s="147" t="s">
        <v>141</v>
      </c>
      <c r="H32" s="61" t="s">
        <v>141</v>
      </c>
      <c r="I32" s="147" t="s">
        <v>141</v>
      </c>
      <c r="J32" s="147" t="s">
        <v>141</v>
      </c>
      <c r="K32" s="147" t="s">
        <v>141</v>
      </c>
      <c r="L32" s="147" t="s">
        <v>141</v>
      </c>
      <c r="M32" s="61" t="s">
        <v>141</v>
      </c>
      <c r="N32" s="182" t="s">
        <v>141</v>
      </c>
      <c r="O32" s="182" t="s">
        <v>141</v>
      </c>
      <c r="P32" s="182" t="s">
        <v>141</v>
      </c>
      <c r="Q32" s="147" t="s">
        <v>141</v>
      </c>
      <c r="R32" s="61" t="s">
        <v>141</v>
      </c>
      <c r="S32" s="182" t="s">
        <v>141</v>
      </c>
      <c r="T32" s="182" t="s">
        <v>141</v>
      </c>
      <c r="U32" s="182" t="s">
        <v>141</v>
      </c>
      <c r="V32" s="147" t="s">
        <v>141</v>
      </c>
      <c r="W32" s="61" t="s">
        <v>141</v>
      </c>
      <c r="X32" s="182" t="s">
        <v>141</v>
      </c>
      <c r="Y32" s="182" t="s">
        <v>141</v>
      </c>
      <c r="Z32" s="182" t="s">
        <v>141</v>
      </c>
      <c r="AA32" s="147" t="s">
        <v>141</v>
      </c>
      <c r="AB32" s="61" t="s">
        <v>141</v>
      </c>
      <c r="AC32" s="182" t="s">
        <v>141</v>
      </c>
      <c r="AD32" s="182" t="s">
        <v>141</v>
      </c>
      <c r="AE32" s="182" t="s">
        <v>141</v>
      </c>
    </row>
    <row r="33" spans="1:56" ht="13.2" customHeight="1">
      <c r="A33" s="69"/>
      <c r="B33" s="147"/>
      <c r="C33" s="174"/>
      <c r="D33" s="147"/>
      <c r="E33" s="147"/>
      <c r="F33" s="147"/>
      <c r="G33" s="147"/>
      <c r="H33" s="61"/>
      <c r="I33" s="147"/>
      <c r="J33" s="147"/>
      <c r="K33" s="147"/>
      <c r="L33" s="147"/>
      <c r="M33" s="61"/>
      <c r="N33" s="182"/>
      <c r="O33" s="182"/>
      <c r="P33" s="182"/>
      <c r="Q33" s="147"/>
      <c r="R33" s="61"/>
      <c r="S33" s="182"/>
      <c r="T33" s="182"/>
      <c r="U33" s="182"/>
      <c r="V33" s="147"/>
      <c r="W33" s="61"/>
      <c r="X33" s="182"/>
      <c r="Y33" s="182"/>
      <c r="Z33" s="182"/>
      <c r="AA33" s="147"/>
      <c r="AB33" s="61"/>
      <c r="AC33" s="182"/>
      <c r="AD33" s="182"/>
      <c r="AE33" s="182"/>
    </row>
    <row r="34" spans="1:56" ht="13.2" customHeight="1">
      <c r="A34" s="175" t="s">
        <v>268</v>
      </c>
      <c r="B34" s="147" t="s">
        <v>141</v>
      </c>
      <c r="C34" s="149" t="s">
        <v>141</v>
      </c>
      <c r="D34" s="148">
        <v>1</v>
      </c>
      <c r="E34" s="148">
        <v>1</v>
      </c>
      <c r="F34" s="147" t="s">
        <v>141</v>
      </c>
      <c r="G34" s="147">
        <v>-2</v>
      </c>
      <c r="H34" s="61" t="s">
        <v>141</v>
      </c>
      <c r="I34" s="147" t="s">
        <v>141</v>
      </c>
      <c r="J34" s="147" t="s">
        <v>141</v>
      </c>
      <c r="K34" s="147" t="s">
        <v>141</v>
      </c>
      <c r="L34" s="147" t="s">
        <v>141</v>
      </c>
      <c r="M34" s="61" t="s">
        <v>141</v>
      </c>
      <c r="N34" s="182">
        <v>15</v>
      </c>
      <c r="O34" s="182">
        <v>3</v>
      </c>
      <c r="P34" s="182">
        <v>-7</v>
      </c>
      <c r="Q34" s="147" t="s">
        <v>141</v>
      </c>
      <c r="R34" s="61">
        <v>11</v>
      </c>
      <c r="S34" s="182">
        <v>2</v>
      </c>
      <c r="T34" s="182">
        <v>1</v>
      </c>
      <c r="U34" s="182">
        <v>19</v>
      </c>
      <c r="V34" s="148">
        <v>2</v>
      </c>
      <c r="W34" s="61">
        <v>24</v>
      </c>
      <c r="X34" s="182">
        <v>12</v>
      </c>
      <c r="Y34" s="182">
        <v>8</v>
      </c>
      <c r="Z34" s="182">
        <v>1</v>
      </c>
      <c r="AA34" s="148">
        <v>69</v>
      </c>
      <c r="AB34" s="174">
        <v>90</v>
      </c>
      <c r="AC34" s="182">
        <v>-1</v>
      </c>
      <c r="AD34" s="182">
        <v>2</v>
      </c>
      <c r="AE34" s="182">
        <v>2</v>
      </c>
    </row>
    <row r="35" spans="1:56" ht="13.2" customHeight="1">
      <c r="A35" s="176"/>
      <c r="B35" s="148"/>
      <c r="C35" s="174"/>
      <c r="D35" s="148"/>
      <c r="E35" s="148"/>
      <c r="F35" s="148"/>
      <c r="G35" s="148"/>
      <c r="H35" s="174"/>
      <c r="I35" s="148"/>
      <c r="J35" s="148"/>
      <c r="K35" s="148"/>
      <c r="L35" s="148"/>
      <c r="M35" s="174"/>
      <c r="N35" s="183"/>
      <c r="O35" s="183"/>
      <c r="P35" s="183"/>
      <c r="Q35" s="148"/>
      <c r="R35" s="174"/>
      <c r="S35" s="183"/>
      <c r="T35" s="183"/>
      <c r="U35" s="183"/>
      <c r="V35" s="148"/>
      <c r="W35" s="174"/>
      <c r="X35" s="183"/>
      <c r="Y35" s="183"/>
      <c r="Z35" s="183"/>
      <c r="AA35" s="148"/>
      <c r="AB35" s="174"/>
      <c r="AC35" s="183"/>
      <c r="AD35" s="183"/>
      <c r="AE35" s="183"/>
    </row>
    <row r="36" spans="1:56" ht="13.2" customHeight="1">
      <c r="A36" s="177" t="s">
        <v>182</v>
      </c>
      <c r="B36" s="178">
        <f t="shared" ref="B36:S36" si="0">SUM(B12:B34)</f>
        <v>81</v>
      </c>
      <c r="C36" s="179">
        <f t="shared" si="0"/>
        <v>-15</v>
      </c>
      <c r="D36" s="178">
        <f t="shared" si="0"/>
        <v>-8</v>
      </c>
      <c r="E36" s="178">
        <f t="shared" si="0"/>
        <v>-568</v>
      </c>
      <c r="F36" s="178">
        <f t="shared" si="0"/>
        <v>-25</v>
      </c>
      <c r="G36" s="178">
        <f t="shared" si="0"/>
        <v>15</v>
      </c>
      <c r="H36" s="179">
        <f t="shared" si="0"/>
        <v>-586</v>
      </c>
      <c r="I36" s="178">
        <f t="shared" si="0"/>
        <v>-17</v>
      </c>
      <c r="J36" s="178">
        <f t="shared" si="0"/>
        <v>-141</v>
      </c>
      <c r="K36" s="178">
        <f t="shared" si="0"/>
        <v>-13</v>
      </c>
      <c r="L36" s="178">
        <f t="shared" si="0"/>
        <v>76</v>
      </c>
      <c r="M36" s="179">
        <f t="shared" si="0"/>
        <v>-95</v>
      </c>
      <c r="N36" s="184">
        <f t="shared" si="0"/>
        <v>5</v>
      </c>
      <c r="O36" s="184">
        <f t="shared" si="0"/>
        <v>-12</v>
      </c>
      <c r="P36" s="184">
        <f t="shared" si="0"/>
        <v>-26</v>
      </c>
      <c r="Q36" s="178">
        <f t="shared" si="0"/>
        <v>33</v>
      </c>
      <c r="R36" s="179">
        <f t="shared" si="0"/>
        <v>0</v>
      </c>
      <c r="S36" s="184">
        <f t="shared" si="0"/>
        <v>-4</v>
      </c>
      <c r="T36" s="184">
        <f t="shared" ref="T36:U36" si="1">SUM(T12:T34)</f>
        <v>-1</v>
      </c>
      <c r="U36" s="184">
        <f t="shared" si="1"/>
        <v>-23</v>
      </c>
      <c r="V36" s="178">
        <v>9</v>
      </c>
      <c r="W36" s="179">
        <v>-19</v>
      </c>
      <c r="X36" s="184">
        <v>23</v>
      </c>
      <c r="Y36" s="184">
        <v>84</v>
      </c>
      <c r="Z36" s="184">
        <v>6</v>
      </c>
      <c r="AA36" s="178">
        <v>521</v>
      </c>
      <c r="AB36" s="179">
        <v>634</v>
      </c>
      <c r="AC36" s="184">
        <v>-25</v>
      </c>
      <c r="AD36" s="184">
        <v>-414</v>
      </c>
      <c r="AE36" s="184">
        <v>39</v>
      </c>
    </row>
    <row r="37" spans="1:56" ht="6"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row>
    <row r="38" spans="1:56">
      <c r="A38" s="180" t="s">
        <v>183</v>
      </c>
      <c r="H38" s="181"/>
      <c r="M38" s="181"/>
      <c r="N38" s="33"/>
      <c r="R38" s="181"/>
      <c r="S38" s="33"/>
      <c r="T38" s="33"/>
      <c r="U38" s="33"/>
      <c r="W38" s="181"/>
    </row>
    <row r="39" spans="1:56">
      <c r="A39" s="33"/>
      <c r="N39" s="33"/>
      <c r="X39" s="218"/>
      <c r="Y39" s="218"/>
      <c r="AC39" s="218"/>
      <c r="AD39" s="218"/>
    </row>
    <row r="47" spans="1:56">
      <c r="BD47">
        <v>-0.11</v>
      </c>
    </row>
    <row r="191" spans="44:44">
      <c r="AR191">
        <v>59</v>
      </c>
    </row>
    <row r="224" spans="1:1">
      <c r="A224" s="33"/>
    </row>
    <row r="334" spans="57:57">
      <c r="BE334">
        <v>-260</v>
      </c>
    </row>
    <row r="355" spans="55:55">
      <c r="BC355" s="66">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8"/>
  <sheetViews>
    <sheetView showGridLines="0" tabSelected="1" zoomScaleNormal="100" zoomScalePageLayoutView="90" workbookViewId="0">
      <pane xSplit="1" ySplit="4" topLeftCell="BA113" activePane="bottomRight" state="frozen"/>
      <selection activeCell="BH122" sqref="BH122"/>
      <selection pane="topRight" activeCell="BH122" sqref="BH122"/>
      <selection pane="bottomLeft" activeCell="BH122" sqref="BH122"/>
      <selection pane="bottomRight" activeCell="BH122" sqref="BH122"/>
    </sheetView>
  </sheetViews>
  <sheetFormatPr defaultColWidth="8.6640625" defaultRowHeight="13.2"/>
  <cols>
    <col min="1" max="1" width="43" customWidth="1"/>
    <col min="2" max="2" width="10.44140625" hidden="1" customWidth="1"/>
    <col min="3" max="7" width="10.44140625" style="1" hidden="1" customWidth="1"/>
    <col min="8" max="10" width="9.44140625" style="1" hidden="1" customWidth="1"/>
    <col min="11" max="11" width="8.6640625" style="1" hidden="1" customWidth="1"/>
    <col min="12" max="12" width="8.33203125" style="1" hidden="1" customWidth="1"/>
    <col min="13" max="15" width="8.6640625" style="1" hidden="1" customWidth="1"/>
    <col min="16" max="16" width="8.33203125" style="1" hidden="1" customWidth="1"/>
    <col min="17" max="18" width="8.6640625" style="1" hidden="1" customWidth="1"/>
    <col min="19" max="21" width="8.44140625" style="1" hidden="1" customWidth="1"/>
    <col min="22" max="22" width="8.6640625" style="1" customWidth="1"/>
    <col min="23" max="23" width="8.44140625" style="1" hidden="1" customWidth="1"/>
    <col min="24" max="24" width="8.6640625" style="1" hidden="1" customWidth="1"/>
    <col min="25" max="26" width="9.33203125" style="1" hidden="1" customWidth="1"/>
    <col min="27" max="27" width="9.33203125" style="1" customWidth="1"/>
    <col min="28" max="31" width="9.33203125" style="1" hidden="1" customWidth="1"/>
    <col min="32" max="32" width="9.33203125" style="1" customWidth="1"/>
    <col min="33" max="36" width="9.33203125" style="1" hidden="1" customWidth="1"/>
    <col min="37" max="37" width="9.33203125" style="1" customWidth="1"/>
    <col min="38" max="41" width="8.6640625" style="1" hidden="1" customWidth="1"/>
    <col min="42" max="60" width="8.6640625" style="1"/>
    <col min="61" max="16384" width="8.6640625" style="3"/>
  </cols>
  <sheetData>
    <row r="1" spans="1:202" ht="15.6">
      <c r="A1" s="29"/>
      <c r="B1" s="29"/>
      <c r="C1" s="65"/>
      <c r="D1" s="65"/>
      <c r="E1" s="65"/>
      <c r="F1" s="65"/>
      <c r="G1" s="65"/>
      <c r="H1" s="65"/>
      <c r="I1" s="65"/>
      <c r="J1" s="65"/>
      <c r="K1" s="65"/>
      <c r="L1" s="65"/>
      <c r="M1" s="65"/>
      <c r="N1" s="31"/>
      <c r="O1" s="31"/>
    </row>
    <row r="2" spans="1:202">
      <c r="A2" s="29"/>
      <c r="B2" s="29"/>
      <c r="C2" s="29"/>
      <c r="D2" s="29"/>
      <c r="E2" s="29"/>
      <c r="F2" s="29"/>
      <c r="G2" s="29"/>
      <c r="H2" s="29"/>
      <c r="I2" s="29"/>
      <c r="J2" s="29"/>
      <c r="K2" s="29"/>
      <c r="L2" s="29"/>
      <c r="M2" s="29"/>
      <c r="N2" s="31"/>
      <c r="O2" s="31"/>
    </row>
    <row r="3" spans="1:202">
      <c r="A3" s="30"/>
      <c r="B3" s="46" t="s">
        <v>5</v>
      </c>
      <c r="C3" s="46" t="s">
        <v>6</v>
      </c>
      <c r="D3" s="46" t="s">
        <v>0</v>
      </c>
      <c r="E3" s="46" t="s">
        <v>1</v>
      </c>
      <c r="F3" s="46" t="s">
        <v>2</v>
      </c>
      <c r="G3" s="46" t="s">
        <v>5</v>
      </c>
      <c r="H3" s="46" t="s">
        <v>6</v>
      </c>
      <c r="I3" s="46" t="s">
        <v>0</v>
      </c>
      <c r="J3" s="46" t="s">
        <v>1</v>
      </c>
      <c r="K3" s="46" t="s">
        <v>2</v>
      </c>
      <c r="L3" s="46" t="s">
        <v>5</v>
      </c>
      <c r="M3" s="46" t="s">
        <v>6</v>
      </c>
      <c r="N3" s="46" t="s">
        <v>53</v>
      </c>
      <c r="O3" s="46" t="s">
        <v>1</v>
      </c>
      <c r="P3" s="46" t="s">
        <v>2</v>
      </c>
      <c r="Q3" s="46" t="s">
        <v>5</v>
      </c>
      <c r="R3" s="46" t="s">
        <v>6</v>
      </c>
      <c r="S3" s="46" t="s">
        <v>0</v>
      </c>
      <c r="T3" s="46" t="s">
        <v>1</v>
      </c>
      <c r="U3" s="46" t="s">
        <v>2</v>
      </c>
      <c r="V3" s="46" t="s">
        <v>5</v>
      </c>
      <c r="W3" s="46" t="s">
        <v>6</v>
      </c>
      <c r="X3" s="46" t="s">
        <v>0</v>
      </c>
      <c r="Y3" s="46" t="s">
        <v>1</v>
      </c>
      <c r="Z3" s="46" t="s">
        <v>2</v>
      </c>
      <c r="AA3" s="46" t="s">
        <v>5</v>
      </c>
      <c r="AB3" s="46" t="s">
        <v>6</v>
      </c>
      <c r="AC3" s="46" t="s">
        <v>0</v>
      </c>
      <c r="AD3" s="46" t="s">
        <v>1</v>
      </c>
      <c r="AE3" s="46" t="s">
        <v>2</v>
      </c>
      <c r="AF3" s="46" t="s">
        <v>5</v>
      </c>
      <c r="AG3" s="46" t="s">
        <v>6</v>
      </c>
      <c r="AH3" s="46" t="s">
        <v>0</v>
      </c>
      <c r="AI3" s="46" t="s">
        <v>1</v>
      </c>
      <c r="AJ3" s="46" t="s">
        <v>2</v>
      </c>
      <c r="AK3" s="46" t="s">
        <v>5</v>
      </c>
      <c r="AL3" s="46" t="s">
        <v>6</v>
      </c>
      <c r="AM3" s="46" t="s">
        <v>0</v>
      </c>
      <c r="AN3" s="46" t="s">
        <v>1</v>
      </c>
      <c r="AO3" s="46" t="s">
        <v>2</v>
      </c>
      <c r="AP3" s="46" t="s">
        <v>5</v>
      </c>
      <c r="AQ3" s="46" t="s">
        <v>6</v>
      </c>
      <c r="AR3" s="46" t="s">
        <v>0</v>
      </c>
      <c r="AS3" s="46" t="s">
        <v>1</v>
      </c>
      <c r="AT3" s="46" t="s">
        <v>2</v>
      </c>
      <c r="AU3" s="46" t="s">
        <v>5</v>
      </c>
      <c r="AV3" s="46" t="s">
        <v>6</v>
      </c>
      <c r="AW3" s="46" t="s">
        <v>0</v>
      </c>
      <c r="AX3" s="46" t="s">
        <v>1</v>
      </c>
      <c r="AY3" s="46" t="s">
        <v>2</v>
      </c>
      <c r="AZ3" s="46" t="s">
        <v>5</v>
      </c>
      <c r="BA3" s="46" t="s">
        <v>6</v>
      </c>
      <c r="BB3" s="46" t="s">
        <v>0</v>
      </c>
      <c r="BC3" s="46" t="s">
        <v>1</v>
      </c>
      <c r="BD3" s="46" t="s">
        <v>2</v>
      </c>
      <c r="BE3" s="46" t="s">
        <v>5</v>
      </c>
      <c r="BF3" s="46" t="s">
        <v>6</v>
      </c>
      <c r="BG3" s="46" t="s">
        <v>0</v>
      </c>
      <c r="BH3" s="46" t="s">
        <v>1</v>
      </c>
    </row>
    <row r="4" spans="1:202">
      <c r="A4" s="47"/>
      <c r="B4" s="30">
        <v>2007</v>
      </c>
      <c r="C4" s="30">
        <v>2008</v>
      </c>
      <c r="D4" s="30">
        <v>2008</v>
      </c>
      <c r="E4" s="30">
        <v>2008</v>
      </c>
      <c r="F4" s="30">
        <v>2008</v>
      </c>
      <c r="G4" s="30">
        <v>2008</v>
      </c>
      <c r="H4" s="30">
        <v>2009</v>
      </c>
      <c r="I4" s="30">
        <v>2009</v>
      </c>
      <c r="J4" s="30">
        <v>2009</v>
      </c>
      <c r="K4" s="46">
        <v>2009</v>
      </c>
      <c r="L4" s="46">
        <v>2009</v>
      </c>
      <c r="M4" s="30">
        <v>2010</v>
      </c>
      <c r="N4" s="30">
        <v>2010</v>
      </c>
      <c r="O4" s="30">
        <v>2010</v>
      </c>
      <c r="P4" s="46">
        <v>2010</v>
      </c>
      <c r="Q4" s="46">
        <v>2010</v>
      </c>
      <c r="R4" s="30">
        <v>2011</v>
      </c>
      <c r="S4" s="30">
        <v>2011</v>
      </c>
      <c r="T4" s="30">
        <v>2011</v>
      </c>
      <c r="U4" s="46">
        <v>2011</v>
      </c>
      <c r="V4" s="46">
        <v>2011</v>
      </c>
      <c r="W4" s="30">
        <v>2012</v>
      </c>
      <c r="X4" s="30">
        <v>2012</v>
      </c>
      <c r="Y4" s="30">
        <v>2012</v>
      </c>
      <c r="Z4" s="46">
        <v>2012</v>
      </c>
      <c r="AA4" s="46">
        <v>2012</v>
      </c>
      <c r="AB4" s="30">
        <v>2013</v>
      </c>
      <c r="AC4" s="30">
        <v>2013</v>
      </c>
      <c r="AD4" s="30">
        <v>2013</v>
      </c>
      <c r="AE4" s="46">
        <v>2013</v>
      </c>
      <c r="AF4" s="46">
        <v>2013</v>
      </c>
      <c r="AG4" s="30">
        <v>2014</v>
      </c>
      <c r="AH4" s="30">
        <v>2014</v>
      </c>
      <c r="AI4" s="30">
        <v>2014</v>
      </c>
      <c r="AJ4" s="46">
        <v>2014</v>
      </c>
      <c r="AK4" s="46">
        <v>2014</v>
      </c>
      <c r="AL4" s="30">
        <v>2015</v>
      </c>
      <c r="AM4" s="30">
        <v>2015</v>
      </c>
      <c r="AN4" s="30">
        <v>2015</v>
      </c>
      <c r="AO4" s="46">
        <v>2015</v>
      </c>
      <c r="AP4" s="46">
        <v>2015</v>
      </c>
      <c r="AQ4" s="30">
        <v>2016</v>
      </c>
      <c r="AR4" s="30">
        <v>2016</v>
      </c>
      <c r="AS4" s="30">
        <v>2016</v>
      </c>
      <c r="AT4" s="46">
        <v>2016</v>
      </c>
      <c r="AU4" s="46">
        <v>2016</v>
      </c>
      <c r="AV4" s="30">
        <v>2017</v>
      </c>
      <c r="AW4" s="30">
        <v>2017</v>
      </c>
      <c r="AX4" s="30">
        <v>2017</v>
      </c>
      <c r="AY4" s="46">
        <v>2017</v>
      </c>
      <c r="AZ4" s="46">
        <v>2017</v>
      </c>
      <c r="BA4" s="30">
        <v>2018</v>
      </c>
      <c r="BB4" s="30">
        <v>2018</v>
      </c>
      <c r="BC4" s="30">
        <v>2018</v>
      </c>
      <c r="BD4" s="46">
        <v>2018</v>
      </c>
      <c r="BE4" s="46">
        <v>2018</v>
      </c>
      <c r="BF4" s="30">
        <v>2019</v>
      </c>
      <c r="BG4" s="30">
        <v>2019</v>
      </c>
      <c r="BH4" s="30">
        <v>2019</v>
      </c>
    </row>
    <row r="5" spans="1:202" s="45" customFormat="1" ht="6.75" customHeight="1">
      <c r="A5" s="43"/>
      <c r="B5" s="43"/>
      <c r="K5" s="44"/>
      <c r="L5" s="44"/>
      <c r="P5" s="44"/>
      <c r="Q5" s="44"/>
      <c r="U5" s="44"/>
      <c r="V5" s="44"/>
      <c r="Z5" s="44"/>
      <c r="AA5" s="44"/>
      <c r="AE5" s="44"/>
      <c r="AF5" s="44"/>
      <c r="AJ5" s="44"/>
      <c r="AK5" s="44"/>
      <c r="AO5" s="44"/>
      <c r="AP5" s="44"/>
      <c r="AT5" s="44"/>
      <c r="AU5" s="44"/>
      <c r="AY5" s="44"/>
      <c r="AZ5" s="44"/>
      <c r="BD5" s="44"/>
      <c r="BE5" s="4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7"/>
      <c r="B6" s="57"/>
      <c r="C6" s="57"/>
      <c r="D6" s="57"/>
      <c r="E6" s="57"/>
      <c r="F6" s="57"/>
      <c r="G6" s="57"/>
      <c r="H6" s="57"/>
      <c r="I6" s="57"/>
      <c r="J6" s="57"/>
      <c r="K6" s="58"/>
      <c r="L6" s="58"/>
      <c r="M6" s="57"/>
      <c r="N6" s="57"/>
      <c r="O6" s="57"/>
      <c r="P6" s="58"/>
      <c r="Q6" s="58"/>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4" t="s">
        <v>52</v>
      </c>
      <c r="B7" s="34"/>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row>
    <row r="8" spans="1:202" ht="5.0999999999999996" customHeight="1">
      <c r="A8" s="59"/>
      <c r="B8" s="59"/>
      <c r="C8" s="59"/>
      <c r="D8" s="59"/>
      <c r="E8" s="59"/>
      <c r="F8" s="59"/>
      <c r="G8" s="59"/>
      <c r="H8" s="59"/>
      <c r="I8" s="59"/>
      <c r="J8" s="59"/>
      <c r="K8" s="60"/>
      <c r="L8" s="60"/>
      <c r="M8" s="59"/>
      <c r="N8" s="59"/>
      <c r="O8" s="59"/>
      <c r="P8" s="60"/>
      <c r="Q8" s="60"/>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row>
    <row r="9" spans="1:202" s="42" customFormat="1">
      <c r="A9" s="39" t="s">
        <v>25</v>
      </c>
      <c r="B9" s="39"/>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4"/>
      <c r="B10" s="23"/>
      <c r="C10" s="85"/>
      <c r="D10" s="85"/>
      <c r="E10" s="85"/>
      <c r="F10" s="85"/>
      <c r="G10" s="21"/>
      <c r="H10" s="85"/>
      <c r="I10" s="85"/>
      <c r="J10" s="85"/>
      <c r="L10" s="23"/>
      <c r="M10" s="85"/>
      <c r="N10" s="85"/>
      <c r="O10" s="85"/>
      <c r="Q10" s="23"/>
      <c r="R10" s="85"/>
      <c r="S10" s="85"/>
      <c r="T10" s="85"/>
      <c r="V10" s="26"/>
      <c r="W10" s="85"/>
      <c r="X10" s="85"/>
      <c r="Y10" s="85"/>
      <c r="AA10" s="26"/>
      <c r="AB10" s="85"/>
      <c r="AC10" s="85"/>
      <c r="AD10" s="85"/>
      <c r="AF10" s="26"/>
      <c r="AG10" s="85"/>
      <c r="AH10" s="85"/>
      <c r="AI10" s="85"/>
      <c r="AK10" s="26"/>
      <c r="AL10" s="85"/>
      <c r="AM10" s="85"/>
      <c r="AN10" s="85"/>
      <c r="AP10" s="26"/>
      <c r="AQ10" s="85"/>
      <c r="AR10" s="85"/>
      <c r="AS10" s="85"/>
      <c r="AU10" s="26"/>
      <c r="AV10" s="85"/>
      <c r="AW10" s="85"/>
      <c r="AX10" s="85"/>
      <c r="AZ10" s="26"/>
      <c r="BA10" s="85"/>
      <c r="BB10" s="85"/>
      <c r="BC10" s="85"/>
      <c r="BE10" s="26"/>
      <c r="BF10" s="85"/>
      <c r="BG10" s="85"/>
      <c r="BH10" s="85"/>
    </row>
    <row r="11" spans="1:202">
      <c r="A11" s="67" t="s">
        <v>74</v>
      </c>
      <c r="B11" s="36">
        <v>14711</v>
      </c>
      <c r="C11" s="68">
        <v>3473</v>
      </c>
      <c r="D11" s="68">
        <v>3306</v>
      </c>
      <c r="E11" s="68">
        <v>3379</v>
      </c>
      <c r="F11" s="68">
        <v>3103</v>
      </c>
      <c r="G11" s="36">
        <v>13260</v>
      </c>
      <c r="H11" s="68">
        <v>3077</v>
      </c>
      <c r="I11" s="68">
        <v>2972</v>
      </c>
      <c r="J11" s="68">
        <v>3051</v>
      </c>
      <c r="K11" s="68">
        <v>2917</v>
      </c>
      <c r="L11" s="36">
        <v>12017</v>
      </c>
      <c r="M11" s="68">
        <v>2732</v>
      </c>
      <c r="N11" s="68">
        <v>2717</v>
      </c>
      <c r="O11" s="68">
        <v>2629</v>
      </c>
      <c r="P11" s="68">
        <v>2621</v>
      </c>
      <c r="Q11" s="36">
        <v>10699</v>
      </c>
      <c r="R11" s="68">
        <v>2521</v>
      </c>
      <c r="S11" s="68">
        <v>2415</v>
      </c>
      <c r="T11" s="68">
        <v>2482</v>
      </c>
      <c r="U11" s="68">
        <v>2339</v>
      </c>
      <c r="V11" s="36">
        <v>9758</v>
      </c>
      <c r="W11" s="68">
        <v>2360</v>
      </c>
      <c r="X11" s="68">
        <v>2228</v>
      </c>
      <c r="Y11" s="68">
        <v>2127</v>
      </c>
      <c r="Z11" s="68">
        <v>1979</v>
      </c>
      <c r="AA11" s="36">
        <v>8694</v>
      </c>
      <c r="AB11" s="68">
        <v>1788</v>
      </c>
      <c r="AC11" s="68">
        <v>1805</v>
      </c>
      <c r="AD11" s="68">
        <v>1712</v>
      </c>
      <c r="AE11" s="68">
        <v>1742</v>
      </c>
      <c r="AF11" s="36">
        <v>7047</v>
      </c>
      <c r="AG11" s="68">
        <v>1608</v>
      </c>
      <c r="AH11" s="68">
        <v>1522</v>
      </c>
      <c r="AI11" s="68">
        <v>1588</v>
      </c>
      <c r="AJ11" s="68">
        <v>1482</v>
      </c>
      <c r="AK11" s="36">
        <v>6200</v>
      </c>
      <c r="AL11" s="68">
        <v>1459</v>
      </c>
      <c r="AM11" s="68">
        <v>1396</v>
      </c>
      <c r="AN11" s="68">
        <v>1373</v>
      </c>
      <c r="AO11" s="68">
        <v>1379</v>
      </c>
      <c r="AP11" s="36">
        <v>5607</v>
      </c>
      <c r="AQ11" s="68">
        <v>1316</v>
      </c>
      <c r="AR11" s="68">
        <v>1257</v>
      </c>
      <c r="AS11" s="68">
        <v>1297</v>
      </c>
      <c r="AT11" s="68">
        <v>1136</v>
      </c>
      <c r="AU11" s="36">
        <v>5006</v>
      </c>
      <c r="AV11" s="68">
        <v>1177</v>
      </c>
      <c r="AW11" s="68">
        <v>1098</v>
      </c>
      <c r="AX11" s="68">
        <v>1132</v>
      </c>
      <c r="AY11" s="68">
        <v>1068</v>
      </c>
      <c r="AZ11" s="36">
        <v>4475</v>
      </c>
      <c r="BA11" s="68">
        <v>1055</v>
      </c>
      <c r="BB11" s="68">
        <v>1010</v>
      </c>
      <c r="BC11" s="68">
        <v>960</v>
      </c>
      <c r="BD11" s="68">
        <v>989</v>
      </c>
      <c r="BE11" s="36">
        <v>4014</v>
      </c>
      <c r="BF11" s="68">
        <v>926</v>
      </c>
      <c r="BG11" s="68">
        <v>865</v>
      </c>
      <c r="BH11" s="68">
        <v>888</v>
      </c>
    </row>
    <row r="12" spans="1:202">
      <c r="A12" s="69" t="s">
        <v>7</v>
      </c>
      <c r="B12" s="23"/>
      <c r="C12" s="70"/>
      <c r="D12" s="70">
        <f>D11/C11-1</f>
        <v>-4.8085228908724464E-2</v>
      </c>
      <c r="E12" s="70">
        <f>E11/D11-1</f>
        <v>2.2081064730792521E-2</v>
      </c>
      <c r="F12" s="70">
        <f>F11/E11-1</f>
        <v>-8.1680970701390909E-2</v>
      </c>
      <c r="G12" s="23"/>
      <c r="H12" s="70">
        <f>H11/F11-1</f>
        <v>-8.3789880760554158E-3</v>
      </c>
      <c r="I12" s="70">
        <f>I11/H11-1</f>
        <v>-3.412414689632759E-2</v>
      </c>
      <c r="J12" s="70">
        <f>J11/I11-1</f>
        <v>2.6581426648721429E-2</v>
      </c>
      <c r="K12" s="70">
        <f>K11/J11-1</f>
        <v>-4.3920026220911179E-2</v>
      </c>
      <c r="L12" s="26"/>
      <c r="M12" s="70">
        <f>M11/K11-1</f>
        <v>-6.3421323277339736E-2</v>
      </c>
      <c r="N12" s="70">
        <f>N11/M11-1</f>
        <v>-5.4904831625183226E-3</v>
      </c>
      <c r="O12" s="70">
        <f>O11/N11-1</f>
        <v>-3.2388663967611309E-2</v>
      </c>
      <c r="P12" s="70">
        <f>P11/O11-1</f>
        <v>-3.042982122479998E-3</v>
      </c>
      <c r="Q12" s="26"/>
      <c r="R12" s="70">
        <f>R11/P11-1</f>
        <v>-3.815337657382678E-2</v>
      </c>
      <c r="S12" s="70">
        <f>S11/R11-1</f>
        <v>-4.2046806822689464E-2</v>
      </c>
      <c r="T12" s="70">
        <f>T11/S11-1</f>
        <v>2.7743271221532195E-2</v>
      </c>
      <c r="U12" s="70">
        <f>U11/T11-1</f>
        <v>-5.7614826752618864E-2</v>
      </c>
      <c r="V12" s="26"/>
      <c r="W12" s="70">
        <v>8.9781958101753379E-3</v>
      </c>
      <c r="X12" s="70">
        <v>-5.5932203389830515E-2</v>
      </c>
      <c r="Y12" s="70">
        <v>-4.5332136445242366E-2</v>
      </c>
      <c r="Z12" s="70">
        <v>-6.9581570286788907E-2</v>
      </c>
      <c r="AA12" s="26"/>
      <c r="AB12" s="70">
        <v>-9.6513390601313809E-2</v>
      </c>
      <c r="AC12" s="70">
        <v>9.5078299776285569E-3</v>
      </c>
      <c r="AD12" s="70">
        <v>-5.1523545706371188E-2</v>
      </c>
      <c r="AE12" s="70">
        <v>1.7523364485981352E-2</v>
      </c>
      <c r="AF12" s="26"/>
      <c r="AG12" s="70">
        <v>-7.6923076923076872E-2</v>
      </c>
      <c r="AH12" s="70">
        <v>-5.3482587064676568E-2</v>
      </c>
      <c r="AI12" s="70">
        <v>4.3363994743758294E-2</v>
      </c>
      <c r="AJ12" s="70">
        <v>-6.6750629722921895E-2</v>
      </c>
      <c r="AK12" s="26"/>
      <c r="AL12" s="70">
        <v>-1.5519568151147078E-2</v>
      </c>
      <c r="AM12" s="70">
        <v>-4.3180260452364672E-2</v>
      </c>
      <c r="AN12" s="70">
        <v>-1.6475644699140424E-2</v>
      </c>
      <c r="AO12" s="70">
        <v>4.3699927166787056E-3</v>
      </c>
      <c r="AP12" s="26"/>
      <c r="AQ12" s="70">
        <v>-4.5685279187817285E-2</v>
      </c>
      <c r="AR12" s="70">
        <v>-4.4832826747720378E-2</v>
      </c>
      <c r="AS12" s="70">
        <v>3.1821797931583129E-2</v>
      </c>
      <c r="AT12" s="70">
        <v>-0.12413261372397844</v>
      </c>
      <c r="AU12" s="26"/>
      <c r="AV12" s="70">
        <v>3.6091549295774739E-2</v>
      </c>
      <c r="AW12" s="70">
        <v>-6.7119796091758666E-2</v>
      </c>
      <c r="AX12" s="70">
        <v>3.0965391621129434E-2</v>
      </c>
      <c r="AY12" s="70">
        <v>-5.6537102473498191E-2</v>
      </c>
      <c r="AZ12" s="26"/>
      <c r="BA12" s="70">
        <v>-1.2172284644194731E-2</v>
      </c>
      <c r="BB12" s="70">
        <v>-4.2654028436018954E-2</v>
      </c>
      <c r="BC12" s="70">
        <v>-4.9504950495049549E-2</v>
      </c>
      <c r="BD12" s="70">
        <v>3.0208333333333393E-2</v>
      </c>
      <c r="BE12" s="26"/>
      <c r="BF12" s="70">
        <v>-6.3700707785642074E-2</v>
      </c>
      <c r="BG12" s="70">
        <v>-6.5874730021598271E-2</v>
      </c>
      <c r="BH12" s="70">
        <v>2.6589595375722475E-2</v>
      </c>
    </row>
    <row r="13" spans="1:202">
      <c r="A13" s="69" t="s">
        <v>8</v>
      </c>
      <c r="B13" s="23"/>
      <c r="C13" s="71"/>
      <c r="D13" s="71"/>
      <c r="E13" s="71"/>
      <c r="F13" s="71"/>
      <c r="G13" s="23">
        <f t="shared" ref="G13:N13" si="0">G11/B11-1</f>
        <v>-9.8633675480932603E-2</v>
      </c>
      <c r="H13" s="71">
        <f t="shared" si="0"/>
        <v>-0.11402245896919094</v>
      </c>
      <c r="I13" s="71">
        <f t="shared" si="0"/>
        <v>-0.10102843315184518</v>
      </c>
      <c r="J13" s="71">
        <f t="shared" si="0"/>
        <v>-9.7070139094406649E-2</v>
      </c>
      <c r="K13" s="70">
        <f t="shared" si="0"/>
        <v>-5.9941991621011881E-2</v>
      </c>
      <c r="L13" s="23">
        <f t="shared" si="0"/>
        <v>-9.3740573152337858E-2</v>
      </c>
      <c r="M13" s="71">
        <f t="shared" si="0"/>
        <v>-0.11212219694507641</v>
      </c>
      <c r="N13" s="71">
        <f t="shared" si="0"/>
        <v>-8.5800807537012136E-2</v>
      </c>
      <c r="O13" s="71">
        <f t="shared" ref="O13:U13" si="1">O11/J11-1</f>
        <v>-0.13831530645689938</v>
      </c>
      <c r="P13" s="70">
        <f t="shared" si="1"/>
        <v>-0.10147411724374356</v>
      </c>
      <c r="Q13" s="23">
        <f t="shared" si="1"/>
        <v>-0.10967795622867604</v>
      </c>
      <c r="R13" s="71">
        <f t="shared" si="1"/>
        <v>-7.7232796486090827E-2</v>
      </c>
      <c r="S13" s="71">
        <f t="shared" si="1"/>
        <v>-0.11115200588884799</v>
      </c>
      <c r="T13" s="71">
        <f t="shared" si="1"/>
        <v>-5.5914796500570518E-2</v>
      </c>
      <c r="U13" s="70">
        <f t="shared" si="1"/>
        <v>-0.10759252193819158</v>
      </c>
      <c r="V13" s="23">
        <v>-8.7952145060286036E-2</v>
      </c>
      <c r="W13" s="71">
        <v>-6.3863546211820665E-2</v>
      </c>
      <c r="X13" s="71">
        <v>-7.7432712215320887E-2</v>
      </c>
      <c r="Y13" s="71">
        <v>-0.14302981466559228</v>
      </c>
      <c r="Z13" s="70">
        <v>-0.15391192817443355</v>
      </c>
      <c r="AA13" s="23">
        <v>-0.10903873744619796</v>
      </c>
      <c r="AB13" s="71">
        <v>-0.24237288135593216</v>
      </c>
      <c r="AC13" s="71">
        <v>-0.18985637342908435</v>
      </c>
      <c r="AD13" s="71">
        <v>-0.19511048425011757</v>
      </c>
      <c r="AE13" s="70">
        <v>-0.11975745325922182</v>
      </c>
      <c r="AF13" s="23">
        <v>-0.18944099378881984</v>
      </c>
      <c r="AG13" s="71">
        <v>-0.10067114093959728</v>
      </c>
      <c r="AH13" s="71">
        <v>-0.15678670360110802</v>
      </c>
      <c r="AI13" s="71">
        <v>-7.2429906542056055E-2</v>
      </c>
      <c r="AJ13" s="70">
        <v>-0.14925373134328357</v>
      </c>
      <c r="AK13" s="23">
        <v>-0.12019298992479066</v>
      </c>
      <c r="AL13" s="71">
        <v>-9.2661691542288538E-2</v>
      </c>
      <c r="AM13" s="71">
        <v>-8.2785808147174733E-2</v>
      </c>
      <c r="AN13" s="71">
        <v>-0.13539042821158687</v>
      </c>
      <c r="AO13" s="70">
        <v>-6.9500674763832704E-2</v>
      </c>
      <c r="AP13" s="23">
        <v>-9.5645161290322633E-2</v>
      </c>
      <c r="AQ13" s="71">
        <v>-9.8012337217272094E-2</v>
      </c>
      <c r="AR13" s="71">
        <v>-9.957020057306587E-2</v>
      </c>
      <c r="AS13" s="71">
        <v>-5.5353241077931492E-2</v>
      </c>
      <c r="AT13" s="70">
        <v>-0.17621464829586653</v>
      </c>
      <c r="AU13" s="23">
        <v>-0.10718744426609594</v>
      </c>
      <c r="AV13" s="71">
        <v>-0.10562310030395139</v>
      </c>
      <c r="AW13" s="71">
        <v>-0.12649164677804292</v>
      </c>
      <c r="AX13" s="71">
        <v>-0.1272166538164996</v>
      </c>
      <c r="AY13" s="70">
        <v>-5.9859154929577496E-2</v>
      </c>
      <c r="AZ13" s="23">
        <v>-0.10607271274470631</v>
      </c>
      <c r="BA13" s="71">
        <v>-0.10365335598980463</v>
      </c>
      <c r="BB13" s="71">
        <v>-8.0145719489981837E-2</v>
      </c>
      <c r="BC13" s="71">
        <v>-0.15194346289752647</v>
      </c>
      <c r="BD13" s="70">
        <v>-7.3970037453183535E-2</v>
      </c>
      <c r="BE13" s="23">
        <v>-0.10301675977653635</v>
      </c>
      <c r="BF13" s="71">
        <v>-0.12227488151658772</v>
      </c>
      <c r="BG13" s="71">
        <v>-0.14356435643564358</v>
      </c>
      <c r="BH13" s="71">
        <v>-7.4999999999999956E-2</v>
      </c>
    </row>
    <row r="14" spans="1:202">
      <c r="A14" s="69"/>
      <c r="B14" s="23"/>
      <c r="C14" s="71"/>
      <c r="D14" s="71"/>
      <c r="E14" s="71"/>
      <c r="F14" s="71"/>
      <c r="G14" s="23"/>
      <c r="H14" s="71"/>
      <c r="I14" s="71"/>
      <c r="J14" s="71"/>
      <c r="K14" s="70"/>
      <c r="L14" s="23"/>
      <c r="M14" s="71"/>
      <c r="N14" s="71"/>
      <c r="O14" s="71"/>
      <c r="P14" s="70"/>
      <c r="Q14" s="23"/>
      <c r="R14" s="71"/>
      <c r="S14" s="71"/>
      <c r="T14" s="71"/>
      <c r="U14" s="70"/>
      <c r="V14" s="23"/>
      <c r="W14" s="71"/>
      <c r="X14" s="71"/>
      <c r="Y14" s="71"/>
      <c r="Z14" s="70"/>
      <c r="AA14" s="23"/>
      <c r="AB14" s="71"/>
      <c r="AC14" s="71"/>
      <c r="AD14" s="71"/>
      <c r="AE14" s="70"/>
      <c r="AF14" s="23"/>
      <c r="AG14" s="71"/>
      <c r="AH14" s="71"/>
      <c r="AI14" s="71"/>
      <c r="AJ14" s="70"/>
      <c r="AK14" s="23"/>
      <c r="AL14" s="71"/>
      <c r="AM14" s="71"/>
      <c r="AN14" s="71"/>
      <c r="AO14" s="70"/>
      <c r="AP14" s="23"/>
      <c r="AQ14" s="71"/>
      <c r="AR14" s="71"/>
      <c r="AS14" s="71"/>
      <c r="AT14" s="70"/>
      <c r="AU14" s="23"/>
      <c r="AV14" s="71"/>
      <c r="AW14" s="71"/>
      <c r="AX14" s="71"/>
      <c r="AY14" s="70"/>
      <c r="AZ14" s="23"/>
      <c r="BA14" s="71"/>
      <c r="BB14" s="71"/>
      <c r="BC14" s="71"/>
      <c r="BD14" s="70"/>
      <c r="BE14" s="23"/>
      <c r="BF14" s="71"/>
      <c r="BG14" s="71"/>
      <c r="BH14" s="71"/>
    </row>
    <row r="15" spans="1:202">
      <c r="A15" s="67" t="s">
        <v>44</v>
      </c>
      <c r="B15" s="37">
        <v>6411</v>
      </c>
      <c r="C15" s="86">
        <v>1673</v>
      </c>
      <c r="D15" s="86">
        <v>1651</v>
      </c>
      <c r="E15" s="86">
        <v>1719</v>
      </c>
      <c r="F15" s="68">
        <f>G15-E15-D15-C15</f>
        <v>1648</v>
      </c>
      <c r="G15" s="37">
        <v>6691</v>
      </c>
      <c r="H15" s="86">
        <v>1654</v>
      </c>
      <c r="I15" s="86">
        <v>1659</v>
      </c>
      <c r="J15" s="86">
        <v>1731</v>
      </c>
      <c r="K15" s="68">
        <f>L15-J15-I15-H15</f>
        <v>1674</v>
      </c>
      <c r="L15" s="36">
        <v>6718</v>
      </c>
      <c r="M15" s="86">
        <v>1623</v>
      </c>
      <c r="N15" s="86">
        <v>1634</v>
      </c>
      <c r="O15" s="86">
        <v>1646</v>
      </c>
      <c r="P15" s="68">
        <f>Q15-O15-N15-M15</f>
        <v>1644</v>
      </c>
      <c r="Q15" s="36">
        <v>6547</v>
      </c>
      <c r="R15" s="86">
        <v>1577</v>
      </c>
      <c r="S15" s="86">
        <v>1535</v>
      </c>
      <c r="T15" s="86">
        <v>1602</v>
      </c>
      <c r="U15" s="68">
        <f>V15-T15-S15-R15</f>
        <v>1526</v>
      </c>
      <c r="V15" s="36">
        <v>6240</v>
      </c>
      <c r="W15" s="86">
        <v>1543</v>
      </c>
      <c r="X15" s="86">
        <v>1516</v>
      </c>
      <c r="Y15" s="86">
        <v>1595</v>
      </c>
      <c r="Z15" s="68">
        <v>1571</v>
      </c>
      <c r="AA15" s="36">
        <v>6225</v>
      </c>
      <c r="AB15" s="86">
        <v>1503</v>
      </c>
      <c r="AC15" s="86">
        <v>1550</v>
      </c>
      <c r="AD15" s="86">
        <v>1521</v>
      </c>
      <c r="AE15" s="68">
        <v>1541</v>
      </c>
      <c r="AF15" s="36">
        <v>6115</v>
      </c>
      <c r="AG15" s="86">
        <v>1467</v>
      </c>
      <c r="AH15" s="86">
        <v>1424</v>
      </c>
      <c r="AI15" s="86">
        <v>1498</v>
      </c>
      <c r="AJ15" s="68">
        <v>1440</v>
      </c>
      <c r="AK15" s="36">
        <v>5829</v>
      </c>
      <c r="AL15" s="86">
        <v>1429</v>
      </c>
      <c r="AM15" s="86">
        <v>1386</v>
      </c>
      <c r="AN15" s="86">
        <v>1410</v>
      </c>
      <c r="AO15" s="68">
        <v>1403</v>
      </c>
      <c r="AP15" s="36">
        <v>5628</v>
      </c>
      <c r="AQ15" s="86">
        <v>1348</v>
      </c>
      <c r="AR15" s="86">
        <v>1314</v>
      </c>
      <c r="AS15" s="86">
        <v>1383</v>
      </c>
      <c r="AT15" s="68">
        <v>1252</v>
      </c>
      <c r="AU15" s="36">
        <v>5297</v>
      </c>
      <c r="AV15" s="86">
        <v>1281</v>
      </c>
      <c r="AW15" s="86">
        <v>1220</v>
      </c>
      <c r="AX15" s="86">
        <v>1266</v>
      </c>
      <c r="AY15" s="68">
        <v>1205</v>
      </c>
      <c r="AZ15" s="36">
        <v>4972</v>
      </c>
      <c r="BA15" s="86">
        <v>1191</v>
      </c>
      <c r="BB15" s="86">
        <v>1151</v>
      </c>
      <c r="BC15" s="86">
        <v>1125</v>
      </c>
      <c r="BD15" s="68">
        <v>1160</v>
      </c>
      <c r="BE15" s="36">
        <v>4627</v>
      </c>
      <c r="BF15" s="86">
        <v>1090</v>
      </c>
      <c r="BG15" s="86">
        <v>1056</v>
      </c>
      <c r="BH15" s="86">
        <v>1134</v>
      </c>
    </row>
    <row r="16" spans="1:202">
      <c r="A16" s="69" t="s">
        <v>7</v>
      </c>
      <c r="B16" s="23"/>
      <c r="C16" s="70"/>
      <c r="D16" s="70">
        <f>D15/C15-1</f>
        <v>-1.3150029886431547E-2</v>
      </c>
      <c r="E16" s="70">
        <f>E15/D15-1</f>
        <v>4.1187159297395581E-2</v>
      </c>
      <c r="F16" s="70">
        <f>F15/E15-1</f>
        <v>-4.1303083187899992E-2</v>
      </c>
      <c r="G16" s="23"/>
      <c r="H16" s="70">
        <f>H15/F15-1</f>
        <v>3.6407766990291801E-3</v>
      </c>
      <c r="I16" s="70">
        <f>I15/H15-1</f>
        <v>3.0229746070133956E-3</v>
      </c>
      <c r="J16" s="70">
        <f>J15/I15-1</f>
        <v>4.3399638336347302E-2</v>
      </c>
      <c r="K16" s="70">
        <f>K15/J15-1</f>
        <v>-3.2928942807625705E-2</v>
      </c>
      <c r="L16" s="26"/>
      <c r="M16" s="70">
        <f>M15/K15-1</f>
        <v>-3.046594982078854E-2</v>
      </c>
      <c r="N16" s="70">
        <f>N15/M15-1</f>
        <v>6.7775723967959944E-3</v>
      </c>
      <c r="O16" s="70">
        <f>O15/N15-1</f>
        <v>7.3439412484699318E-3</v>
      </c>
      <c r="P16" s="70">
        <f>P15/O15-1</f>
        <v>-1.2150668286755595E-3</v>
      </c>
      <c r="Q16" s="26"/>
      <c r="R16" s="70">
        <f>R15/P15-1</f>
        <v>-4.0754257907542613E-2</v>
      </c>
      <c r="S16" s="70">
        <f>S15/R15-1</f>
        <v>-2.6632847178186481E-2</v>
      </c>
      <c r="T16" s="70">
        <f>T15/S15-1</f>
        <v>4.3648208469055483E-2</v>
      </c>
      <c r="U16" s="70">
        <f>U15/T15-1</f>
        <v>-4.7440699126092389E-2</v>
      </c>
      <c r="V16" s="26"/>
      <c r="W16" s="70">
        <v>1.1140235910878094E-2</v>
      </c>
      <c r="X16" s="70">
        <v>-1.7498379779650075E-2</v>
      </c>
      <c r="Y16" s="70">
        <v>5.2110817941952492E-2</v>
      </c>
      <c r="Z16" s="70">
        <v>-1.5047021943573657E-2</v>
      </c>
      <c r="AA16" s="26"/>
      <c r="AB16" s="70">
        <v>-4.3284532145130505E-2</v>
      </c>
      <c r="AC16" s="70">
        <v>3.1270791749833604E-2</v>
      </c>
      <c r="AD16" s="70">
        <v>-1.8709677419354809E-2</v>
      </c>
      <c r="AE16" s="70">
        <v>1.3149243918474607E-2</v>
      </c>
      <c r="AF16" s="26"/>
      <c r="AG16" s="70">
        <v>-4.8020765736534687E-2</v>
      </c>
      <c r="AH16" s="70">
        <v>-2.9311520109066125E-2</v>
      </c>
      <c r="AI16" s="70">
        <v>5.1966292134831393E-2</v>
      </c>
      <c r="AJ16" s="70">
        <v>-3.8718291054739673E-2</v>
      </c>
      <c r="AK16" s="26"/>
      <c r="AL16" s="70">
        <v>-7.6388888888888618E-3</v>
      </c>
      <c r="AM16" s="70">
        <v>-3.0090972708187502E-2</v>
      </c>
      <c r="AN16" s="70">
        <v>1.7316017316017396E-2</v>
      </c>
      <c r="AO16" s="70">
        <v>-4.9645390070921502E-3</v>
      </c>
      <c r="AP16" s="26"/>
      <c r="AQ16" s="70">
        <v>-3.9201710620099806E-2</v>
      </c>
      <c r="AR16" s="70">
        <v>-2.5222551928783421E-2</v>
      </c>
      <c r="AS16" s="70">
        <v>5.2511415525114069E-2</v>
      </c>
      <c r="AT16" s="70">
        <v>-9.4721619667389678E-2</v>
      </c>
      <c r="AU16" s="26"/>
      <c r="AV16" s="70">
        <v>2.3162939297124652E-2</v>
      </c>
      <c r="AW16" s="70">
        <v>-4.7619047619047672E-2</v>
      </c>
      <c r="AX16" s="70">
        <v>3.770491803278686E-2</v>
      </c>
      <c r="AY16" s="70">
        <v>-4.8183254344391746E-2</v>
      </c>
      <c r="AZ16" s="26"/>
      <c r="BA16" s="70">
        <v>-1.1618257261410747E-2</v>
      </c>
      <c r="BB16" s="70">
        <v>-3.3585222502099055E-2</v>
      </c>
      <c r="BC16" s="70">
        <v>-2.2589052997393555E-2</v>
      </c>
      <c r="BD16" s="70">
        <v>3.1111111111111089E-2</v>
      </c>
      <c r="BE16" s="26"/>
      <c r="BF16" s="70">
        <v>-6.0344827586206851E-2</v>
      </c>
      <c r="BG16" s="70">
        <v>-3.1192660550458662E-2</v>
      </c>
      <c r="BH16" s="70">
        <v>7.3863636363636465E-2</v>
      </c>
    </row>
    <row r="17" spans="1:60">
      <c r="A17" s="69" t="s">
        <v>8</v>
      </c>
      <c r="B17" s="23"/>
      <c r="C17" s="71"/>
      <c r="D17" s="71"/>
      <c r="E17" s="71"/>
      <c r="F17" s="71"/>
      <c r="G17" s="23">
        <f t="shared" ref="G17:N17" si="2">G15/B15-1</f>
        <v>4.3674933707689823E-2</v>
      </c>
      <c r="H17" s="71">
        <f t="shared" si="2"/>
        <v>-1.1356843992827215E-2</v>
      </c>
      <c r="I17" s="71">
        <f t="shared" si="2"/>
        <v>4.8455481526348265E-3</v>
      </c>
      <c r="J17" s="71">
        <f t="shared" si="2"/>
        <v>6.9808027923210503E-3</v>
      </c>
      <c r="K17" s="70">
        <f t="shared" si="2"/>
        <v>1.5776699029126151E-2</v>
      </c>
      <c r="L17" s="23">
        <f t="shared" si="2"/>
        <v>4.0352712599014406E-3</v>
      </c>
      <c r="M17" s="71">
        <f t="shared" si="2"/>
        <v>-1.8742442563482453E-2</v>
      </c>
      <c r="N17" s="71">
        <f t="shared" si="2"/>
        <v>-1.5069318866787196E-2</v>
      </c>
      <c r="O17" s="71">
        <f t="shared" ref="O17:U17" si="3">O15/J15-1</f>
        <v>-4.9104563835932979E-2</v>
      </c>
      <c r="P17" s="70">
        <f t="shared" si="3"/>
        <v>-1.7921146953404965E-2</v>
      </c>
      <c r="Q17" s="23">
        <f t="shared" si="3"/>
        <v>-2.5454004167907107E-2</v>
      </c>
      <c r="R17" s="71">
        <f t="shared" si="3"/>
        <v>-2.8342575477510734E-2</v>
      </c>
      <c r="S17" s="71">
        <f t="shared" si="3"/>
        <v>-6.0587515299877603E-2</v>
      </c>
      <c r="T17" s="71">
        <f t="shared" si="3"/>
        <v>-2.6731470230862753E-2</v>
      </c>
      <c r="U17" s="70">
        <f t="shared" si="3"/>
        <v>-7.1776155717761525E-2</v>
      </c>
      <c r="V17" s="23">
        <v>-4.6891706124942756E-2</v>
      </c>
      <c r="W17" s="71">
        <v>-2.1559923906150913E-2</v>
      </c>
      <c r="X17" s="71">
        <v>-1.2377850162866411E-2</v>
      </c>
      <c r="Y17" s="71">
        <v>-4.3695380774032566E-3</v>
      </c>
      <c r="Z17" s="70">
        <v>2.9488859764089215E-2</v>
      </c>
      <c r="AA17" s="23">
        <v>-2.4038461538461453E-3</v>
      </c>
      <c r="AB17" s="71">
        <v>-2.5923525599481523E-2</v>
      </c>
      <c r="AC17" s="71">
        <v>2.2427440633245421E-2</v>
      </c>
      <c r="AD17" s="71">
        <v>-4.6394984326018851E-2</v>
      </c>
      <c r="AE17" s="70">
        <v>-1.9096117122851641E-2</v>
      </c>
      <c r="AF17" s="23">
        <v>-1.7670682730923648E-2</v>
      </c>
      <c r="AG17" s="71">
        <v>-2.39520958083832E-2</v>
      </c>
      <c r="AH17" s="71">
        <v>-8.1290322580645169E-2</v>
      </c>
      <c r="AI17" s="71">
        <v>-1.5121630506245931E-2</v>
      </c>
      <c r="AJ17" s="70">
        <v>-6.5541855937702787E-2</v>
      </c>
      <c r="AK17" s="23">
        <v>-4.6770237121831593E-2</v>
      </c>
      <c r="AL17" s="71">
        <v>-2.5903203817314258E-2</v>
      </c>
      <c r="AM17" s="71">
        <v>-2.6685393258427004E-2</v>
      </c>
      <c r="AN17" s="71">
        <v>-5.8744993324432615E-2</v>
      </c>
      <c r="AO17" s="70">
        <v>-2.5694444444444464E-2</v>
      </c>
      <c r="AP17" s="23">
        <v>-3.4482758620689613E-2</v>
      </c>
      <c r="AQ17" s="71">
        <v>-5.6682995101469569E-2</v>
      </c>
      <c r="AR17" s="71">
        <v>-5.1948051948051965E-2</v>
      </c>
      <c r="AS17" s="71">
        <v>-1.9148936170212738E-2</v>
      </c>
      <c r="AT17" s="70">
        <v>-0.10762651461154671</v>
      </c>
      <c r="AU17" s="23">
        <v>-5.8813077469793917E-2</v>
      </c>
      <c r="AV17" s="71">
        <v>-4.9703264094955513E-2</v>
      </c>
      <c r="AW17" s="71">
        <v>-7.1537290715372959E-2</v>
      </c>
      <c r="AX17" s="71">
        <v>-8.4598698481561874E-2</v>
      </c>
      <c r="AY17" s="70">
        <v>-3.7539936102236382E-2</v>
      </c>
      <c r="AZ17" s="23">
        <v>-6.1355484236360169E-2</v>
      </c>
      <c r="BA17" s="71">
        <v>-7.0257611241217766E-2</v>
      </c>
      <c r="BB17" s="71">
        <v>-5.6557377049180291E-2</v>
      </c>
      <c r="BC17" s="71">
        <v>-0.11137440758293837</v>
      </c>
      <c r="BD17" s="70">
        <v>-3.7344398340248941E-2</v>
      </c>
      <c r="BE17" s="23">
        <v>-6.938857602574422E-2</v>
      </c>
      <c r="BF17" s="71">
        <v>-8.4802686817800121E-2</v>
      </c>
      <c r="BG17" s="71">
        <v>-8.2536924413553425E-2</v>
      </c>
      <c r="BH17" s="71">
        <v>8.0000000000000071E-3</v>
      </c>
    </row>
    <row r="18" spans="1:60">
      <c r="A18" s="69"/>
      <c r="B18" s="23"/>
      <c r="C18" s="71"/>
      <c r="D18" s="71"/>
      <c r="E18" s="71"/>
      <c r="F18" s="71"/>
      <c r="G18" s="23"/>
      <c r="H18" s="71"/>
      <c r="I18" s="71"/>
      <c r="J18" s="71"/>
      <c r="K18" s="70"/>
      <c r="L18" s="23"/>
      <c r="M18" s="71"/>
      <c r="N18" s="71"/>
      <c r="O18" s="71"/>
      <c r="P18" s="70"/>
      <c r="Q18" s="23"/>
      <c r="R18" s="71"/>
      <c r="S18" s="71"/>
      <c r="T18" s="71"/>
      <c r="U18" s="70"/>
      <c r="V18" s="23"/>
      <c r="W18" s="71"/>
      <c r="X18" s="71"/>
      <c r="Y18" s="71"/>
      <c r="Z18" s="70"/>
      <c r="AA18" s="23">
        <v>-14</v>
      </c>
      <c r="AB18" s="71"/>
      <c r="AC18" s="71"/>
      <c r="AD18" s="71"/>
      <c r="AE18" s="70"/>
      <c r="AF18" s="23"/>
      <c r="AG18" s="71"/>
      <c r="AH18" s="71"/>
      <c r="AI18" s="71"/>
      <c r="AJ18" s="70"/>
      <c r="AK18" s="23"/>
      <c r="AL18" s="71"/>
      <c r="AM18" s="71"/>
      <c r="AN18" s="71"/>
      <c r="AO18" s="70"/>
      <c r="AP18" s="23"/>
      <c r="AQ18" s="71"/>
      <c r="AR18" s="71"/>
      <c r="AS18" s="71"/>
      <c r="AT18" s="70"/>
      <c r="AU18" s="23"/>
      <c r="AV18" s="71"/>
      <c r="AW18" s="71"/>
      <c r="AX18" s="71"/>
      <c r="AY18" s="70"/>
      <c r="AZ18" s="23"/>
      <c r="BA18" s="71"/>
      <c r="BB18" s="71"/>
      <c r="BC18" s="71"/>
      <c r="BD18" s="70"/>
      <c r="BE18" s="23"/>
      <c r="BF18" s="71"/>
      <c r="BG18" s="71"/>
      <c r="BH18" s="71"/>
    </row>
    <row r="19" spans="1:60">
      <c r="A19" s="87" t="s">
        <v>75</v>
      </c>
      <c r="B19" s="37">
        <v>2749</v>
      </c>
      <c r="C19" s="74">
        <v>2701</v>
      </c>
      <c r="D19" s="74">
        <v>2670</v>
      </c>
      <c r="E19" s="74">
        <v>2634</v>
      </c>
      <c r="F19" s="74">
        <v>2604</v>
      </c>
      <c r="G19" s="37">
        <v>2604</v>
      </c>
      <c r="H19" s="74">
        <v>2571</v>
      </c>
      <c r="I19" s="74">
        <v>2540</v>
      </c>
      <c r="J19" s="74">
        <v>2513</v>
      </c>
      <c r="K19" s="68">
        <v>2483</v>
      </c>
      <c r="L19" s="36">
        <v>2483</v>
      </c>
      <c r="M19" s="74">
        <v>2454</v>
      </c>
      <c r="N19" s="74">
        <v>2422</v>
      </c>
      <c r="O19" s="74">
        <v>2394</v>
      </c>
      <c r="P19" s="68">
        <v>2366</v>
      </c>
      <c r="Q19" s="36">
        <v>2366</v>
      </c>
      <c r="R19" s="74">
        <v>2358</v>
      </c>
      <c r="S19" s="74">
        <v>2356</v>
      </c>
      <c r="T19" s="74">
        <v>2363</v>
      </c>
      <c r="U19" s="68">
        <v>2367</v>
      </c>
      <c r="V19" s="36">
        <v>2367</v>
      </c>
      <c r="W19" s="74">
        <v>2368</v>
      </c>
      <c r="X19" s="74">
        <v>2335</v>
      </c>
      <c r="Y19" s="74">
        <v>2299</v>
      </c>
      <c r="Z19" s="68">
        <v>2268</v>
      </c>
      <c r="AA19" s="36">
        <v>2268</v>
      </c>
      <c r="AB19" s="74">
        <v>2242</v>
      </c>
      <c r="AC19" s="74">
        <v>2224</v>
      </c>
      <c r="AD19" s="74">
        <v>2223</v>
      </c>
      <c r="AE19" s="68">
        <v>2216</v>
      </c>
      <c r="AF19" s="36">
        <v>2216</v>
      </c>
      <c r="AG19" s="74">
        <v>2214</v>
      </c>
      <c r="AH19" s="74">
        <v>2205</v>
      </c>
      <c r="AI19" s="74">
        <v>2205</v>
      </c>
      <c r="AJ19" s="68">
        <v>2205</v>
      </c>
      <c r="AK19" s="36">
        <v>2205</v>
      </c>
      <c r="AL19" s="74">
        <v>2125</v>
      </c>
      <c r="AM19" s="74">
        <v>2117</v>
      </c>
      <c r="AN19" s="74">
        <v>2103</v>
      </c>
      <c r="AO19" s="68">
        <v>2087</v>
      </c>
      <c r="AP19" s="36">
        <v>2087</v>
      </c>
      <c r="AQ19" s="74">
        <v>2068</v>
      </c>
      <c r="AR19" s="74">
        <v>2050</v>
      </c>
      <c r="AS19" s="74">
        <v>2031</v>
      </c>
      <c r="AT19" s="68">
        <v>2010</v>
      </c>
      <c r="AU19" s="36">
        <v>2010</v>
      </c>
      <c r="AV19" s="74">
        <v>1986</v>
      </c>
      <c r="AW19" s="74">
        <v>1961</v>
      </c>
      <c r="AX19" s="74">
        <v>1942</v>
      </c>
      <c r="AY19" s="68">
        <v>1916</v>
      </c>
      <c r="AZ19" s="36">
        <v>1916</v>
      </c>
      <c r="BA19" s="74">
        <v>1889</v>
      </c>
      <c r="BB19" s="74">
        <v>1865</v>
      </c>
      <c r="BC19" s="74">
        <v>1843</v>
      </c>
      <c r="BD19" s="68">
        <v>1818</v>
      </c>
      <c r="BE19" s="36">
        <v>1818</v>
      </c>
      <c r="BF19" s="74">
        <v>1792</v>
      </c>
      <c r="BG19" s="74">
        <v>1768</v>
      </c>
      <c r="BH19" s="74">
        <v>1743</v>
      </c>
    </row>
    <row r="20" spans="1:60">
      <c r="A20" s="69" t="s">
        <v>7</v>
      </c>
      <c r="B20" s="23"/>
      <c r="C20" s="70"/>
      <c r="D20" s="70">
        <f>D19/C19-1</f>
        <v>-1.1477230655312809E-2</v>
      </c>
      <c r="E20" s="70">
        <f>E19/D19-1</f>
        <v>-1.3483146067415741E-2</v>
      </c>
      <c r="F20" s="70">
        <f>F19/E19-1</f>
        <v>-1.1389521640091105E-2</v>
      </c>
      <c r="G20" s="23"/>
      <c r="H20" s="70">
        <f>H19/F19-1</f>
        <v>-1.2672811059907807E-2</v>
      </c>
      <c r="I20" s="70">
        <f>I19/H19-1</f>
        <v>-1.2057565149747207E-2</v>
      </c>
      <c r="J20" s="70">
        <f>J19/I19-1</f>
        <v>-1.0629921259842523E-2</v>
      </c>
      <c r="K20" s="70">
        <f>K19/J19-1</f>
        <v>-1.1937922801432577E-2</v>
      </c>
      <c r="L20" s="26"/>
      <c r="M20" s="70">
        <f>M19/K19-1</f>
        <v>-1.1679420056383449E-2</v>
      </c>
      <c r="N20" s="70">
        <f>N19/M19-1</f>
        <v>-1.3039934800325947E-2</v>
      </c>
      <c r="O20" s="70">
        <f>O19/N19-1</f>
        <v>-1.1560693641618491E-2</v>
      </c>
      <c r="P20" s="70">
        <f>P19/O19-1</f>
        <v>-1.1695906432748537E-2</v>
      </c>
      <c r="Q20" s="26"/>
      <c r="R20" s="70">
        <f>R19/P19-1</f>
        <v>-3.3812341504648735E-3</v>
      </c>
      <c r="S20" s="70">
        <f>S19/R19-1</f>
        <v>-8.4817642069545673E-4</v>
      </c>
      <c r="T20" s="70">
        <f>T19/S19-1</f>
        <v>2.9711375212224667E-3</v>
      </c>
      <c r="U20" s="70">
        <f>U19/T19-1</f>
        <v>1.6927634363097521E-3</v>
      </c>
      <c r="V20" s="26"/>
      <c r="W20" s="70">
        <v>4.2247570764675224E-4</v>
      </c>
      <c r="X20" s="70">
        <v>-1.3935810810810856E-2</v>
      </c>
      <c r="Y20" s="70">
        <v>-1.5417558886509641E-2</v>
      </c>
      <c r="Z20" s="70">
        <v>-1.3484123531970371E-2</v>
      </c>
      <c r="AA20" s="26"/>
      <c r="AB20" s="70">
        <v>-1.1463844797178102E-2</v>
      </c>
      <c r="AC20" s="70">
        <v>-8.0285459411240101E-3</v>
      </c>
      <c r="AD20" s="70">
        <v>-4.4964028776983689E-4</v>
      </c>
      <c r="AE20" s="70">
        <v>-3.1488978857400207E-3</v>
      </c>
      <c r="AF20" s="26"/>
      <c r="AG20" s="70">
        <v>-9.0252707581228719E-4</v>
      </c>
      <c r="AH20" s="70">
        <v>-4.0650406504064707E-3</v>
      </c>
      <c r="AI20" s="70">
        <v>0</v>
      </c>
      <c r="AJ20" s="70">
        <v>0</v>
      </c>
      <c r="AK20" s="26"/>
      <c r="AL20" s="70">
        <v>-3.6281179138321962E-2</v>
      </c>
      <c r="AM20" s="70">
        <v>-3.7647058823528923E-3</v>
      </c>
      <c r="AN20" s="70">
        <v>-6.6131317902692333E-3</v>
      </c>
      <c r="AO20" s="70">
        <v>-7.6081787922016586E-3</v>
      </c>
      <c r="AP20" s="26"/>
      <c r="AQ20" s="70">
        <v>-9.1039770004791576E-3</v>
      </c>
      <c r="AR20" s="70">
        <v>-8.704061895551285E-3</v>
      </c>
      <c r="AS20" s="70">
        <v>-9.2682926829268375E-3</v>
      </c>
      <c r="AT20" s="70">
        <v>-1.0339734121122546E-2</v>
      </c>
      <c r="AU20" s="26"/>
      <c r="AV20" s="70">
        <v>-1.1940298507462699E-2</v>
      </c>
      <c r="AW20" s="70">
        <v>-1.2588116817724093E-2</v>
      </c>
      <c r="AX20" s="70">
        <v>-9.6889342172361559E-3</v>
      </c>
      <c r="AY20" s="70">
        <v>-1.3388259526261548E-2</v>
      </c>
      <c r="AZ20" s="26"/>
      <c r="BA20" s="70">
        <v>-1.4091858037578286E-2</v>
      </c>
      <c r="BB20" s="70">
        <v>-1.2705134992059275E-2</v>
      </c>
      <c r="BC20" s="70">
        <v>-1.1796246648793529E-2</v>
      </c>
      <c r="BD20" s="70">
        <v>-1.3564839934888773E-2</v>
      </c>
      <c r="BE20" s="26"/>
      <c r="BF20" s="70">
        <v>-1.4301430143014326E-2</v>
      </c>
      <c r="BG20" s="70">
        <v>-1.3392857142857095E-2</v>
      </c>
      <c r="BH20" s="70">
        <v>-1.4140271493212619E-2</v>
      </c>
    </row>
    <row r="21" spans="1:60">
      <c r="A21" s="69" t="s">
        <v>8</v>
      </c>
      <c r="B21" s="23"/>
      <c r="C21" s="71"/>
      <c r="D21" s="71"/>
      <c r="E21" s="71"/>
      <c r="F21" s="71"/>
      <c r="G21" s="23">
        <f t="shared" ref="G21:O21" si="4">G19/B19-1</f>
        <v>-5.2746453255729353E-2</v>
      </c>
      <c r="H21" s="71">
        <f t="shared" si="4"/>
        <v>-4.8130322102924894E-2</v>
      </c>
      <c r="I21" s="71">
        <f t="shared" si="4"/>
        <v>-4.8689138576779034E-2</v>
      </c>
      <c r="J21" s="71">
        <f t="shared" si="4"/>
        <v>-4.5937737281700808E-2</v>
      </c>
      <c r="K21" s="70">
        <f t="shared" si="4"/>
        <v>-4.64669738863287E-2</v>
      </c>
      <c r="L21" s="23">
        <f t="shared" si="4"/>
        <v>-4.64669738863287E-2</v>
      </c>
      <c r="M21" s="71">
        <f t="shared" si="4"/>
        <v>-4.5507584597432871E-2</v>
      </c>
      <c r="N21" s="71">
        <f t="shared" si="4"/>
        <v>-4.6456692913385833E-2</v>
      </c>
      <c r="O21" s="71">
        <f t="shared" si="4"/>
        <v>-4.7353760445682402E-2</v>
      </c>
      <c r="P21" s="70">
        <f t="shared" ref="P21:U21" si="5">P19/K19-1</f>
        <v>-4.7120418848167533E-2</v>
      </c>
      <c r="Q21" s="23">
        <f t="shared" si="5"/>
        <v>-4.7120418848167533E-2</v>
      </c>
      <c r="R21" s="71">
        <v>0.15</v>
      </c>
      <c r="S21" s="71">
        <f t="shared" si="5"/>
        <v>-2.725020644095788E-2</v>
      </c>
      <c r="T21" s="71">
        <f t="shared" si="5"/>
        <v>-1.294903926482871E-2</v>
      </c>
      <c r="U21" s="70">
        <f t="shared" si="5"/>
        <v>4.226542688081647E-4</v>
      </c>
      <c r="V21" s="23">
        <v>4.226542688081647E-4</v>
      </c>
      <c r="W21" s="71">
        <v>4.2408821034776167E-3</v>
      </c>
      <c r="X21" s="71">
        <v>-8.9134125636671779E-3</v>
      </c>
      <c r="Y21" s="71">
        <v>-2.7084214980956367E-2</v>
      </c>
      <c r="Z21" s="70">
        <v>-4.1825095057034245E-2</v>
      </c>
      <c r="AA21" s="23">
        <v>-4.1825095057034245E-2</v>
      </c>
      <c r="AB21" s="71">
        <v>-5.3209459459459429E-2</v>
      </c>
      <c r="AC21" s="71">
        <v>-4.7537473233404737E-2</v>
      </c>
      <c r="AD21" s="71">
        <v>-3.3057851239669422E-2</v>
      </c>
      <c r="AE21" s="70">
        <v>-2.2927689594356315E-2</v>
      </c>
      <c r="AF21" s="23">
        <v>-2.2927689594356315E-2</v>
      </c>
      <c r="AG21" s="71">
        <v>-1.2488849241748423E-2</v>
      </c>
      <c r="AH21" s="71">
        <v>-8.5431654676259017E-3</v>
      </c>
      <c r="AI21" s="71">
        <v>-8.0971659919027994E-3</v>
      </c>
      <c r="AJ21" s="70">
        <v>-4.9638989169674685E-3</v>
      </c>
      <c r="AK21" s="23">
        <v>-4.9638989169674685E-3</v>
      </c>
      <c r="AL21" s="71">
        <v>-4.0198735320686518E-2</v>
      </c>
      <c r="AM21" s="71">
        <v>-3.990929705215418E-2</v>
      </c>
      <c r="AN21" s="71">
        <v>-4.6258503401360507E-2</v>
      </c>
      <c r="AO21" s="70">
        <v>-5.3514739229024944E-2</v>
      </c>
      <c r="AP21" s="23">
        <v>-5.3514739229024944E-2</v>
      </c>
      <c r="AQ21" s="71">
        <v>-2.6823529411764691E-2</v>
      </c>
      <c r="AR21" s="71">
        <v>-3.1648559282002831E-2</v>
      </c>
      <c r="AS21" s="71">
        <v>-3.4236804564907297E-2</v>
      </c>
      <c r="AT21" s="70">
        <v>-3.6895064686152335E-2</v>
      </c>
      <c r="AU21" s="23">
        <v>-3.6895064686152335E-2</v>
      </c>
      <c r="AV21" s="71">
        <v>-3.9651837524178002E-2</v>
      </c>
      <c r="AW21" s="71">
        <v>-4.3414634146341502E-2</v>
      </c>
      <c r="AX21" s="71">
        <v>-4.3820777941900535E-2</v>
      </c>
      <c r="AY21" s="70">
        <v>-4.676616915422882E-2</v>
      </c>
      <c r="AZ21" s="23">
        <v>-4.676616915422882E-2</v>
      </c>
      <c r="BA21" s="71">
        <v>-4.8841893252769331E-2</v>
      </c>
      <c r="BB21" s="71">
        <v>-4.8954614992350876E-2</v>
      </c>
      <c r="BC21" s="71">
        <v>-5.09783728115345E-2</v>
      </c>
      <c r="BD21" s="70">
        <v>-5.1148225469728636E-2</v>
      </c>
      <c r="BE21" s="23">
        <v>-5.1148225469728636E-2</v>
      </c>
      <c r="BF21" s="71">
        <v>-5.1349920592906328E-2</v>
      </c>
      <c r="BG21" s="71">
        <v>-5.2010723860589803E-2</v>
      </c>
      <c r="BH21" s="71">
        <v>-5.4259359739555091E-2</v>
      </c>
    </row>
    <row r="22" spans="1:60">
      <c r="A22" s="69" t="s">
        <v>204</v>
      </c>
      <c r="B22" s="23"/>
      <c r="C22" s="71"/>
      <c r="D22" s="71"/>
      <c r="E22" s="71"/>
      <c r="F22" s="71"/>
      <c r="G22" s="196">
        <f>G19-B19</f>
        <v>-145</v>
      </c>
      <c r="H22" s="71"/>
      <c r="I22" s="71"/>
      <c r="J22" s="71"/>
      <c r="K22" s="70"/>
      <c r="L22" s="196">
        <f>L19-G19</f>
        <v>-121</v>
      </c>
      <c r="M22" s="71"/>
      <c r="N22" s="71"/>
      <c r="O22" s="71"/>
      <c r="P22" s="70"/>
      <c r="Q22" s="196">
        <f>Q19-L19</f>
        <v>-117</v>
      </c>
      <c r="R22" s="71"/>
      <c r="S22" s="71"/>
      <c r="T22" s="71"/>
      <c r="U22" s="70"/>
      <c r="V22" s="196">
        <v>1</v>
      </c>
      <c r="W22" s="71"/>
      <c r="X22" s="71"/>
      <c r="Y22" s="71"/>
      <c r="Z22" s="70"/>
      <c r="AA22" s="196">
        <v>-99</v>
      </c>
      <c r="AB22" s="71"/>
      <c r="AC22" s="71"/>
      <c r="AD22" s="71"/>
      <c r="AE22" s="70"/>
      <c r="AF22" s="196">
        <v>-52</v>
      </c>
      <c r="AG22" s="71"/>
      <c r="AH22" s="71"/>
      <c r="AI22" s="71"/>
      <c r="AJ22" s="70"/>
      <c r="AK22" s="196">
        <v>-11</v>
      </c>
      <c r="AL22" s="193"/>
      <c r="AM22" s="193">
        <v>-8</v>
      </c>
      <c r="AN22" s="193">
        <v>-14</v>
      </c>
      <c r="AO22" s="193">
        <v>-16</v>
      </c>
      <c r="AP22" s="196">
        <v>-118</v>
      </c>
      <c r="AQ22" s="195">
        <v>-19</v>
      </c>
      <c r="AR22" s="195">
        <v>-18</v>
      </c>
      <c r="AS22" s="195">
        <v>-19</v>
      </c>
      <c r="AT22" s="195">
        <v>-21</v>
      </c>
      <c r="AU22" s="196">
        <v>-77</v>
      </c>
      <c r="AV22" s="195">
        <v>-24</v>
      </c>
      <c r="AW22" s="195">
        <v>-25</v>
      </c>
      <c r="AX22" s="195">
        <v>-19</v>
      </c>
      <c r="AY22" s="195">
        <v>-26</v>
      </c>
      <c r="AZ22" s="196">
        <v>-94</v>
      </c>
      <c r="BA22" s="195">
        <v>-27</v>
      </c>
      <c r="BB22" s="195">
        <v>-24</v>
      </c>
      <c r="BC22" s="195">
        <v>-22</v>
      </c>
      <c r="BD22" s="195">
        <v>-25</v>
      </c>
      <c r="BE22" s="196">
        <v>-98</v>
      </c>
      <c r="BF22" s="195">
        <v>-26</v>
      </c>
      <c r="BG22" s="195">
        <v>-24</v>
      </c>
      <c r="BH22" s="195">
        <v>-25</v>
      </c>
    </row>
    <row r="23" spans="1:60">
      <c r="A23" s="69"/>
      <c r="B23" s="23"/>
      <c r="C23" s="71"/>
      <c r="D23" s="71"/>
      <c r="E23" s="71"/>
      <c r="F23" s="71"/>
      <c r="G23" s="23"/>
      <c r="H23" s="71"/>
      <c r="I23" s="71"/>
      <c r="J23" s="71"/>
      <c r="K23" s="70"/>
      <c r="L23" s="23"/>
      <c r="M23" s="71"/>
      <c r="N23" s="71"/>
      <c r="O23" s="71"/>
      <c r="P23" s="70"/>
      <c r="Q23" s="23"/>
      <c r="R23" s="71"/>
      <c r="S23" s="71"/>
      <c r="T23" s="71"/>
      <c r="U23" s="70"/>
      <c r="V23" s="23"/>
      <c r="W23" s="71"/>
      <c r="X23" s="71"/>
      <c r="Y23" s="71"/>
      <c r="Z23" s="70"/>
      <c r="AA23" s="23"/>
      <c r="AB23" s="71"/>
      <c r="AC23" s="71"/>
      <c r="AD23" s="71"/>
      <c r="AE23" s="70"/>
      <c r="AF23" s="23"/>
      <c r="AG23" s="71"/>
      <c r="AH23" s="71"/>
      <c r="AI23" s="71"/>
      <c r="AJ23" s="70"/>
      <c r="AK23" s="23"/>
      <c r="AL23" s="71"/>
      <c r="AM23" s="71"/>
      <c r="AN23" s="71"/>
      <c r="AO23" s="70"/>
      <c r="AP23" s="23"/>
      <c r="AQ23" s="71"/>
      <c r="AR23" s="71"/>
      <c r="AS23" s="71"/>
      <c r="AT23" s="70"/>
      <c r="AU23" s="23"/>
      <c r="AV23" s="71"/>
      <c r="AW23" s="71"/>
      <c r="AX23" s="71"/>
      <c r="AY23" s="70"/>
      <c r="AZ23" s="23"/>
      <c r="BA23" s="71"/>
      <c r="BB23" s="71"/>
      <c r="BC23" s="71"/>
      <c r="BD23" s="70"/>
      <c r="BE23" s="23"/>
      <c r="BF23" s="71"/>
      <c r="BG23" s="71"/>
      <c r="BH23" s="71"/>
    </row>
    <row r="24" spans="1:60">
      <c r="A24" s="190" t="s">
        <v>203</v>
      </c>
      <c r="B24" s="98" t="s">
        <v>49</v>
      </c>
      <c r="C24" s="74">
        <v>114</v>
      </c>
      <c r="D24" s="74">
        <v>109</v>
      </c>
      <c r="E24" s="74">
        <v>113</v>
      </c>
      <c r="F24" s="74">
        <v>109</v>
      </c>
      <c r="G24" s="61">
        <v>111</v>
      </c>
      <c r="H24" s="74">
        <v>108</v>
      </c>
      <c r="I24" s="74">
        <v>108</v>
      </c>
      <c r="J24" s="74">
        <v>111</v>
      </c>
      <c r="K24" s="68">
        <v>110</v>
      </c>
      <c r="L24" s="27">
        <v>109</v>
      </c>
      <c r="M24" s="74">
        <v>106</v>
      </c>
      <c r="N24" s="74">
        <v>109</v>
      </c>
      <c r="O24" s="74">
        <v>109</v>
      </c>
      <c r="P24" s="68">
        <v>111</v>
      </c>
      <c r="Q24" s="27">
        <v>109</v>
      </c>
      <c r="R24" s="74">
        <v>87</v>
      </c>
      <c r="S24" s="74">
        <v>86</v>
      </c>
      <c r="T24" s="74">
        <v>87</v>
      </c>
      <c r="U24" s="68">
        <v>78</v>
      </c>
      <c r="V24" s="27">
        <v>85</v>
      </c>
      <c r="W24" s="74">
        <v>83</v>
      </c>
      <c r="X24" s="74">
        <v>81</v>
      </c>
      <c r="Y24" s="74">
        <v>80</v>
      </c>
      <c r="Z24" s="68">
        <v>78</v>
      </c>
      <c r="AA24" s="27">
        <v>81</v>
      </c>
      <c r="AB24" s="74">
        <v>75</v>
      </c>
      <c r="AC24" s="74">
        <v>75</v>
      </c>
      <c r="AD24" s="74">
        <v>73</v>
      </c>
      <c r="AE24" s="68">
        <v>70</v>
      </c>
      <c r="AF24" s="27">
        <v>74</v>
      </c>
      <c r="AG24" s="74">
        <v>64</v>
      </c>
      <c r="AH24" s="74">
        <v>63</v>
      </c>
      <c r="AI24" s="74">
        <v>63</v>
      </c>
      <c r="AJ24" s="68">
        <v>62</v>
      </c>
      <c r="AK24" s="27">
        <v>63</v>
      </c>
      <c r="AL24" s="74">
        <v>60</v>
      </c>
      <c r="AM24" s="74">
        <v>59</v>
      </c>
      <c r="AN24" s="74">
        <v>59</v>
      </c>
      <c r="AO24" s="68">
        <v>59</v>
      </c>
      <c r="AP24" s="27">
        <v>59</v>
      </c>
      <c r="AQ24" s="74">
        <v>58</v>
      </c>
      <c r="AR24" s="74">
        <v>57</v>
      </c>
      <c r="AS24" s="74">
        <v>57</v>
      </c>
      <c r="AT24" s="68">
        <v>55</v>
      </c>
      <c r="AU24" s="27">
        <v>57</v>
      </c>
      <c r="AV24" s="74">
        <v>56</v>
      </c>
      <c r="AW24" s="74">
        <v>54</v>
      </c>
      <c r="AX24" s="74">
        <v>54</v>
      </c>
      <c r="AY24" s="68">
        <v>53</v>
      </c>
      <c r="AZ24" s="27">
        <v>54</v>
      </c>
      <c r="BA24" s="74">
        <v>53</v>
      </c>
      <c r="BB24" s="74">
        <v>52</v>
      </c>
      <c r="BC24" s="74">
        <v>51</v>
      </c>
      <c r="BD24" s="68">
        <v>51</v>
      </c>
      <c r="BE24" s="27">
        <v>52</v>
      </c>
      <c r="BF24" s="74">
        <v>50</v>
      </c>
      <c r="BG24" s="74">
        <v>49</v>
      </c>
      <c r="BH24" s="74">
        <v>49</v>
      </c>
    </row>
    <row r="25" spans="1:60">
      <c r="A25" s="69" t="s">
        <v>7</v>
      </c>
      <c r="B25" s="23"/>
      <c r="C25" s="70"/>
      <c r="D25" s="70">
        <f>D24/C24-1</f>
        <v>-4.3859649122807043E-2</v>
      </c>
      <c r="E25" s="70">
        <f>E24/D24-1</f>
        <v>3.669724770642202E-2</v>
      </c>
      <c r="F25" s="70">
        <f>F24/E24-1</f>
        <v>-3.539823008849563E-2</v>
      </c>
      <c r="G25" s="23"/>
      <c r="H25" s="70">
        <f>H24/F24-1</f>
        <v>-9.1743119266054496E-3</v>
      </c>
      <c r="I25" s="70">
        <f>I24/H24-1</f>
        <v>0</v>
      </c>
      <c r="J25" s="70">
        <f>J24/I24-1</f>
        <v>2.7777777777777679E-2</v>
      </c>
      <c r="K25" s="70">
        <f>K24/J24-1</f>
        <v>-9.009009009009028E-3</v>
      </c>
      <c r="L25" s="26"/>
      <c r="M25" s="70">
        <f>M24/K24-1</f>
        <v>-3.6363636363636376E-2</v>
      </c>
      <c r="N25" s="70">
        <f>N24/M24-1</f>
        <v>2.8301886792452935E-2</v>
      </c>
      <c r="O25" s="70">
        <f>O24/N24-1</f>
        <v>0</v>
      </c>
      <c r="P25" s="70">
        <f>P24/O24-1</f>
        <v>1.8348623853210899E-2</v>
      </c>
      <c r="Q25" s="26"/>
      <c r="R25" s="70">
        <f>R24/P24-1</f>
        <v>-0.21621621621621623</v>
      </c>
      <c r="S25" s="70">
        <f>S24/R24-1</f>
        <v>-1.1494252873563204E-2</v>
      </c>
      <c r="T25" s="70">
        <f>T24/S24-1</f>
        <v>1.1627906976744207E-2</v>
      </c>
      <c r="U25" s="70">
        <f>U24/T24-1</f>
        <v>-0.10344827586206895</v>
      </c>
      <c r="V25" s="26"/>
      <c r="W25" s="70">
        <v>6.4102564102564097E-2</v>
      </c>
      <c r="X25" s="70">
        <v>-2.4096385542168641E-2</v>
      </c>
      <c r="Y25" s="70">
        <v>-1.2345679012345734E-2</v>
      </c>
      <c r="Z25" s="70">
        <v>-2.5000000000000022E-2</v>
      </c>
      <c r="AA25" s="26"/>
      <c r="AB25" s="70">
        <v>-3.8461538461538436E-2</v>
      </c>
      <c r="AC25" s="70">
        <v>0</v>
      </c>
      <c r="AD25" s="70">
        <v>-2.6666666666666616E-2</v>
      </c>
      <c r="AE25" s="70">
        <v>-4.1095890410958957E-2</v>
      </c>
      <c r="AF25" s="26"/>
      <c r="AG25" s="70">
        <v>-8.5714285714285743E-2</v>
      </c>
      <c r="AH25" s="70">
        <v>-1.5625E-2</v>
      </c>
      <c r="AI25" s="70">
        <v>0</v>
      </c>
      <c r="AJ25" s="70">
        <v>-1.5873015873015928E-2</v>
      </c>
      <c r="AK25" s="26"/>
      <c r="AL25" s="70">
        <v>-3.2258064516129004E-2</v>
      </c>
      <c r="AM25" s="70">
        <v>-1.6666666666666718E-2</v>
      </c>
      <c r="AN25" s="70">
        <v>0</v>
      </c>
      <c r="AO25" s="70">
        <v>0</v>
      </c>
      <c r="AP25" s="26"/>
      <c r="AQ25" s="70">
        <v>-1.6949152542372836E-2</v>
      </c>
      <c r="AR25" s="70">
        <v>-1.7241379310344862E-2</v>
      </c>
      <c r="AS25" s="70">
        <v>0</v>
      </c>
      <c r="AT25" s="70">
        <v>-3.5087719298245612E-2</v>
      </c>
      <c r="AU25" s="26"/>
      <c r="AV25" s="70">
        <v>1.8181818181818077E-2</v>
      </c>
      <c r="AW25" s="70">
        <v>-3.5714285714285698E-2</v>
      </c>
      <c r="AX25" s="70">
        <v>0</v>
      </c>
      <c r="AY25" s="70">
        <v>-1.851851851851849E-2</v>
      </c>
      <c r="AZ25" s="26"/>
      <c r="BA25" s="70">
        <v>0</v>
      </c>
      <c r="BB25" s="70">
        <v>-1.8867924528301883E-2</v>
      </c>
      <c r="BC25" s="70">
        <v>-1.9230769230769273E-2</v>
      </c>
      <c r="BD25" s="70">
        <v>0</v>
      </c>
      <c r="BE25" s="26"/>
      <c r="BF25" s="70">
        <v>-1.9607843137254943E-2</v>
      </c>
      <c r="BG25" s="70">
        <v>-2.0000000000000018E-2</v>
      </c>
      <c r="BH25" s="70">
        <v>0</v>
      </c>
    </row>
    <row r="26" spans="1:60">
      <c r="A26" s="69" t="s">
        <v>8</v>
      </c>
      <c r="B26" s="23"/>
      <c r="C26" s="71"/>
      <c r="D26" s="71"/>
      <c r="E26" s="71"/>
      <c r="F26" s="71"/>
      <c r="G26" s="23"/>
      <c r="H26" s="71">
        <f t="shared" ref="H26:U26" si="6">H24/C24-1</f>
        <v>-5.2631578947368474E-2</v>
      </c>
      <c r="I26" s="71">
        <f t="shared" si="6"/>
        <v>-9.1743119266054496E-3</v>
      </c>
      <c r="J26" s="71">
        <f t="shared" si="6"/>
        <v>-1.7699115044247815E-2</v>
      </c>
      <c r="K26" s="70">
        <f t="shared" si="6"/>
        <v>9.1743119266054496E-3</v>
      </c>
      <c r="L26" s="23">
        <f t="shared" si="6"/>
        <v>-1.8018018018018056E-2</v>
      </c>
      <c r="M26" s="71">
        <f t="shared" si="6"/>
        <v>-1.851851851851849E-2</v>
      </c>
      <c r="N26" s="71">
        <f t="shared" si="6"/>
        <v>9.2592592592593004E-3</v>
      </c>
      <c r="O26" s="71">
        <f t="shared" si="6"/>
        <v>-1.8018018018018056E-2</v>
      </c>
      <c r="P26" s="70">
        <f t="shared" si="6"/>
        <v>9.0909090909090384E-3</v>
      </c>
      <c r="Q26" s="23">
        <f t="shared" si="6"/>
        <v>0</v>
      </c>
      <c r="R26" s="71">
        <f t="shared" si="6"/>
        <v>-0.17924528301886788</v>
      </c>
      <c r="S26" s="71">
        <f t="shared" si="6"/>
        <v>-0.21100917431192656</v>
      </c>
      <c r="T26" s="71">
        <f t="shared" si="6"/>
        <v>-0.20183486238532111</v>
      </c>
      <c r="U26" s="70">
        <f t="shared" si="6"/>
        <v>-0.29729729729729726</v>
      </c>
      <c r="V26" s="23">
        <v>-0.22018348623853212</v>
      </c>
      <c r="W26" s="71">
        <v>-4.5977011494252928E-2</v>
      </c>
      <c r="X26" s="71">
        <v>-5.8139534883720922E-2</v>
      </c>
      <c r="Y26" s="71">
        <v>-8.0459770114942541E-2</v>
      </c>
      <c r="Z26" s="70">
        <v>0</v>
      </c>
      <c r="AA26" s="23">
        <v>-4.705882352941182E-2</v>
      </c>
      <c r="AB26" s="71">
        <v>-9.6385542168674676E-2</v>
      </c>
      <c r="AC26" s="71">
        <v>-7.407407407407407E-2</v>
      </c>
      <c r="AD26" s="71">
        <v>-8.7500000000000022E-2</v>
      </c>
      <c r="AE26" s="70">
        <v>-0.10256410256410253</v>
      </c>
      <c r="AF26" s="23">
        <v>-8.6419753086419804E-2</v>
      </c>
      <c r="AG26" s="71">
        <v>-0.14666666666666661</v>
      </c>
      <c r="AH26" s="71">
        <v>-0.16000000000000003</v>
      </c>
      <c r="AI26" s="71">
        <v>-0.13698630136986301</v>
      </c>
      <c r="AJ26" s="70">
        <v>-0.11428571428571432</v>
      </c>
      <c r="AK26" s="23">
        <v>-0.14864864864864868</v>
      </c>
      <c r="AL26" s="71">
        <v>-6.25E-2</v>
      </c>
      <c r="AM26" s="71">
        <v>-6.3492063492063489E-2</v>
      </c>
      <c r="AN26" s="71">
        <v>-6.3492063492063489E-2</v>
      </c>
      <c r="AO26" s="70">
        <v>-4.8387096774193505E-2</v>
      </c>
      <c r="AP26" s="23">
        <v>-6.3492063492063489E-2</v>
      </c>
      <c r="AQ26" s="71">
        <v>-3.3333333333333326E-2</v>
      </c>
      <c r="AR26" s="71">
        <v>-3.3898305084745783E-2</v>
      </c>
      <c r="AS26" s="71">
        <v>-3.3898305084745783E-2</v>
      </c>
      <c r="AT26" s="70">
        <v>-6.7796610169491567E-2</v>
      </c>
      <c r="AU26" s="23">
        <v>-3.3898305084745783E-2</v>
      </c>
      <c r="AV26" s="71">
        <v>-3.4482758620689613E-2</v>
      </c>
      <c r="AW26" s="71">
        <v>-5.2631578947368474E-2</v>
      </c>
      <c r="AX26" s="71">
        <v>-5.2631578947368474E-2</v>
      </c>
      <c r="AY26" s="70">
        <v>-3.6363636363636376E-2</v>
      </c>
      <c r="AZ26" s="23">
        <v>-5.2631578947368474E-2</v>
      </c>
      <c r="BA26" s="71">
        <v>-5.3571428571428603E-2</v>
      </c>
      <c r="BB26" s="71">
        <v>-3.703703703703709E-2</v>
      </c>
      <c r="BC26" s="71">
        <v>-5.555555555555558E-2</v>
      </c>
      <c r="BD26" s="70">
        <v>-3.7735849056603765E-2</v>
      </c>
      <c r="BE26" s="23">
        <v>-3.703703703703709E-2</v>
      </c>
      <c r="BF26" s="71">
        <v>-5.6603773584905648E-2</v>
      </c>
      <c r="BG26" s="71">
        <v>-5.7692307692307709E-2</v>
      </c>
      <c r="BH26" s="71">
        <v>-3.9215686274509776E-2</v>
      </c>
    </row>
    <row r="27" spans="1:60">
      <c r="A27" s="69"/>
      <c r="B27" s="23"/>
      <c r="C27" s="71"/>
      <c r="D27" s="71"/>
      <c r="E27" s="71"/>
      <c r="F27" s="71"/>
      <c r="G27" s="23"/>
      <c r="H27" s="71"/>
      <c r="I27" s="71"/>
      <c r="J27" s="71"/>
      <c r="K27" s="70"/>
      <c r="L27" s="23"/>
      <c r="M27" s="71"/>
      <c r="N27" s="71"/>
      <c r="O27" s="71"/>
      <c r="P27" s="70"/>
      <c r="Q27" s="23"/>
      <c r="R27" s="71"/>
      <c r="S27" s="71"/>
      <c r="T27" s="71"/>
      <c r="U27" s="70"/>
      <c r="V27" s="23"/>
      <c r="W27" s="71"/>
      <c r="X27" s="71"/>
      <c r="Y27" s="71"/>
      <c r="Z27" s="70"/>
      <c r="AA27" s="23"/>
      <c r="AB27" s="71"/>
      <c r="AC27" s="71"/>
      <c r="AD27" s="71"/>
      <c r="AE27" s="70"/>
      <c r="AF27" s="23"/>
      <c r="AG27" s="71"/>
      <c r="AH27" s="71"/>
      <c r="AI27" s="71"/>
      <c r="AJ27" s="70"/>
      <c r="AK27" s="23"/>
      <c r="AL27" s="71"/>
      <c r="AM27" s="71"/>
      <c r="AN27" s="71"/>
      <c r="AO27" s="70"/>
      <c r="AP27" s="23"/>
      <c r="AQ27" s="71"/>
      <c r="AR27" s="71"/>
      <c r="AS27" s="71"/>
      <c r="AT27" s="70"/>
      <c r="AU27" s="23"/>
      <c r="AV27" s="71"/>
      <c r="AW27" s="71"/>
      <c r="AX27" s="71"/>
      <c r="AY27" s="70"/>
      <c r="AZ27" s="23"/>
      <c r="BA27" s="71"/>
      <c r="BB27" s="71"/>
      <c r="BC27" s="71"/>
      <c r="BD27" s="70"/>
      <c r="BE27" s="23"/>
      <c r="BF27" s="71"/>
      <c r="BG27" s="71"/>
      <c r="BH27" s="71"/>
    </row>
    <row r="28" spans="1:60" hidden="1">
      <c r="A28" s="67" t="s">
        <v>76</v>
      </c>
      <c r="B28" s="37">
        <v>87</v>
      </c>
      <c r="C28" s="74">
        <v>85</v>
      </c>
      <c r="D28" s="74">
        <v>82</v>
      </c>
      <c r="E28" s="74">
        <v>85</v>
      </c>
      <c r="F28" s="74">
        <v>82</v>
      </c>
      <c r="G28" s="61">
        <v>83</v>
      </c>
      <c r="H28" s="74">
        <v>82</v>
      </c>
      <c r="I28" s="74">
        <v>81</v>
      </c>
      <c r="J28" s="74">
        <v>83</v>
      </c>
      <c r="K28" s="68">
        <v>83</v>
      </c>
      <c r="L28" s="27">
        <v>82</v>
      </c>
      <c r="M28" s="74">
        <v>80</v>
      </c>
      <c r="N28" s="74">
        <v>81</v>
      </c>
      <c r="O28" s="74">
        <v>82</v>
      </c>
      <c r="P28" s="68">
        <v>83</v>
      </c>
      <c r="Q28" s="27">
        <v>81</v>
      </c>
      <c r="R28" s="74">
        <v>79</v>
      </c>
      <c r="S28" s="74">
        <v>77</v>
      </c>
      <c r="T28" s="74">
        <v>78</v>
      </c>
      <c r="U28" s="68">
        <v>70</v>
      </c>
      <c r="V28" s="27">
        <v>76</v>
      </c>
      <c r="W28" s="74">
        <v>74</v>
      </c>
      <c r="X28" s="74">
        <v>73</v>
      </c>
      <c r="Y28" s="74">
        <v>73</v>
      </c>
      <c r="Z28" s="68">
        <v>71</v>
      </c>
      <c r="AA28" s="27">
        <v>73</v>
      </c>
      <c r="AB28" s="74">
        <v>69</v>
      </c>
      <c r="AC28" s="74">
        <v>68</v>
      </c>
      <c r="AD28" s="74">
        <v>67</v>
      </c>
      <c r="AE28" s="68">
        <v>64</v>
      </c>
      <c r="AF28" s="27">
        <v>67</v>
      </c>
      <c r="AG28" s="74">
        <v>69</v>
      </c>
      <c r="AH28" s="74">
        <v>68</v>
      </c>
      <c r="AI28" s="74">
        <v>68</v>
      </c>
      <c r="AJ28" s="68">
        <v>64</v>
      </c>
      <c r="AK28" s="27">
        <v>-586</v>
      </c>
      <c r="AL28" s="74">
        <v>69</v>
      </c>
      <c r="AM28" s="74">
        <v>68</v>
      </c>
      <c r="AN28" s="74">
        <v>68</v>
      </c>
      <c r="AO28" s="68">
        <v>64</v>
      </c>
      <c r="AP28" s="27">
        <v>-586</v>
      </c>
      <c r="AQ28" s="74">
        <v>69</v>
      </c>
      <c r="AR28" s="74">
        <v>68</v>
      </c>
      <c r="AS28" s="74">
        <v>68</v>
      </c>
      <c r="AT28" s="68">
        <v>64</v>
      </c>
      <c r="AU28" s="27">
        <v>-586</v>
      </c>
      <c r="AV28" s="74">
        <v>69</v>
      </c>
      <c r="AW28" s="74">
        <v>69</v>
      </c>
      <c r="AX28" s="74">
        <v>69</v>
      </c>
      <c r="AY28" s="68">
        <v>64</v>
      </c>
      <c r="AZ28" s="27">
        <v>-586</v>
      </c>
      <c r="BA28" s="74">
        <v>69</v>
      </c>
      <c r="BB28" s="74">
        <v>69</v>
      </c>
      <c r="BC28" s="74">
        <v>69</v>
      </c>
      <c r="BD28" s="68">
        <v>64</v>
      </c>
      <c r="BE28" s="27">
        <v>-586</v>
      </c>
      <c r="BF28" s="74">
        <v>69</v>
      </c>
      <c r="BG28" s="74">
        <v>69</v>
      </c>
      <c r="BH28" s="74">
        <v>70</v>
      </c>
    </row>
    <row r="29" spans="1:60" hidden="1">
      <c r="A29" s="69" t="s">
        <v>7</v>
      </c>
      <c r="B29" s="23"/>
      <c r="C29" s="70"/>
      <c r="D29" s="70">
        <f>D28/C28-1</f>
        <v>-3.5294117647058809E-2</v>
      </c>
      <c r="E29" s="70">
        <f>E28/D28-1</f>
        <v>3.6585365853658569E-2</v>
      </c>
      <c r="F29" s="70">
        <f>F28/E28-1</f>
        <v>-3.5294117647058809E-2</v>
      </c>
      <c r="G29" s="23"/>
      <c r="H29" s="70">
        <f>H28/F28-1</f>
        <v>0</v>
      </c>
      <c r="I29" s="70">
        <f>I28/H28-1</f>
        <v>-1.2195121951219523E-2</v>
      </c>
      <c r="J29" s="70">
        <f>J28/I28-1</f>
        <v>2.4691358024691468E-2</v>
      </c>
      <c r="K29" s="70">
        <f>K28/J28-1</f>
        <v>0</v>
      </c>
      <c r="L29" s="26"/>
      <c r="M29" s="70">
        <f>M28/K28-1</f>
        <v>-3.6144578313253017E-2</v>
      </c>
      <c r="N29" s="70">
        <f>N28/M28-1</f>
        <v>1.2499999999999956E-2</v>
      </c>
      <c r="O29" s="70">
        <f>O28/N28-1</f>
        <v>1.2345679012345734E-2</v>
      </c>
      <c r="P29" s="70">
        <f>P28/O28-1</f>
        <v>1.2195121951219523E-2</v>
      </c>
      <c r="Q29" s="26"/>
      <c r="R29" s="70">
        <f>R28/P28-1</f>
        <v>-4.8192771084337394E-2</v>
      </c>
      <c r="S29" s="70">
        <f>S28/R28-1</f>
        <v>-2.5316455696202556E-2</v>
      </c>
      <c r="T29" s="70">
        <f>T28/S28-1</f>
        <v>1.298701298701288E-2</v>
      </c>
      <c r="U29" s="70">
        <f>U28/T28-1</f>
        <v>-0.10256410256410253</v>
      </c>
      <c r="V29" s="26"/>
      <c r="W29" s="70">
        <v>5.7142857142857162E-2</v>
      </c>
      <c r="X29" s="70">
        <v>-1.3513513513513487E-2</v>
      </c>
      <c r="Y29" s="70">
        <v>0</v>
      </c>
      <c r="Z29" s="70">
        <v>-2.7397260273972601E-2</v>
      </c>
      <c r="AA29" s="26"/>
      <c r="AB29" s="70">
        <v>-2.8169014084507005E-2</v>
      </c>
      <c r="AC29" s="70">
        <v>-1.4492753623188359E-2</v>
      </c>
      <c r="AD29" s="70">
        <v>-1.4705882352941124E-2</v>
      </c>
      <c r="AE29" s="70">
        <v>-4.4776119402985093E-2</v>
      </c>
      <c r="AF29" s="26"/>
      <c r="AG29" s="70">
        <v>7.8125E-2</v>
      </c>
      <c r="AH29" s="70">
        <v>-1.4492753623188359E-2</v>
      </c>
      <c r="AI29" s="70">
        <v>0</v>
      </c>
      <c r="AJ29" s="70">
        <v>-5.8823529411764719E-2</v>
      </c>
      <c r="AK29" s="26"/>
      <c r="AL29" s="70">
        <v>7.8125E-2</v>
      </c>
      <c r="AM29" s="70">
        <v>-1.4492753623188359E-2</v>
      </c>
      <c r="AN29" s="70">
        <v>0</v>
      </c>
      <c r="AO29" s="70">
        <v>-5.8823529411764719E-2</v>
      </c>
      <c r="AP29" s="26"/>
      <c r="AQ29" s="70">
        <v>7.8125E-2</v>
      </c>
      <c r="AR29" s="70">
        <v>-1.4492753623188359E-2</v>
      </c>
      <c r="AS29" s="70">
        <v>0</v>
      </c>
      <c r="AT29" s="70">
        <v>-5.8823529411764719E-2</v>
      </c>
      <c r="AU29" s="26"/>
      <c r="AV29" s="70">
        <v>7.8125E-2</v>
      </c>
      <c r="AW29" s="70">
        <v>-1.1177474402730376</v>
      </c>
      <c r="AX29" s="70">
        <v>0</v>
      </c>
      <c r="AY29" s="70">
        <v>-7.2463768115942018E-2</v>
      </c>
      <c r="AZ29" s="26"/>
      <c r="BA29" s="70">
        <v>7.8125E-2</v>
      </c>
      <c r="BB29" s="70">
        <v>-1.1177474402730376</v>
      </c>
      <c r="BC29" s="70">
        <v>0</v>
      </c>
      <c r="BD29" s="70">
        <v>-7.2463768115942018E-2</v>
      </c>
      <c r="BE29" s="26"/>
      <c r="BF29" s="70">
        <v>7.8125E-2</v>
      </c>
      <c r="BG29" s="70">
        <v>-1.1177474402730376</v>
      </c>
      <c r="BH29" s="70">
        <v>1.449275362318847E-2</v>
      </c>
    </row>
    <row r="30" spans="1:60" hidden="1">
      <c r="A30" s="69" t="s">
        <v>8</v>
      </c>
      <c r="B30" s="23"/>
      <c r="C30" s="71"/>
      <c r="D30" s="71"/>
      <c r="E30" s="71"/>
      <c r="F30" s="71"/>
      <c r="G30" s="23">
        <f t="shared" ref="G30:N30" si="7">G28/B28-1</f>
        <v>-4.5977011494252928E-2</v>
      </c>
      <c r="H30" s="71">
        <f t="shared" si="7"/>
        <v>-3.5294117647058809E-2</v>
      </c>
      <c r="I30" s="71">
        <f t="shared" si="7"/>
        <v>-1.2195121951219523E-2</v>
      </c>
      <c r="J30" s="71">
        <f t="shared" si="7"/>
        <v>-2.352941176470591E-2</v>
      </c>
      <c r="K30" s="70">
        <f t="shared" si="7"/>
        <v>1.2195121951219523E-2</v>
      </c>
      <c r="L30" s="23">
        <f t="shared" si="7"/>
        <v>-1.2048192771084376E-2</v>
      </c>
      <c r="M30" s="71">
        <f t="shared" si="7"/>
        <v>-2.4390243902439046E-2</v>
      </c>
      <c r="N30" s="71">
        <f t="shared" si="7"/>
        <v>0</v>
      </c>
      <c r="O30" s="71">
        <f t="shared" ref="O30:U30" si="8">O28/J28-1</f>
        <v>-1.2048192771084376E-2</v>
      </c>
      <c r="P30" s="70">
        <f t="shared" si="8"/>
        <v>0</v>
      </c>
      <c r="Q30" s="23">
        <f t="shared" si="8"/>
        <v>-1.2195121951219523E-2</v>
      </c>
      <c r="R30" s="71">
        <f t="shared" si="8"/>
        <v>-1.2499999999999956E-2</v>
      </c>
      <c r="S30" s="71">
        <f t="shared" si="8"/>
        <v>-4.9382716049382713E-2</v>
      </c>
      <c r="T30" s="71">
        <f>T28/O28-1</f>
        <v>-4.8780487804878092E-2</v>
      </c>
      <c r="U30" s="70">
        <f t="shared" si="8"/>
        <v>-0.15662650602409633</v>
      </c>
      <c r="V30" s="23">
        <v>-6.1728395061728447E-2</v>
      </c>
      <c r="W30" s="71">
        <v>-6.3291139240506333E-2</v>
      </c>
      <c r="X30" s="71">
        <v>-5.1948051948051965E-2</v>
      </c>
      <c r="Y30" s="71">
        <v>-6.4102564102564097E-2</v>
      </c>
      <c r="Z30" s="70">
        <v>1.4285714285714235E-2</v>
      </c>
      <c r="AA30" s="23">
        <v>91</v>
      </c>
      <c r="AB30" s="71">
        <v>-6.7567567567567544E-2</v>
      </c>
      <c r="AC30" s="71">
        <v>-6.8493150684931559E-2</v>
      </c>
      <c r="AD30" s="71">
        <v>-8.2191780821917804E-2</v>
      </c>
      <c r="AE30" s="70">
        <v>-9.8591549295774628E-2</v>
      </c>
      <c r="AF30" s="23">
        <v>-8.2191780821917804E-2</v>
      </c>
      <c r="AG30" s="71">
        <v>0</v>
      </c>
      <c r="AH30" s="71">
        <v>0</v>
      </c>
      <c r="AI30" s="71">
        <v>1.4925373134328401E-2</v>
      </c>
      <c r="AJ30" s="70">
        <v>0</v>
      </c>
      <c r="AK30" s="23">
        <v>-9.7462686567164187</v>
      </c>
      <c r="AL30" s="71">
        <v>0</v>
      </c>
      <c r="AM30" s="71">
        <v>0</v>
      </c>
      <c r="AN30" s="71">
        <v>0</v>
      </c>
      <c r="AO30" s="70">
        <v>0</v>
      </c>
      <c r="AP30" s="23">
        <v>0</v>
      </c>
      <c r="AQ30" s="71">
        <v>0</v>
      </c>
      <c r="AR30" s="71">
        <v>0</v>
      </c>
      <c r="AS30" s="71">
        <v>0</v>
      </c>
      <c r="AT30" s="70">
        <v>0</v>
      </c>
      <c r="AU30" s="23">
        <v>0</v>
      </c>
      <c r="AV30" s="71">
        <v>0</v>
      </c>
      <c r="AW30" s="71">
        <v>1.4705882352941124E-2</v>
      </c>
      <c r="AX30" s="71">
        <v>1.4705882352941124E-2</v>
      </c>
      <c r="AY30" s="70">
        <v>0</v>
      </c>
      <c r="AZ30" s="23">
        <v>0</v>
      </c>
      <c r="BA30" s="71">
        <v>0</v>
      </c>
      <c r="BB30" s="71">
        <v>0</v>
      </c>
      <c r="BC30" s="71">
        <v>0</v>
      </c>
      <c r="BD30" s="70">
        <v>0</v>
      </c>
      <c r="BE30" s="23">
        <v>0</v>
      </c>
      <c r="BF30" s="71">
        <v>0</v>
      </c>
      <c r="BG30" s="71">
        <v>0</v>
      </c>
      <c r="BH30" s="71">
        <v>1.449275362318847E-2</v>
      </c>
    </row>
    <row r="31" spans="1:60" hidden="1">
      <c r="A31" s="69"/>
      <c r="B31" s="23"/>
      <c r="C31" s="71"/>
      <c r="D31" s="71"/>
      <c r="E31" s="71"/>
      <c r="F31" s="71"/>
      <c r="G31" s="23"/>
      <c r="H31" s="71"/>
      <c r="I31" s="71"/>
      <c r="J31" s="71"/>
      <c r="K31" s="70"/>
      <c r="L31" s="23"/>
      <c r="M31" s="71"/>
      <c r="N31" s="71"/>
      <c r="O31" s="71"/>
      <c r="P31" s="70"/>
      <c r="Q31" s="23"/>
      <c r="R31" s="71"/>
      <c r="S31" s="71"/>
      <c r="T31" s="71"/>
      <c r="U31" s="70"/>
      <c r="V31" s="23"/>
      <c r="W31" s="71"/>
      <c r="X31" s="71"/>
      <c r="Y31" s="71"/>
      <c r="Z31" s="70"/>
      <c r="AA31" s="23"/>
      <c r="AB31" s="71"/>
      <c r="AC31" s="71"/>
      <c r="AD31" s="71"/>
      <c r="AE31" s="70"/>
      <c r="AF31" s="23"/>
      <c r="AG31" s="71"/>
      <c r="AH31" s="71"/>
      <c r="AI31" s="71"/>
      <c r="AJ31" s="70"/>
      <c r="AK31" s="23"/>
      <c r="AL31" s="71"/>
      <c r="AM31" s="71"/>
      <c r="AN31" s="71"/>
      <c r="AO31" s="70"/>
      <c r="AP31" s="23"/>
      <c r="AQ31" s="71"/>
      <c r="AR31" s="71"/>
      <c r="AS31" s="71"/>
      <c r="AT31" s="70"/>
      <c r="AU31" s="23"/>
      <c r="AV31" s="71"/>
      <c r="AW31" s="71"/>
      <c r="AX31" s="71"/>
      <c r="AY31" s="70"/>
      <c r="AZ31" s="23"/>
      <c r="BA31" s="71"/>
      <c r="BB31" s="71"/>
      <c r="BC31" s="71"/>
      <c r="BD31" s="70"/>
      <c r="BE31" s="23"/>
      <c r="BF31" s="71"/>
      <c r="BG31" s="71"/>
      <c r="BH31" s="71"/>
    </row>
    <row r="32" spans="1:60">
      <c r="A32" s="67" t="s">
        <v>161</v>
      </c>
      <c r="B32" s="38">
        <v>9.5000000000000001E-2</v>
      </c>
      <c r="C32" s="88">
        <v>3.6999999999999998E-2</v>
      </c>
      <c r="D32" s="88">
        <v>2.8000000000000001E-2</v>
      </c>
      <c r="E32" s="88">
        <v>3.1E-2</v>
      </c>
      <c r="F32" s="88">
        <v>2.9000000000000001E-2</v>
      </c>
      <c r="G32" s="98" t="s">
        <v>49</v>
      </c>
      <c r="H32" s="116" t="s">
        <v>41</v>
      </c>
      <c r="I32" s="116" t="s">
        <v>41</v>
      </c>
      <c r="J32" s="116" t="s">
        <v>41</v>
      </c>
      <c r="K32" s="116" t="s">
        <v>41</v>
      </c>
      <c r="L32" s="98" t="s">
        <v>49</v>
      </c>
      <c r="M32" s="116" t="s">
        <v>41</v>
      </c>
      <c r="N32" s="116" t="s">
        <v>41</v>
      </c>
      <c r="O32" s="116" t="s">
        <v>41</v>
      </c>
      <c r="P32" s="116" t="s">
        <v>41</v>
      </c>
      <c r="Q32" s="98" t="s">
        <v>49</v>
      </c>
      <c r="R32" s="88">
        <v>3.3000000000000002E-2</v>
      </c>
      <c r="S32" s="88">
        <v>2.8000000000000001E-2</v>
      </c>
      <c r="T32" s="88">
        <v>2.8000000000000001E-2</v>
      </c>
      <c r="U32" s="88">
        <v>2.8000000000000001E-2</v>
      </c>
      <c r="V32" s="38">
        <v>0.11600000000000001</v>
      </c>
      <c r="W32" s="88">
        <v>3.2000000000000001E-2</v>
      </c>
      <c r="X32" s="88">
        <v>3.9E-2</v>
      </c>
      <c r="Y32" s="88">
        <v>4.2000000000000003E-2</v>
      </c>
      <c r="Z32" s="88">
        <v>0.04</v>
      </c>
      <c r="AA32" s="38">
        <v>0.153</v>
      </c>
      <c r="AB32" s="88">
        <v>3.6999999999999998E-2</v>
      </c>
      <c r="AC32" s="88">
        <v>3.5000000000000003E-2</v>
      </c>
      <c r="AD32" s="88">
        <v>2.8000000000000001E-2</v>
      </c>
      <c r="AE32" s="88">
        <v>3.1000000000000007E-2</v>
      </c>
      <c r="AF32" s="38">
        <v>0.13100000000000001</v>
      </c>
      <c r="AG32" s="88">
        <v>0.03</v>
      </c>
      <c r="AH32" s="88">
        <v>2.8000000000000001E-2</v>
      </c>
      <c r="AI32" s="88">
        <v>2.8000000000000001E-2</v>
      </c>
      <c r="AJ32" s="88">
        <v>2.5000000000000001E-2</v>
      </c>
      <c r="AK32" s="38">
        <v>0.111</v>
      </c>
      <c r="AL32" s="88">
        <v>2.4E-2</v>
      </c>
      <c r="AM32" s="88">
        <v>2.4E-2</v>
      </c>
      <c r="AN32" s="88">
        <v>2.5999999999999999E-2</v>
      </c>
      <c r="AO32" s="88">
        <v>2.7E-2</v>
      </c>
      <c r="AP32" s="38">
        <v>0.10100000000000001</v>
      </c>
      <c r="AQ32" s="88">
        <v>2.8000000000000001E-2</v>
      </c>
      <c r="AR32" s="88">
        <v>2.4E-2</v>
      </c>
      <c r="AS32" s="88">
        <v>2.5999999999999999E-2</v>
      </c>
      <c r="AT32" s="88">
        <v>2.4E-2</v>
      </c>
      <c r="AU32" s="38">
        <v>0.10199999999999999</v>
      </c>
      <c r="AV32" s="88">
        <v>2.7E-2</v>
      </c>
      <c r="AW32" s="88">
        <v>2.4E-2</v>
      </c>
      <c r="AX32" s="88">
        <v>2.3E-2</v>
      </c>
      <c r="AY32" s="88">
        <v>2.4E-2</v>
      </c>
      <c r="AZ32" s="38">
        <v>9.8000000000000004E-2</v>
      </c>
      <c r="BA32" s="88">
        <v>0.03</v>
      </c>
      <c r="BB32" s="88">
        <v>2.8000000000000001E-2</v>
      </c>
      <c r="BC32" s="88">
        <v>2.7E-2</v>
      </c>
      <c r="BD32" s="88">
        <v>3.1E-2</v>
      </c>
      <c r="BE32" s="38">
        <v>0.11600000000000001</v>
      </c>
      <c r="BF32" s="88">
        <v>0.03</v>
      </c>
      <c r="BG32" s="88">
        <v>2.7E-2</v>
      </c>
      <c r="BH32" s="88">
        <v>0.03</v>
      </c>
    </row>
    <row r="33" spans="1:60">
      <c r="A33" s="69"/>
      <c r="B33" s="23"/>
      <c r="C33" s="71"/>
      <c r="D33" s="71"/>
      <c r="E33" s="71"/>
      <c r="F33" s="71"/>
      <c r="G33" s="23"/>
      <c r="H33" s="71"/>
      <c r="I33" s="71"/>
      <c r="J33" s="71"/>
      <c r="K33" s="70"/>
      <c r="L33" s="23"/>
      <c r="M33" s="71"/>
      <c r="N33" s="71"/>
      <c r="O33" s="71"/>
      <c r="P33" s="70"/>
      <c r="Q33" s="23"/>
      <c r="R33" s="71"/>
      <c r="S33" s="71"/>
      <c r="T33" s="71"/>
      <c r="U33" s="70"/>
      <c r="V33" s="23"/>
      <c r="W33" s="71"/>
      <c r="X33" s="71"/>
      <c r="Y33" s="71"/>
      <c r="Z33" s="70"/>
      <c r="AA33" s="23"/>
      <c r="AB33" s="71"/>
      <c r="AC33" s="71"/>
      <c r="AD33" s="71"/>
      <c r="AE33" s="70"/>
      <c r="AF33" s="23"/>
      <c r="AG33" s="71"/>
      <c r="AH33" s="71"/>
      <c r="AI33" s="71"/>
      <c r="AJ33" s="70"/>
      <c r="AK33" s="23"/>
      <c r="AL33" s="71"/>
      <c r="AM33" s="71"/>
      <c r="AN33" s="71"/>
      <c r="AO33" s="70"/>
      <c r="AP33" s="23"/>
      <c r="AQ33" s="71"/>
      <c r="AR33" s="71"/>
      <c r="AS33" s="71"/>
      <c r="AT33" s="70"/>
      <c r="AU33" s="23"/>
      <c r="AV33" s="71"/>
      <c r="AW33" s="71"/>
      <c r="AX33" s="71"/>
      <c r="AY33" s="70"/>
      <c r="AZ33" s="23"/>
      <c r="BA33" s="71"/>
      <c r="BB33" s="71"/>
      <c r="BC33" s="71"/>
      <c r="BD33" s="70"/>
      <c r="BE33" s="23"/>
      <c r="BF33" s="71"/>
      <c r="BG33" s="71"/>
      <c r="BH33" s="71"/>
    </row>
    <row r="34" spans="1:60">
      <c r="A34" s="67" t="s">
        <v>143</v>
      </c>
      <c r="B34" s="37">
        <v>963</v>
      </c>
      <c r="C34" s="67">
        <v>970</v>
      </c>
      <c r="D34" s="67">
        <v>982</v>
      </c>
      <c r="E34" s="67">
        <v>994</v>
      </c>
      <c r="F34" s="68">
        <v>1005</v>
      </c>
      <c r="G34" s="37">
        <v>1005</v>
      </c>
      <c r="H34" s="68">
        <v>1011</v>
      </c>
      <c r="I34" s="68">
        <v>1016</v>
      </c>
      <c r="J34" s="68">
        <v>1026</v>
      </c>
      <c r="K34" s="68">
        <v>1035</v>
      </c>
      <c r="L34" s="36">
        <v>1035</v>
      </c>
      <c r="M34" s="68">
        <v>1045</v>
      </c>
      <c r="N34" s="68">
        <v>1051</v>
      </c>
      <c r="O34" s="68">
        <v>1056</v>
      </c>
      <c r="P34" s="68">
        <v>1066</v>
      </c>
      <c r="Q34" s="36">
        <v>1066</v>
      </c>
      <c r="R34" s="68">
        <v>1079</v>
      </c>
      <c r="S34" s="68">
        <v>1088</v>
      </c>
      <c r="T34" s="68">
        <v>1100</v>
      </c>
      <c r="U34" s="68">
        <v>1111</v>
      </c>
      <c r="V34" s="36">
        <v>1111</v>
      </c>
      <c r="W34" s="68">
        <v>1121</v>
      </c>
      <c r="X34" s="68">
        <v>1136</v>
      </c>
      <c r="Y34" s="68">
        <v>1153</v>
      </c>
      <c r="Z34" s="68">
        <v>1169</v>
      </c>
      <c r="AA34" s="36">
        <v>1169</v>
      </c>
      <c r="AB34" s="68">
        <v>1185</v>
      </c>
      <c r="AC34" s="68">
        <v>1202</v>
      </c>
      <c r="AD34" s="68">
        <v>1230</v>
      </c>
      <c r="AE34" s="68">
        <v>1263</v>
      </c>
      <c r="AF34" s="36">
        <v>1263</v>
      </c>
      <c r="AG34" s="68">
        <v>1289</v>
      </c>
      <c r="AH34" s="68">
        <v>1308</v>
      </c>
      <c r="AI34" s="68">
        <v>1335</v>
      </c>
      <c r="AJ34" s="68">
        <v>1364</v>
      </c>
      <c r="AK34" s="36">
        <v>1364</v>
      </c>
      <c r="AL34" s="68">
        <v>1390</v>
      </c>
      <c r="AM34" s="68">
        <v>1418</v>
      </c>
      <c r="AN34" s="68">
        <v>1448</v>
      </c>
      <c r="AO34" s="68">
        <v>1479</v>
      </c>
      <c r="AP34" s="36">
        <v>1479</v>
      </c>
      <c r="AQ34" s="68">
        <v>1503</v>
      </c>
      <c r="AR34" s="68">
        <v>1521</v>
      </c>
      <c r="AS34" s="68">
        <v>1539</v>
      </c>
      <c r="AT34" s="68">
        <v>1558</v>
      </c>
      <c r="AU34" s="36">
        <v>1558</v>
      </c>
      <c r="AV34" s="68">
        <v>1580</v>
      </c>
      <c r="AW34" s="68">
        <v>1593</v>
      </c>
      <c r="AX34" s="68">
        <v>1608</v>
      </c>
      <c r="AY34" s="68">
        <v>1635</v>
      </c>
      <c r="AZ34" s="36">
        <v>1635</v>
      </c>
      <c r="BA34" s="68">
        <v>1653</v>
      </c>
      <c r="BB34" s="68">
        <v>1662</v>
      </c>
      <c r="BC34" s="68">
        <v>1663</v>
      </c>
      <c r="BD34" s="68">
        <v>1656</v>
      </c>
      <c r="BE34" s="36">
        <v>1656</v>
      </c>
      <c r="BF34" s="68">
        <v>1635</v>
      </c>
      <c r="BG34" s="68">
        <v>1613</v>
      </c>
      <c r="BH34" s="68">
        <v>1589</v>
      </c>
    </row>
    <row r="35" spans="1:60">
      <c r="A35" s="226" t="s">
        <v>7</v>
      </c>
      <c r="B35" s="23"/>
      <c r="C35" s="70"/>
      <c r="D35" s="70">
        <f>D34/C34-1</f>
        <v>1.2371134020618513E-2</v>
      </c>
      <c r="E35" s="70">
        <f>E34/D34-1</f>
        <v>1.2219959266802416E-2</v>
      </c>
      <c r="F35" s="70">
        <f>F34/E34-1</f>
        <v>1.1066398390342069E-2</v>
      </c>
      <c r="G35" s="23"/>
      <c r="H35" s="70">
        <f>H34/F34-1</f>
        <v>5.9701492537314049E-3</v>
      </c>
      <c r="I35" s="70">
        <f>I34/H34-1</f>
        <v>4.9455984174084922E-3</v>
      </c>
      <c r="J35" s="70">
        <f>J34/I34-1</f>
        <v>9.8425196850393526E-3</v>
      </c>
      <c r="K35" s="70">
        <f>K34/J34-1</f>
        <v>8.7719298245614308E-3</v>
      </c>
      <c r="L35" s="26"/>
      <c r="M35" s="70">
        <f>M34/K34-1</f>
        <v>9.6618357487923134E-3</v>
      </c>
      <c r="N35" s="70">
        <f>N34/M34-1</f>
        <v>5.7416267942582699E-3</v>
      </c>
      <c r="O35" s="70">
        <f>O34/N34-1</f>
        <v>4.7573739295909689E-3</v>
      </c>
      <c r="P35" s="70">
        <f>P34/O34-1</f>
        <v>9.4696969696970168E-3</v>
      </c>
      <c r="Q35" s="26"/>
      <c r="R35" s="70">
        <f>R34/P34-1</f>
        <v>1.2195121951219523E-2</v>
      </c>
      <c r="S35" s="70">
        <f>S34/R34-1</f>
        <v>8.3410565338275511E-3</v>
      </c>
      <c r="T35" s="70">
        <f>T34/S34-1</f>
        <v>1.1029411764705843E-2</v>
      </c>
      <c r="U35" s="70">
        <f>U34/T34-1</f>
        <v>1.0000000000000009E-2</v>
      </c>
      <c r="V35" s="26"/>
      <c r="W35" s="70">
        <v>9.0009000900090896E-3</v>
      </c>
      <c r="X35" s="70">
        <v>1.338090990187335E-2</v>
      </c>
      <c r="Y35" s="70">
        <v>1.4964788732394263E-2</v>
      </c>
      <c r="Z35" s="70">
        <v>1.3876843018213458E-2</v>
      </c>
      <c r="AA35" s="26"/>
      <c r="AB35" s="70">
        <v>1.3686911890504749E-2</v>
      </c>
      <c r="AC35" s="70">
        <v>1.4345991561181437E-2</v>
      </c>
      <c r="AD35" s="70">
        <v>2.3294509151414289E-2</v>
      </c>
      <c r="AE35" s="70">
        <v>2.6829268292682951E-2</v>
      </c>
      <c r="AF35" s="26"/>
      <c r="AG35" s="70">
        <v>2.0585906571654711E-2</v>
      </c>
      <c r="AH35" s="70">
        <v>1.4740108611326574E-2</v>
      </c>
      <c r="AI35" s="70">
        <v>2.0642201834862428E-2</v>
      </c>
      <c r="AJ35" s="70">
        <v>2.1722846441947663E-2</v>
      </c>
      <c r="AK35" s="26"/>
      <c r="AL35" s="70">
        <v>1.9061583577712593E-2</v>
      </c>
      <c r="AM35" s="70">
        <v>2.0143884892086295E-2</v>
      </c>
      <c r="AN35" s="70">
        <v>2.1156558533145242E-2</v>
      </c>
      <c r="AO35" s="70">
        <v>2.140883977900554E-2</v>
      </c>
      <c r="AP35" s="26"/>
      <c r="AQ35" s="70">
        <v>1.6227180527383478E-2</v>
      </c>
      <c r="AR35" s="70">
        <v>1.1976047904191711E-2</v>
      </c>
      <c r="AS35" s="70">
        <v>1.1834319526627279E-2</v>
      </c>
      <c r="AT35" s="70">
        <v>1.2345679012345734E-2</v>
      </c>
      <c r="AU35" s="26"/>
      <c r="AV35" s="70">
        <v>1.4120667522464769E-2</v>
      </c>
      <c r="AW35" s="70">
        <v>8.2278481012658666E-3</v>
      </c>
      <c r="AX35" s="70">
        <v>9.4161958568739212E-3</v>
      </c>
      <c r="AY35" s="70">
        <v>1.6791044776119479E-2</v>
      </c>
      <c r="AZ35" s="26"/>
      <c r="BA35" s="70">
        <v>1.1009174311926495E-2</v>
      </c>
      <c r="BB35" s="70">
        <v>5.4446460980035472E-3</v>
      </c>
      <c r="BC35" s="70">
        <v>6.0168471720811745E-4</v>
      </c>
      <c r="BD35" s="70">
        <v>-4.2092603728202116E-3</v>
      </c>
      <c r="BE35" s="23"/>
      <c r="BF35" s="70">
        <v>-1.26811594202898E-2</v>
      </c>
      <c r="BG35" s="70">
        <v>-1.3455657492354778E-2</v>
      </c>
      <c r="BH35" s="70">
        <v>-1.4879107253564783E-2</v>
      </c>
    </row>
    <row r="36" spans="1:60">
      <c r="A36" s="69" t="s">
        <v>8</v>
      </c>
      <c r="B36" s="23"/>
      <c r="C36" s="71"/>
      <c r="D36" s="71"/>
      <c r="E36" s="71"/>
      <c r="F36" s="71"/>
      <c r="G36" s="23">
        <f t="shared" ref="G36:N36" si="9">G34/B34-1</f>
        <v>4.3613707165109039E-2</v>
      </c>
      <c r="H36" s="71">
        <f t="shared" si="9"/>
        <v>4.2268041237113474E-2</v>
      </c>
      <c r="I36" s="71">
        <f t="shared" si="9"/>
        <v>3.4623217922606919E-2</v>
      </c>
      <c r="J36" s="71">
        <f t="shared" si="9"/>
        <v>3.2193158953722323E-2</v>
      </c>
      <c r="K36" s="70">
        <f t="shared" si="9"/>
        <v>2.9850746268656803E-2</v>
      </c>
      <c r="L36" s="23">
        <f t="shared" si="9"/>
        <v>2.9850746268656803E-2</v>
      </c>
      <c r="M36" s="71">
        <f t="shared" si="9"/>
        <v>3.3630069238377747E-2</v>
      </c>
      <c r="N36" s="71">
        <f t="shared" si="9"/>
        <v>3.4448818897637734E-2</v>
      </c>
      <c r="O36" s="71">
        <f t="shared" ref="O36:U36" si="10">O34/J34-1</f>
        <v>2.9239766081871288E-2</v>
      </c>
      <c r="P36" s="70">
        <f t="shared" si="10"/>
        <v>2.9951690821256038E-2</v>
      </c>
      <c r="Q36" s="23">
        <f t="shared" si="10"/>
        <v>2.9951690821256038E-2</v>
      </c>
      <c r="R36" s="71">
        <f t="shared" si="10"/>
        <v>3.2535885167464196E-2</v>
      </c>
      <c r="S36" s="71">
        <f t="shared" si="10"/>
        <v>3.520456707897246E-2</v>
      </c>
      <c r="T36" s="71">
        <f t="shared" si="10"/>
        <v>4.1666666666666741E-2</v>
      </c>
      <c r="U36" s="70">
        <f t="shared" si="10"/>
        <v>4.2213883677298281E-2</v>
      </c>
      <c r="V36" s="23">
        <v>4.2213883677298281E-2</v>
      </c>
      <c r="W36" s="71">
        <v>3.8924930491195608E-2</v>
      </c>
      <c r="X36" s="71">
        <v>4.4117647058823595E-2</v>
      </c>
      <c r="Y36" s="71">
        <v>4.8181818181818103E-2</v>
      </c>
      <c r="Z36" s="70">
        <v>5.2205220522052231E-2</v>
      </c>
      <c r="AA36" s="23">
        <v>5.2205220522052231E-2</v>
      </c>
      <c r="AB36" s="71">
        <v>5.7091882247992887E-2</v>
      </c>
      <c r="AC36" s="71">
        <v>5.8098591549295753E-2</v>
      </c>
      <c r="AD36" s="71">
        <v>6.6782307025151866E-2</v>
      </c>
      <c r="AE36" s="70">
        <v>8.0410607356715236E-2</v>
      </c>
      <c r="AF36" s="23">
        <v>8.0410607356715236E-2</v>
      </c>
      <c r="AG36" s="71">
        <v>8.7763713080168726E-2</v>
      </c>
      <c r="AH36" s="71">
        <v>8.8186356073211236E-2</v>
      </c>
      <c r="AI36" s="71">
        <v>8.5365853658536661E-2</v>
      </c>
      <c r="AJ36" s="70">
        <v>7.9968329374505043E-2</v>
      </c>
      <c r="AK36" s="23">
        <v>7.9968329374505043E-2</v>
      </c>
      <c r="AL36" s="71">
        <v>7.8355314197051884E-2</v>
      </c>
      <c r="AM36" s="71">
        <v>8.4097859327217028E-2</v>
      </c>
      <c r="AN36" s="71">
        <v>8.4644194756554381E-2</v>
      </c>
      <c r="AO36" s="70">
        <v>8.4310850439882623E-2</v>
      </c>
      <c r="AP36" s="23">
        <v>8.4310850439882623E-2</v>
      </c>
      <c r="AQ36" s="71">
        <v>8.1294964028777006E-2</v>
      </c>
      <c r="AR36" s="71">
        <v>7.2637517630465442E-2</v>
      </c>
      <c r="AS36" s="71">
        <v>6.2845303867403279E-2</v>
      </c>
      <c r="AT36" s="70">
        <v>5.3414469235970152E-2</v>
      </c>
      <c r="AU36" s="23">
        <v>5.3414469235970152E-2</v>
      </c>
      <c r="AV36" s="71">
        <v>5.1230871590153049E-2</v>
      </c>
      <c r="AW36" s="71">
        <v>4.7337278106508895E-2</v>
      </c>
      <c r="AX36" s="71">
        <v>4.4834307992202671E-2</v>
      </c>
      <c r="AY36" s="70">
        <v>4.942233632862636E-2</v>
      </c>
      <c r="AZ36" s="23">
        <v>4.942233632862636E-2</v>
      </c>
      <c r="BA36" s="71">
        <v>4.6202531645569644E-2</v>
      </c>
      <c r="BB36" s="71">
        <v>4.3314500941619594E-2</v>
      </c>
      <c r="BC36" s="71">
        <v>3.4203980099502429E-2</v>
      </c>
      <c r="BD36" s="70">
        <v>1.2844036697247763E-2</v>
      </c>
      <c r="BE36" s="23">
        <v>1.2844036697247763E-2</v>
      </c>
      <c r="BF36" s="71">
        <v>-1.0889292196007205E-2</v>
      </c>
      <c r="BG36" s="71">
        <v>-2.9482551143200975E-2</v>
      </c>
      <c r="BH36" s="71">
        <v>-4.4497895369813634E-2</v>
      </c>
    </row>
    <row r="37" spans="1:60">
      <c r="A37" s="69" t="s">
        <v>204</v>
      </c>
      <c r="B37" s="23"/>
      <c r="C37" s="71"/>
      <c r="D37" s="71"/>
      <c r="E37" s="71"/>
      <c r="F37" s="71"/>
      <c r="G37" s="196">
        <f>G34-B34</f>
        <v>42</v>
      </c>
      <c r="H37" s="71"/>
      <c r="I37" s="71"/>
      <c r="J37" s="71"/>
      <c r="K37" s="70"/>
      <c r="L37" s="196">
        <f>L34-G34</f>
        <v>30</v>
      </c>
      <c r="M37" s="71"/>
      <c r="N37" s="71"/>
      <c r="O37" s="71"/>
      <c r="P37" s="70"/>
      <c r="Q37" s="196">
        <f>Q34-L34</f>
        <v>31</v>
      </c>
      <c r="R37" s="71"/>
      <c r="S37" s="71"/>
      <c r="T37" s="71"/>
      <c r="U37" s="70"/>
      <c r="V37" s="196">
        <v>45</v>
      </c>
      <c r="W37" s="71"/>
      <c r="X37" s="71"/>
      <c r="Y37" s="71"/>
      <c r="Z37" s="70"/>
      <c r="AA37" s="196">
        <v>58</v>
      </c>
      <c r="AB37" s="71"/>
      <c r="AC37" s="71"/>
      <c r="AD37" s="71"/>
      <c r="AE37" s="70"/>
      <c r="AF37" s="196">
        <v>94</v>
      </c>
      <c r="AG37" s="71"/>
      <c r="AH37" s="71"/>
      <c r="AI37" s="71"/>
      <c r="AJ37" s="70"/>
      <c r="AK37" s="196">
        <v>101</v>
      </c>
      <c r="AL37" s="71"/>
      <c r="AM37" s="193">
        <v>28</v>
      </c>
      <c r="AN37" s="193">
        <v>30</v>
      </c>
      <c r="AO37" s="193">
        <v>31</v>
      </c>
      <c r="AP37" s="196">
        <v>115</v>
      </c>
      <c r="AQ37" s="195">
        <v>24</v>
      </c>
      <c r="AR37" s="195">
        <v>18</v>
      </c>
      <c r="AS37" s="195">
        <v>18</v>
      </c>
      <c r="AT37" s="195">
        <v>19</v>
      </c>
      <c r="AU37" s="196">
        <v>79</v>
      </c>
      <c r="AV37" s="195">
        <v>22</v>
      </c>
      <c r="AW37" s="195">
        <v>13</v>
      </c>
      <c r="AX37" s="195">
        <v>15</v>
      </c>
      <c r="AY37" s="195">
        <v>27</v>
      </c>
      <c r="AZ37" s="196">
        <v>77</v>
      </c>
      <c r="BA37" s="195">
        <v>18</v>
      </c>
      <c r="BB37" s="195">
        <v>9</v>
      </c>
      <c r="BC37" s="195">
        <v>1</v>
      </c>
      <c r="BD37" s="195">
        <v>-7</v>
      </c>
      <c r="BE37" s="196">
        <v>21</v>
      </c>
      <c r="BF37" s="195">
        <v>-21</v>
      </c>
      <c r="BG37" s="195">
        <v>-22</v>
      </c>
      <c r="BH37" s="195">
        <v>-24</v>
      </c>
    </row>
    <row r="38" spans="1:60" ht="8.25" customHeight="1">
      <c r="A38" s="69"/>
      <c r="B38" s="23"/>
      <c r="C38" s="71"/>
      <c r="D38" s="71"/>
      <c r="E38" s="71"/>
      <c r="F38" s="71"/>
      <c r="G38" s="23"/>
      <c r="H38" s="71"/>
      <c r="I38" s="71"/>
      <c r="J38" s="71"/>
      <c r="K38" s="70"/>
      <c r="L38" s="23"/>
      <c r="M38" s="71"/>
      <c r="N38" s="71"/>
      <c r="O38" s="71"/>
      <c r="P38" s="70"/>
      <c r="Q38" s="23"/>
      <c r="R38" s="71"/>
      <c r="S38" s="71"/>
      <c r="T38" s="71"/>
      <c r="U38" s="70"/>
      <c r="V38" s="23"/>
      <c r="W38" s="71"/>
      <c r="X38" s="71"/>
      <c r="Y38" s="71"/>
      <c r="Z38" s="70"/>
      <c r="AA38" s="23"/>
      <c r="AB38" s="71"/>
      <c r="AC38" s="71"/>
      <c r="AD38" s="71"/>
      <c r="AE38" s="70"/>
      <c r="AF38" s="23"/>
      <c r="AG38" s="71"/>
      <c r="AH38" s="71"/>
      <c r="AI38" s="71"/>
      <c r="AJ38" s="70"/>
      <c r="AK38" s="23"/>
      <c r="AL38" s="71"/>
      <c r="AM38" s="71"/>
      <c r="AN38" s="71"/>
      <c r="AO38" s="70"/>
      <c r="AP38" s="23"/>
      <c r="AQ38" s="71"/>
      <c r="AR38" s="71"/>
      <c r="AS38" s="71"/>
      <c r="AT38" s="70"/>
      <c r="AU38" s="23"/>
      <c r="AV38" s="71"/>
      <c r="AW38" s="71"/>
      <c r="AX38" s="71"/>
      <c r="AY38" s="70"/>
      <c r="AZ38" s="23"/>
      <c r="BA38" s="71"/>
      <c r="BB38" s="71"/>
      <c r="BC38" s="71"/>
      <c r="BD38" s="70"/>
      <c r="BE38" s="23"/>
      <c r="BF38" s="71"/>
      <c r="BG38" s="71"/>
      <c r="BH38" s="71"/>
    </row>
    <row r="39" spans="1:60" ht="15.6">
      <c r="A39" s="67" t="s">
        <v>142</v>
      </c>
      <c r="B39" s="146" t="s">
        <v>141</v>
      </c>
      <c r="C39" s="81" t="s">
        <v>141</v>
      </c>
      <c r="D39" s="81" t="s">
        <v>141</v>
      </c>
      <c r="E39" s="81" t="s">
        <v>141</v>
      </c>
      <c r="F39" s="81" t="s">
        <v>141</v>
      </c>
      <c r="G39" s="146" t="s">
        <v>141</v>
      </c>
      <c r="H39" s="81" t="s">
        <v>141</v>
      </c>
      <c r="I39" s="81" t="s">
        <v>141</v>
      </c>
      <c r="J39" s="81" t="s">
        <v>141</v>
      </c>
      <c r="K39" s="81" t="s">
        <v>141</v>
      </c>
      <c r="L39" s="146" t="s">
        <v>141</v>
      </c>
      <c r="M39" s="81" t="s">
        <v>141</v>
      </c>
      <c r="N39" s="81" t="s">
        <v>141</v>
      </c>
      <c r="O39" s="81" t="s">
        <v>141</v>
      </c>
      <c r="P39" s="81" t="s">
        <v>141</v>
      </c>
      <c r="Q39" s="146" t="s">
        <v>141</v>
      </c>
      <c r="R39" s="81" t="s">
        <v>141</v>
      </c>
      <c r="S39" s="81" t="s">
        <v>141</v>
      </c>
      <c r="T39" s="81" t="s">
        <v>141</v>
      </c>
      <c r="U39" s="81" t="s">
        <v>141</v>
      </c>
      <c r="V39" s="146" t="s">
        <v>141</v>
      </c>
      <c r="W39" s="81" t="s">
        <v>141</v>
      </c>
      <c r="X39" s="81" t="s">
        <v>141</v>
      </c>
      <c r="Y39" s="81" t="s">
        <v>141</v>
      </c>
      <c r="Z39" s="81" t="s">
        <v>141</v>
      </c>
      <c r="AA39" s="146" t="s">
        <v>141</v>
      </c>
      <c r="AB39" s="145" t="s">
        <v>141</v>
      </c>
      <c r="AC39" s="145" t="s">
        <v>141</v>
      </c>
      <c r="AD39" s="145" t="s">
        <v>141</v>
      </c>
      <c r="AE39" s="145" t="s">
        <v>141</v>
      </c>
      <c r="AF39" s="146" t="s">
        <v>141</v>
      </c>
      <c r="AG39" s="145" t="s">
        <v>141</v>
      </c>
      <c r="AH39" s="145" t="s">
        <v>141</v>
      </c>
      <c r="AI39" s="145" t="s">
        <v>141</v>
      </c>
      <c r="AJ39" s="145" t="s">
        <v>141</v>
      </c>
      <c r="AK39" s="146" t="s">
        <v>141</v>
      </c>
      <c r="AL39" s="68">
        <v>11</v>
      </c>
      <c r="AM39" s="68">
        <v>78</v>
      </c>
      <c r="AN39" s="68">
        <v>177</v>
      </c>
      <c r="AO39" s="68">
        <v>244</v>
      </c>
      <c r="AP39" s="36">
        <v>244</v>
      </c>
      <c r="AQ39" s="68">
        <v>290</v>
      </c>
      <c r="AR39" s="68">
        <v>323</v>
      </c>
      <c r="AS39" s="68">
        <v>347</v>
      </c>
      <c r="AT39" s="68">
        <v>377</v>
      </c>
      <c r="AU39" s="36">
        <v>377</v>
      </c>
      <c r="AV39" s="68">
        <v>414</v>
      </c>
      <c r="AW39" s="68">
        <v>444</v>
      </c>
      <c r="AX39" s="68">
        <v>484</v>
      </c>
      <c r="AY39" s="68">
        <v>532</v>
      </c>
      <c r="AZ39" s="36">
        <v>532</v>
      </c>
      <c r="BA39" s="68">
        <v>574</v>
      </c>
      <c r="BB39" s="68">
        <v>600</v>
      </c>
      <c r="BC39" s="68">
        <v>617</v>
      </c>
      <c r="BD39" s="68">
        <v>626</v>
      </c>
      <c r="BE39" s="36">
        <v>626</v>
      </c>
      <c r="BF39" s="68">
        <v>624</v>
      </c>
      <c r="BG39" s="68">
        <v>612</v>
      </c>
      <c r="BH39" s="68">
        <v>601</v>
      </c>
    </row>
    <row r="40" spans="1:60">
      <c r="A40" s="69" t="s">
        <v>7</v>
      </c>
      <c r="B40" s="23"/>
      <c r="C40" s="71"/>
      <c r="D40" s="71"/>
      <c r="E40" s="71"/>
      <c r="F40" s="71"/>
      <c r="G40" s="23"/>
      <c r="H40" s="71"/>
      <c r="I40" s="71"/>
      <c r="J40" s="71"/>
      <c r="K40" s="70"/>
      <c r="L40" s="23"/>
      <c r="M40" s="71"/>
      <c r="N40" s="71"/>
      <c r="O40" s="71"/>
      <c r="P40" s="70"/>
      <c r="Q40" s="23"/>
      <c r="R40" s="71"/>
      <c r="S40" s="71"/>
      <c r="T40" s="71"/>
      <c r="U40" s="70"/>
      <c r="V40" s="23"/>
      <c r="W40" s="71"/>
      <c r="X40" s="71"/>
      <c r="Y40" s="71"/>
      <c r="Z40" s="70"/>
      <c r="AA40" s="23"/>
      <c r="AB40" s="71"/>
      <c r="AC40" s="71"/>
      <c r="AD40" s="71"/>
      <c r="AE40" s="70"/>
      <c r="AF40" s="23"/>
      <c r="AG40" s="71"/>
      <c r="AH40" s="71"/>
      <c r="AI40" s="71"/>
      <c r="AJ40" s="70"/>
      <c r="AK40" s="23"/>
      <c r="AL40" s="71"/>
      <c r="AM40" s="70">
        <v>6.0909090909090908</v>
      </c>
      <c r="AN40" s="70">
        <v>1.2692307692307692</v>
      </c>
      <c r="AO40" s="70">
        <v>0.37853107344632764</v>
      </c>
      <c r="AP40" s="23"/>
      <c r="AQ40" s="70">
        <v>0.18852459016393452</v>
      </c>
      <c r="AR40" s="70">
        <v>0.11379310344827576</v>
      </c>
      <c r="AS40" s="70">
        <v>7.4303405572755388E-2</v>
      </c>
      <c r="AT40" s="70">
        <v>8.6455331412103709E-2</v>
      </c>
      <c r="AU40" s="23"/>
      <c r="AV40" s="70">
        <v>9.8143236074270668E-2</v>
      </c>
      <c r="AW40" s="70">
        <v>7.2463768115942129E-2</v>
      </c>
      <c r="AX40" s="70">
        <v>9.0090090090090058E-2</v>
      </c>
      <c r="AY40" s="70">
        <v>9.9173553719008156E-2</v>
      </c>
      <c r="AZ40" s="23"/>
      <c r="BA40" s="70">
        <v>7.8947368421052655E-2</v>
      </c>
      <c r="BB40" s="70">
        <v>4.5296167247386832E-2</v>
      </c>
      <c r="BC40" s="70">
        <v>2.8333333333333321E-2</v>
      </c>
      <c r="BD40" s="70">
        <v>1.4586709886547755E-2</v>
      </c>
      <c r="BE40" s="23"/>
      <c r="BF40" s="70">
        <v>-3.1948881789137795E-3</v>
      </c>
      <c r="BG40" s="70">
        <v>-1.9230769230769273E-2</v>
      </c>
      <c r="BH40" s="70">
        <v>-1.7973856209150374E-2</v>
      </c>
    </row>
    <row r="41" spans="1:60">
      <c r="A41" s="69" t="s">
        <v>8</v>
      </c>
      <c r="B41" s="23"/>
      <c r="C41" s="71"/>
      <c r="D41" s="71"/>
      <c r="E41" s="71"/>
      <c r="F41" s="71"/>
      <c r="G41" s="23"/>
      <c r="H41" s="71"/>
      <c r="I41" s="71"/>
      <c r="J41" s="71"/>
      <c r="K41" s="70"/>
      <c r="L41" s="23"/>
      <c r="M41" s="71"/>
      <c r="N41" s="71"/>
      <c r="O41" s="71"/>
      <c r="P41" s="70"/>
      <c r="Q41" s="23"/>
      <c r="R41" s="71"/>
      <c r="S41" s="71"/>
      <c r="T41" s="71"/>
      <c r="U41" s="70"/>
      <c r="V41" s="23"/>
      <c r="W41" s="71"/>
      <c r="X41" s="71"/>
      <c r="Y41" s="71"/>
      <c r="Z41" s="70"/>
      <c r="AA41" s="23"/>
      <c r="AB41" s="71"/>
      <c r="AC41" s="71"/>
      <c r="AD41" s="71"/>
      <c r="AE41" s="70"/>
      <c r="AF41" s="23"/>
      <c r="AG41" s="71"/>
      <c r="AH41" s="71"/>
      <c r="AI41" s="71"/>
      <c r="AJ41" s="70"/>
      <c r="AK41" s="23"/>
      <c r="AL41" s="71"/>
      <c r="AM41" s="71"/>
      <c r="AN41" s="71"/>
      <c r="AO41" s="70"/>
      <c r="AP41" s="23"/>
      <c r="AQ41" s="71">
        <v>25.363636363636363</v>
      </c>
      <c r="AR41" s="71">
        <v>3.1410256410256414</v>
      </c>
      <c r="AS41" s="71">
        <v>0.96045197740112997</v>
      </c>
      <c r="AT41" s="70"/>
      <c r="AU41" s="23">
        <v>0.54508196721311486</v>
      </c>
      <c r="AV41" s="71">
        <v>0.42758620689655169</v>
      </c>
      <c r="AW41" s="71">
        <v>0.37461300309597534</v>
      </c>
      <c r="AX41" s="71">
        <v>0.39481268011527382</v>
      </c>
      <c r="AY41" s="70">
        <v>0.41114058355437666</v>
      </c>
      <c r="AZ41" s="23">
        <v>0.41114058355437666</v>
      </c>
      <c r="BA41" s="71">
        <v>0.38647342995169076</v>
      </c>
      <c r="BB41" s="71">
        <v>0.35135135135135132</v>
      </c>
      <c r="BC41" s="71">
        <v>0.27479338842975198</v>
      </c>
      <c r="BD41" s="70">
        <v>0.17669172932330834</v>
      </c>
      <c r="BE41" s="23">
        <v>0.17669172932330834</v>
      </c>
      <c r="BF41" s="71">
        <v>8.710801393728218E-2</v>
      </c>
      <c r="BG41" s="71">
        <v>2.0000000000000018E-2</v>
      </c>
      <c r="BH41" s="71">
        <v>-2.5931928687196071E-2</v>
      </c>
    </row>
    <row r="42" spans="1:60">
      <c r="A42" s="69" t="s">
        <v>204</v>
      </c>
      <c r="B42" s="23"/>
      <c r="C42" s="71"/>
      <c r="D42" s="71"/>
      <c r="E42" s="71"/>
      <c r="F42" s="71"/>
      <c r="G42" s="23"/>
      <c r="H42" s="71"/>
      <c r="I42" s="71"/>
      <c r="J42" s="71"/>
      <c r="K42" s="70"/>
      <c r="L42" s="23"/>
      <c r="M42" s="71"/>
      <c r="N42" s="71"/>
      <c r="O42" s="71"/>
      <c r="P42" s="70"/>
      <c r="Q42" s="23"/>
      <c r="R42" s="71"/>
      <c r="S42" s="71"/>
      <c r="T42" s="71"/>
      <c r="U42" s="70"/>
      <c r="V42" s="23"/>
      <c r="W42" s="71"/>
      <c r="X42" s="71"/>
      <c r="Y42" s="71"/>
      <c r="Z42" s="70"/>
      <c r="AA42" s="23"/>
      <c r="AB42" s="71"/>
      <c r="AC42" s="71"/>
      <c r="AD42" s="71"/>
      <c r="AE42" s="70"/>
      <c r="AF42" s="23"/>
      <c r="AG42" s="71"/>
      <c r="AH42" s="71"/>
      <c r="AI42" s="71"/>
      <c r="AJ42" s="70"/>
      <c r="AK42" s="23"/>
      <c r="AL42" s="71"/>
      <c r="AM42" s="193">
        <v>67</v>
      </c>
      <c r="AN42" s="193">
        <v>99</v>
      </c>
      <c r="AO42" s="193">
        <v>67</v>
      </c>
      <c r="AP42" s="194"/>
      <c r="AQ42" s="195">
        <v>46</v>
      </c>
      <c r="AR42" s="195">
        <v>33</v>
      </c>
      <c r="AS42" s="195">
        <v>24</v>
      </c>
      <c r="AT42" s="195">
        <v>30</v>
      </c>
      <c r="AU42" s="196">
        <v>133</v>
      </c>
      <c r="AV42" s="195">
        <v>37</v>
      </c>
      <c r="AW42" s="195">
        <v>30</v>
      </c>
      <c r="AX42" s="195">
        <v>40</v>
      </c>
      <c r="AY42" s="195">
        <v>48</v>
      </c>
      <c r="AZ42" s="196">
        <v>155</v>
      </c>
      <c r="BA42" s="195">
        <v>42</v>
      </c>
      <c r="BB42" s="195">
        <v>26</v>
      </c>
      <c r="BC42" s="195">
        <v>17</v>
      </c>
      <c r="BD42" s="195">
        <v>9</v>
      </c>
      <c r="BE42" s="196">
        <v>94</v>
      </c>
      <c r="BF42" s="195">
        <v>-2</v>
      </c>
      <c r="BG42" s="195">
        <v>-12</v>
      </c>
      <c r="BH42" s="195">
        <v>-11</v>
      </c>
    </row>
    <row r="43" spans="1:60">
      <c r="A43" s="69" t="s">
        <v>256</v>
      </c>
      <c r="B43" s="23"/>
      <c r="C43" s="71"/>
      <c r="D43" s="71"/>
      <c r="E43" s="71"/>
      <c r="F43" s="71"/>
      <c r="G43" s="23"/>
      <c r="H43" s="71"/>
      <c r="I43" s="71"/>
      <c r="J43" s="71"/>
      <c r="K43" s="70"/>
      <c r="L43" s="23"/>
      <c r="M43" s="71"/>
      <c r="N43" s="71"/>
      <c r="O43" s="71"/>
      <c r="P43" s="70"/>
      <c r="Q43" s="23"/>
      <c r="R43" s="71"/>
      <c r="S43" s="71"/>
      <c r="T43" s="71"/>
      <c r="U43" s="70"/>
      <c r="V43" s="23"/>
      <c r="W43" s="71"/>
      <c r="X43" s="71"/>
      <c r="Y43" s="71"/>
      <c r="Z43" s="70"/>
      <c r="AA43" s="23"/>
      <c r="AB43" s="71"/>
      <c r="AC43" s="71"/>
      <c r="AD43" s="71"/>
      <c r="AE43" s="70"/>
      <c r="AF43" s="23"/>
      <c r="AG43" s="71"/>
      <c r="AH43" s="71"/>
      <c r="AI43" s="71"/>
      <c r="AJ43" s="70"/>
      <c r="AK43" s="23"/>
      <c r="AL43" s="197">
        <v>7.9136690647482015E-3</v>
      </c>
      <c r="AM43" s="197">
        <v>5.5007052186177713E-2</v>
      </c>
      <c r="AN43" s="197">
        <v>0.12223756906077347</v>
      </c>
      <c r="AO43" s="197">
        <v>0.1649763353617309</v>
      </c>
      <c r="AP43" s="198">
        <v>0.1649763353617309</v>
      </c>
      <c r="AQ43" s="197">
        <v>0.19294743845642048</v>
      </c>
      <c r="AR43" s="197">
        <v>0.2123602892833662</v>
      </c>
      <c r="AS43" s="197">
        <v>0.22547108512020791</v>
      </c>
      <c r="AT43" s="197">
        <v>0.24197689345314505</v>
      </c>
      <c r="AU43" s="198">
        <v>0.24197689345314505</v>
      </c>
      <c r="AV43" s="197">
        <v>0.26202531645569621</v>
      </c>
      <c r="AW43" s="197">
        <v>0.27871939736346518</v>
      </c>
      <c r="AX43" s="197">
        <v>0.30099502487562191</v>
      </c>
      <c r="AY43" s="197">
        <v>0.3253822629969419</v>
      </c>
      <c r="AZ43" s="198">
        <v>0.3253822629969419</v>
      </c>
      <c r="BA43" s="197">
        <v>0.3472474289171204</v>
      </c>
      <c r="BB43" s="197">
        <v>0.36101083032490977</v>
      </c>
      <c r="BC43" s="197">
        <v>0.37101623571858089</v>
      </c>
      <c r="BD43" s="197">
        <v>0.3780193236714976</v>
      </c>
      <c r="BE43" s="198">
        <v>0.3780193236714976</v>
      </c>
      <c r="BF43" s="197">
        <v>0.38165137614678901</v>
      </c>
      <c r="BG43" s="197">
        <v>0.37941723496590207</v>
      </c>
      <c r="BH43" s="197">
        <v>0.37822529893014473</v>
      </c>
    </row>
    <row r="44" spans="1:60" ht="6" customHeight="1">
      <c r="A44" s="69"/>
      <c r="B44" s="23"/>
      <c r="C44" s="71"/>
      <c r="D44" s="71"/>
      <c r="E44" s="71"/>
      <c r="F44" s="71"/>
      <c r="G44" s="23"/>
      <c r="H44" s="71"/>
      <c r="I44" s="71"/>
      <c r="J44" s="71"/>
      <c r="K44" s="70"/>
      <c r="L44" s="23"/>
      <c r="M44" s="71"/>
      <c r="N44" s="71"/>
      <c r="O44" s="71"/>
      <c r="P44" s="70"/>
      <c r="Q44" s="23"/>
      <c r="R44" s="71"/>
      <c r="S44" s="71"/>
      <c r="T44" s="71"/>
      <c r="U44" s="70"/>
      <c r="V44" s="23"/>
      <c r="W44" s="71"/>
      <c r="X44" s="71"/>
      <c r="Y44" s="71"/>
      <c r="Z44" s="70"/>
      <c r="AA44" s="23"/>
      <c r="AB44" s="71"/>
      <c r="AC44" s="71"/>
      <c r="AD44" s="71"/>
      <c r="AE44" s="70"/>
      <c r="AF44" s="23"/>
      <c r="AG44" s="71"/>
      <c r="AH44" s="71"/>
      <c r="AI44" s="71"/>
      <c r="AJ44" s="70"/>
      <c r="AK44" s="23"/>
      <c r="AL44" s="71"/>
      <c r="AM44" s="71"/>
      <c r="AN44" s="71"/>
      <c r="AO44" s="70"/>
      <c r="AP44" s="23"/>
      <c r="AQ44" s="71"/>
      <c r="AR44" s="71"/>
      <c r="AS44" s="71"/>
      <c r="AT44" s="70"/>
      <c r="AU44" s="23"/>
      <c r="AV44" s="71"/>
      <c r="AW44" s="71"/>
      <c r="AX44" s="71"/>
      <c r="AY44" s="70"/>
      <c r="AZ44" s="23"/>
      <c r="BA44" s="71"/>
      <c r="BB44" s="71"/>
      <c r="BC44" s="71"/>
      <c r="BD44" s="70"/>
      <c r="BE44" s="23"/>
      <c r="BF44" s="71"/>
      <c r="BG44" s="71"/>
      <c r="BH44" s="71"/>
    </row>
    <row r="45" spans="1:60">
      <c r="A45" s="67" t="s">
        <v>198</v>
      </c>
      <c r="B45" s="37">
        <v>963</v>
      </c>
      <c r="C45" s="67">
        <v>970</v>
      </c>
      <c r="D45" s="67">
        <v>982</v>
      </c>
      <c r="E45" s="67">
        <v>994</v>
      </c>
      <c r="F45" s="68">
        <v>1005</v>
      </c>
      <c r="G45" s="37">
        <v>1005</v>
      </c>
      <c r="H45" s="68">
        <v>1011</v>
      </c>
      <c r="I45" s="68">
        <v>1016</v>
      </c>
      <c r="J45" s="68">
        <v>1026</v>
      </c>
      <c r="K45" s="68">
        <v>1035</v>
      </c>
      <c r="L45" s="36">
        <v>1035</v>
      </c>
      <c r="M45" s="68">
        <v>1045</v>
      </c>
      <c r="N45" s="68">
        <v>1051</v>
      </c>
      <c r="O45" s="68">
        <v>1056</v>
      </c>
      <c r="P45" s="68">
        <v>1066</v>
      </c>
      <c r="Q45" s="36">
        <v>1066</v>
      </c>
      <c r="R45" s="68">
        <v>1079</v>
      </c>
      <c r="S45" s="68">
        <v>1088</v>
      </c>
      <c r="T45" s="68">
        <v>1100</v>
      </c>
      <c r="U45" s="68">
        <v>1111</v>
      </c>
      <c r="V45" s="36">
        <v>1111</v>
      </c>
      <c r="W45" s="68">
        <v>1121</v>
      </c>
      <c r="X45" s="68">
        <v>1136</v>
      </c>
      <c r="Y45" s="68">
        <v>1153</v>
      </c>
      <c r="Z45" s="68">
        <v>1169</v>
      </c>
      <c r="AA45" s="36">
        <v>1169</v>
      </c>
      <c r="AB45" s="68">
        <v>1185</v>
      </c>
      <c r="AC45" s="68">
        <v>1202</v>
      </c>
      <c r="AD45" s="68">
        <v>1230</v>
      </c>
      <c r="AE45" s="68">
        <v>1263</v>
      </c>
      <c r="AF45" s="36">
        <v>1263</v>
      </c>
      <c r="AG45" s="68">
        <v>1289</v>
      </c>
      <c r="AH45" s="68">
        <v>1308</v>
      </c>
      <c r="AI45" s="68">
        <v>1335</v>
      </c>
      <c r="AJ45" s="68">
        <v>1364</v>
      </c>
      <c r="AK45" s="36">
        <v>1364</v>
      </c>
      <c r="AL45" s="68">
        <v>1379</v>
      </c>
      <c r="AM45" s="68">
        <v>1340</v>
      </c>
      <c r="AN45" s="68">
        <v>1271</v>
      </c>
      <c r="AO45" s="68">
        <v>1235</v>
      </c>
      <c r="AP45" s="36">
        <v>1235</v>
      </c>
      <c r="AQ45" s="68">
        <v>1213</v>
      </c>
      <c r="AR45" s="68">
        <v>1198</v>
      </c>
      <c r="AS45" s="68">
        <v>1192</v>
      </c>
      <c r="AT45" s="68">
        <v>1181</v>
      </c>
      <c r="AU45" s="36">
        <v>1181</v>
      </c>
      <c r="AV45" s="68">
        <v>1166</v>
      </c>
      <c r="AW45" s="68">
        <v>1149</v>
      </c>
      <c r="AX45" s="68">
        <v>1124</v>
      </c>
      <c r="AY45" s="68">
        <v>1103</v>
      </c>
      <c r="AZ45" s="36">
        <v>1103</v>
      </c>
      <c r="BA45" s="68">
        <v>1079</v>
      </c>
      <c r="BB45" s="68">
        <v>1062</v>
      </c>
      <c r="BC45" s="68">
        <v>1046</v>
      </c>
      <c r="BD45" s="68">
        <v>1030</v>
      </c>
      <c r="BE45" s="36">
        <v>1030</v>
      </c>
      <c r="BF45" s="68">
        <v>1011</v>
      </c>
      <c r="BG45" s="68">
        <v>1001</v>
      </c>
      <c r="BH45" s="68">
        <v>988</v>
      </c>
    </row>
    <row r="46" spans="1:60">
      <c r="A46" s="69" t="s">
        <v>7</v>
      </c>
      <c r="B46" s="23"/>
      <c r="C46" s="70"/>
      <c r="D46" s="70">
        <f>D45/C45-1</f>
        <v>1.2371134020618513E-2</v>
      </c>
      <c r="E46" s="70">
        <f>E45/D45-1</f>
        <v>1.2219959266802416E-2</v>
      </c>
      <c r="F46" s="70">
        <f>F45/E45-1</f>
        <v>1.1066398390342069E-2</v>
      </c>
      <c r="G46" s="23"/>
      <c r="H46" s="70">
        <f>H45/F45-1</f>
        <v>5.9701492537314049E-3</v>
      </c>
      <c r="I46" s="70">
        <f>I45/H45-1</f>
        <v>4.9455984174084922E-3</v>
      </c>
      <c r="J46" s="70">
        <f>J45/I45-1</f>
        <v>9.8425196850393526E-3</v>
      </c>
      <c r="K46" s="70">
        <f>K45/J45-1</f>
        <v>8.7719298245614308E-3</v>
      </c>
      <c r="L46" s="23"/>
      <c r="M46" s="70">
        <f>M45/K45-1</f>
        <v>9.6618357487923134E-3</v>
      </c>
      <c r="N46" s="70">
        <f>N45/M45-1</f>
        <v>5.7416267942582699E-3</v>
      </c>
      <c r="O46" s="70">
        <f>O45/N45-1</f>
        <v>4.7573739295909689E-3</v>
      </c>
      <c r="P46" s="70">
        <f>P45/O45-1</f>
        <v>9.4696969696970168E-3</v>
      </c>
      <c r="Q46" s="23"/>
      <c r="R46" s="70">
        <f>R45/P45-1</f>
        <v>1.2195121951219523E-2</v>
      </c>
      <c r="S46" s="70">
        <f>S45/R45-1</f>
        <v>8.3410565338275511E-3</v>
      </c>
      <c r="T46" s="70">
        <f>T45/S45-1</f>
        <v>1.1029411764705843E-2</v>
      </c>
      <c r="U46" s="70">
        <f>U45/T45-1</f>
        <v>1.0000000000000009E-2</v>
      </c>
      <c r="V46" s="23"/>
      <c r="W46" s="70">
        <v>9.0009000900090896E-3</v>
      </c>
      <c r="X46" s="70">
        <v>1.338090990187335E-2</v>
      </c>
      <c r="Y46" s="70">
        <v>1.4964788732394263E-2</v>
      </c>
      <c r="Z46" s="70">
        <v>1.3876843018213458E-2</v>
      </c>
      <c r="AA46" s="23"/>
      <c r="AB46" s="70">
        <v>1.3686911890504749E-2</v>
      </c>
      <c r="AC46" s="70">
        <v>1.4345991561181437E-2</v>
      </c>
      <c r="AD46" s="70">
        <v>2.3294509151414289E-2</v>
      </c>
      <c r="AE46" s="70">
        <v>2.6829268292682951E-2</v>
      </c>
      <c r="AF46" s="23"/>
      <c r="AG46" s="70">
        <v>2.0585906571654711E-2</v>
      </c>
      <c r="AH46" s="70">
        <v>1.4740108611326574E-2</v>
      </c>
      <c r="AI46" s="70">
        <v>2.0642201834862428E-2</v>
      </c>
      <c r="AJ46" s="70">
        <v>2.1722846441947663E-2</v>
      </c>
      <c r="AK46" s="23"/>
      <c r="AL46" s="70">
        <v>1.0997067448680342E-2</v>
      </c>
      <c r="AM46" s="70">
        <v>-2.8281363306744023E-2</v>
      </c>
      <c r="AN46" s="70">
        <v>-5.149253731343284E-2</v>
      </c>
      <c r="AO46" s="70">
        <v>-2.8324154209284025E-2</v>
      </c>
      <c r="AP46" s="23"/>
      <c r="AQ46" s="70">
        <v>-1.7813765182186247E-2</v>
      </c>
      <c r="AR46" s="70">
        <v>-1.2366034624896938E-2</v>
      </c>
      <c r="AS46" s="70">
        <v>-5.008347245408995E-3</v>
      </c>
      <c r="AT46" s="70">
        <v>-9.2281879194631156E-3</v>
      </c>
      <c r="AU46" s="23"/>
      <c r="AV46" s="70">
        <v>-1.2701100762066098E-2</v>
      </c>
      <c r="AW46" s="70">
        <v>-1.4579759862778707E-2</v>
      </c>
      <c r="AX46" s="70">
        <v>-2.1758050478677071E-2</v>
      </c>
      <c r="AY46" s="70">
        <v>-1.8683274021352281E-2</v>
      </c>
      <c r="AZ46" s="23"/>
      <c r="BA46" s="70">
        <v>-2.1758839528558505E-2</v>
      </c>
      <c r="BB46" s="70">
        <v>-1.575532900834109E-2</v>
      </c>
      <c r="BC46" s="70">
        <v>-1.5065913370998163E-2</v>
      </c>
      <c r="BD46" s="70">
        <v>-1.5296367112810683E-2</v>
      </c>
      <c r="BE46" s="23"/>
      <c r="BF46" s="70">
        <v>-1.844660194174752E-2</v>
      </c>
      <c r="BG46" s="70">
        <v>-9.8911968348169843E-3</v>
      </c>
      <c r="BH46" s="70">
        <v>-1.2987012987012991E-2</v>
      </c>
    </row>
    <row r="47" spans="1:60">
      <c r="A47" s="69" t="s">
        <v>8</v>
      </c>
      <c r="B47" s="23"/>
      <c r="C47" s="71"/>
      <c r="D47" s="71"/>
      <c r="E47" s="71"/>
      <c r="F47" s="71"/>
      <c r="G47" s="23">
        <f t="shared" ref="G47" si="11">G45/B45-1</f>
        <v>4.3613707165109039E-2</v>
      </c>
      <c r="H47" s="71">
        <f t="shared" ref="H47" si="12">H45/C45-1</f>
        <v>4.2268041237113474E-2</v>
      </c>
      <c r="I47" s="71">
        <f t="shared" ref="I47" si="13">I45/D45-1</f>
        <v>3.4623217922606919E-2</v>
      </c>
      <c r="J47" s="71">
        <f t="shared" ref="J47" si="14">J45/E45-1</f>
        <v>3.2193158953722323E-2</v>
      </c>
      <c r="K47" s="70">
        <f t="shared" ref="K47:L47" si="15">K45/F45-1</f>
        <v>2.9850746268656803E-2</v>
      </c>
      <c r="L47" s="23">
        <f t="shared" si="15"/>
        <v>2.9850746268656803E-2</v>
      </c>
      <c r="M47" s="71">
        <f t="shared" ref="M47" si="16">M45/H45-1</f>
        <v>3.3630069238377747E-2</v>
      </c>
      <c r="N47" s="71">
        <f t="shared" ref="N47" si="17">N45/I45-1</f>
        <v>3.4448818897637734E-2</v>
      </c>
      <c r="O47" s="71">
        <f t="shared" ref="O47" si="18">O45/J45-1</f>
        <v>2.9239766081871288E-2</v>
      </c>
      <c r="P47" s="70">
        <f t="shared" ref="P47:Q47" si="19">P45/K45-1</f>
        <v>2.9951690821256038E-2</v>
      </c>
      <c r="Q47" s="23">
        <f t="shared" si="19"/>
        <v>2.9951690821256038E-2</v>
      </c>
      <c r="R47" s="71">
        <f t="shared" ref="R47" si="20">R45/M45-1</f>
        <v>3.2535885167464196E-2</v>
      </c>
      <c r="S47" s="71">
        <f t="shared" ref="S47" si="21">S45/N45-1</f>
        <v>3.520456707897246E-2</v>
      </c>
      <c r="T47" s="71">
        <f t="shared" ref="T47" si="22">T45/O45-1</f>
        <v>4.1666666666666741E-2</v>
      </c>
      <c r="U47" s="70">
        <f t="shared" ref="U47" si="23">U45/P45-1</f>
        <v>4.2213883677298281E-2</v>
      </c>
      <c r="V47" s="23">
        <v>4.2213883677298281E-2</v>
      </c>
      <c r="W47" s="71">
        <v>3.8924930491195608E-2</v>
      </c>
      <c r="X47" s="71">
        <v>4.4117647058823595E-2</v>
      </c>
      <c r="Y47" s="71">
        <v>4.8181818181818103E-2</v>
      </c>
      <c r="Z47" s="70">
        <v>5.2205220522052231E-2</v>
      </c>
      <c r="AA47" s="23">
        <v>5.2205220522052231E-2</v>
      </c>
      <c r="AB47" s="71">
        <v>5.7091882247992887E-2</v>
      </c>
      <c r="AC47" s="71">
        <v>5.8098591549295753E-2</v>
      </c>
      <c r="AD47" s="71">
        <v>6.6782307025151866E-2</v>
      </c>
      <c r="AE47" s="70">
        <v>8.0410607356715236E-2</v>
      </c>
      <c r="AF47" s="23">
        <v>8.0410607356715236E-2</v>
      </c>
      <c r="AG47" s="71">
        <v>8.7763713080168726E-2</v>
      </c>
      <c r="AH47" s="71">
        <v>8.8186356073211236E-2</v>
      </c>
      <c r="AI47" s="71">
        <v>8.5365853658536661E-2</v>
      </c>
      <c r="AJ47" s="70">
        <v>7.9968329374505043E-2</v>
      </c>
      <c r="AK47" s="23">
        <v>7.9968329374505043E-2</v>
      </c>
      <c r="AL47" s="71">
        <v>6.9821567106283844E-2</v>
      </c>
      <c r="AM47" s="71">
        <v>2.4464831804281273E-2</v>
      </c>
      <c r="AN47" s="71">
        <v>-4.7940074906367092E-2</v>
      </c>
      <c r="AO47" s="70">
        <v>-9.4574780058651053E-2</v>
      </c>
      <c r="AP47" s="23">
        <v>-9.4574780058651053E-2</v>
      </c>
      <c r="AQ47" s="71">
        <v>-0.12037708484408993</v>
      </c>
      <c r="AR47" s="71">
        <v>-0.10597014925373138</v>
      </c>
      <c r="AS47" s="71">
        <v>-6.2155782848151042E-2</v>
      </c>
      <c r="AT47" s="70">
        <v>-4.3724696356275294E-2</v>
      </c>
      <c r="AU47" s="23">
        <v>-4.3724696356275294E-2</v>
      </c>
      <c r="AV47" s="71">
        <v>-3.8746908491343768E-2</v>
      </c>
      <c r="AW47" s="71">
        <v>-4.090150250417357E-2</v>
      </c>
      <c r="AX47" s="71">
        <v>-5.7046979865771785E-2</v>
      </c>
      <c r="AY47" s="70">
        <v>-6.6045723962743441E-2</v>
      </c>
      <c r="AZ47" s="23">
        <v>-6.6045723962743441E-2</v>
      </c>
      <c r="BA47" s="71">
        <v>-7.461406518010294E-2</v>
      </c>
      <c r="BB47" s="71">
        <v>-7.571801566579639E-2</v>
      </c>
      <c r="BC47" s="71">
        <v>-6.939501779359436E-2</v>
      </c>
      <c r="BD47" s="70">
        <v>-6.6183136899365391E-2</v>
      </c>
      <c r="BE47" s="23">
        <v>-6.6183136899365391E-2</v>
      </c>
      <c r="BF47" s="71">
        <v>-6.302131603336425E-2</v>
      </c>
      <c r="BG47" s="71">
        <v>-5.7438794726930364E-2</v>
      </c>
      <c r="BH47" s="71">
        <v>-5.5449330783938766E-2</v>
      </c>
    </row>
    <row r="48" spans="1:60">
      <c r="A48" s="69" t="s">
        <v>204</v>
      </c>
      <c r="B48" s="23"/>
      <c r="C48" s="71"/>
      <c r="D48" s="71"/>
      <c r="E48" s="71"/>
      <c r="F48" s="71"/>
      <c r="G48" s="196">
        <f>G45-B45</f>
        <v>42</v>
      </c>
      <c r="H48" s="71"/>
      <c r="I48" s="71"/>
      <c r="J48" s="71"/>
      <c r="K48" s="70"/>
      <c r="L48" s="196">
        <f>L45-G45</f>
        <v>30</v>
      </c>
      <c r="M48" s="71"/>
      <c r="N48" s="71"/>
      <c r="O48" s="71"/>
      <c r="P48" s="70"/>
      <c r="Q48" s="196">
        <f>Q45-L45</f>
        <v>31</v>
      </c>
      <c r="R48" s="71"/>
      <c r="S48" s="71"/>
      <c r="T48" s="71"/>
      <c r="U48" s="70"/>
      <c r="V48" s="196">
        <v>45</v>
      </c>
      <c r="W48" s="71"/>
      <c r="X48" s="71"/>
      <c r="Y48" s="71"/>
      <c r="Z48" s="70"/>
      <c r="AA48" s="196">
        <v>58</v>
      </c>
      <c r="AB48" s="71"/>
      <c r="AC48" s="71"/>
      <c r="AD48" s="71"/>
      <c r="AE48" s="70"/>
      <c r="AF48" s="196">
        <v>94</v>
      </c>
      <c r="AG48" s="71"/>
      <c r="AH48" s="71"/>
      <c r="AI48" s="71"/>
      <c r="AJ48" s="70"/>
      <c r="AK48" s="196">
        <v>101</v>
      </c>
      <c r="AL48" s="71"/>
      <c r="AM48" s="193">
        <v>-39</v>
      </c>
      <c r="AN48" s="193">
        <v>-69</v>
      </c>
      <c r="AO48" s="193">
        <v>-36</v>
      </c>
      <c r="AP48" s="196">
        <v>-129</v>
      </c>
      <c r="AQ48" s="195">
        <v>-22</v>
      </c>
      <c r="AR48" s="195">
        <v>-15</v>
      </c>
      <c r="AS48" s="195">
        <v>-6</v>
      </c>
      <c r="AT48" s="195">
        <v>-11</v>
      </c>
      <c r="AU48" s="196">
        <v>-54</v>
      </c>
      <c r="AV48" s="195">
        <v>-15</v>
      </c>
      <c r="AW48" s="195">
        <v>-17</v>
      </c>
      <c r="AX48" s="195">
        <v>-25</v>
      </c>
      <c r="AY48" s="195">
        <v>-21</v>
      </c>
      <c r="AZ48" s="196">
        <v>-78</v>
      </c>
      <c r="BA48" s="195">
        <v>-24</v>
      </c>
      <c r="BB48" s="195">
        <v>-17</v>
      </c>
      <c r="BC48" s="195">
        <v>-16</v>
      </c>
      <c r="BD48" s="195">
        <v>-16</v>
      </c>
      <c r="BE48" s="196">
        <v>-73</v>
      </c>
      <c r="BF48" s="195">
        <v>-19</v>
      </c>
      <c r="BG48" s="195">
        <v>-10</v>
      </c>
      <c r="BH48" s="195">
        <v>-13</v>
      </c>
    </row>
    <row r="49" spans="1:202" ht="8.25" customHeight="1">
      <c r="A49" s="69"/>
      <c r="B49" s="23"/>
      <c r="C49" s="71"/>
      <c r="D49" s="71"/>
      <c r="E49" s="71"/>
      <c r="F49" s="71"/>
      <c r="G49" s="23"/>
      <c r="H49" s="71"/>
      <c r="I49" s="71"/>
      <c r="J49" s="71"/>
      <c r="K49" s="70"/>
      <c r="L49" s="23"/>
      <c r="M49" s="71"/>
      <c r="N49" s="71"/>
      <c r="O49" s="71"/>
      <c r="P49" s="70"/>
      <c r="Q49" s="23"/>
      <c r="R49" s="71"/>
      <c r="S49" s="71"/>
      <c r="T49" s="71"/>
      <c r="U49" s="70"/>
      <c r="V49" s="23"/>
      <c r="W49" s="71"/>
      <c r="X49" s="71"/>
      <c r="Y49" s="71"/>
      <c r="Z49" s="70"/>
      <c r="AA49" s="23"/>
      <c r="AB49" s="71"/>
      <c r="AC49" s="71"/>
      <c r="AD49" s="71"/>
      <c r="AE49" s="70"/>
      <c r="AF49" s="23"/>
      <c r="AG49" s="71"/>
      <c r="AH49" s="71"/>
      <c r="AI49" s="71"/>
      <c r="AJ49" s="70"/>
      <c r="AK49" s="23"/>
      <c r="AL49" s="71"/>
      <c r="AM49" s="71"/>
      <c r="AN49" s="71"/>
      <c r="AO49" s="70"/>
      <c r="AP49" s="23"/>
      <c r="AQ49" s="71"/>
      <c r="AR49" s="71"/>
      <c r="AS49" s="71"/>
      <c r="AT49" s="70"/>
      <c r="AU49" s="23"/>
      <c r="AV49" s="71"/>
      <c r="AW49" s="71"/>
      <c r="AX49" s="71"/>
      <c r="AY49" s="70"/>
      <c r="AZ49" s="23"/>
      <c r="BA49" s="71"/>
      <c r="BB49" s="71"/>
      <c r="BC49" s="71"/>
      <c r="BD49" s="70"/>
      <c r="BE49" s="23"/>
      <c r="BF49" s="71"/>
      <c r="BG49" s="71"/>
      <c r="BH49" s="71"/>
    </row>
    <row r="50" spans="1:202" s="2" customFormat="1">
      <c r="A50" s="67" t="s">
        <v>144</v>
      </c>
      <c r="B50" s="61">
        <v>64</v>
      </c>
      <c r="C50" s="74">
        <v>68</v>
      </c>
      <c r="D50" s="74">
        <v>66</v>
      </c>
      <c r="E50" s="74">
        <v>67</v>
      </c>
      <c r="F50" s="74">
        <v>66</v>
      </c>
      <c r="G50" s="61">
        <v>67</v>
      </c>
      <c r="H50" s="74">
        <v>67</v>
      </c>
      <c r="I50" s="74">
        <v>67</v>
      </c>
      <c r="J50" s="74">
        <v>70</v>
      </c>
      <c r="K50" s="68">
        <v>70</v>
      </c>
      <c r="L50" s="27">
        <v>69</v>
      </c>
      <c r="M50" s="74">
        <v>73</v>
      </c>
      <c r="N50" s="74">
        <v>72</v>
      </c>
      <c r="O50" s="74">
        <v>76</v>
      </c>
      <c r="P50" s="68">
        <v>78</v>
      </c>
      <c r="Q50" s="27">
        <v>75</v>
      </c>
      <c r="R50" s="74">
        <v>79</v>
      </c>
      <c r="S50" s="74">
        <v>80</v>
      </c>
      <c r="T50" s="74">
        <v>81</v>
      </c>
      <c r="U50" s="68">
        <v>81</v>
      </c>
      <c r="V50" s="27">
        <v>80</v>
      </c>
      <c r="W50" s="74">
        <v>84</v>
      </c>
      <c r="X50" s="74">
        <v>80</v>
      </c>
      <c r="Y50" s="74">
        <v>80</v>
      </c>
      <c r="Z50" s="68">
        <v>80</v>
      </c>
      <c r="AA50" s="27">
        <v>81</v>
      </c>
      <c r="AB50" s="74">
        <v>83</v>
      </c>
      <c r="AC50" s="74">
        <v>85</v>
      </c>
      <c r="AD50" s="74">
        <v>86</v>
      </c>
      <c r="AE50" s="68">
        <v>82</v>
      </c>
      <c r="AF50" s="27">
        <v>84</v>
      </c>
      <c r="AG50" s="74">
        <v>82</v>
      </c>
      <c r="AH50" s="74">
        <v>84</v>
      </c>
      <c r="AI50" s="74">
        <v>85</v>
      </c>
      <c r="AJ50" s="68">
        <v>85</v>
      </c>
      <c r="AK50" s="27">
        <v>84</v>
      </c>
      <c r="AL50" s="74">
        <v>87</v>
      </c>
      <c r="AM50" s="74">
        <v>88</v>
      </c>
      <c r="AN50" s="74">
        <v>88</v>
      </c>
      <c r="AO50" s="68">
        <v>88</v>
      </c>
      <c r="AP50" s="27">
        <v>88</v>
      </c>
      <c r="AQ50" s="74">
        <v>90</v>
      </c>
      <c r="AR50" s="74">
        <v>90</v>
      </c>
      <c r="AS50" s="74">
        <v>88</v>
      </c>
      <c r="AT50" s="68">
        <v>90</v>
      </c>
      <c r="AU50" s="27">
        <v>89</v>
      </c>
      <c r="AV50" s="74">
        <v>90</v>
      </c>
      <c r="AW50" s="74">
        <v>90</v>
      </c>
      <c r="AX50" s="74">
        <v>90</v>
      </c>
      <c r="AY50" s="68">
        <v>92</v>
      </c>
      <c r="AZ50" s="27">
        <v>90</v>
      </c>
      <c r="BA50" s="74">
        <v>92</v>
      </c>
      <c r="BB50" s="74">
        <v>93</v>
      </c>
      <c r="BC50" s="74">
        <v>93</v>
      </c>
      <c r="BD50" s="68">
        <v>96</v>
      </c>
      <c r="BE50" s="27">
        <v>93</v>
      </c>
      <c r="BF50" s="74">
        <v>96</v>
      </c>
      <c r="BG50" s="74">
        <v>97</v>
      </c>
      <c r="BH50" s="74">
        <v>98</v>
      </c>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row>
    <row r="51" spans="1:202">
      <c r="A51" s="69" t="s">
        <v>7</v>
      </c>
      <c r="B51" s="23"/>
      <c r="C51" s="70"/>
      <c r="D51" s="70">
        <f>D50/C50-1</f>
        <v>-2.9411764705882359E-2</v>
      </c>
      <c r="E51" s="70">
        <f>E50/D50-1</f>
        <v>1.5151515151515138E-2</v>
      </c>
      <c r="F51" s="70">
        <f>F50/E50-1</f>
        <v>-1.4925373134328401E-2</v>
      </c>
      <c r="G51" s="23"/>
      <c r="H51" s="70">
        <f>H50/F50-1</f>
        <v>1.5151515151515138E-2</v>
      </c>
      <c r="I51" s="70">
        <f>I50/H50-1</f>
        <v>0</v>
      </c>
      <c r="J51" s="70">
        <f>J50/I50-1</f>
        <v>4.4776119402984982E-2</v>
      </c>
      <c r="K51" s="70">
        <f>K50/J50-1</f>
        <v>0</v>
      </c>
      <c r="L51" s="26"/>
      <c r="M51" s="70">
        <f>M50/K50-1</f>
        <v>4.2857142857142927E-2</v>
      </c>
      <c r="N51" s="70">
        <f>N50/M50-1</f>
        <v>-1.3698630136986356E-2</v>
      </c>
      <c r="O51" s="70">
        <f>O50/N50-1</f>
        <v>5.555555555555558E-2</v>
      </c>
      <c r="P51" s="70">
        <f>P50/O50-1</f>
        <v>2.6315789473684292E-2</v>
      </c>
      <c r="Q51" s="26"/>
      <c r="R51" s="70">
        <f>R50/P50-1</f>
        <v>1.2820512820512775E-2</v>
      </c>
      <c r="S51" s="70">
        <f>S50/R50-1</f>
        <v>1.2658227848101333E-2</v>
      </c>
      <c r="T51" s="70">
        <f>T50/S50-1</f>
        <v>1.2499999999999956E-2</v>
      </c>
      <c r="U51" s="70">
        <f>U50/T50-1</f>
        <v>0</v>
      </c>
      <c r="V51" s="26"/>
      <c r="W51" s="70">
        <v>3.7037037037036979E-2</v>
      </c>
      <c r="X51" s="70">
        <v>-4.7619047619047672E-2</v>
      </c>
      <c r="Y51" s="70">
        <v>0</v>
      </c>
      <c r="Z51" s="70">
        <v>0</v>
      </c>
      <c r="AA51" s="26"/>
      <c r="AB51" s="70">
        <v>3.7500000000000089E-2</v>
      </c>
      <c r="AC51" s="70">
        <v>2.4096385542168752E-2</v>
      </c>
      <c r="AD51" s="70">
        <v>1.1764705882352899E-2</v>
      </c>
      <c r="AE51" s="70">
        <v>-4.6511627906976716E-2</v>
      </c>
      <c r="AF51" s="26"/>
      <c r="AG51" s="70">
        <v>0</v>
      </c>
      <c r="AH51" s="70">
        <v>2.4390243902439046E-2</v>
      </c>
      <c r="AI51" s="70">
        <v>1.1904761904761862E-2</v>
      </c>
      <c r="AJ51" s="70">
        <v>0</v>
      </c>
      <c r="AK51" s="26"/>
      <c r="AL51" s="70">
        <v>2.3529411764705799E-2</v>
      </c>
      <c r="AM51" s="70">
        <v>1.1494252873563315E-2</v>
      </c>
      <c r="AN51" s="70">
        <v>0</v>
      </c>
      <c r="AO51" s="70">
        <v>0</v>
      </c>
      <c r="AP51" s="26"/>
      <c r="AQ51" s="70">
        <v>2.2727272727272707E-2</v>
      </c>
      <c r="AR51" s="70">
        <v>0</v>
      </c>
      <c r="AS51" s="70">
        <v>-2.2222222222222254E-2</v>
      </c>
      <c r="AT51" s="70">
        <v>2.2727272727272707E-2</v>
      </c>
      <c r="AU51" s="26"/>
      <c r="AV51" s="70">
        <v>0</v>
      </c>
      <c r="AW51" s="70">
        <v>0</v>
      </c>
      <c r="AX51" s="70">
        <v>0</v>
      </c>
      <c r="AY51" s="70">
        <v>2.2222222222222143E-2</v>
      </c>
      <c r="AZ51" s="26"/>
      <c r="BA51" s="70">
        <v>0</v>
      </c>
      <c r="BB51" s="70">
        <v>1.0869565217391353E-2</v>
      </c>
      <c r="BC51" s="70">
        <v>0</v>
      </c>
      <c r="BD51" s="70">
        <v>3.2258064516129004E-2</v>
      </c>
      <c r="BE51" s="26"/>
      <c r="BF51" s="70">
        <v>0</v>
      </c>
      <c r="BG51" s="70">
        <v>1.0416666666666741E-2</v>
      </c>
      <c r="BH51" s="70">
        <v>1.0309278350515427E-2</v>
      </c>
    </row>
    <row r="52" spans="1:202">
      <c r="A52" s="69" t="s">
        <v>8</v>
      </c>
      <c r="B52" s="23"/>
      <c r="C52" s="71"/>
      <c r="D52" s="71"/>
      <c r="E52" s="71"/>
      <c r="F52" s="71"/>
      <c r="G52" s="23">
        <f t="shared" ref="G52:N52" si="24">G50/B50-1</f>
        <v>4.6875E-2</v>
      </c>
      <c r="H52" s="71">
        <f t="shared" si="24"/>
        <v>-1.4705882352941124E-2</v>
      </c>
      <c r="I52" s="71">
        <f t="shared" si="24"/>
        <v>1.5151515151515138E-2</v>
      </c>
      <c r="J52" s="71">
        <f t="shared" si="24"/>
        <v>4.4776119402984982E-2</v>
      </c>
      <c r="K52" s="70">
        <f t="shared" si="24"/>
        <v>6.0606060606060552E-2</v>
      </c>
      <c r="L52" s="23">
        <f t="shared" si="24"/>
        <v>2.9850746268656803E-2</v>
      </c>
      <c r="M52" s="70">
        <f t="shared" si="24"/>
        <v>8.9552238805970186E-2</v>
      </c>
      <c r="N52" s="71">
        <f t="shared" si="24"/>
        <v>7.4626865671641784E-2</v>
      </c>
      <c r="O52" s="71">
        <f t="shared" ref="O52:U52" si="25">O50/J50-1</f>
        <v>8.5714285714285632E-2</v>
      </c>
      <c r="P52" s="70">
        <f t="shared" si="25"/>
        <v>0.11428571428571432</v>
      </c>
      <c r="Q52" s="23">
        <f t="shared" si="25"/>
        <v>8.6956521739130377E-2</v>
      </c>
      <c r="R52" s="70">
        <f t="shared" si="25"/>
        <v>8.2191780821917915E-2</v>
      </c>
      <c r="S52" s="71">
        <f t="shared" si="25"/>
        <v>0.11111111111111116</v>
      </c>
      <c r="T52" s="71">
        <f t="shared" si="25"/>
        <v>6.578947368421062E-2</v>
      </c>
      <c r="U52" s="70">
        <f t="shared" si="25"/>
        <v>3.8461538461538547E-2</v>
      </c>
      <c r="V52" s="23">
        <v>6.6666666666666652E-2</v>
      </c>
      <c r="W52" s="70">
        <v>6.3291139240506222E-2</v>
      </c>
      <c r="X52" s="71">
        <v>0</v>
      </c>
      <c r="Y52" s="71">
        <v>-1.2345679012345734E-2</v>
      </c>
      <c r="Z52" s="70">
        <v>-1.2345679012345734E-2</v>
      </c>
      <c r="AA52" s="23">
        <v>1.2499999999999956E-2</v>
      </c>
      <c r="AB52" s="70">
        <v>-1.1904761904761862E-2</v>
      </c>
      <c r="AC52" s="71">
        <v>6.25E-2</v>
      </c>
      <c r="AD52" s="71">
        <v>7.4999999999999956E-2</v>
      </c>
      <c r="AE52" s="70">
        <v>2.4999999999999911E-2</v>
      </c>
      <c r="AF52" s="23">
        <v>3.7037037037036979E-2</v>
      </c>
      <c r="AG52" s="70">
        <v>-1.2048192771084376E-2</v>
      </c>
      <c r="AH52" s="71">
        <v>-1.1764705882352899E-2</v>
      </c>
      <c r="AI52" s="71">
        <v>-1.1627906976744207E-2</v>
      </c>
      <c r="AJ52" s="70">
        <v>3.6585365853658569E-2</v>
      </c>
      <c r="AK52" s="23">
        <v>0</v>
      </c>
      <c r="AL52" s="70">
        <v>6.0975609756097615E-2</v>
      </c>
      <c r="AM52" s="71">
        <v>4.7619047619047672E-2</v>
      </c>
      <c r="AN52" s="71">
        <v>3.529411764705892E-2</v>
      </c>
      <c r="AO52" s="70">
        <v>3.529411764705892E-2</v>
      </c>
      <c r="AP52" s="23">
        <v>4.7619047619047672E-2</v>
      </c>
      <c r="AQ52" s="70">
        <v>3.4482758620689724E-2</v>
      </c>
      <c r="AR52" s="71">
        <v>2.2727272727272707E-2</v>
      </c>
      <c r="AS52" s="71">
        <v>0</v>
      </c>
      <c r="AT52" s="70">
        <v>2.2727272727272707E-2</v>
      </c>
      <c r="AU52" s="23">
        <v>1.1363636363636465E-2</v>
      </c>
      <c r="AV52" s="70">
        <v>0</v>
      </c>
      <c r="AW52" s="71">
        <v>0</v>
      </c>
      <c r="AX52" s="71">
        <v>2.2727272727272707E-2</v>
      </c>
      <c r="AY52" s="70">
        <v>2.2222222222222143E-2</v>
      </c>
      <c r="AZ52" s="23">
        <v>1.1235955056179803E-2</v>
      </c>
      <c r="BA52" s="70">
        <v>2.2222222222222143E-2</v>
      </c>
      <c r="BB52" s="71">
        <v>3.3333333333333437E-2</v>
      </c>
      <c r="BC52" s="71">
        <v>3.3333333333333437E-2</v>
      </c>
      <c r="BD52" s="70">
        <v>4.3478260869565188E-2</v>
      </c>
      <c r="BE52" s="23">
        <v>3.3333333333333437E-2</v>
      </c>
      <c r="BF52" s="70">
        <v>4.3478260869565188E-2</v>
      </c>
      <c r="BG52" s="71">
        <v>4.3010752688172005E-2</v>
      </c>
      <c r="BH52" s="71">
        <v>5.3763440860215006E-2</v>
      </c>
    </row>
    <row r="53" spans="1:202" ht="26.4">
      <c r="A53" s="99" t="s">
        <v>67</v>
      </c>
      <c r="B53" s="96">
        <v>1.7</v>
      </c>
      <c r="C53" s="79">
        <v>1.9</v>
      </c>
      <c r="D53" s="79">
        <v>2</v>
      </c>
      <c r="E53" s="79">
        <v>2.1</v>
      </c>
      <c r="F53" s="79">
        <v>2.2000000000000002</v>
      </c>
      <c r="G53" s="96">
        <v>2.2000000000000002</v>
      </c>
      <c r="H53" s="79">
        <v>2.2999999999999998</v>
      </c>
      <c r="I53" s="79">
        <v>2.4</v>
      </c>
      <c r="J53" s="79">
        <v>2.5</v>
      </c>
      <c r="K53" s="79">
        <v>2.7</v>
      </c>
      <c r="L53" s="97">
        <v>2.7</v>
      </c>
      <c r="M53" s="79">
        <v>3</v>
      </c>
      <c r="N53" s="79">
        <v>3.4</v>
      </c>
      <c r="O53" s="79">
        <v>3.8</v>
      </c>
      <c r="P53" s="79">
        <v>4.3</v>
      </c>
      <c r="Q53" s="97">
        <v>4.3</v>
      </c>
      <c r="R53" s="79">
        <v>4.8</v>
      </c>
      <c r="S53" s="79">
        <v>5.3</v>
      </c>
      <c r="T53" s="79">
        <v>6</v>
      </c>
      <c r="U53" s="79">
        <v>6.7</v>
      </c>
      <c r="V53" s="97">
        <v>6.7</v>
      </c>
      <c r="W53" s="79">
        <v>7.5</v>
      </c>
      <c r="X53" s="79">
        <v>8.3000000000000007</v>
      </c>
      <c r="Y53" s="79">
        <v>9</v>
      </c>
      <c r="Z53" s="79">
        <v>9.6</v>
      </c>
      <c r="AA53" s="97">
        <v>9.6</v>
      </c>
      <c r="AB53" s="79">
        <v>10.4</v>
      </c>
      <c r="AC53" s="79">
        <v>15.2</v>
      </c>
      <c r="AD53" s="79">
        <v>17.3</v>
      </c>
      <c r="AE53" s="79">
        <v>18.100000000000001</v>
      </c>
      <c r="AF53" s="97">
        <v>18.100000000000001</v>
      </c>
      <c r="AG53" s="79">
        <v>20</v>
      </c>
      <c r="AH53" s="144">
        <v>21.9</v>
      </c>
      <c r="AI53" s="144">
        <v>24</v>
      </c>
      <c r="AJ53" s="79">
        <v>32.5</v>
      </c>
      <c r="AK53" s="97">
        <v>32.5</v>
      </c>
      <c r="AL53" s="79">
        <v>33.200000000000003</v>
      </c>
      <c r="AM53" s="144">
        <v>34.9</v>
      </c>
      <c r="AN53" s="144">
        <v>36.700000000000003</v>
      </c>
      <c r="AO53" s="79">
        <v>37.799999999999997</v>
      </c>
      <c r="AP53" s="97">
        <v>37.799999999999997</v>
      </c>
      <c r="AQ53" s="79">
        <v>38.9</v>
      </c>
      <c r="AR53" s="144">
        <v>40.200000000000003</v>
      </c>
      <c r="AS53" s="144">
        <v>41.8</v>
      </c>
      <c r="AT53" s="79">
        <v>43.4</v>
      </c>
      <c r="AU53" s="97">
        <v>43.4</v>
      </c>
      <c r="AV53" s="79">
        <v>45.1</v>
      </c>
      <c r="AW53" s="79">
        <v>47.2</v>
      </c>
      <c r="AX53" s="79">
        <v>49.5</v>
      </c>
      <c r="AY53" s="79">
        <v>51.5</v>
      </c>
      <c r="AZ53" s="97">
        <v>51.5</v>
      </c>
      <c r="BA53" s="79">
        <v>53.5</v>
      </c>
      <c r="BB53" s="79">
        <v>55.4</v>
      </c>
      <c r="BC53" s="79">
        <v>57.41</v>
      </c>
      <c r="BD53" s="79">
        <v>59.1</v>
      </c>
      <c r="BE53" s="97">
        <v>59.1</v>
      </c>
      <c r="BF53" s="79">
        <v>61.5</v>
      </c>
      <c r="BG53" s="79">
        <v>64</v>
      </c>
      <c r="BH53" s="79">
        <v>66.180000000000007</v>
      </c>
    </row>
    <row r="54" spans="1:202">
      <c r="A54" s="69" t="s">
        <v>7</v>
      </c>
      <c r="B54" s="23"/>
      <c r="C54" s="70"/>
      <c r="D54" s="70">
        <f>D53/C53-1</f>
        <v>5.2631578947368363E-2</v>
      </c>
      <c r="E54" s="70">
        <f>E53/D53-1</f>
        <v>5.0000000000000044E-2</v>
      </c>
      <c r="F54" s="70">
        <f>F53/E53-1</f>
        <v>4.7619047619047672E-2</v>
      </c>
      <c r="G54" s="23"/>
      <c r="H54" s="70">
        <f>H53/F53-1</f>
        <v>4.5454545454545192E-2</v>
      </c>
      <c r="I54" s="70">
        <f>I53/H53-1</f>
        <v>4.3478260869565188E-2</v>
      </c>
      <c r="J54" s="70">
        <f>J53/I53-1</f>
        <v>4.1666666666666741E-2</v>
      </c>
      <c r="K54" s="70">
        <f>K53/J53-1</f>
        <v>8.0000000000000071E-2</v>
      </c>
      <c r="L54" s="26"/>
      <c r="M54" s="70">
        <f>M53/K53-1</f>
        <v>0.11111111111111094</v>
      </c>
      <c r="N54" s="70">
        <f>N53/M53-1</f>
        <v>0.1333333333333333</v>
      </c>
      <c r="O54" s="70">
        <f>O53/N53-1</f>
        <v>0.11764705882352944</v>
      </c>
      <c r="P54" s="70">
        <f>P53/O53-1</f>
        <v>0.13157894736842102</v>
      </c>
      <c r="Q54" s="26"/>
      <c r="R54" s="70">
        <f>R53/P53-1</f>
        <v>0.11627906976744184</v>
      </c>
      <c r="S54" s="70">
        <f>S53/R53-1</f>
        <v>0.10416666666666674</v>
      </c>
      <c r="T54" s="70">
        <f>T53/S53-1</f>
        <v>0.13207547169811318</v>
      </c>
      <c r="U54" s="70">
        <f>U53/T53-1</f>
        <v>0.1166666666666667</v>
      </c>
      <c r="V54" s="26"/>
      <c r="W54" s="70">
        <v>0.11940298507462677</v>
      </c>
      <c r="X54" s="70">
        <v>0.10666666666666669</v>
      </c>
      <c r="Y54" s="70">
        <v>8.43373493975903E-2</v>
      </c>
      <c r="Z54" s="70">
        <v>6.6666666666666652E-2</v>
      </c>
      <c r="AA54" s="26"/>
      <c r="AB54" s="70">
        <v>8.3333333333333481E-2</v>
      </c>
      <c r="AC54" s="70">
        <v>0.46153846153846145</v>
      </c>
      <c r="AD54" s="70">
        <v>0.13815789473684226</v>
      </c>
      <c r="AE54" s="70">
        <v>4.6242774566473965E-2</v>
      </c>
      <c r="AF54" s="26"/>
      <c r="AG54" s="70">
        <v>0.10497237569060758</v>
      </c>
      <c r="AH54" s="70">
        <v>9.4999999999999973E-2</v>
      </c>
      <c r="AI54" s="70">
        <v>9.5890410958904271E-2</v>
      </c>
      <c r="AJ54" s="70">
        <v>0.35416666666666674</v>
      </c>
      <c r="AK54" s="26"/>
      <c r="AL54" s="70">
        <v>2.1538461538461728E-2</v>
      </c>
      <c r="AM54" s="70">
        <v>5.1204819277108404E-2</v>
      </c>
      <c r="AN54" s="70">
        <v>5.157593123209181E-2</v>
      </c>
      <c r="AO54" s="70">
        <v>2.9972752043596618E-2</v>
      </c>
      <c r="AP54" s="26"/>
      <c r="AQ54" s="70">
        <v>2.9100529100529071E-2</v>
      </c>
      <c r="AR54" s="70">
        <v>3.3419023136247006E-2</v>
      </c>
      <c r="AS54" s="70">
        <v>3.9800995024875441E-2</v>
      </c>
      <c r="AT54" s="70">
        <v>3.8277511961722466E-2</v>
      </c>
      <c r="AU54" s="26"/>
      <c r="AV54" s="70">
        <v>3.9170506912442393E-2</v>
      </c>
      <c r="AW54" s="70">
        <v>4.6563192904656381E-2</v>
      </c>
      <c r="AX54" s="70">
        <v>4.8728813559322015E-2</v>
      </c>
      <c r="AY54" s="70">
        <v>4.0404040404040442E-2</v>
      </c>
      <c r="AZ54" s="26"/>
      <c r="BA54" s="70">
        <v>3.8834951456310662E-2</v>
      </c>
      <c r="BB54" s="70">
        <v>3.5514018691588767E-2</v>
      </c>
      <c r="BC54" s="70">
        <v>3.6281588447653501E-2</v>
      </c>
      <c r="BD54" s="70">
        <v>2.943738024734377E-2</v>
      </c>
      <c r="BE54" s="26"/>
      <c r="BF54" s="70">
        <v>4.0609137055837463E-2</v>
      </c>
      <c r="BG54" s="70">
        <v>4.0650406504065151E-2</v>
      </c>
      <c r="BH54" s="70">
        <v>3.4062500000000107E-2</v>
      </c>
    </row>
    <row r="55" spans="1:202">
      <c r="A55" s="69" t="s">
        <v>8</v>
      </c>
      <c r="B55" s="23"/>
      <c r="C55" s="71"/>
      <c r="D55" s="71"/>
      <c r="E55" s="71"/>
      <c r="F55" s="71"/>
      <c r="G55" s="23">
        <f t="shared" ref="G55:R55" si="26">G53/B53-1</f>
        <v>0.29411764705882359</v>
      </c>
      <c r="H55" s="71">
        <f t="shared" si="26"/>
        <v>0.21052631578947367</v>
      </c>
      <c r="I55" s="71">
        <f t="shared" si="26"/>
        <v>0.19999999999999996</v>
      </c>
      <c r="J55" s="71">
        <f t="shared" si="26"/>
        <v>0.19047619047619047</v>
      </c>
      <c r="K55" s="70">
        <f t="shared" si="26"/>
        <v>0.22727272727272729</v>
      </c>
      <c r="L55" s="23">
        <f t="shared" si="26"/>
        <v>0.22727272727272729</v>
      </c>
      <c r="M55" s="71">
        <f t="shared" si="26"/>
        <v>0.30434782608695654</v>
      </c>
      <c r="N55" s="71">
        <f t="shared" si="26"/>
        <v>0.41666666666666674</v>
      </c>
      <c r="O55" s="71">
        <f t="shared" si="26"/>
        <v>0.52</v>
      </c>
      <c r="P55" s="70">
        <f t="shared" si="26"/>
        <v>0.59259259259259234</v>
      </c>
      <c r="Q55" s="23">
        <f t="shared" si="26"/>
        <v>0.59259259259259234</v>
      </c>
      <c r="R55" s="71">
        <f t="shared" si="26"/>
        <v>0.59999999999999987</v>
      </c>
      <c r="S55" s="71">
        <f t="shared" ref="S55:U55" si="27">S53/N53-1</f>
        <v>0.55882352941176472</v>
      </c>
      <c r="T55" s="71">
        <f t="shared" si="27"/>
        <v>0.57894736842105265</v>
      </c>
      <c r="U55" s="70">
        <f t="shared" si="27"/>
        <v>0.55813953488372103</v>
      </c>
      <c r="V55" s="23">
        <v>0.55813953488372103</v>
      </c>
      <c r="W55" s="71">
        <v>0.5625</v>
      </c>
      <c r="X55" s="71">
        <v>0.5660377358490567</v>
      </c>
      <c r="Y55" s="71">
        <v>0.5</v>
      </c>
      <c r="Z55" s="70">
        <v>0.43283582089552231</v>
      </c>
      <c r="AA55" s="23">
        <v>0.43283582089552231</v>
      </c>
      <c r="AB55" s="71">
        <v>0.38666666666666671</v>
      </c>
      <c r="AC55" s="71">
        <v>0.83132530120481896</v>
      </c>
      <c r="AD55" s="71">
        <v>0.92222222222222228</v>
      </c>
      <c r="AE55" s="70">
        <v>0.88541666666666696</v>
      </c>
      <c r="AF55" s="23">
        <v>0.88541666666666696</v>
      </c>
      <c r="AG55" s="71">
        <v>0.92307692307692291</v>
      </c>
      <c r="AH55" s="71">
        <v>0.4407894736842104</v>
      </c>
      <c r="AI55" s="71">
        <v>0.38728323699421963</v>
      </c>
      <c r="AJ55" s="70">
        <v>0.79558011049723754</v>
      </c>
      <c r="AK55" s="23">
        <v>0.79558011049723754</v>
      </c>
      <c r="AL55" s="71">
        <v>0.66000000000000014</v>
      </c>
      <c r="AM55" s="71">
        <v>0.59360730593607314</v>
      </c>
      <c r="AN55" s="71">
        <v>0.52916666666666679</v>
      </c>
      <c r="AO55" s="70">
        <v>0.1630769230769229</v>
      </c>
      <c r="AP55" s="23">
        <v>0.1630769230769229</v>
      </c>
      <c r="AQ55" s="71">
        <v>0.17168674698795172</v>
      </c>
      <c r="AR55" s="71">
        <v>0.15186246418338123</v>
      </c>
      <c r="AS55" s="71">
        <v>0.13896457765667569</v>
      </c>
      <c r="AT55" s="70">
        <v>0.14814814814814814</v>
      </c>
      <c r="AU55" s="23">
        <v>0.14814814814814814</v>
      </c>
      <c r="AV55" s="71">
        <v>0.15938303341902316</v>
      </c>
      <c r="AW55" s="71">
        <v>0.17412935323383083</v>
      </c>
      <c r="AX55" s="71">
        <v>0.1842105263157896</v>
      </c>
      <c r="AY55" s="70">
        <v>0.18663594470046085</v>
      </c>
      <c r="AZ55" s="23">
        <v>0.18663594470046085</v>
      </c>
      <c r="BA55" s="71">
        <v>0.1862527716186253</v>
      </c>
      <c r="BB55" s="71">
        <v>0.17372881355932202</v>
      </c>
      <c r="BC55" s="71">
        <v>0.15979797979797983</v>
      </c>
      <c r="BD55" s="70">
        <v>0.14757281553398061</v>
      </c>
      <c r="BE55" s="23">
        <v>0.14757281553398061</v>
      </c>
      <c r="BF55" s="71">
        <v>0.14953271028037385</v>
      </c>
      <c r="BG55" s="71">
        <v>0.15523465703971118</v>
      </c>
      <c r="BH55" s="71">
        <v>0.15276084305870086</v>
      </c>
    </row>
    <row r="56" spans="1:202" ht="7.5" customHeight="1">
      <c r="A56" s="69"/>
      <c r="B56" s="23"/>
      <c r="C56" s="71"/>
      <c r="D56" s="71"/>
      <c r="E56" s="71"/>
      <c r="F56" s="71"/>
      <c r="G56" s="23"/>
      <c r="H56" s="71"/>
      <c r="I56" s="71"/>
      <c r="J56" s="71"/>
      <c r="K56" s="70"/>
      <c r="L56" s="23"/>
      <c r="M56" s="71"/>
      <c r="N56" s="71"/>
      <c r="O56" s="71"/>
      <c r="P56" s="70"/>
      <c r="Q56" s="23"/>
      <c r="R56" s="71"/>
      <c r="S56" s="71"/>
      <c r="T56" s="71"/>
      <c r="U56" s="70"/>
      <c r="V56" s="23"/>
      <c r="W56" s="71"/>
      <c r="X56" s="71"/>
      <c r="Y56" s="71"/>
      <c r="Z56" s="70"/>
      <c r="AA56" s="23"/>
      <c r="AB56" s="71"/>
      <c r="AC56" s="71"/>
      <c r="AD56" s="71"/>
      <c r="AE56" s="70"/>
      <c r="AF56" s="23"/>
      <c r="AG56" s="71"/>
      <c r="AH56" s="71"/>
      <c r="AI56" s="71"/>
      <c r="AJ56" s="70"/>
      <c r="AK56" s="23"/>
      <c r="AL56" s="71"/>
      <c r="AM56" s="71"/>
      <c r="AN56" s="71"/>
      <c r="AO56" s="70"/>
      <c r="AP56" s="23"/>
      <c r="AQ56" s="71"/>
      <c r="AR56" s="71"/>
      <c r="AS56" s="71"/>
      <c r="AT56" s="70"/>
      <c r="AU56" s="23"/>
      <c r="AV56" s="71"/>
      <c r="AW56" s="71"/>
      <c r="AX56" s="71"/>
      <c r="AY56" s="70"/>
      <c r="AZ56" s="23"/>
      <c r="BA56" s="71"/>
      <c r="BB56" s="71"/>
      <c r="BC56" s="71"/>
      <c r="BD56" s="70"/>
      <c r="BE56" s="23"/>
      <c r="BF56" s="71"/>
      <c r="BG56" s="71"/>
      <c r="BH56" s="71"/>
    </row>
    <row r="57" spans="1:202" s="2" customFormat="1">
      <c r="A57" s="67" t="s">
        <v>17</v>
      </c>
      <c r="B57" s="37">
        <v>7614</v>
      </c>
      <c r="C57" s="78" t="s">
        <v>49</v>
      </c>
      <c r="D57" s="78" t="s">
        <v>49</v>
      </c>
      <c r="E57" s="78" t="s">
        <v>49</v>
      </c>
      <c r="F57" s="78" t="s">
        <v>49</v>
      </c>
      <c r="G57" s="37">
        <v>7530</v>
      </c>
      <c r="H57" s="116" t="s">
        <v>41</v>
      </c>
      <c r="I57" s="116" t="s">
        <v>41</v>
      </c>
      <c r="J57" s="116" t="s">
        <v>41</v>
      </c>
      <c r="K57" s="116" t="s">
        <v>41</v>
      </c>
      <c r="L57" s="37">
        <v>7364</v>
      </c>
      <c r="M57" s="116" t="s">
        <v>41</v>
      </c>
      <c r="N57" s="116" t="s">
        <v>41</v>
      </c>
      <c r="O57" s="116" t="s">
        <v>41</v>
      </c>
      <c r="P57" s="116" t="s">
        <v>41</v>
      </c>
      <c r="Q57" s="37">
        <v>7216</v>
      </c>
      <c r="R57" s="116" t="s">
        <v>41</v>
      </c>
      <c r="S57" s="116" t="s">
        <v>41</v>
      </c>
      <c r="T57" s="116" t="s">
        <v>41</v>
      </c>
      <c r="U57" s="116" t="s">
        <v>41</v>
      </c>
      <c r="V57" s="36">
        <v>7076</v>
      </c>
      <c r="W57" s="116" t="s">
        <v>41</v>
      </c>
      <c r="X57" s="116" t="s">
        <v>41</v>
      </c>
      <c r="Y57" s="116" t="s">
        <v>41</v>
      </c>
      <c r="Z57" s="116" t="s">
        <v>41</v>
      </c>
      <c r="AA57" s="36">
        <v>7422</v>
      </c>
      <c r="AB57" s="134" t="s">
        <v>41</v>
      </c>
      <c r="AC57" s="134" t="s">
        <v>41</v>
      </c>
      <c r="AD57" s="68">
        <v>6576</v>
      </c>
      <c r="AE57" s="68">
        <v>6479</v>
      </c>
      <c r="AF57" s="36">
        <v>6479</v>
      </c>
      <c r="AG57" s="134" t="s">
        <v>41</v>
      </c>
      <c r="AH57" s="134" t="s">
        <v>41</v>
      </c>
      <c r="AI57" s="134" t="s">
        <v>41</v>
      </c>
      <c r="AJ57" s="68">
        <v>5964</v>
      </c>
      <c r="AK57" s="36">
        <v>5964</v>
      </c>
      <c r="AL57" s="134" t="s">
        <v>41</v>
      </c>
      <c r="AM57" s="134" t="s">
        <v>41</v>
      </c>
      <c r="AN57" s="134" t="s">
        <v>41</v>
      </c>
      <c r="AO57" s="68">
        <v>5896</v>
      </c>
      <c r="AP57" s="36">
        <v>5896</v>
      </c>
      <c r="AQ57" s="134" t="s">
        <v>41</v>
      </c>
      <c r="AR57" s="134" t="s">
        <v>41</v>
      </c>
      <c r="AS57" s="134" t="s">
        <v>41</v>
      </c>
      <c r="AT57" s="68">
        <v>5649</v>
      </c>
      <c r="AU57" s="36">
        <v>5649</v>
      </c>
      <c r="AV57" s="134" t="s">
        <v>41</v>
      </c>
      <c r="AW57" s="134" t="s">
        <v>41</v>
      </c>
      <c r="AX57" s="134" t="s">
        <v>41</v>
      </c>
      <c r="AY57" s="68">
        <v>5582</v>
      </c>
      <c r="AZ57" s="36">
        <v>5582</v>
      </c>
      <c r="BA57" s="134" t="s">
        <v>41</v>
      </c>
      <c r="BB57" s="134" t="s">
        <v>41</v>
      </c>
      <c r="BC57" s="134" t="s">
        <v>41</v>
      </c>
      <c r="BD57" s="68">
        <v>5494</v>
      </c>
      <c r="BE57" s="36">
        <v>5494</v>
      </c>
      <c r="BF57" s="68">
        <v>5358</v>
      </c>
      <c r="BG57" s="134" t="s">
        <v>41</v>
      </c>
      <c r="BH57" s="134" t="s">
        <v>41</v>
      </c>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row>
    <row r="58" spans="1:202" ht="13.5" customHeight="1">
      <c r="A58" s="69" t="s">
        <v>8</v>
      </c>
      <c r="B58" s="23"/>
      <c r="C58" s="71"/>
      <c r="D58" s="71"/>
      <c r="E58" s="71"/>
      <c r="F58" s="71"/>
      <c r="G58" s="23">
        <f>G57/B57-1</f>
        <v>-1.1032308904649346E-2</v>
      </c>
      <c r="H58" s="71"/>
      <c r="I58" s="71"/>
      <c r="J58" s="71"/>
      <c r="K58" s="70"/>
      <c r="L58" s="23">
        <f>L57/G57-1</f>
        <v>-2.2045152722443562E-2</v>
      </c>
      <c r="M58" s="71"/>
      <c r="N58" s="71"/>
      <c r="O58" s="71"/>
      <c r="P58" s="70"/>
      <c r="Q58" s="23">
        <f>Q57/L57-1</f>
        <v>-2.0097772949484005E-2</v>
      </c>
      <c r="R58" s="71"/>
      <c r="S58" s="71"/>
      <c r="T58" s="71"/>
      <c r="U58" s="70"/>
      <c r="V58" s="23">
        <v>-1.940133037694014E-2</v>
      </c>
      <c r="W58" s="71"/>
      <c r="X58" s="71"/>
      <c r="Y58" s="71"/>
      <c r="Z58" s="70"/>
      <c r="AA58" s="23">
        <v>4.8897682306387802E-2</v>
      </c>
      <c r="AB58" s="71"/>
      <c r="AC58" s="71"/>
      <c r="AD58" s="71"/>
      <c r="AE58" s="70"/>
      <c r="AF58" s="23">
        <v>-0.12705470223659387</v>
      </c>
      <c r="AG58" s="71"/>
      <c r="AH58" s="71"/>
      <c r="AI58" s="71"/>
      <c r="AJ58" s="70"/>
      <c r="AK58" s="23">
        <v>-7.9487575243093023E-2</v>
      </c>
      <c r="AL58" s="71"/>
      <c r="AM58" s="71"/>
      <c r="AN58" s="71"/>
      <c r="AO58" s="70"/>
      <c r="AP58" s="23">
        <v>-1.1401743796110031E-2</v>
      </c>
      <c r="AQ58" s="71"/>
      <c r="AR58" s="71"/>
      <c r="AS58" s="71"/>
      <c r="AT58" s="70"/>
      <c r="AU58" s="23">
        <v>-4.1892808683853477E-2</v>
      </c>
      <c r="AV58" s="71"/>
      <c r="AW58" s="71"/>
      <c r="AX58" s="71"/>
      <c r="AY58" s="70"/>
      <c r="AZ58" s="23">
        <v>-1.1860506284298133E-2</v>
      </c>
      <c r="BA58" s="71"/>
      <c r="BB58" s="71"/>
      <c r="BC58" s="71"/>
      <c r="BD58" s="70"/>
      <c r="BE58" s="23">
        <v>-1.5764958796130379E-2</v>
      </c>
      <c r="BF58" s="71"/>
      <c r="BG58" s="71"/>
      <c r="BH58" s="71"/>
    </row>
    <row r="59" spans="1:202" ht="2.25" customHeight="1">
      <c r="A59" s="69"/>
      <c r="B59" s="23"/>
      <c r="C59" s="71"/>
      <c r="D59" s="71"/>
      <c r="E59" s="71"/>
      <c r="F59" s="71"/>
      <c r="G59" s="23"/>
      <c r="H59" s="71"/>
      <c r="I59" s="71"/>
      <c r="J59" s="71"/>
      <c r="K59" s="70"/>
      <c r="L59" s="23"/>
      <c r="M59" s="71"/>
      <c r="N59" s="71"/>
      <c r="O59" s="71"/>
      <c r="P59" s="70"/>
      <c r="Q59" s="23"/>
      <c r="R59" s="71"/>
      <c r="S59" s="71"/>
      <c r="T59" s="71"/>
      <c r="U59" s="70"/>
      <c r="V59" s="23"/>
      <c r="W59" s="71"/>
      <c r="X59" s="71"/>
      <c r="Y59" s="71"/>
      <c r="Z59" s="70"/>
      <c r="AA59" s="23"/>
      <c r="AB59" s="71"/>
      <c r="AC59" s="71"/>
      <c r="AD59" s="71"/>
      <c r="AE59" s="70"/>
      <c r="AF59" s="23"/>
      <c r="AG59" s="71"/>
      <c r="AH59" s="71"/>
      <c r="AI59" s="71"/>
      <c r="AJ59" s="70"/>
      <c r="AK59" s="23"/>
      <c r="AL59" s="71"/>
      <c r="AM59" s="71"/>
      <c r="AN59" s="71"/>
      <c r="AO59" s="70"/>
      <c r="AP59" s="23" t="s">
        <v>158</v>
      </c>
      <c r="AQ59" s="71"/>
      <c r="AR59" s="71"/>
      <c r="AS59" s="71"/>
      <c r="AT59" s="70"/>
      <c r="AU59" s="23" t="s">
        <v>158</v>
      </c>
      <c r="AV59" s="71"/>
      <c r="AW59" s="71"/>
      <c r="AX59" s="71"/>
      <c r="AY59" s="70"/>
      <c r="AZ59" s="23" t="s">
        <v>158</v>
      </c>
      <c r="BA59" s="71"/>
      <c r="BB59" s="71"/>
      <c r="BC59" s="71"/>
      <c r="BD59" s="70"/>
      <c r="BE59" s="23" t="s">
        <v>158</v>
      </c>
      <c r="BF59" s="71"/>
      <c r="BG59" s="71"/>
      <c r="BH59" s="71"/>
    </row>
    <row r="60" spans="1:202" s="45" customFormat="1" ht="13.95" customHeight="1">
      <c r="A60" s="67" t="s">
        <v>149</v>
      </c>
      <c r="B60" s="165" t="s">
        <v>41</v>
      </c>
      <c r="C60" s="38"/>
      <c r="D60" s="38"/>
      <c r="E60" s="38"/>
      <c r="F60" s="38"/>
      <c r="G60" s="165" t="s">
        <v>41</v>
      </c>
      <c r="H60" s="38"/>
      <c r="I60" s="38"/>
      <c r="J60" s="38"/>
      <c r="K60" s="38"/>
      <c r="L60" s="166">
        <v>0.59</v>
      </c>
      <c r="M60" s="166"/>
      <c r="N60" s="166"/>
      <c r="O60" s="166"/>
      <c r="P60" s="166"/>
      <c r="Q60" s="166">
        <v>0.59</v>
      </c>
      <c r="R60" s="166"/>
      <c r="S60" s="166"/>
      <c r="T60" s="166"/>
      <c r="U60" s="166"/>
      <c r="V60" s="166">
        <v>0.59</v>
      </c>
      <c r="W60" s="166"/>
      <c r="X60" s="166"/>
      <c r="Y60" s="166"/>
      <c r="Z60" s="166"/>
      <c r="AA60" s="166">
        <v>0.6</v>
      </c>
      <c r="AB60" s="166"/>
      <c r="AC60" s="166"/>
      <c r="AD60" s="166"/>
      <c r="AE60" s="166"/>
      <c r="AF60" s="166">
        <v>0.63</v>
      </c>
      <c r="AG60" s="134" t="s">
        <v>41</v>
      </c>
      <c r="AH60" s="134" t="s">
        <v>41</v>
      </c>
      <c r="AI60" s="134" t="s">
        <v>41</v>
      </c>
      <c r="AJ60" s="134" t="s">
        <v>41</v>
      </c>
      <c r="AK60" s="166">
        <v>0.66</v>
      </c>
      <c r="AL60" s="134" t="s">
        <v>41</v>
      </c>
      <c r="AM60" s="134" t="s">
        <v>41</v>
      </c>
      <c r="AN60" s="134" t="s">
        <v>41</v>
      </c>
      <c r="AO60" s="134" t="s">
        <v>41</v>
      </c>
      <c r="AP60" s="166">
        <v>0.68</v>
      </c>
      <c r="AQ60" s="134" t="s">
        <v>41</v>
      </c>
      <c r="AR60" s="134" t="s">
        <v>41</v>
      </c>
      <c r="AS60" s="134" t="s">
        <v>41</v>
      </c>
      <c r="AT60" s="134" t="s">
        <v>41</v>
      </c>
      <c r="AU60" s="166">
        <v>0.69</v>
      </c>
      <c r="AV60" s="134" t="s">
        <v>41</v>
      </c>
      <c r="AW60" s="134" t="s">
        <v>41</v>
      </c>
      <c r="AX60" s="134" t="s">
        <v>41</v>
      </c>
      <c r="AY60" s="134" t="s">
        <v>41</v>
      </c>
      <c r="AZ60" s="166">
        <v>0.7</v>
      </c>
      <c r="BA60" s="134" t="s">
        <v>41</v>
      </c>
      <c r="BB60" s="134" t="s">
        <v>41</v>
      </c>
      <c r="BC60" s="134" t="s">
        <v>41</v>
      </c>
      <c r="BD60" s="134" t="s">
        <v>41</v>
      </c>
      <c r="BE60" s="166">
        <v>0.69</v>
      </c>
      <c r="BF60" s="134" t="s">
        <v>41</v>
      </c>
      <c r="BG60" s="134" t="s">
        <v>41</v>
      </c>
      <c r="BH60" s="134" t="s">
        <v>41</v>
      </c>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5" customFormat="1" ht="13.5" customHeight="1">
      <c r="A61" s="67" t="s">
        <v>153</v>
      </c>
      <c r="B61" s="165" t="s">
        <v>41</v>
      </c>
      <c r="C61" s="38"/>
      <c r="D61" s="38"/>
      <c r="E61" s="38"/>
      <c r="F61" s="38"/>
      <c r="G61" s="165" t="s">
        <v>41</v>
      </c>
      <c r="H61" s="38"/>
      <c r="I61" s="38"/>
      <c r="J61" s="38"/>
      <c r="K61" s="38"/>
      <c r="L61" s="166">
        <v>0.72</v>
      </c>
      <c r="M61" s="166"/>
      <c r="N61" s="166"/>
      <c r="O61" s="166"/>
      <c r="P61" s="166"/>
      <c r="Q61" s="166">
        <v>0.65</v>
      </c>
      <c r="R61" s="166"/>
      <c r="S61" s="166"/>
      <c r="T61" s="166"/>
      <c r="U61" s="166"/>
      <c r="V61" s="166">
        <v>0.63</v>
      </c>
      <c r="W61" s="166"/>
      <c r="X61" s="166"/>
      <c r="Y61" s="166"/>
      <c r="Z61" s="166"/>
      <c r="AA61" s="166">
        <v>0.59</v>
      </c>
      <c r="AB61" s="166"/>
      <c r="AC61" s="166"/>
      <c r="AD61" s="166"/>
      <c r="AE61" s="166"/>
      <c r="AF61" s="166">
        <v>0.56999999999999995</v>
      </c>
      <c r="AG61" s="134" t="s">
        <v>41</v>
      </c>
      <c r="AH61" s="134" t="s">
        <v>41</v>
      </c>
      <c r="AI61" s="134" t="s">
        <v>41</v>
      </c>
      <c r="AJ61" s="134" t="s">
        <v>41</v>
      </c>
      <c r="AK61" s="166">
        <v>0.56000000000000005</v>
      </c>
      <c r="AL61" s="134" t="s">
        <v>41</v>
      </c>
      <c r="AM61" s="134" t="s">
        <v>41</v>
      </c>
      <c r="AN61" s="134" t="s">
        <v>41</v>
      </c>
      <c r="AO61" s="134" t="s">
        <v>41</v>
      </c>
      <c r="AP61" s="166">
        <v>0.56000000000000005</v>
      </c>
      <c r="AQ61" s="134" t="s">
        <v>41</v>
      </c>
      <c r="AR61" s="134" t="s">
        <v>41</v>
      </c>
      <c r="AS61" s="134" t="s">
        <v>41</v>
      </c>
      <c r="AT61" s="134" t="s">
        <v>41</v>
      </c>
      <c r="AU61" s="166">
        <v>0.55000000000000004</v>
      </c>
      <c r="AV61" s="134" t="s">
        <v>41</v>
      </c>
      <c r="AW61" s="134" t="s">
        <v>41</v>
      </c>
      <c r="AX61" s="134" t="s">
        <v>41</v>
      </c>
      <c r="AY61" s="134" t="s">
        <v>41</v>
      </c>
      <c r="AZ61" s="166">
        <v>0.53</v>
      </c>
      <c r="BA61" s="134" t="s">
        <v>41</v>
      </c>
      <c r="BB61" s="134" t="s">
        <v>41</v>
      </c>
      <c r="BC61" s="134" t="s">
        <v>41</v>
      </c>
      <c r="BD61" s="134" t="s">
        <v>41</v>
      </c>
      <c r="BE61" s="166">
        <v>0.52</v>
      </c>
      <c r="BF61" s="134" t="s">
        <v>41</v>
      </c>
      <c r="BG61" s="134" t="s">
        <v>41</v>
      </c>
      <c r="BH61" s="134" t="s">
        <v>41</v>
      </c>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5" customFormat="1" ht="14.25" customHeight="1">
      <c r="A62" s="67" t="s">
        <v>156</v>
      </c>
      <c r="B62" s="165" t="s">
        <v>41</v>
      </c>
      <c r="C62" s="38"/>
      <c r="D62" s="38"/>
      <c r="E62" s="38"/>
      <c r="F62" s="38"/>
      <c r="G62" s="165" t="s">
        <v>41</v>
      </c>
      <c r="H62" s="38"/>
      <c r="I62" s="38"/>
      <c r="J62" s="38"/>
      <c r="K62" s="38"/>
      <c r="L62" s="166">
        <v>0.82</v>
      </c>
      <c r="M62" s="166"/>
      <c r="N62" s="166"/>
      <c r="O62" s="166"/>
      <c r="P62" s="166"/>
      <c r="Q62" s="166">
        <v>0.78</v>
      </c>
      <c r="R62" s="166"/>
      <c r="S62" s="166"/>
      <c r="T62" s="166"/>
      <c r="U62" s="166"/>
      <c r="V62" s="166">
        <v>0.76</v>
      </c>
      <c r="W62" s="166"/>
      <c r="X62" s="166"/>
      <c r="Y62" s="166"/>
      <c r="Z62" s="166"/>
      <c r="AA62" s="166">
        <v>0.75</v>
      </c>
      <c r="AB62" s="166"/>
      <c r="AC62" s="166"/>
      <c r="AD62" s="166"/>
      <c r="AE62" s="166"/>
      <c r="AF62" s="166">
        <v>0.74</v>
      </c>
      <c r="AG62" s="134" t="s">
        <v>41</v>
      </c>
      <c r="AH62" s="134" t="s">
        <v>41</v>
      </c>
      <c r="AI62" s="134" t="s">
        <v>41</v>
      </c>
      <c r="AJ62" s="134" t="s">
        <v>41</v>
      </c>
      <c r="AK62" s="166">
        <v>0.74</v>
      </c>
      <c r="AL62" s="134" t="s">
        <v>41</v>
      </c>
      <c r="AM62" s="134" t="s">
        <v>41</v>
      </c>
      <c r="AN62" s="134" t="s">
        <v>41</v>
      </c>
      <c r="AO62" s="134" t="s">
        <v>41</v>
      </c>
      <c r="AP62" s="166">
        <v>0.74</v>
      </c>
      <c r="AQ62" s="134" t="s">
        <v>41</v>
      </c>
      <c r="AR62" s="134" t="s">
        <v>41</v>
      </c>
      <c r="AS62" s="134" t="s">
        <v>41</v>
      </c>
      <c r="AT62" s="134" t="s">
        <v>41</v>
      </c>
      <c r="AU62" s="166">
        <v>0.73</v>
      </c>
      <c r="AV62" s="134" t="s">
        <v>41</v>
      </c>
      <c r="AW62" s="134" t="s">
        <v>41</v>
      </c>
      <c r="AX62" s="134" t="s">
        <v>41</v>
      </c>
      <c r="AY62" s="134" t="s">
        <v>41</v>
      </c>
      <c r="AZ62" s="166">
        <v>0.72</v>
      </c>
      <c r="BA62" s="134" t="s">
        <v>41</v>
      </c>
      <c r="BB62" s="134" t="s">
        <v>41</v>
      </c>
      <c r="BC62" s="134" t="s">
        <v>41</v>
      </c>
      <c r="BD62" s="134" t="s">
        <v>41</v>
      </c>
      <c r="BE62" s="166">
        <v>0.71</v>
      </c>
      <c r="BF62" s="134" t="s">
        <v>41</v>
      </c>
      <c r="BG62" s="134" t="s">
        <v>41</v>
      </c>
      <c r="BH62" s="134" t="s">
        <v>41</v>
      </c>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5" customFormat="1" ht="3.75" customHeight="1">
      <c r="A63" s="43"/>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5" customFormat="1" ht="11.25" customHeight="1">
      <c r="A64" s="9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5" customFormat="1" ht="4.5" customHeight="1">
      <c r="A65" s="43"/>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ht="21">
      <c r="A66" s="34" t="s">
        <v>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row>
    <row r="67" spans="1:202" s="42" customFormat="1">
      <c r="A67" s="39" t="s">
        <v>25</v>
      </c>
      <c r="B67" s="93"/>
      <c r="C67" s="41"/>
      <c r="D67" s="41"/>
      <c r="E67" s="41"/>
      <c r="F67" s="41"/>
      <c r="G67" s="40"/>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33" customFormat="1">
      <c r="A68" s="67"/>
      <c r="B68" s="28"/>
      <c r="C68" s="67"/>
      <c r="D68" s="67"/>
      <c r="E68" s="67"/>
      <c r="F68" s="67"/>
      <c r="G68" s="28"/>
      <c r="H68" s="67"/>
      <c r="I68" s="67"/>
      <c r="J68" s="67"/>
      <c r="K68" s="67"/>
      <c r="L68" s="20"/>
      <c r="M68" s="67"/>
      <c r="N68" s="67"/>
      <c r="O68" s="67"/>
      <c r="P68" s="67"/>
      <c r="Q68" s="20"/>
      <c r="R68" s="67"/>
      <c r="S68" s="67"/>
      <c r="T68" s="67"/>
      <c r="U68" s="67"/>
      <c r="V68" s="20"/>
      <c r="W68" s="67"/>
      <c r="X68" s="67"/>
      <c r="Y68" s="67"/>
      <c r="Z68" s="67"/>
      <c r="AA68" s="20"/>
      <c r="AB68" s="67"/>
      <c r="AC68" s="67"/>
      <c r="AD68" s="67"/>
      <c r="AE68" s="67"/>
      <c r="AF68" s="20"/>
      <c r="AG68" s="67"/>
      <c r="AH68" s="67"/>
      <c r="AI68" s="67"/>
      <c r="AJ68" s="67"/>
      <c r="AK68" s="20"/>
      <c r="AL68" s="67"/>
      <c r="AM68" s="67"/>
      <c r="AN68" s="67"/>
      <c r="AO68" s="67"/>
      <c r="AP68" s="20"/>
      <c r="AQ68" s="67"/>
      <c r="AR68" s="67"/>
      <c r="AS68" s="67"/>
      <c r="AT68" s="67"/>
      <c r="AU68" s="20"/>
      <c r="AV68" s="219"/>
      <c r="AW68" s="219"/>
      <c r="AX68" s="219"/>
      <c r="AY68" s="219"/>
      <c r="AZ68" s="26"/>
      <c r="BA68" s="219"/>
      <c r="BB68" s="219"/>
      <c r="BC68" s="219"/>
      <c r="BD68" s="219"/>
      <c r="BE68" s="26"/>
      <c r="BF68" s="219"/>
      <c r="BG68" s="219"/>
      <c r="BH68" s="219"/>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row>
    <row r="69" spans="1:202" s="2" customFormat="1">
      <c r="A69" s="67" t="s">
        <v>276</v>
      </c>
      <c r="B69" s="37">
        <v>2622</v>
      </c>
      <c r="C69" s="68">
        <v>2595</v>
      </c>
      <c r="D69" s="68">
        <v>2636</v>
      </c>
      <c r="E69" s="68">
        <v>2698</v>
      </c>
      <c r="F69" s="68">
        <v>2649</v>
      </c>
      <c r="G69" s="37">
        <v>2649</v>
      </c>
      <c r="H69" s="68">
        <v>2669</v>
      </c>
      <c r="I69" s="68">
        <v>2694</v>
      </c>
      <c r="J69" s="68">
        <v>2721</v>
      </c>
      <c r="K69" s="68">
        <f>L69</f>
        <v>2766</v>
      </c>
      <c r="L69" s="89">
        <v>2766</v>
      </c>
      <c r="M69" s="68">
        <v>2789</v>
      </c>
      <c r="N69" s="68">
        <v>2807</v>
      </c>
      <c r="O69" s="68">
        <v>2825</v>
      </c>
      <c r="P69" s="68">
        <f>Q69</f>
        <v>2857</v>
      </c>
      <c r="Q69" s="89">
        <v>2857</v>
      </c>
      <c r="R69" s="68">
        <v>2861</v>
      </c>
      <c r="S69" s="68">
        <v>2827</v>
      </c>
      <c r="T69" s="68">
        <v>2842</v>
      </c>
      <c r="U69" s="68">
        <v>2847</v>
      </c>
      <c r="V69" s="89">
        <v>2847</v>
      </c>
      <c r="W69" s="68">
        <v>2876</v>
      </c>
      <c r="X69" s="68">
        <v>2859</v>
      </c>
      <c r="Y69" s="68">
        <v>2839</v>
      </c>
      <c r="Z69" s="68">
        <v>2800</v>
      </c>
      <c r="AA69" s="89">
        <v>2800</v>
      </c>
      <c r="AB69" s="68">
        <v>2741</v>
      </c>
      <c r="AC69" s="68">
        <v>2702</v>
      </c>
      <c r="AD69" s="68">
        <v>2683</v>
      </c>
      <c r="AE69" s="68">
        <v>2642</v>
      </c>
      <c r="AF69" s="89">
        <v>2642</v>
      </c>
      <c r="AG69" s="68">
        <v>2631</v>
      </c>
      <c r="AH69" s="68">
        <v>2610</v>
      </c>
      <c r="AI69" s="68">
        <v>2600</v>
      </c>
      <c r="AJ69" s="68">
        <v>2586</v>
      </c>
      <c r="AK69" s="89">
        <v>2586</v>
      </c>
      <c r="AL69" s="68">
        <v>2565</v>
      </c>
      <c r="AM69" s="68">
        <v>2566</v>
      </c>
      <c r="AN69" s="68">
        <v>2569</v>
      </c>
      <c r="AO69" s="68">
        <v>2651</v>
      </c>
      <c r="AP69" s="89">
        <v>2651</v>
      </c>
      <c r="AQ69" s="68">
        <v>2692</v>
      </c>
      <c r="AR69" s="68">
        <v>2260</v>
      </c>
      <c r="AS69" s="68">
        <v>2348</v>
      </c>
      <c r="AT69" s="68">
        <v>2402</v>
      </c>
      <c r="AU69" s="89">
        <v>2402</v>
      </c>
      <c r="AV69" s="68">
        <v>2430</v>
      </c>
      <c r="AW69" s="68">
        <v>2410</v>
      </c>
      <c r="AX69" s="68">
        <v>2475</v>
      </c>
      <c r="AY69" s="68">
        <v>2525</v>
      </c>
      <c r="AZ69" s="89">
        <v>2525</v>
      </c>
      <c r="BA69" s="68">
        <v>2546</v>
      </c>
      <c r="BB69" s="68">
        <v>2601</v>
      </c>
      <c r="BC69" s="68">
        <v>2185</v>
      </c>
      <c r="BD69" s="68">
        <v>2205</v>
      </c>
      <c r="BE69" s="89">
        <v>2205</v>
      </c>
      <c r="BF69" s="68">
        <v>2224</v>
      </c>
      <c r="BG69" s="68">
        <v>2263</v>
      </c>
      <c r="BH69" s="68">
        <v>2310</v>
      </c>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row>
    <row r="70" spans="1:202">
      <c r="A70" s="69" t="s">
        <v>7</v>
      </c>
      <c r="B70" s="23"/>
      <c r="C70" s="70"/>
      <c r="D70" s="70">
        <f>D69/C69-1</f>
        <v>1.579961464354529E-2</v>
      </c>
      <c r="E70" s="70">
        <f>E69/D69-1</f>
        <v>2.3520485584218598E-2</v>
      </c>
      <c r="F70" s="70">
        <f>F69/E69-1</f>
        <v>-1.8161601186063803E-2</v>
      </c>
      <c r="G70" s="23"/>
      <c r="H70" s="70">
        <f>H69/F69-1</f>
        <v>7.5500188750472486E-3</v>
      </c>
      <c r="I70" s="70">
        <f>I69/H69-1</f>
        <v>9.3668040464593982E-3</v>
      </c>
      <c r="J70" s="70">
        <f>J69/I69-1</f>
        <v>1.0022271714922093E-2</v>
      </c>
      <c r="K70" s="70">
        <f>K69/J69-1</f>
        <v>1.6538037486218293E-2</v>
      </c>
      <c r="L70" s="26"/>
      <c r="M70" s="70">
        <f>M69/K69-1</f>
        <v>8.315256688358641E-3</v>
      </c>
      <c r="N70" s="70">
        <f>N69/M69-1</f>
        <v>6.4539261384009006E-3</v>
      </c>
      <c r="O70" s="70">
        <f>O69/N69-1</f>
        <v>6.4125400783754394E-3</v>
      </c>
      <c r="P70" s="70">
        <f>P69/O69-1</f>
        <v>1.1327433628318673E-2</v>
      </c>
      <c r="Q70" s="26"/>
      <c r="R70" s="70">
        <f>R69/P69-1</f>
        <v>1.4000700035001756E-3</v>
      </c>
      <c r="S70" s="70">
        <f>S69/R69-1</f>
        <v>-1.1883956658511052E-2</v>
      </c>
      <c r="T70" s="70">
        <f>T69/S69-1</f>
        <v>5.3059780686239844E-3</v>
      </c>
      <c r="U70" s="70">
        <f>U69/T69-1</f>
        <v>1.7593244194229474E-3</v>
      </c>
      <c r="V70" s="26"/>
      <c r="W70" s="70">
        <v>1.0186160871092476E-2</v>
      </c>
      <c r="X70" s="70">
        <v>-5.9109874826147601E-3</v>
      </c>
      <c r="Y70" s="70">
        <v>-6.9954529555789069E-3</v>
      </c>
      <c r="Z70" s="70">
        <v>-1.3737231419513884E-2</v>
      </c>
      <c r="AA70" s="26"/>
      <c r="AB70" s="70">
        <v>-2.1071428571428519E-2</v>
      </c>
      <c r="AC70" s="70">
        <v>-1.4228383801532241E-2</v>
      </c>
      <c r="AD70" s="70">
        <v>-7.0318282753515371E-3</v>
      </c>
      <c r="AE70" s="70">
        <v>-1.5281401416325058E-2</v>
      </c>
      <c r="AF70" s="26"/>
      <c r="AG70" s="70">
        <v>-4.1635124905374798E-3</v>
      </c>
      <c r="AH70" s="70">
        <v>-7.9817559863170073E-3</v>
      </c>
      <c r="AI70" s="70">
        <v>-3.8314176245211051E-3</v>
      </c>
      <c r="AJ70" s="70">
        <v>-5.3846153846154321E-3</v>
      </c>
      <c r="AK70" s="26"/>
      <c r="AL70" s="70">
        <v>-8.1206496519721227E-3</v>
      </c>
      <c r="AM70" s="70">
        <v>3.898635477583845E-4</v>
      </c>
      <c r="AN70" s="70">
        <v>1.1691348402182999E-3</v>
      </c>
      <c r="AO70" s="70">
        <v>3.191903464383028E-2</v>
      </c>
      <c r="AP70" s="26"/>
      <c r="AQ70" s="70">
        <v>1.546586193889099E-2</v>
      </c>
      <c r="AR70" s="70">
        <v>-0.16047548291233282</v>
      </c>
      <c r="AS70" s="70">
        <v>3.8938053097345104E-2</v>
      </c>
      <c r="AT70" s="70">
        <v>2.2998296422487297E-2</v>
      </c>
      <c r="AU70" s="26"/>
      <c r="AV70" s="70">
        <v>1.1656952539550458E-2</v>
      </c>
      <c r="AW70" s="70">
        <v>-8.2304526748970819E-3</v>
      </c>
      <c r="AX70" s="70">
        <v>2.6970954356846377E-2</v>
      </c>
      <c r="AY70" s="70">
        <v>2.020202020202011E-2</v>
      </c>
      <c r="AZ70" s="26"/>
      <c r="BA70" s="70">
        <v>8.3168316831683242E-3</v>
      </c>
      <c r="BB70" s="70">
        <v>2.1602513747054131E-2</v>
      </c>
      <c r="BC70" s="70">
        <v>-0.1599384851980008</v>
      </c>
      <c r="BD70" s="70">
        <v>9.1533180778031742E-3</v>
      </c>
      <c r="BE70" s="26"/>
      <c r="BF70" s="70">
        <v>8.6167800453513799E-3</v>
      </c>
      <c r="BG70" s="70">
        <v>1.753597122302164E-2</v>
      </c>
      <c r="BH70" s="70">
        <v>2.0768890852850275E-2</v>
      </c>
    </row>
    <row r="71" spans="1:202">
      <c r="A71" s="69" t="s">
        <v>8</v>
      </c>
      <c r="B71" s="23"/>
      <c r="C71" s="71"/>
      <c r="D71" s="71"/>
      <c r="E71" s="71"/>
      <c r="F71" s="71"/>
      <c r="G71" s="23">
        <f t="shared" ref="G71:N71" si="28">G69/B69-1</f>
        <v>1.0297482837528626E-2</v>
      </c>
      <c r="H71" s="71">
        <f t="shared" si="28"/>
        <v>2.8516377649325575E-2</v>
      </c>
      <c r="I71" s="71">
        <f t="shared" si="28"/>
        <v>2.2003034901365792E-2</v>
      </c>
      <c r="J71" s="71">
        <f t="shared" si="28"/>
        <v>8.5248332097849211E-3</v>
      </c>
      <c r="K71" s="70">
        <f t="shared" si="28"/>
        <v>4.416761041902606E-2</v>
      </c>
      <c r="L71" s="23">
        <f t="shared" si="28"/>
        <v>4.416761041902606E-2</v>
      </c>
      <c r="M71" s="71">
        <f t="shared" si="28"/>
        <v>4.4960659423004978E-2</v>
      </c>
      <c r="N71" s="71">
        <f t="shared" si="28"/>
        <v>4.1945063103192348E-2</v>
      </c>
      <c r="O71" s="71">
        <f t="shared" ref="O71:U71" si="29">O69/J69-1</f>
        <v>3.8221242190371152E-2</v>
      </c>
      <c r="P71" s="70">
        <f t="shared" si="29"/>
        <v>3.2899493853940642E-2</v>
      </c>
      <c r="Q71" s="23">
        <f t="shared" si="29"/>
        <v>3.2899493853940642E-2</v>
      </c>
      <c r="R71" s="71">
        <f t="shared" si="29"/>
        <v>2.581570455360338E-2</v>
      </c>
      <c r="S71" s="71">
        <f t="shared" si="29"/>
        <v>7.1250445315282906E-3</v>
      </c>
      <c r="T71" s="71">
        <f t="shared" si="29"/>
        <v>6.0176991150442394E-3</v>
      </c>
      <c r="U71" s="70">
        <f t="shared" si="29"/>
        <v>-3.5001750087504391E-3</v>
      </c>
      <c r="V71" s="23">
        <v>-3.5001750087504391E-3</v>
      </c>
      <c r="W71" s="71">
        <v>5.2429220552254741E-3</v>
      </c>
      <c r="X71" s="71">
        <v>1.1319419879731063E-2</v>
      </c>
      <c r="Y71" s="71">
        <v>-1.055594651653724E-3</v>
      </c>
      <c r="Z71" s="70">
        <v>-1.6508605549701461E-2</v>
      </c>
      <c r="AA71" s="23">
        <v>-1.6508605549701461E-2</v>
      </c>
      <c r="AB71" s="71">
        <v>-4.6940194714881756E-2</v>
      </c>
      <c r="AC71" s="71">
        <v>-5.4914305701294186E-2</v>
      </c>
      <c r="AD71" s="71">
        <v>-5.4948925678055649E-2</v>
      </c>
      <c r="AE71" s="70">
        <v>-5.6428571428571384E-2</v>
      </c>
      <c r="AF71" s="23">
        <v>-5.6428571428571384E-2</v>
      </c>
      <c r="AG71" s="71">
        <v>-4.013133892739873E-2</v>
      </c>
      <c r="AH71" s="71">
        <v>-3.4048852701702437E-2</v>
      </c>
      <c r="AI71" s="71">
        <v>-3.0935519940365253E-2</v>
      </c>
      <c r="AJ71" s="70">
        <v>-2.1196063588190817E-2</v>
      </c>
      <c r="AK71" s="23">
        <v>-2.1196063588190817E-2</v>
      </c>
      <c r="AL71" s="71">
        <v>-2.5085518814139118E-2</v>
      </c>
      <c r="AM71" s="71">
        <v>-1.6858237547892729E-2</v>
      </c>
      <c r="AN71" s="71">
        <v>-1.1923076923076925E-2</v>
      </c>
      <c r="AO71" s="70">
        <v>2.5135344160866158E-2</v>
      </c>
      <c r="AP71" s="23">
        <v>2.5135344160866158E-2</v>
      </c>
      <c r="AQ71" s="71">
        <v>4.9512670565302175E-2</v>
      </c>
      <c r="AR71" s="71">
        <v>-0.11925175370226038</v>
      </c>
      <c r="AS71" s="71">
        <v>-8.6025690930323084E-2</v>
      </c>
      <c r="AT71" s="70">
        <v>-9.3926820067898875E-2</v>
      </c>
      <c r="AU71" s="23">
        <v>-9.3926820067898875E-2</v>
      </c>
      <c r="AV71" s="71">
        <v>-9.7325408618127773E-2</v>
      </c>
      <c r="AW71" s="71">
        <v>6.6371681415929196E-2</v>
      </c>
      <c r="AX71" s="71">
        <v>5.4088586030664354E-2</v>
      </c>
      <c r="AY71" s="70">
        <v>5.1207327227310584E-2</v>
      </c>
      <c r="AZ71" s="23">
        <v>5.1207327227310584E-2</v>
      </c>
      <c r="BA71" s="71">
        <v>4.7736625514403386E-2</v>
      </c>
      <c r="BB71" s="71">
        <v>7.9253112033194961E-2</v>
      </c>
      <c r="BC71" s="71">
        <v>-0.11717171717171715</v>
      </c>
      <c r="BD71" s="70">
        <v>-0.12673267326732673</v>
      </c>
      <c r="BE71" s="23">
        <v>-0.12673267326732673</v>
      </c>
      <c r="BF71" s="71">
        <v>-0.1264728986645719</v>
      </c>
      <c r="BG71" s="71">
        <v>-0.12995001922337568</v>
      </c>
      <c r="BH71" s="71">
        <v>5.720823798626995E-2</v>
      </c>
    </row>
    <row r="72" spans="1:202">
      <c r="A72" s="69" t="s">
        <v>205</v>
      </c>
      <c r="B72" s="23"/>
      <c r="C72" s="71"/>
      <c r="D72" s="71"/>
      <c r="E72" s="71"/>
      <c r="F72" s="71"/>
      <c r="G72" s="23"/>
      <c r="H72" s="71"/>
      <c r="I72" s="71"/>
      <c r="J72" s="71"/>
      <c r="K72" s="70"/>
      <c r="L72" s="23"/>
      <c r="M72" s="71"/>
      <c r="N72" s="71"/>
      <c r="O72" s="71"/>
      <c r="P72" s="70"/>
      <c r="Q72" s="196">
        <f>Q69-L69</f>
        <v>91</v>
      </c>
      <c r="R72" s="71"/>
      <c r="S72" s="71"/>
      <c r="T72" s="71"/>
      <c r="U72" s="70"/>
      <c r="V72" s="196">
        <v>-10</v>
      </c>
      <c r="W72" s="71"/>
      <c r="X72" s="71"/>
      <c r="Y72" s="71"/>
      <c r="Z72" s="70"/>
      <c r="AA72" s="196">
        <v>-47</v>
      </c>
      <c r="AB72" s="71"/>
      <c r="AC72" s="71"/>
      <c r="AD72" s="71"/>
      <c r="AE72" s="70"/>
      <c r="AF72" s="196">
        <v>-158</v>
      </c>
      <c r="AG72" s="71"/>
      <c r="AH72" s="71"/>
      <c r="AI72" s="71"/>
      <c r="AJ72" s="70"/>
      <c r="AK72" s="196">
        <v>-56</v>
      </c>
      <c r="AL72" s="71"/>
      <c r="AM72" s="193">
        <v>1</v>
      </c>
      <c r="AN72" s="193">
        <v>3</v>
      </c>
      <c r="AO72" s="193">
        <v>82</v>
      </c>
      <c r="AP72" s="196">
        <v>65</v>
      </c>
      <c r="AQ72" s="195">
        <v>41</v>
      </c>
      <c r="AR72" s="195">
        <v>-432</v>
      </c>
      <c r="AS72" s="195">
        <v>88</v>
      </c>
      <c r="AT72" s="195">
        <v>54</v>
      </c>
      <c r="AU72" s="196">
        <v>-249</v>
      </c>
      <c r="AV72" s="195">
        <v>28</v>
      </c>
      <c r="AW72" s="195">
        <v>-20</v>
      </c>
      <c r="AX72" s="195">
        <v>65</v>
      </c>
      <c r="AY72" s="195">
        <v>50</v>
      </c>
      <c r="AZ72" s="196">
        <v>123</v>
      </c>
      <c r="BA72" s="195">
        <v>21</v>
      </c>
      <c r="BB72" s="195">
        <v>55</v>
      </c>
      <c r="BC72" s="195">
        <v>-416</v>
      </c>
      <c r="BD72" s="195">
        <v>20</v>
      </c>
      <c r="BE72" s="196">
        <v>-320</v>
      </c>
      <c r="BF72" s="195">
        <v>19</v>
      </c>
      <c r="BG72" s="195">
        <v>39</v>
      </c>
      <c r="BH72" s="195">
        <v>47</v>
      </c>
    </row>
    <row r="73" spans="1:202" ht="4.2" customHeight="1">
      <c r="A73" s="69"/>
      <c r="B73" s="23"/>
      <c r="C73" s="71"/>
      <c r="D73" s="71"/>
      <c r="E73" s="71"/>
      <c r="F73" s="71"/>
      <c r="G73" s="23"/>
      <c r="H73" s="71"/>
      <c r="I73" s="71"/>
      <c r="J73" s="71"/>
      <c r="K73" s="70"/>
      <c r="L73" s="23"/>
      <c r="M73" s="71"/>
      <c r="N73" s="71"/>
      <c r="O73" s="71"/>
      <c r="P73" s="70"/>
      <c r="Q73" s="23"/>
      <c r="R73" s="71"/>
      <c r="S73" s="71"/>
      <c r="T73" s="71"/>
      <c r="U73" s="70"/>
      <c r="V73" s="23"/>
      <c r="W73" s="71"/>
      <c r="X73" s="71"/>
      <c r="Y73" s="71"/>
      <c r="Z73" s="70"/>
      <c r="AA73" s="23"/>
      <c r="AB73" s="71"/>
      <c r="AC73" s="71"/>
      <c r="AD73" s="71"/>
      <c r="AE73" s="70"/>
      <c r="AF73" s="23"/>
      <c r="AG73" s="71"/>
      <c r="AH73" s="71"/>
      <c r="AI73" s="71"/>
      <c r="AJ73" s="70"/>
      <c r="AK73" s="23"/>
      <c r="AL73" s="71"/>
      <c r="AM73" s="193"/>
      <c r="AN73" s="193"/>
      <c r="AO73" s="193"/>
      <c r="AP73" s="194"/>
      <c r="AQ73" s="195"/>
      <c r="AR73" s="195"/>
      <c r="AS73" s="195"/>
      <c r="AT73" s="195"/>
      <c r="AU73" s="196"/>
      <c r="AV73" s="195"/>
      <c r="AW73" s="195"/>
      <c r="AX73" s="195"/>
      <c r="AY73" s="195"/>
      <c r="AZ73" s="196"/>
      <c r="BA73" s="195"/>
      <c r="BB73" s="195"/>
      <c r="BC73" s="195"/>
      <c r="BD73" s="195"/>
      <c r="BE73" s="196"/>
      <c r="BF73" s="195"/>
      <c r="BG73" s="195"/>
      <c r="BH73" s="195"/>
    </row>
    <row r="74" spans="1:202">
      <c r="A74" s="67" t="s">
        <v>277</v>
      </c>
      <c r="B74" s="98" t="s">
        <v>41</v>
      </c>
      <c r="C74" s="78" t="s">
        <v>49</v>
      </c>
      <c r="D74" s="78" t="s">
        <v>49</v>
      </c>
      <c r="E74" s="78" t="s">
        <v>49</v>
      </c>
      <c r="F74" s="78" t="s">
        <v>49</v>
      </c>
      <c r="G74" s="98" t="s">
        <v>41</v>
      </c>
      <c r="H74" s="78" t="s">
        <v>49</v>
      </c>
      <c r="I74" s="78" t="s">
        <v>49</v>
      </c>
      <c r="J74" s="78" t="s">
        <v>49</v>
      </c>
      <c r="K74" s="78" t="s">
        <v>49</v>
      </c>
      <c r="L74" s="98" t="s">
        <v>41</v>
      </c>
      <c r="M74" s="78" t="s">
        <v>49</v>
      </c>
      <c r="N74" s="78" t="s">
        <v>49</v>
      </c>
      <c r="O74" s="78" t="s">
        <v>49</v>
      </c>
      <c r="P74" s="78" t="s">
        <v>49</v>
      </c>
      <c r="Q74" s="98" t="s">
        <v>41</v>
      </c>
      <c r="R74" s="78" t="s">
        <v>49</v>
      </c>
      <c r="S74" s="78" t="s">
        <v>49</v>
      </c>
      <c r="T74" s="78" t="s">
        <v>49</v>
      </c>
      <c r="U74" s="78" t="s">
        <v>49</v>
      </c>
      <c r="V74" s="98" t="s">
        <v>41</v>
      </c>
      <c r="W74" s="78" t="s">
        <v>49</v>
      </c>
      <c r="X74" s="78" t="s">
        <v>49</v>
      </c>
      <c r="Y74" s="78" t="s">
        <v>49</v>
      </c>
      <c r="Z74" s="78" t="s">
        <v>49</v>
      </c>
      <c r="AA74" s="98" t="s">
        <v>41</v>
      </c>
      <c r="AB74" s="78" t="s">
        <v>49</v>
      </c>
      <c r="AC74" s="78" t="s">
        <v>49</v>
      </c>
      <c r="AD74" s="78" t="s">
        <v>49</v>
      </c>
      <c r="AE74" s="78" t="s">
        <v>49</v>
      </c>
      <c r="AF74" s="98" t="s">
        <v>41</v>
      </c>
      <c r="AG74" s="78" t="s">
        <v>49</v>
      </c>
      <c r="AH74" s="78" t="s">
        <v>49</v>
      </c>
      <c r="AI74" s="78" t="s">
        <v>49</v>
      </c>
      <c r="AJ74" s="68">
        <v>1750</v>
      </c>
      <c r="AK74" s="89">
        <v>1750</v>
      </c>
      <c r="AL74" s="78" t="s">
        <v>49</v>
      </c>
      <c r="AM74" s="78" t="s">
        <v>49</v>
      </c>
      <c r="AN74" s="78" t="s">
        <v>49</v>
      </c>
      <c r="AO74" s="68">
        <v>1726</v>
      </c>
      <c r="AP74" s="89">
        <v>1726</v>
      </c>
      <c r="AQ74" s="78" t="s">
        <v>49</v>
      </c>
      <c r="AR74" s="78" t="s">
        <v>49</v>
      </c>
      <c r="AS74" s="78" t="s">
        <v>49</v>
      </c>
      <c r="AT74" s="68">
        <v>1669</v>
      </c>
      <c r="AU74" s="89">
        <v>1669</v>
      </c>
      <c r="AV74" s="68">
        <v>1659</v>
      </c>
      <c r="AW74" s="68">
        <v>1663</v>
      </c>
      <c r="AX74" s="68">
        <v>1697</v>
      </c>
      <c r="AY74" s="68">
        <v>1729</v>
      </c>
      <c r="AZ74" s="89">
        <v>1729</v>
      </c>
      <c r="BA74" s="68">
        <v>1760</v>
      </c>
      <c r="BB74" s="68">
        <v>1800</v>
      </c>
      <c r="BC74" s="68">
        <v>1817</v>
      </c>
      <c r="BD74" s="68">
        <v>1831</v>
      </c>
      <c r="BE74" s="89">
        <v>1831</v>
      </c>
      <c r="BF74" s="68">
        <v>1842</v>
      </c>
      <c r="BG74" s="68">
        <v>1866</v>
      </c>
      <c r="BH74" s="68">
        <v>1895</v>
      </c>
    </row>
    <row r="75" spans="1:202">
      <c r="A75" s="69" t="s">
        <v>7</v>
      </c>
      <c r="B75" s="23"/>
      <c r="C75" s="71"/>
      <c r="D75" s="71"/>
      <c r="E75" s="71"/>
      <c r="F75" s="71"/>
      <c r="G75" s="23"/>
      <c r="H75" s="71"/>
      <c r="I75" s="71"/>
      <c r="J75" s="71"/>
      <c r="K75" s="70"/>
      <c r="L75" s="23"/>
      <c r="M75" s="71"/>
      <c r="N75" s="71"/>
      <c r="O75" s="71"/>
      <c r="P75" s="70"/>
      <c r="Q75" s="23"/>
      <c r="R75" s="71"/>
      <c r="S75" s="71"/>
      <c r="T75" s="71"/>
      <c r="U75" s="70"/>
      <c r="V75" s="23"/>
      <c r="W75" s="71"/>
      <c r="X75" s="71"/>
      <c r="Y75" s="71"/>
      <c r="Z75" s="70"/>
      <c r="AA75" s="23"/>
      <c r="AB75" s="71"/>
      <c r="AC75" s="71"/>
      <c r="AD75" s="71"/>
      <c r="AE75" s="70"/>
      <c r="AF75" s="23"/>
      <c r="AG75" s="71"/>
      <c r="AH75" s="71"/>
      <c r="AI75" s="71"/>
      <c r="AJ75" s="70"/>
      <c r="AK75" s="23"/>
      <c r="AL75" s="70"/>
      <c r="AM75" s="70"/>
      <c r="AN75" s="70"/>
      <c r="AO75" s="70"/>
      <c r="AP75" s="23"/>
      <c r="AQ75" s="71"/>
      <c r="AR75" s="71"/>
      <c r="AS75" s="71"/>
      <c r="AT75" s="70"/>
      <c r="AU75" s="23"/>
      <c r="AV75" s="70">
        <v>-5.9916117435589999E-3</v>
      </c>
      <c r="AW75" s="70">
        <v>2.4110910186858625E-3</v>
      </c>
      <c r="AX75" s="70">
        <v>2.0444978953698234E-2</v>
      </c>
      <c r="AY75" s="70">
        <v>1.8856806128461967E-2</v>
      </c>
      <c r="AZ75" s="23"/>
      <c r="BA75" s="70">
        <v>1.7929438982070556E-2</v>
      </c>
      <c r="BB75" s="70">
        <v>2.2727272727272707E-2</v>
      </c>
      <c r="BC75" s="70">
        <v>9.4444444444443665E-3</v>
      </c>
      <c r="BD75" s="70">
        <v>7.7050082553660193E-3</v>
      </c>
      <c r="BE75" s="23"/>
      <c r="BF75" s="70">
        <v>6.007646095030017E-3</v>
      </c>
      <c r="BG75" s="70">
        <v>1.3029315960912058E-2</v>
      </c>
      <c r="BH75" s="70">
        <v>1.5541264737406246E-2</v>
      </c>
    </row>
    <row r="76" spans="1:202">
      <c r="A76" s="69" t="s">
        <v>8</v>
      </c>
      <c r="B76" s="23"/>
      <c r="C76" s="71"/>
      <c r="D76" s="71"/>
      <c r="E76" s="71"/>
      <c r="F76" s="71"/>
      <c r="G76" s="23"/>
      <c r="H76" s="71"/>
      <c r="I76" s="71"/>
      <c r="J76" s="71"/>
      <c r="K76" s="70"/>
      <c r="L76" s="23"/>
      <c r="M76" s="71"/>
      <c r="N76" s="71"/>
      <c r="O76" s="71"/>
      <c r="P76" s="70"/>
      <c r="Q76" s="23"/>
      <c r="R76" s="71"/>
      <c r="S76" s="71"/>
      <c r="T76" s="71"/>
      <c r="U76" s="70"/>
      <c r="V76" s="23"/>
      <c r="W76" s="71"/>
      <c r="X76" s="71"/>
      <c r="Y76" s="71"/>
      <c r="Z76" s="70"/>
      <c r="AA76" s="23"/>
      <c r="AB76" s="71"/>
      <c r="AC76" s="71"/>
      <c r="AD76" s="71"/>
      <c r="AE76" s="70"/>
      <c r="AF76" s="23"/>
      <c r="AG76" s="71"/>
      <c r="AH76" s="71"/>
      <c r="AI76" s="71"/>
      <c r="AJ76" s="70"/>
      <c r="AK76" s="23"/>
      <c r="AL76" s="71"/>
      <c r="AM76" s="71"/>
      <c r="AN76" s="71"/>
      <c r="AO76" s="70">
        <v>-1.3714285714285679E-2</v>
      </c>
      <c r="AP76" s="23">
        <v>-1.3714285714285679E-2</v>
      </c>
      <c r="AQ76" s="71"/>
      <c r="AR76" s="71"/>
      <c r="AS76" s="71"/>
      <c r="AT76" s="70">
        <v>-3.3024333719582799E-2</v>
      </c>
      <c r="AU76" s="23">
        <v>-3.3024333719582799E-2</v>
      </c>
      <c r="AV76" s="71"/>
      <c r="AW76" s="71"/>
      <c r="AX76" s="71"/>
      <c r="AY76" s="70">
        <v>3.5949670461354E-2</v>
      </c>
      <c r="AZ76" s="23"/>
      <c r="BA76" s="71">
        <v>6.088004822182036E-2</v>
      </c>
      <c r="BB76" s="71">
        <v>8.2381238725195427E-2</v>
      </c>
      <c r="BC76" s="71">
        <v>7.0713022981732543E-2</v>
      </c>
      <c r="BD76" s="70">
        <v>5.8993637941006316E-2</v>
      </c>
      <c r="BE76" s="23"/>
      <c r="BF76" s="71">
        <v>4.6590909090909127E-2</v>
      </c>
      <c r="BG76" s="71">
        <v>3.6666666666666625E-2</v>
      </c>
      <c r="BH76" s="71">
        <v>4.2927903137039092E-2</v>
      </c>
    </row>
    <row r="77" spans="1:202">
      <c r="A77" s="69" t="s">
        <v>205</v>
      </c>
      <c r="B77" s="23"/>
      <c r="C77" s="71"/>
      <c r="D77" s="71"/>
      <c r="E77" s="71"/>
      <c r="F77" s="71"/>
      <c r="G77" s="23"/>
      <c r="H77" s="71"/>
      <c r="I77" s="71"/>
      <c r="J77" s="71"/>
      <c r="K77" s="70"/>
      <c r="L77" s="23"/>
      <c r="M77" s="71"/>
      <c r="N77" s="71"/>
      <c r="O77" s="71"/>
      <c r="P77" s="70"/>
      <c r="Q77" s="23"/>
      <c r="R77" s="71"/>
      <c r="S77" s="71"/>
      <c r="T77" s="71"/>
      <c r="U77" s="70"/>
      <c r="V77" s="23"/>
      <c r="W77" s="71"/>
      <c r="X77" s="71"/>
      <c r="Y77" s="71"/>
      <c r="Z77" s="70"/>
      <c r="AA77" s="23"/>
      <c r="AB77" s="71"/>
      <c r="AC77" s="71"/>
      <c r="AD77" s="71"/>
      <c r="AE77" s="70"/>
      <c r="AF77" s="23"/>
      <c r="AG77" s="71"/>
      <c r="AH77" s="71"/>
      <c r="AI77" s="71"/>
      <c r="AJ77" s="70"/>
      <c r="AK77" s="196"/>
      <c r="AL77" s="71"/>
      <c r="AM77" s="193"/>
      <c r="AN77" s="193"/>
      <c r="AO77" s="193"/>
      <c r="AP77" s="196">
        <v>-24</v>
      </c>
      <c r="AQ77" s="195"/>
      <c r="AR77" s="195"/>
      <c r="AS77" s="195"/>
      <c r="AT77" s="195"/>
      <c r="AU77" s="196">
        <v>-57</v>
      </c>
      <c r="AV77" s="195">
        <v>-10</v>
      </c>
      <c r="AW77" s="195">
        <v>4</v>
      </c>
      <c r="AX77" s="195">
        <v>34</v>
      </c>
      <c r="AY77" s="195">
        <v>32</v>
      </c>
      <c r="AZ77" s="196">
        <v>60</v>
      </c>
      <c r="BA77" s="195">
        <v>31</v>
      </c>
      <c r="BB77" s="195">
        <v>40</v>
      </c>
      <c r="BC77" s="195">
        <v>17</v>
      </c>
      <c r="BD77" s="195">
        <v>14</v>
      </c>
      <c r="BE77" s="196">
        <v>102</v>
      </c>
      <c r="BF77" s="195">
        <v>11</v>
      </c>
      <c r="BG77" s="195">
        <v>24</v>
      </c>
      <c r="BH77" s="195">
        <v>29</v>
      </c>
    </row>
    <row r="78" spans="1:202" ht="8.4" customHeight="1">
      <c r="A78" s="69"/>
      <c r="B78" s="23"/>
      <c r="C78" s="71"/>
      <c r="D78" s="71"/>
      <c r="E78" s="71"/>
      <c r="F78" s="71"/>
      <c r="G78" s="23"/>
      <c r="H78" s="71"/>
      <c r="I78" s="71"/>
      <c r="J78" s="71"/>
      <c r="K78" s="70"/>
      <c r="L78" s="23"/>
      <c r="M78" s="71"/>
      <c r="N78" s="71"/>
      <c r="O78" s="71"/>
      <c r="P78" s="70"/>
      <c r="Q78" s="23"/>
      <c r="R78" s="71"/>
      <c r="S78" s="71"/>
      <c r="T78" s="71"/>
      <c r="U78" s="70"/>
      <c r="V78" s="23"/>
      <c r="W78" s="71"/>
      <c r="X78" s="71"/>
      <c r="Y78" s="71"/>
      <c r="Z78" s="70"/>
      <c r="AA78" s="23"/>
      <c r="AB78" s="71"/>
      <c r="AC78" s="71"/>
      <c r="AD78" s="71"/>
      <c r="AE78" s="70"/>
      <c r="AF78" s="23"/>
      <c r="AG78" s="71"/>
      <c r="AH78" s="71"/>
      <c r="AI78" s="71"/>
      <c r="AJ78" s="70"/>
      <c r="AK78" s="23"/>
      <c r="AL78" s="71"/>
      <c r="AM78" s="193"/>
      <c r="AN78" s="193"/>
      <c r="AO78" s="193"/>
      <c r="AP78" s="23"/>
      <c r="AQ78" s="195"/>
      <c r="AR78" s="195"/>
      <c r="AS78" s="195"/>
      <c r="AT78" s="195"/>
      <c r="AU78" s="196"/>
      <c r="AV78" s="195"/>
      <c r="AW78" s="195"/>
      <c r="AX78" s="195"/>
      <c r="AY78" s="195"/>
      <c r="AZ78" s="23"/>
      <c r="BA78" s="195"/>
      <c r="BB78" s="195"/>
      <c r="BC78" s="195"/>
      <c r="BD78" s="195"/>
      <c r="BE78" s="23"/>
      <c r="BF78" s="195"/>
      <c r="BG78" s="195"/>
      <c r="BH78" s="195"/>
    </row>
    <row r="79" spans="1:202">
      <c r="A79" s="67" t="s">
        <v>278</v>
      </c>
      <c r="B79" s="98" t="s">
        <v>41</v>
      </c>
      <c r="C79" s="78" t="s">
        <v>49</v>
      </c>
      <c r="D79" s="78" t="s">
        <v>49</v>
      </c>
      <c r="E79" s="78" t="s">
        <v>49</v>
      </c>
      <c r="F79" s="78" t="s">
        <v>49</v>
      </c>
      <c r="G79" s="98" t="s">
        <v>41</v>
      </c>
      <c r="H79" s="78" t="s">
        <v>49</v>
      </c>
      <c r="I79" s="78" t="s">
        <v>49</v>
      </c>
      <c r="J79" s="78" t="s">
        <v>49</v>
      </c>
      <c r="K79" s="78" t="s">
        <v>49</v>
      </c>
      <c r="L79" s="98" t="s">
        <v>41</v>
      </c>
      <c r="M79" s="78" t="s">
        <v>49</v>
      </c>
      <c r="N79" s="78" t="s">
        <v>49</v>
      </c>
      <c r="O79" s="78" t="s">
        <v>49</v>
      </c>
      <c r="P79" s="78" t="s">
        <v>49</v>
      </c>
      <c r="Q79" s="98" t="s">
        <v>41</v>
      </c>
      <c r="R79" s="78" t="s">
        <v>49</v>
      </c>
      <c r="S79" s="78" t="s">
        <v>49</v>
      </c>
      <c r="T79" s="78" t="s">
        <v>49</v>
      </c>
      <c r="U79" s="78" t="s">
        <v>49</v>
      </c>
      <c r="V79" s="98" t="s">
        <v>41</v>
      </c>
      <c r="W79" s="78" t="s">
        <v>49</v>
      </c>
      <c r="X79" s="78" t="s">
        <v>49</v>
      </c>
      <c r="Y79" s="78" t="s">
        <v>49</v>
      </c>
      <c r="Z79" s="78" t="s">
        <v>49</v>
      </c>
      <c r="AA79" s="98" t="s">
        <v>41</v>
      </c>
      <c r="AB79" s="78" t="s">
        <v>49</v>
      </c>
      <c r="AC79" s="78" t="s">
        <v>49</v>
      </c>
      <c r="AD79" s="78" t="s">
        <v>49</v>
      </c>
      <c r="AE79" s="78" t="s">
        <v>49</v>
      </c>
      <c r="AF79" s="98" t="s">
        <v>41</v>
      </c>
      <c r="AG79" s="78" t="s">
        <v>49</v>
      </c>
      <c r="AH79" s="78" t="s">
        <v>49</v>
      </c>
      <c r="AI79" s="78" t="s">
        <v>49</v>
      </c>
      <c r="AJ79" s="68">
        <v>836</v>
      </c>
      <c r="AK79" s="89">
        <v>836</v>
      </c>
      <c r="AL79" s="78" t="s">
        <v>49</v>
      </c>
      <c r="AM79" s="78" t="s">
        <v>49</v>
      </c>
      <c r="AN79" s="78" t="s">
        <v>49</v>
      </c>
      <c r="AO79" s="68">
        <v>925</v>
      </c>
      <c r="AP79" s="89">
        <v>925</v>
      </c>
      <c r="AQ79" s="78" t="s">
        <v>49</v>
      </c>
      <c r="AR79" s="78" t="s">
        <v>49</v>
      </c>
      <c r="AS79" s="78" t="s">
        <v>49</v>
      </c>
      <c r="AT79" s="68">
        <v>733</v>
      </c>
      <c r="AU79" s="89">
        <v>733</v>
      </c>
      <c r="AV79" s="68">
        <v>771</v>
      </c>
      <c r="AW79" s="68">
        <v>747</v>
      </c>
      <c r="AX79" s="68">
        <v>778</v>
      </c>
      <c r="AY79" s="68">
        <v>796</v>
      </c>
      <c r="AZ79" s="89">
        <v>796</v>
      </c>
      <c r="BA79" s="68">
        <v>786</v>
      </c>
      <c r="BB79" s="68">
        <v>801</v>
      </c>
      <c r="BC79" s="68">
        <v>368</v>
      </c>
      <c r="BD79" s="68">
        <v>374</v>
      </c>
      <c r="BE79" s="89">
        <v>374</v>
      </c>
      <c r="BF79" s="68">
        <v>382</v>
      </c>
      <c r="BG79" s="68">
        <v>397</v>
      </c>
      <c r="BH79" s="68">
        <v>415</v>
      </c>
    </row>
    <row r="80" spans="1:202">
      <c r="A80" s="69" t="s">
        <v>7</v>
      </c>
      <c r="B80" s="23"/>
      <c r="C80" s="71"/>
      <c r="D80" s="71"/>
      <c r="E80" s="71"/>
      <c r="F80" s="71"/>
      <c r="G80" s="23"/>
      <c r="H80" s="71"/>
      <c r="I80" s="71"/>
      <c r="J80" s="71"/>
      <c r="K80" s="70"/>
      <c r="L80" s="23"/>
      <c r="M80" s="71"/>
      <c r="N80" s="71"/>
      <c r="O80" s="71"/>
      <c r="P80" s="70"/>
      <c r="Q80" s="23"/>
      <c r="R80" s="71"/>
      <c r="S80" s="71"/>
      <c r="T80" s="71"/>
      <c r="U80" s="70"/>
      <c r="V80" s="23"/>
      <c r="W80" s="71"/>
      <c r="X80" s="71"/>
      <c r="Y80" s="71"/>
      <c r="Z80" s="70"/>
      <c r="AA80" s="23"/>
      <c r="AB80" s="71"/>
      <c r="AC80" s="71"/>
      <c r="AD80" s="71"/>
      <c r="AE80" s="70"/>
      <c r="AF80" s="23"/>
      <c r="AG80" s="71"/>
      <c r="AH80" s="71"/>
      <c r="AI80" s="71"/>
      <c r="AJ80" s="70"/>
      <c r="AK80" s="23"/>
      <c r="AL80" s="71"/>
      <c r="AM80" s="71"/>
      <c r="AN80" s="71"/>
      <c r="AO80" s="70"/>
      <c r="AP80" s="23"/>
      <c r="AQ80" s="70"/>
      <c r="AR80" s="70"/>
      <c r="AS80" s="70"/>
      <c r="AT80" s="70"/>
      <c r="AU80" s="23"/>
      <c r="AV80" s="70">
        <v>5.184174624829474E-2</v>
      </c>
      <c r="AW80" s="70">
        <v>-3.1128404669260701E-2</v>
      </c>
      <c r="AX80" s="70">
        <v>4.1499330655957234E-2</v>
      </c>
      <c r="AY80" s="70">
        <v>2.3136246786632286E-2</v>
      </c>
      <c r="AZ80" s="23"/>
      <c r="BA80" s="70">
        <v>-1.2562814070351758E-2</v>
      </c>
      <c r="BB80" s="70">
        <v>1.9083969465648831E-2</v>
      </c>
      <c r="BC80" s="71">
        <v>-0.54057428214731584</v>
      </c>
      <c r="BD80" s="70">
        <v>1.6304347826086918E-2</v>
      </c>
      <c r="BE80" s="23"/>
      <c r="BF80" s="70">
        <v>2.1390374331550888E-2</v>
      </c>
      <c r="BG80" s="70">
        <v>3.9267015706806241E-2</v>
      </c>
      <c r="BH80" s="70">
        <v>4.534005037783384E-2</v>
      </c>
    </row>
    <row r="81" spans="1:202">
      <c r="A81" s="69" t="s">
        <v>8</v>
      </c>
      <c r="B81" s="23"/>
      <c r="C81" s="71"/>
      <c r="D81" s="71"/>
      <c r="E81" s="71"/>
      <c r="F81" s="71"/>
      <c r="G81" s="23"/>
      <c r="H81" s="71"/>
      <c r="I81" s="71"/>
      <c r="J81" s="71"/>
      <c r="K81" s="70"/>
      <c r="L81" s="23"/>
      <c r="M81" s="71"/>
      <c r="N81" s="71"/>
      <c r="O81" s="71"/>
      <c r="P81" s="70"/>
      <c r="Q81" s="27"/>
      <c r="R81" s="71"/>
      <c r="S81" s="71"/>
      <c r="T81" s="71"/>
      <c r="U81" s="70"/>
      <c r="V81" s="23"/>
      <c r="W81" s="71"/>
      <c r="X81" s="71"/>
      <c r="Y81" s="71"/>
      <c r="Z81" s="70"/>
      <c r="AA81" s="23"/>
      <c r="AB81" s="71"/>
      <c r="AC81" s="71"/>
      <c r="AD81" s="71"/>
      <c r="AE81" s="70"/>
      <c r="AF81" s="23"/>
      <c r="AG81" s="71"/>
      <c r="AH81" s="71"/>
      <c r="AI81" s="71"/>
      <c r="AJ81" s="70"/>
      <c r="AK81" s="23"/>
      <c r="AL81" s="71"/>
      <c r="AM81" s="71"/>
      <c r="AN81" s="71"/>
      <c r="AO81" s="70"/>
      <c r="AP81" s="23">
        <v>0.10645933014354059</v>
      </c>
      <c r="AQ81" s="71"/>
      <c r="AR81" s="71"/>
      <c r="AS81" s="71"/>
      <c r="AT81" s="70">
        <v>-0.20756756756756756</v>
      </c>
      <c r="AU81" s="23">
        <v>-0.20756756756756756</v>
      </c>
      <c r="AV81" s="71"/>
      <c r="AW81" s="71"/>
      <c r="AX81" s="71"/>
      <c r="AY81" s="70">
        <v>8.5948158253751794E-2</v>
      </c>
      <c r="AZ81" s="23">
        <v>8.5948158253751794E-2</v>
      </c>
      <c r="BA81" s="71">
        <v>1.9455252918287869E-2</v>
      </c>
      <c r="BB81" s="71">
        <v>7.2289156626506035E-2</v>
      </c>
      <c r="BC81" s="71">
        <v>-0.52699228791773778</v>
      </c>
      <c r="BD81" s="70">
        <v>-0.53015075376884424</v>
      </c>
      <c r="BE81" s="23">
        <v>-0.53015075376884424</v>
      </c>
      <c r="BF81" s="71">
        <v>-0.51399491094147587</v>
      </c>
      <c r="BG81" s="71">
        <v>-0.50436953807740326</v>
      </c>
      <c r="BH81" s="71">
        <v>0.12771739130434789</v>
      </c>
    </row>
    <row r="82" spans="1:202">
      <c r="A82" s="69" t="s">
        <v>205</v>
      </c>
      <c r="B82" s="23"/>
      <c r="C82" s="71"/>
      <c r="D82" s="71"/>
      <c r="E82" s="71"/>
      <c r="F82" s="71"/>
      <c r="G82" s="23"/>
      <c r="H82" s="71"/>
      <c r="I82" s="71"/>
      <c r="J82" s="71"/>
      <c r="K82" s="70"/>
      <c r="L82" s="23"/>
      <c r="M82" s="71"/>
      <c r="N82" s="71"/>
      <c r="O82" s="71"/>
      <c r="P82" s="70"/>
      <c r="Q82" s="23"/>
      <c r="R82" s="71"/>
      <c r="S82" s="71"/>
      <c r="T82" s="71"/>
      <c r="U82" s="70"/>
      <c r="V82" s="23"/>
      <c r="W82" s="71"/>
      <c r="X82" s="71"/>
      <c r="Y82" s="71"/>
      <c r="Z82" s="70"/>
      <c r="AA82" s="23"/>
      <c r="AB82" s="71"/>
      <c r="AC82" s="71"/>
      <c r="AD82" s="71"/>
      <c r="AE82" s="70"/>
      <c r="AF82" s="23"/>
      <c r="AG82" s="71"/>
      <c r="AH82" s="71"/>
      <c r="AI82" s="71"/>
      <c r="AJ82" s="70"/>
      <c r="AK82" s="23"/>
      <c r="AL82" s="71"/>
      <c r="AM82" s="71"/>
      <c r="AN82" s="71"/>
      <c r="AO82" s="195"/>
      <c r="AP82" s="196">
        <v>89</v>
      </c>
      <c r="AQ82" s="195"/>
      <c r="AR82" s="195"/>
      <c r="AS82" s="195"/>
      <c r="AT82" s="195"/>
      <c r="AU82" s="196">
        <v>-192</v>
      </c>
      <c r="AV82" s="195">
        <v>38</v>
      </c>
      <c r="AW82" s="195">
        <v>-24</v>
      </c>
      <c r="AX82" s="195">
        <v>31</v>
      </c>
      <c r="AY82" s="195">
        <v>18</v>
      </c>
      <c r="AZ82" s="196">
        <v>63</v>
      </c>
      <c r="BA82" s="195">
        <v>-10</v>
      </c>
      <c r="BB82" s="195">
        <v>15</v>
      </c>
      <c r="BC82" s="195">
        <v>-433</v>
      </c>
      <c r="BD82" s="195">
        <v>6</v>
      </c>
      <c r="BE82" s="196">
        <v>-422</v>
      </c>
      <c r="BF82" s="195">
        <v>8</v>
      </c>
      <c r="BG82" s="195">
        <v>15</v>
      </c>
      <c r="BH82" s="195">
        <v>18</v>
      </c>
    </row>
    <row r="83" spans="1:202" ht="6.6" customHeight="1">
      <c r="A83" s="69"/>
      <c r="B83" s="23"/>
      <c r="C83" s="71"/>
      <c r="D83" s="71"/>
      <c r="E83" s="71"/>
      <c r="F83" s="71"/>
      <c r="G83" s="23"/>
      <c r="H83" s="71"/>
      <c r="I83" s="71"/>
      <c r="J83" s="71"/>
      <c r="K83" s="70"/>
      <c r="L83" s="23"/>
      <c r="M83" s="71"/>
      <c r="N83" s="71"/>
      <c r="O83" s="71"/>
      <c r="P83" s="70"/>
      <c r="Q83" s="23"/>
      <c r="R83" s="71"/>
      <c r="S83" s="71"/>
      <c r="T83" s="71"/>
      <c r="U83" s="70"/>
      <c r="V83" s="23"/>
      <c r="W83" s="71"/>
      <c r="X83" s="71"/>
      <c r="Y83" s="71"/>
      <c r="Z83" s="70"/>
      <c r="AA83" s="23"/>
      <c r="AB83" s="71"/>
      <c r="AC83" s="71"/>
      <c r="AD83" s="71"/>
      <c r="AE83" s="70"/>
      <c r="AF83" s="23"/>
      <c r="AG83" s="71"/>
      <c r="AH83" s="71"/>
      <c r="AI83" s="71"/>
      <c r="AJ83" s="70"/>
      <c r="AK83" s="23"/>
      <c r="AL83" s="71"/>
      <c r="AM83" s="71"/>
      <c r="AN83" s="71"/>
      <c r="AO83" s="195"/>
      <c r="AP83" s="196"/>
      <c r="AQ83" s="195"/>
      <c r="AR83" s="195"/>
      <c r="AS83" s="195"/>
      <c r="AT83" s="195"/>
      <c r="AU83" s="196"/>
      <c r="AV83" s="195"/>
      <c r="AW83" s="195"/>
      <c r="AX83" s="195"/>
      <c r="AY83" s="195"/>
      <c r="AZ83" s="196"/>
      <c r="BA83" s="195"/>
      <c r="BB83" s="195"/>
      <c r="BC83" s="195"/>
      <c r="BD83" s="195"/>
      <c r="BE83" s="196"/>
      <c r="BF83" s="195"/>
      <c r="BG83" s="195"/>
      <c r="BH83" s="195"/>
    </row>
    <row r="84" spans="1:202">
      <c r="A84" s="67" t="s">
        <v>71</v>
      </c>
      <c r="B84" s="98" t="s">
        <v>49</v>
      </c>
      <c r="C84" s="78" t="s">
        <v>49</v>
      </c>
      <c r="D84" s="78" t="s">
        <v>49</v>
      </c>
      <c r="E84" s="78" t="s">
        <v>49</v>
      </c>
      <c r="F84" s="78" t="s">
        <v>49</v>
      </c>
      <c r="G84" s="98" t="s">
        <v>49</v>
      </c>
      <c r="H84" s="78" t="s">
        <v>49</v>
      </c>
      <c r="I84" s="78" t="s">
        <v>49</v>
      </c>
      <c r="J84" s="78" t="s">
        <v>49</v>
      </c>
      <c r="K84" s="78" t="s">
        <v>49</v>
      </c>
      <c r="L84" s="98" t="s">
        <v>49</v>
      </c>
      <c r="M84" s="67">
        <v>110</v>
      </c>
      <c r="N84" s="67">
        <v>111</v>
      </c>
      <c r="O84" s="67">
        <v>113</v>
      </c>
      <c r="P84" s="68">
        <v>109</v>
      </c>
      <c r="Q84" s="27">
        <v>111</v>
      </c>
      <c r="R84" s="67">
        <v>110</v>
      </c>
      <c r="S84" s="67">
        <v>109</v>
      </c>
      <c r="T84" s="67">
        <v>107</v>
      </c>
      <c r="U84" s="68">
        <v>100</v>
      </c>
      <c r="V84" s="27">
        <v>107</v>
      </c>
      <c r="W84" s="67">
        <v>97</v>
      </c>
      <c r="X84" s="67">
        <v>99</v>
      </c>
      <c r="Y84" s="67">
        <v>95</v>
      </c>
      <c r="Z84" s="68">
        <v>89</v>
      </c>
      <c r="AA84" s="27">
        <v>95</v>
      </c>
      <c r="AB84" s="67">
        <v>86</v>
      </c>
      <c r="AC84" s="67">
        <v>85</v>
      </c>
      <c r="AD84" s="67">
        <v>88</v>
      </c>
      <c r="AE84" s="68">
        <v>86</v>
      </c>
      <c r="AF84" s="27">
        <v>86</v>
      </c>
      <c r="AG84" s="67">
        <v>80</v>
      </c>
      <c r="AH84" s="67">
        <v>79</v>
      </c>
      <c r="AI84" s="67">
        <v>78</v>
      </c>
      <c r="AJ84" s="68">
        <v>75</v>
      </c>
      <c r="AK84" s="27">
        <v>78</v>
      </c>
      <c r="AL84" s="67">
        <v>65</v>
      </c>
      <c r="AM84" s="67">
        <v>65</v>
      </c>
      <c r="AN84" s="67">
        <v>68</v>
      </c>
      <c r="AO84" s="68">
        <v>60</v>
      </c>
      <c r="AP84" s="27">
        <v>64</v>
      </c>
      <c r="AQ84" s="67">
        <v>57</v>
      </c>
      <c r="AR84" s="67">
        <v>68</v>
      </c>
      <c r="AS84" s="67">
        <v>68</v>
      </c>
      <c r="AT84" s="68">
        <v>62</v>
      </c>
      <c r="AU84" s="27">
        <v>63</v>
      </c>
      <c r="AV84" s="67">
        <v>60</v>
      </c>
      <c r="AW84" s="67">
        <v>61</v>
      </c>
      <c r="AX84" s="67">
        <v>63</v>
      </c>
      <c r="AY84" s="68">
        <v>58</v>
      </c>
      <c r="AZ84" s="27">
        <v>61</v>
      </c>
      <c r="BA84" s="67">
        <v>57</v>
      </c>
      <c r="BB84" s="67">
        <v>57</v>
      </c>
      <c r="BC84" s="67">
        <v>68</v>
      </c>
      <c r="BD84" s="68">
        <v>66</v>
      </c>
      <c r="BE84" s="27">
        <v>62</v>
      </c>
      <c r="BF84" s="67">
        <v>63</v>
      </c>
      <c r="BG84" s="67">
        <v>64</v>
      </c>
      <c r="BH84" s="67">
        <v>65</v>
      </c>
    </row>
    <row r="85" spans="1:202">
      <c r="A85" s="69" t="s">
        <v>7</v>
      </c>
      <c r="B85" s="23"/>
      <c r="C85" s="70"/>
      <c r="D85" s="70"/>
      <c r="E85" s="70"/>
      <c r="F85" s="70"/>
      <c r="G85" s="23"/>
      <c r="H85" s="70"/>
      <c r="I85" s="70"/>
      <c r="J85" s="70"/>
      <c r="K85" s="70"/>
      <c r="L85" s="26"/>
      <c r="M85" s="70"/>
      <c r="N85" s="70">
        <f>N84/M84-1</f>
        <v>9.0909090909090384E-3</v>
      </c>
      <c r="O85" s="70">
        <f>O84/N84-1</f>
        <v>1.8018018018018056E-2</v>
      </c>
      <c r="P85" s="70">
        <f>P84/O84-1</f>
        <v>-3.539823008849563E-2</v>
      </c>
      <c r="Q85" s="26"/>
      <c r="R85" s="70">
        <f>R84/P84-1</f>
        <v>9.1743119266054496E-3</v>
      </c>
      <c r="S85" s="70">
        <f>S84/R84-1</f>
        <v>-9.0909090909090384E-3</v>
      </c>
      <c r="T85" s="70">
        <f>T84/S84-1</f>
        <v>-1.834862385321101E-2</v>
      </c>
      <c r="U85" s="70">
        <f>U84/T84-1</f>
        <v>-6.5420560747663559E-2</v>
      </c>
      <c r="V85" s="26"/>
      <c r="W85" s="70">
        <v>-3.0000000000000027E-2</v>
      </c>
      <c r="X85" s="70">
        <v>2.0618556701030855E-2</v>
      </c>
      <c r="Y85" s="70">
        <v>-4.0404040404040442E-2</v>
      </c>
      <c r="Z85" s="70">
        <v>-6.315789473684208E-2</v>
      </c>
      <c r="AA85" s="26"/>
      <c r="AB85" s="70">
        <v>-3.3707865168539297E-2</v>
      </c>
      <c r="AC85" s="70">
        <v>-1.1627906976744207E-2</v>
      </c>
      <c r="AD85" s="70">
        <v>3.529411764705892E-2</v>
      </c>
      <c r="AE85" s="70">
        <v>-2.2727272727272707E-2</v>
      </c>
      <c r="AF85" s="26"/>
      <c r="AG85" s="70">
        <v>-6.9767441860465129E-2</v>
      </c>
      <c r="AH85" s="70">
        <v>-1.2499999999999956E-2</v>
      </c>
      <c r="AI85" s="70">
        <v>-1.2658227848101222E-2</v>
      </c>
      <c r="AJ85" s="70">
        <v>-3.8461538461538436E-2</v>
      </c>
      <c r="AK85" s="26"/>
      <c r="AL85" s="70">
        <v>-0.1333333333333333</v>
      </c>
      <c r="AM85" s="70">
        <v>0</v>
      </c>
      <c r="AN85" s="70">
        <v>4.6153846153846212E-2</v>
      </c>
      <c r="AO85" s="70">
        <v>-0.11764705882352944</v>
      </c>
      <c r="AP85" s="26"/>
      <c r="AQ85" s="70">
        <v>-5.0000000000000044E-2</v>
      </c>
      <c r="AR85" s="70">
        <v>0.19298245614035081</v>
      </c>
      <c r="AS85" s="70">
        <v>0</v>
      </c>
      <c r="AT85" s="70">
        <v>-8.8235294117647078E-2</v>
      </c>
      <c r="AU85" s="26"/>
      <c r="AV85" s="70">
        <v>-3.2258064516129004E-2</v>
      </c>
      <c r="AW85" s="70">
        <v>1.6666666666666607E-2</v>
      </c>
      <c r="AX85" s="70">
        <v>3.2786885245901676E-2</v>
      </c>
      <c r="AY85" s="70">
        <v>-7.9365079365079416E-2</v>
      </c>
      <c r="AZ85" s="26"/>
      <c r="BA85" s="70">
        <v>-1.7241379310344862E-2</v>
      </c>
      <c r="BB85" s="70">
        <v>0</v>
      </c>
      <c r="BC85" s="70">
        <v>0.19298245614035081</v>
      </c>
      <c r="BD85" s="70">
        <v>-2.9411764705882359E-2</v>
      </c>
      <c r="BE85" s="26"/>
      <c r="BF85" s="70">
        <v>-4.5454545454545414E-2</v>
      </c>
      <c r="BG85" s="70">
        <v>1.5873015873015817E-2</v>
      </c>
      <c r="BH85" s="70">
        <v>1.5625E-2</v>
      </c>
    </row>
    <row r="86" spans="1:202">
      <c r="A86" s="69" t="s">
        <v>8</v>
      </c>
      <c r="B86" s="23"/>
      <c r="C86" s="71"/>
      <c r="D86" s="71"/>
      <c r="E86" s="71"/>
      <c r="F86" s="71"/>
      <c r="G86" s="23"/>
      <c r="H86" s="71"/>
      <c r="I86" s="71"/>
      <c r="J86" s="71"/>
      <c r="K86" s="70"/>
      <c r="L86" s="23"/>
      <c r="M86" s="71"/>
      <c r="N86" s="71"/>
      <c r="O86" s="71"/>
      <c r="P86" s="70"/>
      <c r="Q86" s="23"/>
      <c r="R86" s="71">
        <f t="shared" ref="R86:U86" si="30">R84/M84-1</f>
        <v>0</v>
      </c>
      <c r="S86" s="71">
        <f t="shared" si="30"/>
        <v>-1.8018018018018056E-2</v>
      </c>
      <c r="T86" s="71">
        <f t="shared" si="30"/>
        <v>-5.3097345132743334E-2</v>
      </c>
      <c r="U86" s="70">
        <f t="shared" si="30"/>
        <v>-8.256880733944949E-2</v>
      </c>
      <c r="V86" s="23">
        <v>-3.6036036036036001E-2</v>
      </c>
      <c r="W86" s="71">
        <v>-0.11818181818181817</v>
      </c>
      <c r="X86" s="71">
        <v>-9.1743119266055051E-2</v>
      </c>
      <c r="Y86" s="71">
        <v>-0.11214953271028039</v>
      </c>
      <c r="Z86" s="70">
        <v>-0.10999999999999999</v>
      </c>
      <c r="AA86" s="23">
        <v>-0.11214953271028039</v>
      </c>
      <c r="AB86" s="71">
        <v>-0.11340206185567014</v>
      </c>
      <c r="AC86" s="71">
        <v>-0.14141414141414144</v>
      </c>
      <c r="AD86" s="71">
        <v>-7.3684210526315796E-2</v>
      </c>
      <c r="AE86" s="70">
        <v>-3.3707865168539297E-2</v>
      </c>
      <c r="AF86" s="23">
        <v>-9.4736842105263119E-2</v>
      </c>
      <c r="AG86" s="71">
        <v>-6.9767441860465129E-2</v>
      </c>
      <c r="AH86" s="71">
        <v>-7.0588235294117618E-2</v>
      </c>
      <c r="AI86" s="71">
        <v>-0.11363636363636365</v>
      </c>
      <c r="AJ86" s="70">
        <v>-0.12790697674418605</v>
      </c>
      <c r="AK86" s="23">
        <v>-9.3023255813953543E-2</v>
      </c>
      <c r="AL86" s="71">
        <v>-0.1875</v>
      </c>
      <c r="AM86" s="71">
        <v>-0.17721518987341767</v>
      </c>
      <c r="AN86" s="71">
        <v>-0.12820512820512819</v>
      </c>
      <c r="AO86" s="70">
        <v>-0.19999999999999996</v>
      </c>
      <c r="AP86" s="23">
        <v>-0.17948717948717952</v>
      </c>
      <c r="AQ86" s="71">
        <v>-0.12307692307692308</v>
      </c>
      <c r="AR86" s="71">
        <v>4.6153846153846212E-2</v>
      </c>
      <c r="AS86" s="71">
        <v>0</v>
      </c>
      <c r="AT86" s="70">
        <v>3.3333333333333437E-2</v>
      </c>
      <c r="AU86" s="23">
        <v>-1.5625E-2</v>
      </c>
      <c r="AV86" s="71">
        <v>5.2631578947368363E-2</v>
      </c>
      <c r="AW86" s="71">
        <v>-0.1029411764705882</v>
      </c>
      <c r="AX86" s="71">
        <v>-7.3529411764705843E-2</v>
      </c>
      <c r="AY86" s="70">
        <v>-6.4516129032258118E-2</v>
      </c>
      <c r="AZ86" s="23">
        <v>-3.1746031746031744E-2</v>
      </c>
      <c r="BA86" s="71">
        <v>-5.0000000000000044E-2</v>
      </c>
      <c r="BB86" s="71">
        <v>-6.557377049180324E-2</v>
      </c>
      <c r="BC86" s="71">
        <v>7.9365079365079305E-2</v>
      </c>
      <c r="BD86" s="70">
        <v>0.13793103448275867</v>
      </c>
      <c r="BE86" s="23">
        <v>1.6393442622950838E-2</v>
      </c>
      <c r="BF86" s="71">
        <v>0.10526315789473695</v>
      </c>
      <c r="BG86" s="71">
        <v>0.12280701754385959</v>
      </c>
      <c r="BH86" s="71">
        <v>-4.4117647058823484E-2</v>
      </c>
    </row>
    <row r="87" spans="1:202" ht="15.6">
      <c r="A87" s="159"/>
      <c r="B87" s="23"/>
      <c r="C87" s="71"/>
      <c r="D87" s="71"/>
      <c r="E87" s="71"/>
      <c r="F87" s="71"/>
      <c r="G87" s="23"/>
      <c r="H87" s="71"/>
      <c r="I87" s="71"/>
      <c r="J87" s="71"/>
      <c r="K87" s="70"/>
      <c r="L87" s="23"/>
      <c r="M87" s="71"/>
      <c r="N87" s="71"/>
      <c r="O87" s="71"/>
      <c r="P87" s="70"/>
      <c r="Q87" s="23"/>
      <c r="R87" s="71"/>
      <c r="S87" s="71"/>
      <c r="T87" s="71"/>
      <c r="U87" s="70"/>
      <c r="V87" s="23"/>
      <c r="W87" s="71"/>
      <c r="X87" s="71"/>
      <c r="Y87" s="71"/>
      <c r="Z87" s="70"/>
      <c r="AA87" s="23"/>
      <c r="AB87" s="71"/>
      <c r="AC87" s="71"/>
      <c r="AD87" s="71"/>
      <c r="AE87" s="70"/>
      <c r="AF87" s="23"/>
      <c r="AG87" s="71"/>
      <c r="AH87" s="71"/>
      <c r="AI87" s="71"/>
      <c r="AJ87" s="70"/>
      <c r="AK87" s="23"/>
      <c r="AL87" s="71"/>
      <c r="AM87" s="71"/>
      <c r="AN87" s="71"/>
      <c r="AO87" s="70"/>
      <c r="AP87" s="23"/>
      <c r="AQ87" s="71"/>
      <c r="AR87" s="71"/>
      <c r="AS87" s="71"/>
      <c r="AT87" s="70"/>
      <c r="AU87" s="23"/>
      <c r="AV87" s="71"/>
      <c r="AW87" s="71"/>
      <c r="AX87" s="71"/>
      <c r="AY87" s="70"/>
      <c r="AZ87" s="23"/>
      <c r="BA87" s="71"/>
      <c r="BB87" s="71"/>
      <c r="BC87" s="71"/>
      <c r="BD87" s="70"/>
      <c r="BE87" s="23"/>
      <c r="BF87" s="71"/>
      <c r="BG87" s="71"/>
      <c r="BH87" s="71"/>
    </row>
    <row r="88" spans="1:202">
      <c r="A88" s="67" t="s">
        <v>154</v>
      </c>
      <c r="B88" s="95" t="s">
        <v>49</v>
      </c>
      <c r="C88" s="78" t="s">
        <v>49</v>
      </c>
      <c r="D88" s="78" t="s">
        <v>49</v>
      </c>
      <c r="E88" s="78" t="s">
        <v>49</v>
      </c>
      <c r="F88" s="78" t="s">
        <v>49</v>
      </c>
      <c r="G88" s="95" t="s">
        <v>49</v>
      </c>
      <c r="H88" s="88">
        <v>3.3000000000000002E-2</v>
      </c>
      <c r="I88" s="88">
        <v>3.3000000000000002E-2</v>
      </c>
      <c r="J88" s="88">
        <v>3.7999999999999999E-2</v>
      </c>
      <c r="K88" s="88">
        <v>3.4000000000000002E-2</v>
      </c>
      <c r="L88" s="54">
        <v>0.13800000000000001</v>
      </c>
      <c r="M88" s="88">
        <v>3.9E-2</v>
      </c>
      <c r="N88" s="88">
        <v>3.9E-2</v>
      </c>
      <c r="O88" s="88">
        <v>3.5000000000000003E-2</v>
      </c>
      <c r="P88" s="88">
        <v>3.9E-2</v>
      </c>
      <c r="Q88" s="54">
        <v>0.153</v>
      </c>
      <c r="R88" s="88">
        <v>0.05</v>
      </c>
      <c r="S88" s="88">
        <v>6.6000000000000003E-2</v>
      </c>
      <c r="T88" s="88">
        <v>6.0999999999999999E-2</v>
      </c>
      <c r="U88" s="88">
        <v>5.2999999999999999E-2</v>
      </c>
      <c r="V88" s="54">
        <v>0.22900000000000001</v>
      </c>
      <c r="W88" s="88">
        <v>3.9E-2</v>
      </c>
      <c r="X88" s="88">
        <v>0.06</v>
      </c>
      <c r="Y88" s="88">
        <v>6.7000000000000004E-2</v>
      </c>
      <c r="Z88" s="88">
        <v>5.8999999999999997E-2</v>
      </c>
      <c r="AA88" s="54">
        <v>0.224</v>
      </c>
      <c r="AB88" s="88">
        <v>7.1999999999999995E-2</v>
      </c>
      <c r="AC88" s="88">
        <v>6.9000000000000006E-2</v>
      </c>
      <c r="AD88" s="88">
        <v>6.2E-2</v>
      </c>
      <c r="AE88" s="88">
        <v>8.3000000000000004E-2</v>
      </c>
      <c r="AF88" s="54">
        <v>0.28599999999999998</v>
      </c>
      <c r="AG88" s="88">
        <v>7.5999999999999998E-2</v>
      </c>
      <c r="AH88" s="88">
        <v>6.5000000000000002E-2</v>
      </c>
      <c r="AI88" s="88">
        <v>7.2999999999999995E-2</v>
      </c>
      <c r="AJ88" s="88">
        <v>6.6000000000000003E-2</v>
      </c>
      <c r="AK88" s="54">
        <v>0.28000000000000003</v>
      </c>
      <c r="AL88" s="88">
        <v>6.5000000000000002E-2</v>
      </c>
      <c r="AM88" s="88">
        <v>6.0999999999999999E-2</v>
      </c>
      <c r="AN88" s="88">
        <v>6.4000000000000001E-2</v>
      </c>
      <c r="AO88" s="162">
        <v>6.7000000000000004E-2</v>
      </c>
      <c r="AP88" s="54">
        <v>0.25800000000000001</v>
      </c>
      <c r="AQ88" s="88">
        <v>5.1999999999999998E-2</v>
      </c>
      <c r="AR88" s="88">
        <v>6.2E-2</v>
      </c>
      <c r="AS88" s="88">
        <v>6.0999999999999999E-2</v>
      </c>
      <c r="AT88" s="88">
        <v>6.3E-2</v>
      </c>
      <c r="AU88" s="54">
        <v>0.23699999999999999</v>
      </c>
      <c r="AV88" s="88">
        <v>7.9000000000000001E-2</v>
      </c>
      <c r="AW88" s="88">
        <v>6.3E-2</v>
      </c>
      <c r="AX88" s="88">
        <v>7.0999999999999994E-2</v>
      </c>
      <c r="AY88" s="88">
        <v>6.9000000000000006E-2</v>
      </c>
      <c r="AZ88" s="54">
        <v>0.28199999999999997</v>
      </c>
      <c r="BA88" s="88">
        <v>0.08</v>
      </c>
      <c r="BB88" s="88">
        <v>7.2999999999999995E-2</v>
      </c>
      <c r="BC88" s="88">
        <v>9.0999999999999998E-2</v>
      </c>
      <c r="BD88" s="88">
        <v>0.09</v>
      </c>
      <c r="BE88" s="54">
        <v>0.33300000000000002</v>
      </c>
      <c r="BF88" s="88">
        <v>8.5999999999999993E-2</v>
      </c>
      <c r="BG88" s="88">
        <v>7.4999999999999997E-2</v>
      </c>
      <c r="BH88" s="88">
        <v>7.2999999999999995E-2</v>
      </c>
    </row>
    <row r="89" spans="1:202">
      <c r="A89" s="67"/>
      <c r="B89" s="95"/>
      <c r="C89" s="78"/>
      <c r="D89" s="78"/>
      <c r="E89" s="78"/>
      <c r="F89" s="78"/>
      <c r="G89" s="95"/>
      <c r="H89" s="88"/>
      <c r="I89" s="88"/>
      <c r="J89" s="88"/>
      <c r="K89" s="88"/>
      <c r="L89" s="54"/>
      <c r="M89" s="88"/>
      <c r="N89" s="88"/>
      <c r="O89" s="88"/>
      <c r="P89" s="88"/>
      <c r="Q89" s="54"/>
      <c r="R89" s="88"/>
      <c r="S89" s="88"/>
      <c r="T89" s="88"/>
      <c r="U89" s="88"/>
      <c r="V89" s="54"/>
      <c r="W89" s="88"/>
      <c r="X89" s="88"/>
      <c r="Y89" s="88"/>
      <c r="Z89" s="88"/>
      <c r="AA89" s="54"/>
      <c r="AB89" s="88"/>
      <c r="AC89" s="88"/>
      <c r="AD89" s="88"/>
      <c r="AE89" s="88"/>
      <c r="AF89" s="54"/>
      <c r="AG89" s="88"/>
      <c r="AH89" s="88"/>
      <c r="AI89" s="88"/>
      <c r="AJ89" s="88"/>
      <c r="AK89" s="54"/>
      <c r="AL89" s="88"/>
      <c r="AM89" s="88"/>
      <c r="AN89" s="88"/>
      <c r="AO89" s="88"/>
      <c r="AP89" s="54"/>
      <c r="AQ89" s="88"/>
      <c r="AR89" s="88"/>
      <c r="AS89" s="88"/>
      <c r="AT89" s="88"/>
      <c r="AU89" s="54"/>
      <c r="AV89" s="88"/>
      <c r="AW89" s="88"/>
      <c r="AX89" s="88"/>
      <c r="AY89" s="88"/>
      <c r="AZ89" s="54"/>
      <c r="BA89" s="88"/>
      <c r="BB89" s="88"/>
      <c r="BC89" s="88"/>
      <c r="BD89" s="88"/>
      <c r="BE89" s="54"/>
      <c r="BF89" s="88"/>
      <c r="BG89" s="88"/>
      <c r="BH89" s="88"/>
    </row>
    <row r="90" spans="1:202">
      <c r="A90" s="35" t="s">
        <v>17</v>
      </c>
      <c r="B90" s="138"/>
      <c r="C90" s="78"/>
      <c r="D90" s="78"/>
      <c r="E90" s="78"/>
      <c r="F90" s="78"/>
      <c r="G90" s="95" t="s">
        <v>49</v>
      </c>
      <c r="H90" s="88"/>
      <c r="I90" s="88"/>
      <c r="J90" s="88"/>
      <c r="K90" s="88"/>
      <c r="L90" s="95" t="s">
        <v>49</v>
      </c>
      <c r="M90" s="88"/>
      <c r="N90" s="88"/>
      <c r="O90" s="88"/>
      <c r="P90" s="88"/>
      <c r="Q90" s="95" t="s">
        <v>49</v>
      </c>
      <c r="R90" s="116" t="s">
        <v>41</v>
      </c>
      <c r="S90" s="116" t="s">
        <v>41</v>
      </c>
      <c r="T90" s="116" t="s">
        <v>41</v>
      </c>
      <c r="U90" s="116" t="s">
        <v>41</v>
      </c>
      <c r="V90" s="95" t="s">
        <v>49</v>
      </c>
      <c r="W90" s="116" t="s">
        <v>41</v>
      </c>
      <c r="X90" s="116" t="s">
        <v>41</v>
      </c>
      <c r="Y90" s="116" t="s">
        <v>41</v>
      </c>
      <c r="Z90" s="116" t="s">
        <v>41</v>
      </c>
      <c r="AA90" s="89">
        <v>4072</v>
      </c>
      <c r="AB90" s="116" t="s">
        <v>41</v>
      </c>
      <c r="AC90" s="116" t="s">
        <v>41</v>
      </c>
      <c r="AD90" s="116" t="s">
        <v>41</v>
      </c>
      <c r="AE90" s="116" t="s">
        <v>41</v>
      </c>
      <c r="AF90" s="89">
        <v>3288</v>
      </c>
      <c r="AG90" s="116" t="s">
        <v>41</v>
      </c>
      <c r="AH90" s="116" t="s">
        <v>41</v>
      </c>
      <c r="AI90" s="116" t="s">
        <v>41</v>
      </c>
      <c r="AJ90" s="68">
        <v>3001</v>
      </c>
      <c r="AK90" s="89">
        <v>3001</v>
      </c>
      <c r="AL90" s="116" t="s">
        <v>41</v>
      </c>
      <c r="AM90" s="116" t="s">
        <v>41</v>
      </c>
      <c r="AN90" s="116" t="s">
        <v>41</v>
      </c>
      <c r="AO90" s="68">
        <v>2679</v>
      </c>
      <c r="AP90" s="89">
        <v>2679</v>
      </c>
      <c r="AQ90" s="116" t="s">
        <v>41</v>
      </c>
      <c r="AR90" s="116" t="s">
        <v>41</v>
      </c>
      <c r="AS90" s="116" t="s">
        <v>41</v>
      </c>
      <c r="AT90" s="68">
        <v>2594</v>
      </c>
      <c r="AU90" s="89">
        <v>2594</v>
      </c>
      <c r="AV90" s="116" t="s">
        <v>41</v>
      </c>
      <c r="AW90" s="116" t="s">
        <v>41</v>
      </c>
      <c r="AX90" s="116" t="s">
        <v>41</v>
      </c>
      <c r="AY90" s="68">
        <v>2551</v>
      </c>
      <c r="AZ90" s="89">
        <v>2551</v>
      </c>
      <c r="BA90" s="116" t="s">
        <v>41</v>
      </c>
      <c r="BB90" s="116" t="s">
        <v>41</v>
      </c>
      <c r="BC90" s="116" t="s">
        <v>41</v>
      </c>
      <c r="BD90" s="68">
        <v>2453</v>
      </c>
      <c r="BE90" s="89">
        <v>2453</v>
      </c>
      <c r="BF90" s="116" t="s">
        <v>41</v>
      </c>
      <c r="BG90" s="116" t="s">
        <v>41</v>
      </c>
      <c r="BH90" s="116" t="s">
        <v>41</v>
      </c>
    </row>
    <row r="91" spans="1:202">
      <c r="A91" s="69" t="s">
        <v>8</v>
      </c>
      <c r="B91" s="95"/>
      <c r="C91" s="95"/>
      <c r="D91" s="95"/>
      <c r="E91" s="95"/>
      <c r="F91" s="95"/>
      <c r="G91" s="95"/>
      <c r="H91" s="95"/>
      <c r="I91" s="95"/>
      <c r="J91" s="95"/>
      <c r="K91" s="95"/>
      <c r="L91" s="95"/>
      <c r="M91" s="95"/>
      <c r="N91" s="95"/>
      <c r="O91" s="95"/>
      <c r="P91" s="95"/>
      <c r="Q91" s="95"/>
      <c r="R91" s="95"/>
      <c r="S91" s="95"/>
      <c r="T91" s="95"/>
      <c r="U91" s="95"/>
      <c r="V91" s="95"/>
      <c r="W91" s="71"/>
      <c r="X91" s="71"/>
      <c r="Y91" s="71"/>
      <c r="Z91" s="70"/>
      <c r="AA91" s="23"/>
      <c r="AB91" s="71"/>
      <c r="AC91" s="71"/>
      <c r="AD91" s="71"/>
      <c r="AE91" s="70"/>
      <c r="AF91" s="23">
        <v>-0.19253438113948917</v>
      </c>
      <c r="AG91" s="71"/>
      <c r="AH91" s="71"/>
      <c r="AI91" s="71"/>
      <c r="AJ91" s="70"/>
      <c r="AK91" s="23">
        <v>-8.7287104622871037E-2</v>
      </c>
      <c r="AL91" s="71"/>
      <c r="AM91" s="71"/>
      <c r="AN91" s="71"/>
      <c r="AO91" s="70"/>
      <c r="AP91" s="23">
        <v>-0.10729756747750752</v>
      </c>
      <c r="AQ91" s="71"/>
      <c r="AR91" s="71"/>
      <c r="AS91" s="71"/>
      <c r="AT91" s="70"/>
      <c r="AU91" s="23">
        <v>-3.1728256812243338E-2</v>
      </c>
      <c r="AV91" s="71"/>
      <c r="AW91" s="71"/>
      <c r="AX91" s="71"/>
      <c r="AY91" s="70"/>
      <c r="AZ91" s="23">
        <v>-1.6576715497301442E-2</v>
      </c>
      <c r="BA91" s="71"/>
      <c r="BB91" s="71"/>
      <c r="BC91" s="71"/>
      <c r="BD91" s="70"/>
      <c r="BE91" s="23">
        <v>-3.8416307330458643E-2</v>
      </c>
      <c r="BF91" s="71"/>
      <c r="BG91" s="71"/>
      <c r="BH91" s="71"/>
    </row>
    <row r="92" spans="1:202" s="2" customFormat="1" ht="6.75" hidden="1" customHeight="1">
      <c r="A92" s="91"/>
      <c r="B92" s="95"/>
      <c r="C92" s="95"/>
      <c r="D92" s="95"/>
      <c r="E92" s="95"/>
      <c r="F92" s="95"/>
      <c r="G92" s="95"/>
      <c r="H92" s="95"/>
      <c r="I92" s="95"/>
      <c r="J92" s="95"/>
      <c r="K92" s="95"/>
      <c r="L92" s="95"/>
      <c r="M92" s="95"/>
      <c r="N92" s="95"/>
      <c r="O92" s="95"/>
      <c r="P92" s="95"/>
      <c r="Q92" s="95"/>
      <c r="R92" s="95"/>
      <c r="S92" s="95"/>
      <c r="T92" s="95"/>
      <c r="U92" s="95"/>
      <c r="V92" s="9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row>
    <row r="93" spans="1:202" s="2" customFormat="1" ht="12.75" customHeight="1">
      <c r="A93" s="88"/>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71"/>
      <c r="AH93" s="71"/>
      <c r="AI93" s="71"/>
      <c r="AJ93" s="71"/>
      <c r="AK93" s="54"/>
      <c r="AL93" s="88"/>
      <c r="AM93" s="88"/>
      <c r="AN93" s="88"/>
      <c r="AO93" s="71"/>
      <c r="AP93" s="54"/>
      <c r="AQ93" s="88"/>
      <c r="AR93" s="88"/>
      <c r="AS93" s="88"/>
      <c r="AT93" s="71"/>
      <c r="AU93" s="54"/>
      <c r="AV93" s="88"/>
      <c r="AW93" s="88"/>
      <c r="AX93" s="88"/>
      <c r="AY93" s="71"/>
      <c r="AZ93" s="54"/>
      <c r="BA93" s="88"/>
      <c r="BB93" s="88"/>
      <c r="BC93" s="88"/>
      <c r="BD93" s="71"/>
      <c r="BE93" s="54"/>
      <c r="BF93" s="88"/>
      <c r="BG93" s="88"/>
      <c r="BH93" s="88"/>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row>
    <row r="94" spans="1:202" s="2" customFormat="1" ht="15.75" customHeight="1">
      <c r="A94" s="67" t="s">
        <v>148</v>
      </c>
      <c r="B94" s="54">
        <v>0.29199999999999998</v>
      </c>
      <c r="C94" s="54"/>
      <c r="D94" s="54"/>
      <c r="E94" s="54"/>
      <c r="F94" s="54"/>
      <c r="G94" s="54">
        <v>0.28599999999999998</v>
      </c>
      <c r="H94" s="54"/>
      <c r="I94" s="54"/>
      <c r="J94" s="54"/>
      <c r="K94" s="54"/>
      <c r="L94" s="54">
        <v>0.28999999999999998</v>
      </c>
      <c r="M94" s="54"/>
      <c r="N94" s="54"/>
      <c r="O94" s="54"/>
      <c r="P94" s="54"/>
      <c r="Q94" s="54">
        <v>0.28899999999999998</v>
      </c>
      <c r="R94" s="54"/>
      <c r="S94" s="54"/>
      <c r="T94" s="54"/>
      <c r="U94" s="54"/>
      <c r="V94" s="54">
        <v>0.28999999999999998</v>
      </c>
      <c r="W94" s="54"/>
      <c r="X94" s="54"/>
      <c r="Y94" s="54"/>
      <c r="Z94" s="54"/>
      <c r="AA94" s="54">
        <v>0.28199999999999997</v>
      </c>
      <c r="AB94" s="54"/>
      <c r="AC94" s="54"/>
      <c r="AD94" s="54"/>
      <c r="AE94" s="54"/>
      <c r="AF94" s="54">
        <v>0.26300000000000001</v>
      </c>
      <c r="AG94" s="116" t="s">
        <v>41</v>
      </c>
      <c r="AH94" s="116" t="s">
        <v>41</v>
      </c>
      <c r="AI94" s="116" t="s">
        <v>41</v>
      </c>
      <c r="AJ94" s="116" t="s">
        <v>41</v>
      </c>
      <c r="AK94" s="54">
        <v>0.255</v>
      </c>
      <c r="AL94" s="116" t="s">
        <v>41</v>
      </c>
      <c r="AM94" s="116" t="s">
        <v>41</v>
      </c>
      <c r="AN94" s="116" t="s">
        <v>41</v>
      </c>
      <c r="AO94" s="116" t="s">
        <v>41</v>
      </c>
      <c r="AP94" s="54">
        <v>0.252</v>
      </c>
      <c r="AQ94" s="116" t="s">
        <v>41</v>
      </c>
      <c r="AR94" s="116" t="s">
        <v>41</v>
      </c>
      <c r="AS94" s="191">
        <v>0.22700000000000001</v>
      </c>
      <c r="AT94" s="191">
        <v>0.23100000000000001</v>
      </c>
      <c r="AU94" s="38">
        <v>0.23100000000000001</v>
      </c>
      <c r="AV94" s="116" t="s">
        <v>41</v>
      </c>
      <c r="AW94" s="116" t="s">
        <v>41</v>
      </c>
      <c r="AX94" s="88">
        <v>0.23300000000000001</v>
      </c>
      <c r="AY94" s="88">
        <v>0.23599999999999999</v>
      </c>
      <c r="AZ94" s="38">
        <v>0.23599999999999999</v>
      </c>
      <c r="BA94" s="116" t="s">
        <v>41</v>
      </c>
      <c r="BB94" s="116" t="s">
        <v>41</v>
      </c>
      <c r="BC94" s="88">
        <v>0.21</v>
      </c>
      <c r="BD94" s="116" t="s">
        <v>41</v>
      </c>
      <c r="BE94" s="165" t="s">
        <v>41</v>
      </c>
      <c r="BF94" s="116" t="s">
        <v>41</v>
      </c>
      <c r="BG94" s="116" t="s">
        <v>41</v>
      </c>
      <c r="BH94" s="116" t="s">
        <v>41</v>
      </c>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row>
    <row r="95" spans="1:202" s="2" customFormat="1" ht="3"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row>
    <row r="96" spans="1:202" ht="21">
      <c r="A96" s="34" t="s">
        <v>15</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row>
    <row r="97" spans="1:2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row>
    <row r="98" spans="1:202">
      <c r="A98" s="39" t="s">
        <v>25</v>
      </c>
      <c r="B98" s="40"/>
      <c r="C98" s="41"/>
      <c r="D98" s="41"/>
      <c r="E98" s="41"/>
      <c r="F98" s="41"/>
      <c r="G98" s="40"/>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row>
    <row r="99" spans="1:202" ht="3.6" customHeight="1">
      <c r="A99" s="67"/>
      <c r="B99" s="28"/>
      <c r="C99" s="67"/>
      <c r="D99" s="67"/>
      <c r="E99" s="67"/>
      <c r="F99" s="67"/>
      <c r="G99" s="28"/>
      <c r="H99" s="67"/>
      <c r="I99" s="67"/>
      <c r="J99" s="67"/>
      <c r="K99" s="67"/>
      <c r="L99" s="20"/>
      <c r="M99" s="67"/>
      <c r="N99" s="67"/>
      <c r="O99" s="67"/>
      <c r="P99" s="67"/>
      <c r="Q99" s="20"/>
      <c r="R99" s="67"/>
      <c r="S99" s="67"/>
      <c r="T99" s="67"/>
      <c r="U99" s="67"/>
      <c r="V99" s="20"/>
      <c r="W99" s="67"/>
      <c r="X99" s="67"/>
      <c r="Y99" s="67"/>
      <c r="Z99" s="67"/>
      <c r="AA99" s="20"/>
      <c r="AB99" s="67"/>
      <c r="AC99" s="67"/>
      <c r="AD99" s="67"/>
      <c r="AE99" s="67"/>
      <c r="AF99" s="20"/>
      <c r="AG99" s="67"/>
      <c r="AH99" s="67"/>
      <c r="AI99" s="67"/>
      <c r="AJ99" s="67"/>
      <c r="AK99" s="20"/>
      <c r="AL99" s="67"/>
      <c r="AM99" s="67"/>
      <c r="AN99" s="67"/>
      <c r="AO99" s="67"/>
      <c r="AP99" s="20"/>
      <c r="AQ99" s="67"/>
      <c r="AR99" s="67"/>
      <c r="AS99" s="67"/>
      <c r="AT99" s="67"/>
      <c r="AU99" s="20"/>
      <c r="AV99" s="67"/>
      <c r="AW99" s="67"/>
      <c r="AX99" s="67"/>
      <c r="AY99" s="67"/>
      <c r="AZ99" s="20"/>
      <c r="BA99" s="67"/>
      <c r="BB99" s="67"/>
      <c r="BC99" s="67"/>
      <c r="BD99" s="67"/>
      <c r="BE99" s="20"/>
      <c r="BF99" s="67"/>
      <c r="BG99" s="67"/>
      <c r="BH99" s="67"/>
    </row>
    <row r="100" spans="1:202">
      <c r="A100" s="67" t="s">
        <v>129</v>
      </c>
      <c r="B100" s="138">
        <v>2621</v>
      </c>
      <c r="C100" s="78" t="s">
        <v>49</v>
      </c>
      <c r="D100" s="78" t="s">
        <v>49</v>
      </c>
      <c r="E100" s="78" t="s">
        <v>49</v>
      </c>
      <c r="F100" s="78" t="s">
        <v>49</v>
      </c>
      <c r="G100" s="138">
        <v>2325</v>
      </c>
      <c r="H100" s="78" t="s">
        <v>49</v>
      </c>
      <c r="I100" s="78" t="s">
        <v>49</v>
      </c>
      <c r="J100" s="78" t="s">
        <v>49</v>
      </c>
      <c r="K100" s="78" t="s">
        <v>49</v>
      </c>
      <c r="L100" s="138">
        <v>2445</v>
      </c>
      <c r="M100" s="78" t="s">
        <v>49</v>
      </c>
      <c r="N100" s="78" t="s">
        <v>49</v>
      </c>
      <c r="O100" s="78" t="s">
        <v>49</v>
      </c>
      <c r="P100" s="78" t="s">
        <v>49</v>
      </c>
      <c r="Q100" s="138">
        <v>2112</v>
      </c>
      <c r="R100" s="116" t="s">
        <v>41</v>
      </c>
      <c r="S100" s="116" t="s">
        <v>41</v>
      </c>
      <c r="T100" s="116" t="s">
        <v>41</v>
      </c>
      <c r="U100" s="116" t="s">
        <v>41</v>
      </c>
      <c r="V100" s="138">
        <v>2262</v>
      </c>
      <c r="W100" s="116" t="s">
        <v>41</v>
      </c>
      <c r="X100" s="116" t="s">
        <v>41</v>
      </c>
      <c r="Y100" s="116" t="s">
        <v>41</v>
      </c>
      <c r="Z100" s="116" t="s">
        <v>41</v>
      </c>
      <c r="AA100" s="138">
        <v>2102</v>
      </c>
      <c r="AB100" s="116" t="s">
        <v>41</v>
      </c>
      <c r="AC100" s="116" t="s">
        <v>41</v>
      </c>
      <c r="AD100" s="116" t="s">
        <v>41</v>
      </c>
      <c r="AE100" s="116" t="s">
        <v>41</v>
      </c>
      <c r="AF100" s="138">
        <v>2007</v>
      </c>
      <c r="AG100" s="116" t="s">
        <v>41</v>
      </c>
      <c r="AH100" s="116" t="s">
        <v>41</v>
      </c>
      <c r="AI100" s="116" t="s">
        <v>41</v>
      </c>
      <c r="AJ100" s="68">
        <v>1932</v>
      </c>
      <c r="AK100" s="138">
        <v>1932</v>
      </c>
      <c r="AL100" s="116" t="s">
        <v>41</v>
      </c>
      <c r="AM100" s="116" t="s">
        <v>41</v>
      </c>
      <c r="AN100" s="116" t="s">
        <v>41</v>
      </c>
      <c r="AO100" s="68">
        <v>1966</v>
      </c>
      <c r="AP100" s="138">
        <v>1966</v>
      </c>
      <c r="AQ100" s="116" t="s">
        <v>41</v>
      </c>
      <c r="AR100" s="116" t="s">
        <v>41</v>
      </c>
      <c r="AS100" s="116" t="s">
        <v>41</v>
      </c>
      <c r="AT100" s="68">
        <v>1905</v>
      </c>
      <c r="AU100" s="138">
        <v>1905</v>
      </c>
      <c r="AV100" s="116" t="s">
        <v>41</v>
      </c>
      <c r="AW100" s="116" t="s">
        <v>41</v>
      </c>
      <c r="AX100" s="116" t="s">
        <v>41</v>
      </c>
      <c r="AY100" s="68">
        <v>1864</v>
      </c>
      <c r="AZ100" s="138">
        <v>1864</v>
      </c>
      <c r="BA100" s="116" t="s">
        <v>41</v>
      </c>
      <c r="BB100" s="116" t="s">
        <v>41</v>
      </c>
      <c r="BC100" s="116" t="s">
        <v>41</v>
      </c>
      <c r="BD100" s="68">
        <v>1653</v>
      </c>
      <c r="BE100" s="138">
        <v>1653</v>
      </c>
      <c r="BF100" s="116" t="s">
        <v>41</v>
      </c>
      <c r="BG100" s="116" t="s">
        <v>41</v>
      </c>
      <c r="BH100" s="116" t="s">
        <v>41</v>
      </c>
    </row>
    <row r="101" spans="1:202">
      <c r="A101" s="69" t="s">
        <v>7</v>
      </c>
      <c r="B101" s="23"/>
      <c r="C101" s="70"/>
      <c r="D101" s="70"/>
      <c r="E101" s="70"/>
      <c r="F101" s="70"/>
      <c r="G101" s="23"/>
      <c r="H101" s="70"/>
      <c r="I101" s="70"/>
      <c r="J101" s="70"/>
      <c r="K101" s="70"/>
      <c r="L101" s="26"/>
      <c r="M101" s="70"/>
      <c r="N101" s="70"/>
      <c r="O101" s="70"/>
      <c r="P101" s="70"/>
      <c r="Q101" s="26"/>
      <c r="R101" s="70"/>
      <c r="S101" s="70"/>
      <c r="T101" s="70"/>
      <c r="U101" s="70"/>
      <c r="V101" s="26"/>
      <c r="W101" s="70"/>
      <c r="X101" s="70"/>
      <c r="Y101" s="70"/>
      <c r="Z101" s="70"/>
      <c r="AA101" s="26"/>
      <c r="AB101" s="70"/>
      <c r="AC101" s="70"/>
      <c r="AD101" s="70"/>
      <c r="AE101" s="70"/>
      <c r="AF101" s="26"/>
      <c r="AG101" s="70"/>
      <c r="AH101" s="70"/>
      <c r="AI101" s="70"/>
      <c r="AJ101" s="68"/>
      <c r="AK101" s="26"/>
      <c r="AL101" s="70"/>
      <c r="AM101" s="70"/>
      <c r="AN101" s="70"/>
      <c r="AO101" s="70"/>
      <c r="AP101" s="26"/>
      <c r="AQ101" s="70"/>
      <c r="AR101" s="70"/>
      <c r="AS101" s="70"/>
      <c r="AT101" s="70"/>
      <c r="AU101" s="26"/>
      <c r="AV101" s="70"/>
      <c r="AW101" s="70"/>
      <c r="AX101" s="70"/>
      <c r="AY101" s="70"/>
      <c r="AZ101" s="26"/>
      <c r="BA101" s="70"/>
      <c r="BB101" s="70"/>
      <c r="BC101" s="70"/>
      <c r="BD101" s="70"/>
      <c r="BE101" s="26"/>
      <c r="BF101" s="70"/>
      <c r="BG101" s="70"/>
      <c r="BH101" s="70"/>
    </row>
    <row r="102" spans="1:202">
      <c r="A102" s="69" t="s">
        <v>8</v>
      </c>
      <c r="B102" s="23"/>
      <c r="C102" s="71"/>
      <c r="D102" s="71"/>
      <c r="E102" s="71"/>
      <c r="F102" s="71"/>
      <c r="G102" s="23">
        <f>G100/B100-1</f>
        <v>-0.11293399465852727</v>
      </c>
      <c r="H102" s="71"/>
      <c r="I102" s="71"/>
      <c r="J102" s="71"/>
      <c r="K102" s="70"/>
      <c r="L102" s="23">
        <f>L100/G100-1</f>
        <v>5.1612903225806361E-2</v>
      </c>
      <c r="M102" s="71"/>
      <c r="N102" s="71"/>
      <c r="O102" s="71"/>
      <c r="P102" s="70"/>
      <c r="Q102" s="23">
        <f>Q100/L100-1</f>
        <v>-0.1361963190184049</v>
      </c>
      <c r="R102" s="71"/>
      <c r="S102" s="71"/>
      <c r="T102" s="71"/>
      <c r="U102" s="70"/>
      <c r="V102" s="23">
        <v>7.1022727272727293E-2</v>
      </c>
      <c r="W102" s="71"/>
      <c r="X102" s="71"/>
      <c r="Y102" s="71"/>
      <c r="Z102" s="70"/>
      <c r="AA102" s="23">
        <v>-7.0733863837312061E-2</v>
      </c>
      <c r="AB102" s="71"/>
      <c r="AC102" s="71"/>
      <c r="AD102" s="71"/>
      <c r="AE102" s="70"/>
      <c r="AF102" s="23">
        <v>-4.5195052331113206E-2</v>
      </c>
      <c r="AG102" s="71"/>
      <c r="AH102" s="71"/>
      <c r="AI102" s="71"/>
      <c r="AJ102" s="70"/>
      <c r="AK102" s="23">
        <v>-3.7369207772795177E-2</v>
      </c>
      <c r="AL102" s="71"/>
      <c r="AM102" s="71"/>
      <c r="AN102" s="71"/>
      <c r="AO102" s="70"/>
      <c r="AP102" s="23">
        <v>1.7598343685300222E-2</v>
      </c>
      <c r="AQ102" s="71"/>
      <c r="AR102" s="71"/>
      <c r="AS102" s="71"/>
      <c r="AT102" s="70"/>
      <c r="AU102" s="23">
        <v>-3.1027466937945114E-2</v>
      </c>
      <c r="AV102" s="71"/>
      <c r="AW102" s="71"/>
      <c r="AX102" s="71"/>
      <c r="AY102" s="70"/>
      <c r="AZ102" s="23">
        <v>-2.1522309711286103E-2</v>
      </c>
      <c r="BA102" s="71"/>
      <c r="BB102" s="71"/>
      <c r="BC102" s="71"/>
      <c r="BD102" s="70"/>
      <c r="BE102" s="23">
        <v>-0.1131974248927039</v>
      </c>
      <c r="BF102" s="71"/>
      <c r="BG102" s="71"/>
      <c r="BH102" s="71"/>
    </row>
    <row r="103" spans="1:202" ht="3.75" customHeight="1">
      <c r="A103" s="69"/>
      <c r="B103" s="23"/>
      <c r="C103" s="71"/>
      <c r="D103" s="71"/>
      <c r="E103" s="71"/>
      <c r="F103" s="71"/>
      <c r="G103" s="23"/>
      <c r="H103" s="71"/>
      <c r="I103" s="71"/>
      <c r="J103" s="71"/>
      <c r="K103" s="70"/>
      <c r="L103" s="23"/>
      <c r="M103" s="71"/>
      <c r="N103" s="71"/>
      <c r="O103" s="71"/>
      <c r="P103" s="70"/>
      <c r="Q103" s="23"/>
      <c r="R103" s="71"/>
      <c r="S103" s="71"/>
      <c r="T103" s="71"/>
      <c r="U103" s="70"/>
      <c r="V103" s="23"/>
      <c r="W103" s="71"/>
      <c r="X103" s="71"/>
      <c r="Y103" s="71"/>
      <c r="Z103" s="70"/>
      <c r="AA103" s="23"/>
      <c r="AB103" s="71"/>
      <c r="AC103" s="71"/>
      <c r="AD103" s="71"/>
      <c r="AE103" s="70"/>
      <c r="AF103" s="23"/>
      <c r="AG103" s="71"/>
      <c r="AH103" s="71"/>
      <c r="AI103" s="71"/>
      <c r="AJ103" s="70"/>
      <c r="AK103" s="23"/>
      <c r="AL103" s="71"/>
      <c r="AM103" s="71"/>
      <c r="AN103" s="71"/>
      <c r="AO103" s="70"/>
      <c r="AP103" s="23"/>
      <c r="AQ103" s="71"/>
      <c r="AR103" s="71"/>
      <c r="AS103" s="71"/>
      <c r="AT103" s="70"/>
      <c r="AU103" s="23"/>
      <c r="AV103" s="71"/>
      <c r="AW103" s="71"/>
      <c r="AX103" s="71"/>
      <c r="AY103" s="70"/>
      <c r="AZ103" s="23"/>
      <c r="BA103" s="71"/>
      <c r="BB103" s="71"/>
      <c r="BC103" s="71"/>
      <c r="BD103" s="70"/>
      <c r="BE103" s="23"/>
      <c r="BF103" s="71"/>
      <c r="BG103" s="71"/>
      <c r="BH103" s="71"/>
    </row>
    <row r="104" spans="1:202" ht="3.75" customHeight="1">
      <c r="A104" s="69"/>
      <c r="B104" s="23"/>
      <c r="C104" s="71"/>
      <c r="D104" s="71"/>
      <c r="E104" s="71"/>
      <c r="F104" s="71"/>
      <c r="G104" s="23"/>
      <c r="H104" s="71"/>
      <c r="I104" s="71"/>
      <c r="J104" s="71"/>
      <c r="K104" s="70"/>
      <c r="L104" s="23"/>
      <c r="M104" s="71"/>
      <c r="N104" s="71"/>
      <c r="O104" s="71"/>
      <c r="P104" s="70"/>
      <c r="Q104" s="23"/>
      <c r="R104" s="71"/>
      <c r="S104" s="71"/>
      <c r="T104" s="71"/>
      <c r="U104" s="70"/>
      <c r="V104" s="23"/>
      <c r="W104" s="71"/>
      <c r="X104" s="71"/>
      <c r="Y104" s="71"/>
      <c r="Z104" s="70"/>
      <c r="AA104" s="23"/>
      <c r="AB104" s="71"/>
      <c r="AC104" s="71"/>
      <c r="AD104" s="71"/>
      <c r="AE104" s="70"/>
      <c r="AF104" s="23"/>
      <c r="AG104" s="71"/>
      <c r="AH104" s="71"/>
      <c r="AI104" s="71"/>
      <c r="AJ104" s="70"/>
      <c r="AK104" s="23"/>
      <c r="AL104" s="71"/>
      <c r="AM104" s="71"/>
      <c r="AN104" s="71"/>
      <c r="AO104" s="70"/>
      <c r="AP104" s="23"/>
      <c r="AQ104" s="71"/>
      <c r="AR104" s="71"/>
      <c r="AS104" s="71"/>
      <c r="AT104" s="70"/>
      <c r="AU104" s="23"/>
      <c r="AV104" s="71"/>
      <c r="AW104" s="71"/>
      <c r="AX104" s="71"/>
      <c r="AY104" s="70"/>
      <c r="AZ104" s="23"/>
      <c r="BA104" s="71"/>
      <c r="BB104" s="71"/>
      <c r="BC104" s="71"/>
      <c r="BD104" s="70"/>
      <c r="BE104" s="23"/>
      <c r="BF104" s="71"/>
      <c r="BG104" s="71"/>
      <c r="BH104" s="71"/>
    </row>
    <row r="105" spans="1:202">
      <c r="A105" s="67" t="s">
        <v>160</v>
      </c>
      <c r="B105" s="95" t="s">
        <v>49</v>
      </c>
      <c r="C105" s="78" t="s">
        <v>49</v>
      </c>
      <c r="D105" s="78" t="s">
        <v>49</v>
      </c>
      <c r="E105" s="78" t="s">
        <v>49</v>
      </c>
      <c r="F105" s="78" t="s">
        <v>49</v>
      </c>
      <c r="G105" s="95" t="s">
        <v>49</v>
      </c>
      <c r="H105" s="76">
        <v>3.9E-2</v>
      </c>
      <c r="I105" s="76">
        <v>3.5999999999999997E-2</v>
      </c>
      <c r="J105" s="76">
        <v>3.4000000000000002E-2</v>
      </c>
      <c r="K105" s="76">
        <v>3.9E-2</v>
      </c>
      <c r="L105" s="38">
        <v>0.14799999999999999</v>
      </c>
      <c r="M105" s="76">
        <v>3.2000000000000001E-2</v>
      </c>
      <c r="N105" s="76">
        <v>2.9000000000000001E-2</v>
      </c>
      <c r="O105" s="76">
        <v>3.2000000000000001E-2</v>
      </c>
      <c r="P105" s="76">
        <v>3.5000000000000003E-2</v>
      </c>
      <c r="Q105" s="38">
        <v>0.127</v>
      </c>
      <c r="R105" s="76">
        <v>2.9000000000000001E-2</v>
      </c>
      <c r="S105" s="76">
        <v>2.8000000000000001E-2</v>
      </c>
      <c r="T105" s="76">
        <v>3.2000000000000001E-2</v>
      </c>
      <c r="U105" s="76">
        <v>3.6999999999999998E-2</v>
      </c>
      <c r="V105" s="38">
        <v>0.126</v>
      </c>
      <c r="W105" s="76">
        <v>4.2999999999999997E-2</v>
      </c>
      <c r="X105" s="76">
        <v>4.1000000000000002E-2</v>
      </c>
      <c r="Y105" s="76">
        <v>4.5999999999999999E-2</v>
      </c>
      <c r="Z105" s="76">
        <v>5.5E-2</v>
      </c>
      <c r="AA105" s="38">
        <v>0.184</v>
      </c>
      <c r="AB105" s="76">
        <v>4.2000000000000003E-2</v>
      </c>
      <c r="AC105" s="76">
        <v>4.4999999999999998E-2</v>
      </c>
      <c r="AD105" s="76">
        <v>4.7E-2</v>
      </c>
      <c r="AE105" s="76">
        <v>4.5999999999999999E-2</v>
      </c>
      <c r="AF105" s="38">
        <v>0.18</v>
      </c>
      <c r="AG105" s="76">
        <v>0.04</v>
      </c>
      <c r="AH105" s="76">
        <v>3.6999999999999998E-2</v>
      </c>
      <c r="AI105" s="76">
        <v>4.4999999999999998E-2</v>
      </c>
      <c r="AJ105" s="76">
        <v>4.7E-2</v>
      </c>
      <c r="AK105" s="38">
        <v>0.17</v>
      </c>
      <c r="AL105" s="76">
        <v>4.1000000000000002E-2</v>
      </c>
      <c r="AM105" s="121">
        <v>4.2000000000000003E-2</v>
      </c>
      <c r="AN105" s="76">
        <v>4.3999999999999997E-2</v>
      </c>
      <c r="AO105" s="76">
        <v>4.5999999999999999E-2</v>
      </c>
      <c r="AP105" s="38">
        <v>0.17299999999999999</v>
      </c>
      <c r="AQ105" s="76">
        <v>5.1999999999999998E-2</v>
      </c>
      <c r="AR105" s="121">
        <v>4.4999999999999998E-2</v>
      </c>
      <c r="AS105" s="121">
        <v>5.5E-2</v>
      </c>
      <c r="AT105" s="88">
        <v>5.1999999999999998E-2</v>
      </c>
      <c r="AU105" s="38">
        <v>0.20399999999999999</v>
      </c>
      <c r="AV105" s="76">
        <v>5.2999999999999999E-2</v>
      </c>
      <c r="AW105" s="76">
        <v>0.05</v>
      </c>
      <c r="AX105" s="76">
        <v>6.3E-2</v>
      </c>
      <c r="AY105" s="88">
        <v>6.8000000000000005E-2</v>
      </c>
      <c r="AZ105" s="38">
        <v>0.23400000000000001</v>
      </c>
      <c r="BA105" s="76">
        <v>0.06</v>
      </c>
      <c r="BB105" s="76">
        <v>0.06</v>
      </c>
      <c r="BC105" s="76">
        <v>5.8000000000000003E-2</v>
      </c>
      <c r="BD105" s="88">
        <v>7.7000000000000013E-2</v>
      </c>
      <c r="BE105" s="38">
        <v>0.255</v>
      </c>
      <c r="BF105" s="76">
        <v>6.6000000000000003E-2</v>
      </c>
      <c r="BG105" s="76">
        <v>6.2E-2</v>
      </c>
      <c r="BH105" s="76">
        <v>7.0999999999999994E-2</v>
      </c>
    </row>
    <row r="106" spans="1:202" ht="6" customHeight="1">
      <c r="A106" s="67"/>
      <c r="B106" s="95"/>
      <c r="C106" s="78"/>
      <c r="D106" s="78"/>
      <c r="E106" s="78"/>
      <c r="F106" s="78"/>
      <c r="G106" s="95"/>
      <c r="H106" s="76"/>
      <c r="I106" s="76"/>
      <c r="J106" s="76"/>
      <c r="K106" s="76"/>
      <c r="L106" s="38"/>
      <c r="M106" s="76"/>
      <c r="N106" s="76"/>
      <c r="O106" s="76"/>
      <c r="P106" s="76"/>
      <c r="Q106" s="38"/>
      <c r="R106" s="76"/>
      <c r="S106" s="76"/>
      <c r="T106" s="76"/>
      <c r="U106" s="76"/>
      <c r="V106" s="38"/>
      <c r="W106" s="76"/>
      <c r="X106" s="76"/>
      <c r="Y106" s="76"/>
      <c r="Z106" s="76"/>
      <c r="AA106" s="38"/>
      <c r="AB106" s="76"/>
      <c r="AC106" s="76"/>
      <c r="AD106" s="76"/>
      <c r="AE106" s="76"/>
      <c r="AF106" s="38"/>
      <c r="AG106" s="76"/>
      <c r="AH106" s="76"/>
      <c r="AI106" s="76"/>
      <c r="AJ106" s="76"/>
      <c r="AK106" s="38"/>
      <c r="AL106" s="76"/>
      <c r="AM106" s="76"/>
      <c r="AN106" s="76"/>
      <c r="AO106" s="76"/>
      <c r="AP106" s="38"/>
      <c r="AQ106" s="76"/>
      <c r="AR106" s="76"/>
      <c r="AS106" s="76"/>
      <c r="AT106" s="76"/>
      <c r="AU106" s="38"/>
      <c r="AV106" s="76"/>
      <c r="AW106" s="76"/>
      <c r="AX106" s="76"/>
      <c r="AY106" s="76"/>
      <c r="AZ106" s="38"/>
      <c r="BA106" s="76"/>
      <c r="BB106" s="76"/>
      <c r="BC106" s="76"/>
      <c r="BD106" s="76"/>
      <c r="BE106" s="38"/>
      <c r="BF106" s="76"/>
      <c r="BG106" s="76"/>
      <c r="BH106" s="76"/>
    </row>
    <row r="107" spans="1:202" ht="12" customHeight="1">
      <c r="A107" s="67" t="s">
        <v>150</v>
      </c>
      <c r="B107" s="139">
        <v>0.36</v>
      </c>
      <c r="C107" s="139"/>
      <c r="D107" s="139"/>
      <c r="E107" s="139"/>
      <c r="F107" s="139"/>
      <c r="G107" s="139">
        <v>0.36</v>
      </c>
      <c r="H107" s="139"/>
      <c r="I107" s="139"/>
      <c r="J107" s="139"/>
      <c r="K107" s="139"/>
      <c r="L107" s="139">
        <v>0.36</v>
      </c>
      <c r="M107" s="139"/>
      <c r="N107" s="139"/>
      <c r="O107" s="139"/>
      <c r="P107" s="139"/>
      <c r="Q107" s="139">
        <v>0.35899999999999999</v>
      </c>
      <c r="R107" s="139"/>
      <c r="S107" s="139"/>
      <c r="T107" s="139"/>
      <c r="U107" s="139"/>
      <c r="V107" s="139">
        <v>0.375</v>
      </c>
      <c r="W107" s="139"/>
      <c r="X107" s="139"/>
      <c r="Y107" s="139"/>
      <c r="Z107" s="139"/>
      <c r="AA107" s="139">
        <v>0.38800000000000001</v>
      </c>
      <c r="AB107" s="139"/>
      <c r="AC107" s="139"/>
      <c r="AD107" s="139"/>
      <c r="AE107" s="139"/>
      <c r="AF107" s="139">
        <v>0.40600000000000003</v>
      </c>
      <c r="AG107" s="116" t="s">
        <v>41</v>
      </c>
      <c r="AH107" s="116" t="s">
        <v>41</v>
      </c>
      <c r="AI107" s="116" t="s">
        <v>41</v>
      </c>
      <c r="AJ107" s="116" t="s">
        <v>41</v>
      </c>
      <c r="AK107" s="163">
        <v>0.42</v>
      </c>
      <c r="AL107" s="116" t="s">
        <v>41</v>
      </c>
      <c r="AM107" s="116" t="s">
        <v>41</v>
      </c>
      <c r="AN107" s="116" t="s">
        <v>41</v>
      </c>
      <c r="AO107" s="116" t="s">
        <v>41</v>
      </c>
      <c r="AP107" s="163">
        <v>0.44</v>
      </c>
      <c r="AQ107" s="116" t="s">
        <v>41</v>
      </c>
      <c r="AR107" s="116" t="s">
        <v>41</v>
      </c>
      <c r="AS107" s="116" t="s">
        <v>41</v>
      </c>
      <c r="AT107" s="116" t="s">
        <v>41</v>
      </c>
      <c r="AU107" s="163">
        <v>0.44</v>
      </c>
      <c r="AV107" s="116" t="s">
        <v>41</v>
      </c>
      <c r="AW107" s="116" t="s">
        <v>41</v>
      </c>
      <c r="AX107" s="76">
        <v>0.42099999999999999</v>
      </c>
      <c r="AY107" s="116" t="s">
        <v>41</v>
      </c>
      <c r="AZ107" s="217" t="s">
        <v>41</v>
      </c>
      <c r="BA107" s="116" t="s">
        <v>41</v>
      </c>
      <c r="BB107" s="116" t="s">
        <v>41</v>
      </c>
      <c r="BC107" s="76">
        <v>0.38200000000000001</v>
      </c>
      <c r="BD107" s="116" t="s">
        <v>41</v>
      </c>
      <c r="BE107" s="217" t="s">
        <v>41</v>
      </c>
      <c r="BF107" s="116" t="s">
        <v>41</v>
      </c>
      <c r="BG107" s="116" t="s">
        <v>41</v>
      </c>
      <c r="BH107" s="116" t="s">
        <v>41</v>
      </c>
    </row>
    <row r="108" spans="1:202" ht="3.75" customHeight="1">
      <c r="A108" s="67"/>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16"/>
      <c r="AH108" s="116"/>
      <c r="AI108" s="116"/>
      <c r="AJ108" s="116"/>
      <c r="AK108" s="163"/>
      <c r="AL108" s="116"/>
      <c r="AM108" s="116"/>
      <c r="AN108" s="116"/>
      <c r="AO108" s="116"/>
      <c r="AP108" s="163"/>
      <c r="AQ108" s="116"/>
      <c r="AR108" s="116"/>
      <c r="AS108" s="116"/>
      <c r="AT108" s="116"/>
      <c r="AU108" s="163"/>
      <c r="AV108" s="116"/>
      <c r="AW108" s="116"/>
      <c r="AX108" s="116"/>
      <c r="AY108" s="116"/>
      <c r="AZ108" s="163"/>
      <c r="BA108" s="116"/>
      <c r="BB108" s="116"/>
      <c r="BC108" s="116"/>
      <c r="BD108" s="116"/>
      <c r="BE108" s="163"/>
      <c r="BF108" s="116"/>
      <c r="BG108" s="116"/>
      <c r="BH108" s="116"/>
    </row>
    <row r="109" spans="1:202">
      <c r="A109" s="67" t="s">
        <v>151</v>
      </c>
      <c r="B109" s="139">
        <v>0.36</v>
      </c>
      <c r="C109" s="139"/>
      <c r="D109" s="139"/>
      <c r="E109" s="139"/>
      <c r="F109" s="139"/>
      <c r="G109" s="139">
        <v>0.36</v>
      </c>
      <c r="H109" s="139"/>
      <c r="I109" s="139"/>
      <c r="J109" s="139"/>
      <c r="K109" s="139"/>
      <c r="L109" s="139">
        <v>0.31</v>
      </c>
      <c r="M109" s="139"/>
      <c r="N109" s="139"/>
      <c r="O109" s="139"/>
      <c r="P109" s="139"/>
      <c r="Q109" s="139">
        <v>0.307</v>
      </c>
      <c r="R109" s="139"/>
      <c r="S109" s="139"/>
      <c r="T109" s="139"/>
      <c r="U109" s="139"/>
      <c r="V109" s="139">
        <v>0.3</v>
      </c>
      <c r="W109" s="139"/>
      <c r="X109" s="139"/>
      <c r="Y109" s="139"/>
      <c r="Z109" s="139"/>
      <c r="AA109" s="139">
        <v>0.246</v>
      </c>
      <c r="AB109" s="139"/>
      <c r="AC109" s="139"/>
      <c r="AD109" s="139"/>
      <c r="AE109" s="139"/>
      <c r="AF109" s="139">
        <v>0.21199999999999999</v>
      </c>
      <c r="AG109" s="116" t="s">
        <v>41</v>
      </c>
      <c r="AH109" s="116" t="s">
        <v>41</v>
      </c>
      <c r="AI109" s="116" t="s">
        <v>41</v>
      </c>
      <c r="AJ109" s="116" t="s">
        <v>41</v>
      </c>
      <c r="AK109" s="163">
        <v>0.23</v>
      </c>
      <c r="AL109" s="116" t="s">
        <v>41</v>
      </c>
      <c r="AM109" s="116" t="s">
        <v>41</v>
      </c>
      <c r="AN109" s="116" t="s">
        <v>41</v>
      </c>
      <c r="AO109" s="116" t="s">
        <v>41</v>
      </c>
      <c r="AP109" s="163">
        <v>0.21</v>
      </c>
      <c r="AQ109" s="116" t="s">
        <v>41</v>
      </c>
      <c r="AR109" s="116" t="s">
        <v>41</v>
      </c>
      <c r="AS109" s="116" t="s">
        <v>41</v>
      </c>
      <c r="AT109" s="116" t="s">
        <v>41</v>
      </c>
      <c r="AU109" s="163">
        <v>0.21</v>
      </c>
      <c r="AV109" s="116" t="s">
        <v>41</v>
      </c>
      <c r="AW109" s="116" t="s">
        <v>41</v>
      </c>
      <c r="AX109" s="116" t="s">
        <v>41</v>
      </c>
      <c r="AY109" s="116" t="s">
        <v>41</v>
      </c>
      <c r="AZ109" s="139">
        <v>0.25600000000000001</v>
      </c>
      <c r="BA109" s="116" t="s">
        <v>41</v>
      </c>
      <c r="BB109" s="116" t="s">
        <v>41</v>
      </c>
      <c r="BC109" s="116" t="s">
        <v>41</v>
      </c>
      <c r="BD109" s="116" t="s">
        <v>41</v>
      </c>
      <c r="BE109" s="139">
        <v>0.23300000000000001</v>
      </c>
      <c r="BF109" s="116" t="s">
        <v>41</v>
      </c>
      <c r="BG109" s="116" t="s">
        <v>41</v>
      </c>
      <c r="BH109" s="116" t="s">
        <v>41</v>
      </c>
    </row>
    <row r="110" spans="1:202" s="45" customFormat="1" ht="3.75" customHeight="1">
      <c r="A110" s="91"/>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s="25" customFormat="1" ht="21">
      <c r="A111" s="34" t="s">
        <v>20</v>
      </c>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row>
    <row r="112" spans="1:2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row>
    <row r="113" spans="1:202" s="42" customFormat="1" ht="12" customHeight="1">
      <c r="A113" s="39" t="s">
        <v>25</v>
      </c>
      <c r="B113" s="40"/>
      <c r="C113" s="41"/>
      <c r="D113" s="41"/>
      <c r="E113" s="41"/>
      <c r="F113" s="41"/>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33" customFormat="1">
      <c r="A114" s="67"/>
      <c r="B114" s="28"/>
      <c r="C114" s="67"/>
      <c r="D114" s="67"/>
      <c r="E114" s="67"/>
      <c r="F114" s="67"/>
      <c r="G114" s="28"/>
      <c r="H114" s="67"/>
      <c r="I114" s="67"/>
      <c r="J114" s="67"/>
      <c r="K114" s="67"/>
      <c r="L114" s="20"/>
      <c r="M114" s="67"/>
      <c r="N114" s="67"/>
      <c r="O114" s="67"/>
      <c r="P114" s="67"/>
      <c r="Q114" s="20"/>
      <c r="R114" s="67"/>
      <c r="S114" s="67"/>
      <c r="T114" s="67"/>
      <c r="U114" s="67"/>
      <c r="V114" s="20"/>
      <c r="W114" s="67"/>
      <c r="X114" s="67"/>
      <c r="Y114" s="67"/>
      <c r="Z114" s="67"/>
      <c r="AA114" s="20"/>
      <c r="AB114" s="67"/>
      <c r="AC114" s="67"/>
      <c r="AD114" s="67"/>
      <c r="AE114" s="67"/>
      <c r="AF114" s="20"/>
      <c r="AG114" s="67"/>
      <c r="AH114" s="67"/>
      <c r="AI114" s="67"/>
      <c r="AJ114" s="67"/>
      <c r="AK114" s="20"/>
      <c r="AL114" s="67"/>
      <c r="AM114" s="67"/>
      <c r="AN114" s="67"/>
      <c r="AO114" s="67"/>
      <c r="AP114" s="20"/>
      <c r="AQ114" s="67"/>
      <c r="AR114" s="67"/>
      <c r="AS114" s="67"/>
      <c r="AT114" s="67"/>
      <c r="AU114" s="20"/>
      <c r="AV114" s="67"/>
      <c r="AW114" s="67"/>
      <c r="AX114" s="67"/>
      <c r="AY114" s="67"/>
      <c r="AZ114" s="20"/>
      <c r="BA114" s="67"/>
      <c r="BB114" s="67"/>
      <c r="BC114" s="67"/>
      <c r="BD114" s="67"/>
      <c r="BE114" s="20"/>
      <c r="BF114" s="67"/>
      <c r="BG114" s="67"/>
      <c r="BH114" s="67"/>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row>
    <row r="115" spans="1:202" s="2" customFormat="1">
      <c r="A115" s="67" t="s">
        <v>279</v>
      </c>
      <c r="B115" s="28">
        <v>549</v>
      </c>
      <c r="C115" s="67">
        <v>549</v>
      </c>
      <c r="D115" s="67">
        <v>551</v>
      </c>
      <c r="E115" s="67">
        <v>556</v>
      </c>
      <c r="F115" s="67">
        <v>560</v>
      </c>
      <c r="G115" s="28">
        <v>560</v>
      </c>
      <c r="H115" s="67">
        <v>560</v>
      </c>
      <c r="I115" s="67">
        <v>562</v>
      </c>
      <c r="J115" s="67">
        <v>567</v>
      </c>
      <c r="K115" s="68">
        <v>571</v>
      </c>
      <c r="L115" s="27">
        <v>571</v>
      </c>
      <c r="M115" s="67">
        <v>571</v>
      </c>
      <c r="N115" s="67">
        <v>573</v>
      </c>
      <c r="O115" s="67">
        <v>575</v>
      </c>
      <c r="P115" s="68">
        <v>578</v>
      </c>
      <c r="Q115" s="27">
        <v>578</v>
      </c>
      <c r="R115" s="67">
        <v>580</v>
      </c>
      <c r="S115" s="67">
        <v>581</v>
      </c>
      <c r="T115" s="67">
        <v>585</v>
      </c>
      <c r="U115" s="68">
        <v>586</v>
      </c>
      <c r="V115" s="27">
        <v>586</v>
      </c>
      <c r="W115" s="67">
        <v>585</v>
      </c>
      <c r="X115" s="67">
        <v>582</v>
      </c>
      <c r="Y115" s="67">
        <v>581</v>
      </c>
      <c r="Z115" s="68">
        <v>578</v>
      </c>
      <c r="AA115" s="27">
        <v>578</v>
      </c>
      <c r="AB115" s="67">
        <v>578</v>
      </c>
      <c r="AC115" s="67">
        <v>583</v>
      </c>
      <c r="AD115" s="67">
        <v>593</v>
      </c>
      <c r="AE115" s="68">
        <v>600</v>
      </c>
      <c r="AF115" s="27">
        <v>600</v>
      </c>
      <c r="AG115" s="67">
        <v>605</v>
      </c>
      <c r="AH115" s="67">
        <v>611</v>
      </c>
      <c r="AI115" s="67">
        <v>622</v>
      </c>
      <c r="AJ115" s="68">
        <v>630</v>
      </c>
      <c r="AK115" s="27">
        <v>630</v>
      </c>
      <c r="AL115" s="67">
        <v>632</v>
      </c>
      <c r="AM115" s="67">
        <v>636</v>
      </c>
      <c r="AN115" s="67">
        <v>637</v>
      </c>
      <c r="AO115" s="68">
        <v>635</v>
      </c>
      <c r="AP115" s="27">
        <v>635</v>
      </c>
      <c r="AQ115" s="67">
        <v>629</v>
      </c>
      <c r="AR115" s="67">
        <v>623</v>
      </c>
      <c r="AS115" s="67">
        <v>618</v>
      </c>
      <c r="AT115" s="68">
        <v>614</v>
      </c>
      <c r="AU115" s="27">
        <v>614</v>
      </c>
      <c r="AV115" s="67">
        <v>608</v>
      </c>
      <c r="AW115" s="67">
        <v>603</v>
      </c>
      <c r="AX115" s="67">
        <v>597</v>
      </c>
      <c r="AY115" s="68">
        <v>587</v>
      </c>
      <c r="AZ115" s="27">
        <v>587</v>
      </c>
      <c r="BA115" s="67">
        <v>580</v>
      </c>
      <c r="BB115" s="35">
        <v>582</v>
      </c>
      <c r="BC115" s="35">
        <v>584</v>
      </c>
      <c r="BD115" s="143">
        <v>574</v>
      </c>
      <c r="BE115" s="221">
        <v>574</v>
      </c>
      <c r="BF115" s="67">
        <v>568</v>
      </c>
      <c r="BG115" s="35">
        <v>565</v>
      </c>
      <c r="BH115" s="35">
        <v>558</v>
      </c>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row>
    <row r="116" spans="1:202">
      <c r="A116" s="69" t="s">
        <v>7</v>
      </c>
      <c r="B116" s="23"/>
      <c r="C116" s="70"/>
      <c r="D116" s="70">
        <f>D115/C115-1</f>
        <v>3.6429872495447047E-3</v>
      </c>
      <c r="E116" s="70">
        <f>E115/D115-1</f>
        <v>9.0744101633393193E-3</v>
      </c>
      <c r="F116" s="70">
        <f>F115/E115-1</f>
        <v>7.194244604316502E-3</v>
      </c>
      <c r="G116" s="23"/>
      <c r="H116" s="70">
        <f>H115/F115-1</f>
        <v>0</v>
      </c>
      <c r="I116" s="70">
        <f>I115/H115-1</f>
        <v>3.5714285714285587E-3</v>
      </c>
      <c r="J116" s="70">
        <f>J115/I115-1</f>
        <v>8.8967971530249379E-3</v>
      </c>
      <c r="K116" s="70">
        <f>K115/J115-1</f>
        <v>7.0546737213403876E-3</v>
      </c>
      <c r="L116" s="26"/>
      <c r="M116" s="70">
        <f>M115/K115-1</f>
        <v>0</v>
      </c>
      <c r="N116" s="70">
        <f>N115/M115-1</f>
        <v>3.5026269702276291E-3</v>
      </c>
      <c r="O116" s="70">
        <f>O115/N115-1</f>
        <v>3.4904013961605251E-3</v>
      </c>
      <c r="P116" s="70">
        <f>P115/O115-1</f>
        <v>5.2173913043478404E-3</v>
      </c>
      <c r="Q116" s="26"/>
      <c r="R116" s="70">
        <f>R115/P115-1</f>
        <v>3.4602076124568004E-3</v>
      </c>
      <c r="S116" s="70">
        <f>S115/R115-1</f>
        <v>1.7241379310344307E-3</v>
      </c>
      <c r="T116" s="70">
        <f>T115/S115-1</f>
        <v>6.8846815834766595E-3</v>
      </c>
      <c r="U116" s="70">
        <f>U115/T115-1</f>
        <v>1.7094017094017033E-3</v>
      </c>
      <c r="V116" s="26"/>
      <c r="W116" s="70">
        <v>-1.7064846416382506E-3</v>
      </c>
      <c r="X116" s="70">
        <v>-5.12820512820511E-3</v>
      </c>
      <c r="Y116" s="70">
        <v>-1.7182130584192379E-3</v>
      </c>
      <c r="Z116" s="70">
        <v>-5.1635111876076056E-3</v>
      </c>
      <c r="AA116" s="26"/>
      <c r="AB116" s="70">
        <v>0</v>
      </c>
      <c r="AC116" s="70">
        <v>8.65051903114189E-3</v>
      </c>
      <c r="AD116" s="70">
        <v>1.7152658662092701E-2</v>
      </c>
      <c r="AE116" s="70">
        <v>1.180438448566612E-2</v>
      </c>
      <c r="AF116" s="26"/>
      <c r="AG116" s="70">
        <v>8.3333333333333037E-3</v>
      </c>
      <c r="AH116" s="70">
        <v>9.917355371900749E-3</v>
      </c>
      <c r="AI116" s="70">
        <v>1.8003273322422242E-2</v>
      </c>
      <c r="AJ116" s="70">
        <v>1.2861736334405238E-2</v>
      </c>
      <c r="AK116" s="26"/>
      <c r="AL116" s="70">
        <v>3.1746031746031633E-3</v>
      </c>
      <c r="AM116" s="70">
        <v>6.3291139240506666E-3</v>
      </c>
      <c r="AN116" s="70">
        <v>1.5723270440251014E-3</v>
      </c>
      <c r="AO116" s="70">
        <v>-3.1397174254317317E-3</v>
      </c>
      <c r="AP116" s="26"/>
      <c r="AQ116" s="70">
        <v>-9.4488188976378229E-3</v>
      </c>
      <c r="AR116" s="70">
        <v>-9.5389507154213238E-3</v>
      </c>
      <c r="AS116" s="70">
        <v>-8.0256821829856051E-3</v>
      </c>
      <c r="AT116" s="70">
        <v>-6.4724919093851474E-3</v>
      </c>
      <c r="AU116" s="26"/>
      <c r="AV116" s="70">
        <v>-9.7719869706840434E-3</v>
      </c>
      <c r="AW116" s="70">
        <v>-8.2236842105263275E-3</v>
      </c>
      <c r="AX116" s="70">
        <v>-9.9502487562188602E-3</v>
      </c>
      <c r="AY116" s="70">
        <v>-1.675041876046901E-2</v>
      </c>
      <c r="AZ116" s="26"/>
      <c r="BA116" s="70">
        <v>-1.1925042589437829E-2</v>
      </c>
      <c r="BB116" s="161">
        <v>3.4482758620688614E-3</v>
      </c>
      <c r="BC116" s="161">
        <v>3.4364261168384758E-3</v>
      </c>
      <c r="BD116" s="161">
        <v>-1.7123287671232834E-2</v>
      </c>
      <c r="BE116" s="26"/>
      <c r="BF116" s="70">
        <v>-1.0452961672473893E-2</v>
      </c>
      <c r="BG116" s="161">
        <v>-5.2816901408451189E-3</v>
      </c>
      <c r="BH116" s="161">
        <v>-1.2389380530973493E-2</v>
      </c>
    </row>
    <row r="117" spans="1:202">
      <c r="A117" s="69" t="s">
        <v>8</v>
      </c>
      <c r="B117" s="23"/>
      <c r="C117" s="71"/>
      <c r="D117" s="71"/>
      <c r="E117" s="71"/>
      <c r="F117" s="71"/>
      <c r="G117" s="23">
        <f t="shared" ref="G117:N117" si="31">G115/B115-1</f>
        <v>2.0036429872495543E-2</v>
      </c>
      <c r="H117" s="71">
        <f t="shared" si="31"/>
        <v>2.0036429872495543E-2</v>
      </c>
      <c r="I117" s="71">
        <f t="shared" si="31"/>
        <v>1.9963702359346636E-2</v>
      </c>
      <c r="J117" s="71">
        <f t="shared" si="31"/>
        <v>1.9784172661870603E-2</v>
      </c>
      <c r="K117" s="70">
        <f t="shared" si="31"/>
        <v>1.9642857142857073E-2</v>
      </c>
      <c r="L117" s="23">
        <f t="shared" si="31"/>
        <v>1.9642857142857073E-2</v>
      </c>
      <c r="M117" s="71">
        <f t="shared" si="31"/>
        <v>1.9642857142857073E-2</v>
      </c>
      <c r="N117" s="71">
        <f t="shared" si="31"/>
        <v>1.9572953736654908E-2</v>
      </c>
      <c r="O117" s="71">
        <f t="shared" ref="O117:U117" si="32">O115/J115-1</f>
        <v>1.4109347442680775E-2</v>
      </c>
      <c r="P117" s="70">
        <f t="shared" si="32"/>
        <v>1.2259194395796813E-2</v>
      </c>
      <c r="Q117" s="23">
        <f t="shared" si="32"/>
        <v>1.2259194395796813E-2</v>
      </c>
      <c r="R117" s="71">
        <f t="shared" si="32"/>
        <v>1.5761821366024442E-2</v>
      </c>
      <c r="S117" s="71">
        <f t="shared" si="32"/>
        <v>1.3961605584642323E-2</v>
      </c>
      <c r="T117" s="71">
        <f t="shared" si="32"/>
        <v>1.7391304347825987E-2</v>
      </c>
      <c r="U117" s="70">
        <f t="shared" si="32"/>
        <v>1.384083044982698E-2</v>
      </c>
      <c r="V117" s="23">
        <v>1.384083044982698E-2</v>
      </c>
      <c r="W117" s="71">
        <v>8.6206896551723755E-3</v>
      </c>
      <c r="X117" s="71">
        <v>1.7211703958692759E-3</v>
      </c>
      <c r="Y117" s="71">
        <v>-6.8376068376068133E-3</v>
      </c>
      <c r="Z117" s="70">
        <v>-1.3651877133105783E-2</v>
      </c>
      <c r="AA117" s="23">
        <v>-1.3651877133105783E-2</v>
      </c>
      <c r="AB117" s="71">
        <v>-1.1965811965811923E-2</v>
      </c>
      <c r="AC117" s="71">
        <v>1.7182130584192379E-3</v>
      </c>
      <c r="AD117" s="71">
        <v>2.06540447504302E-2</v>
      </c>
      <c r="AE117" s="70">
        <v>3.8062283737024138E-2</v>
      </c>
      <c r="AF117" s="23">
        <v>3.8062283737024138E-2</v>
      </c>
      <c r="AG117" s="71">
        <v>4.6712802768166028E-2</v>
      </c>
      <c r="AH117" s="71">
        <v>4.8027444253859297E-2</v>
      </c>
      <c r="AI117" s="71">
        <v>4.8903878583473892E-2</v>
      </c>
      <c r="AJ117" s="70">
        <v>5.0000000000000044E-2</v>
      </c>
      <c r="AK117" s="23">
        <v>5.0000000000000044E-2</v>
      </c>
      <c r="AL117" s="71">
        <v>4.4628099173553704E-2</v>
      </c>
      <c r="AM117" s="71">
        <v>4.0916530278232388E-2</v>
      </c>
      <c r="AN117" s="71">
        <v>2.4115755627009738E-2</v>
      </c>
      <c r="AO117" s="70">
        <v>7.9365079365079083E-3</v>
      </c>
      <c r="AP117" s="23">
        <v>7.9365079365079083E-3</v>
      </c>
      <c r="AQ117" s="71">
        <v>-4.746835443038E-3</v>
      </c>
      <c r="AR117" s="71">
        <v>-2.0440251572327095E-2</v>
      </c>
      <c r="AS117" s="71">
        <v>-2.9827315541601229E-2</v>
      </c>
      <c r="AT117" s="70">
        <v>-3.3070866141732269E-2</v>
      </c>
      <c r="AU117" s="23">
        <v>-3.3070866141732269E-2</v>
      </c>
      <c r="AV117" s="71">
        <v>-3.3386327503974522E-2</v>
      </c>
      <c r="AW117" s="71">
        <v>-3.2102728731942198E-2</v>
      </c>
      <c r="AX117" s="71">
        <v>-3.398058252427183E-2</v>
      </c>
      <c r="AY117" s="70">
        <v>-4.3973941368078195E-2</v>
      </c>
      <c r="AZ117" s="23">
        <v>-4.3973941368078195E-2</v>
      </c>
      <c r="BA117" s="71">
        <v>-4.6052631578947345E-2</v>
      </c>
      <c r="BB117" s="160">
        <v>-3.4825870646766122E-2</v>
      </c>
      <c r="BC117" s="160">
        <v>-2.1775544388609736E-2</v>
      </c>
      <c r="BD117" s="161">
        <v>-2.2146507666098825E-2</v>
      </c>
      <c r="BE117" s="23">
        <v>-2.2146507666098825E-2</v>
      </c>
      <c r="BF117" s="71">
        <v>-2.0689655172413834E-2</v>
      </c>
      <c r="BG117" s="160">
        <v>-2.9209621993127155E-2</v>
      </c>
      <c r="BH117" s="160">
        <v>-4.4520547945205435E-2</v>
      </c>
    </row>
    <row r="118" spans="1:202" ht="11.7" customHeight="1">
      <c r="A118" s="69" t="s">
        <v>205</v>
      </c>
      <c r="B118" s="23"/>
      <c r="C118" s="71"/>
      <c r="D118" s="71"/>
      <c r="E118" s="71"/>
      <c r="F118" s="71"/>
      <c r="G118" s="23"/>
      <c r="H118" s="71"/>
      <c r="I118" s="71"/>
      <c r="J118" s="71"/>
      <c r="K118" s="70"/>
      <c r="L118" s="23"/>
      <c r="M118" s="71"/>
      <c r="N118" s="71"/>
      <c r="O118" s="71"/>
      <c r="P118" s="70"/>
      <c r="Q118" s="23"/>
      <c r="R118" s="71"/>
      <c r="S118" s="71"/>
      <c r="T118" s="71"/>
      <c r="U118" s="70"/>
      <c r="V118" s="23"/>
      <c r="W118" s="71"/>
      <c r="X118" s="71"/>
      <c r="Y118" s="71"/>
      <c r="Z118" s="70"/>
      <c r="AA118" s="23"/>
      <c r="AB118" s="71"/>
      <c r="AC118" s="71"/>
      <c r="AD118" s="71"/>
      <c r="AE118" s="70"/>
      <c r="AF118" s="23"/>
      <c r="AG118" s="71"/>
      <c r="AH118" s="71"/>
      <c r="AI118" s="71"/>
      <c r="AJ118" s="70"/>
      <c r="AK118" s="23"/>
      <c r="AL118" s="71"/>
      <c r="AM118" s="193">
        <v>4</v>
      </c>
      <c r="AN118" s="193">
        <v>1</v>
      </c>
      <c r="AO118" s="193">
        <v>-2</v>
      </c>
      <c r="AP118" s="194"/>
      <c r="AQ118" s="195">
        <v>-6</v>
      </c>
      <c r="AR118" s="195">
        <v>-6</v>
      </c>
      <c r="AS118" s="195">
        <v>-5</v>
      </c>
      <c r="AT118" s="195">
        <v>-4</v>
      </c>
      <c r="AU118" s="196">
        <v>-21</v>
      </c>
      <c r="AV118" s="195">
        <v>-6</v>
      </c>
      <c r="AW118" s="195">
        <v>-5</v>
      </c>
      <c r="AX118" s="195">
        <v>-6</v>
      </c>
      <c r="AY118" s="195">
        <v>-10</v>
      </c>
      <c r="AZ118" s="196">
        <v>-27</v>
      </c>
      <c r="BA118" s="195">
        <v>-7</v>
      </c>
      <c r="BB118" s="195">
        <v>2</v>
      </c>
      <c r="BC118" s="195">
        <v>2</v>
      </c>
      <c r="BD118" s="195">
        <v>-10</v>
      </c>
      <c r="BE118" s="196">
        <v>-13</v>
      </c>
      <c r="BF118" s="195">
        <v>-6</v>
      </c>
      <c r="BG118" s="195">
        <v>-3</v>
      </c>
      <c r="BH118" s="195">
        <v>-7</v>
      </c>
    </row>
    <row r="119" spans="1:202" ht="8.25" customHeight="1">
      <c r="A119" s="69"/>
      <c r="B119" s="23"/>
      <c r="C119" s="71"/>
      <c r="D119" s="71"/>
      <c r="E119" s="71"/>
      <c r="F119" s="71"/>
      <c r="G119" s="23"/>
      <c r="H119" s="71"/>
      <c r="I119" s="71"/>
      <c r="J119" s="71"/>
      <c r="K119" s="70"/>
      <c r="L119" s="23"/>
      <c r="M119" s="71"/>
      <c r="N119" s="71"/>
      <c r="O119" s="71"/>
      <c r="P119" s="70"/>
      <c r="Q119" s="23"/>
      <c r="R119" s="71"/>
      <c r="S119" s="71"/>
      <c r="T119" s="71"/>
      <c r="U119" s="70"/>
      <c r="V119" s="23"/>
      <c r="W119" s="71"/>
      <c r="X119" s="71"/>
      <c r="Y119" s="71"/>
      <c r="Z119" s="70"/>
      <c r="AA119" s="23"/>
      <c r="AB119" s="71"/>
      <c r="AC119" s="71"/>
      <c r="AD119" s="71"/>
      <c r="AE119" s="70"/>
      <c r="AF119" s="23"/>
      <c r="AG119" s="71"/>
      <c r="AH119" s="71"/>
      <c r="AI119" s="71"/>
      <c r="AJ119" s="70"/>
      <c r="AK119" s="23"/>
      <c r="AL119" s="71"/>
      <c r="AM119" s="81"/>
      <c r="AN119" s="81"/>
      <c r="AO119" s="70"/>
      <c r="AP119" s="23"/>
      <c r="AQ119" s="71"/>
      <c r="AR119" s="81"/>
      <c r="AS119" s="81"/>
      <c r="AT119" s="70"/>
      <c r="AU119" s="23"/>
      <c r="AV119" s="71"/>
      <c r="AW119" s="71"/>
      <c r="AX119" s="71"/>
      <c r="AY119" s="70"/>
      <c r="AZ119" s="23"/>
      <c r="BA119" s="71"/>
      <c r="BB119" s="160"/>
      <c r="BC119" s="160"/>
      <c r="BD119" s="161"/>
      <c r="BE119" s="23"/>
      <c r="BF119" s="71"/>
      <c r="BG119" s="160"/>
      <c r="BH119" s="160"/>
    </row>
    <row r="120" spans="1:202">
      <c r="A120" s="67" t="s">
        <v>71</v>
      </c>
      <c r="B120" s="37">
        <v>217</v>
      </c>
      <c r="C120" s="67">
        <v>231</v>
      </c>
      <c r="D120" s="67">
        <v>230</v>
      </c>
      <c r="E120" s="67">
        <v>226</v>
      </c>
      <c r="F120" s="67">
        <v>225</v>
      </c>
      <c r="G120" s="37">
        <v>228</v>
      </c>
      <c r="H120" s="67">
        <v>228</v>
      </c>
      <c r="I120" s="67">
        <v>224</v>
      </c>
      <c r="J120" s="67">
        <v>224</v>
      </c>
      <c r="K120" s="68">
        <v>229</v>
      </c>
      <c r="L120" s="27">
        <v>226</v>
      </c>
      <c r="M120" s="67">
        <v>229</v>
      </c>
      <c r="N120" s="67">
        <v>231</v>
      </c>
      <c r="O120" s="67">
        <v>229</v>
      </c>
      <c r="P120" s="68">
        <v>231</v>
      </c>
      <c r="Q120" s="27">
        <v>230</v>
      </c>
      <c r="R120" s="67">
        <v>234</v>
      </c>
      <c r="S120" s="67">
        <v>232</v>
      </c>
      <c r="T120" s="67">
        <v>232</v>
      </c>
      <c r="U120" s="68">
        <v>229</v>
      </c>
      <c r="V120" s="27">
        <v>232</v>
      </c>
      <c r="W120" s="67">
        <v>237</v>
      </c>
      <c r="X120" s="67">
        <v>234</v>
      </c>
      <c r="Y120" s="67">
        <v>231</v>
      </c>
      <c r="Z120" s="68">
        <v>234</v>
      </c>
      <c r="AA120" s="27">
        <v>234</v>
      </c>
      <c r="AB120" s="67">
        <v>233</v>
      </c>
      <c r="AC120" s="67">
        <v>232</v>
      </c>
      <c r="AD120" s="67">
        <v>233</v>
      </c>
      <c r="AE120" s="68">
        <v>233</v>
      </c>
      <c r="AF120" s="27">
        <v>233</v>
      </c>
      <c r="AG120" s="67">
        <v>234</v>
      </c>
      <c r="AH120" s="67">
        <v>234</v>
      </c>
      <c r="AI120" s="67">
        <v>234</v>
      </c>
      <c r="AJ120" s="68">
        <v>234</v>
      </c>
      <c r="AK120" s="27">
        <v>234</v>
      </c>
      <c r="AL120" s="67">
        <v>232</v>
      </c>
      <c r="AM120" s="67">
        <v>231</v>
      </c>
      <c r="AN120" s="67">
        <v>233</v>
      </c>
      <c r="AO120" s="68">
        <v>235</v>
      </c>
      <c r="AP120" s="27">
        <v>233</v>
      </c>
      <c r="AQ120" s="67">
        <v>231</v>
      </c>
      <c r="AR120" s="67">
        <v>231</v>
      </c>
      <c r="AS120" s="67">
        <v>233</v>
      </c>
      <c r="AT120" s="68">
        <v>237</v>
      </c>
      <c r="AU120" s="27">
        <v>233</v>
      </c>
      <c r="AV120" s="67">
        <v>232</v>
      </c>
      <c r="AW120" s="67">
        <v>229</v>
      </c>
      <c r="AX120" s="67">
        <v>226</v>
      </c>
      <c r="AY120" s="68">
        <v>226</v>
      </c>
      <c r="AZ120" s="27">
        <v>228</v>
      </c>
      <c r="BA120" s="67">
        <v>214</v>
      </c>
      <c r="BB120" s="35">
        <v>215</v>
      </c>
      <c r="BC120" s="35">
        <v>210</v>
      </c>
      <c r="BD120" s="143">
        <v>206</v>
      </c>
      <c r="BE120" s="221">
        <v>211</v>
      </c>
      <c r="BF120" s="67">
        <v>200</v>
      </c>
      <c r="BG120" s="35">
        <v>198</v>
      </c>
      <c r="BH120" s="35">
        <v>198</v>
      </c>
    </row>
    <row r="121" spans="1:202" ht="10.5" customHeight="1">
      <c r="A121" s="69" t="s">
        <v>7</v>
      </c>
      <c r="B121" s="23"/>
      <c r="C121" s="70"/>
      <c r="D121" s="70">
        <f>D120/C120-1</f>
        <v>-4.3290043290042934E-3</v>
      </c>
      <c r="E121" s="70">
        <f>E120/D120-1</f>
        <v>-1.7391304347826098E-2</v>
      </c>
      <c r="F121" s="70">
        <f>F120/E120-1</f>
        <v>-4.4247787610619538E-3</v>
      </c>
      <c r="G121" s="23"/>
      <c r="H121" s="70">
        <f>H120/F120-1</f>
        <v>1.3333333333333419E-2</v>
      </c>
      <c r="I121" s="70">
        <f>I120/H120-1</f>
        <v>-1.7543859649122862E-2</v>
      </c>
      <c r="J121" s="70">
        <f>J120/I120-1</f>
        <v>0</v>
      </c>
      <c r="K121" s="70">
        <f>K120/J120-1</f>
        <v>2.2321428571428603E-2</v>
      </c>
      <c r="L121" s="26"/>
      <c r="M121" s="70">
        <f>M120/K120-1</f>
        <v>0</v>
      </c>
      <c r="N121" s="70">
        <f>N120/M120-1</f>
        <v>8.733624454148492E-3</v>
      </c>
      <c r="O121" s="70">
        <f>O120/N120-1</f>
        <v>-8.6580086580086979E-3</v>
      </c>
      <c r="P121" s="70">
        <f>P120/O120-1</f>
        <v>8.733624454148492E-3</v>
      </c>
      <c r="Q121" s="26"/>
      <c r="R121" s="70">
        <f>R120/P120-1</f>
        <v>1.298701298701288E-2</v>
      </c>
      <c r="S121" s="70">
        <f>S120/R120-1</f>
        <v>-8.5470085470085166E-3</v>
      </c>
      <c r="T121" s="70">
        <f>T120/S120-1</f>
        <v>0</v>
      </c>
      <c r="U121" s="70">
        <f>U120/T120-1</f>
        <v>-1.2931034482758674E-2</v>
      </c>
      <c r="V121" s="26"/>
      <c r="W121" s="70">
        <v>3.4934497816593968E-2</v>
      </c>
      <c r="X121" s="70">
        <v>-1.2658227848101222E-2</v>
      </c>
      <c r="Y121" s="70">
        <v>-1.2820512820512775E-2</v>
      </c>
      <c r="Z121" s="70">
        <v>1.298701298701288E-2</v>
      </c>
      <c r="AA121" s="26"/>
      <c r="AB121" s="70">
        <v>-4.2735042735042583E-3</v>
      </c>
      <c r="AC121" s="70">
        <v>-4.2918454935622075E-3</v>
      </c>
      <c r="AD121" s="70">
        <v>4.3103448275862988E-3</v>
      </c>
      <c r="AE121" s="70">
        <v>0</v>
      </c>
      <c r="AF121" s="26"/>
      <c r="AG121" s="70">
        <v>4.2918454935623185E-3</v>
      </c>
      <c r="AH121" s="70">
        <v>0</v>
      </c>
      <c r="AI121" s="70">
        <v>0</v>
      </c>
      <c r="AJ121" s="70">
        <v>0</v>
      </c>
      <c r="AK121" s="26"/>
      <c r="AL121" s="70">
        <v>-8.5470085470085166E-3</v>
      </c>
      <c r="AM121" s="70">
        <v>-4.3103448275861878E-3</v>
      </c>
      <c r="AN121" s="70">
        <v>8.6580086580085869E-3</v>
      </c>
      <c r="AO121" s="70">
        <v>8.5836909871244149E-3</v>
      </c>
      <c r="AP121" s="26"/>
      <c r="AQ121" s="70">
        <v>-1.7021276595744705E-2</v>
      </c>
      <c r="AR121" s="70">
        <v>0</v>
      </c>
      <c r="AS121" s="70">
        <v>8.6580086580085869E-3</v>
      </c>
      <c r="AT121" s="70">
        <v>1.716738197424883E-2</v>
      </c>
      <c r="AU121" s="26"/>
      <c r="AV121" s="70">
        <v>-2.1097046413502074E-2</v>
      </c>
      <c r="AW121" s="70">
        <v>-1.2931034482758674E-2</v>
      </c>
      <c r="AX121" s="70">
        <v>-1.3100436681222738E-2</v>
      </c>
      <c r="AY121" s="70">
        <v>0</v>
      </c>
      <c r="AZ121" s="26"/>
      <c r="BA121" s="70">
        <v>-5.3097345132743334E-2</v>
      </c>
      <c r="BB121" s="161">
        <v>4.6728971962617383E-3</v>
      </c>
      <c r="BC121" s="161">
        <v>-2.3255813953488413E-2</v>
      </c>
      <c r="BD121" s="161">
        <v>-1.9047619047619091E-2</v>
      </c>
      <c r="BE121" s="26"/>
      <c r="BF121" s="70">
        <v>-2.9126213592232997E-2</v>
      </c>
      <c r="BG121" s="161">
        <v>-1.0000000000000009E-2</v>
      </c>
      <c r="BH121" s="161">
        <v>0</v>
      </c>
    </row>
    <row r="122" spans="1:202">
      <c r="A122" s="69" t="s">
        <v>8</v>
      </c>
      <c r="B122" s="23"/>
      <c r="C122" s="71"/>
      <c r="D122" s="71"/>
      <c r="E122" s="71"/>
      <c r="F122" s="71"/>
      <c r="G122" s="23">
        <f t="shared" ref="G122:N122" si="33">G120/B120-1</f>
        <v>5.0691244239631228E-2</v>
      </c>
      <c r="H122" s="71">
        <f t="shared" si="33"/>
        <v>-1.2987012987012991E-2</v>
      </c>
      <c r="I122" s="71">
        <f t="shared" si="33"/>
        <v>-2.6086956521739091E-2</v>
      </c>
      <c r="J122" s="71">
        <f t="shared" si="33"/>
        <v>-8.8495575221239076E-3</v>
      </c>
      <c r="K122" s="70">
        <f t="shared" si="33"/>
        <v>1.777777777777767E-2</v>
      </c>
      <c r="L122" s="23">
        <f t="shared" si="33"/>
        <v>-8.7719298245614308E-3</v>
      </c>
      <c r="M122" s="71">
        <f t="shared" si="33"/>
        <v>4.3859649122806044E-3</v>
      </c>
      <c r="N122" s="71">
        <f t="shared" si="33"/>
        <v>3.125E-2</v>
      </c>
      <c r="O122" s="71">
        <f t="shared" ref="O122:U122" si="34">O120/J120-1</f>
        <v>2.2321428571428603E-2</v>
      </c>
      <c r="P122" s="70">
        <f t="shared" si="34"/>
        <v>8.733624454148492E-3</v>
      </c>
      <c r="Q122" s="23">
        <f t="shared" si="34"/>
        <v>1.7699115044247815E-2</v>
      </c>
      <c r="R122" s="71">
        <f t="shared" si="34"/>
        <v>2.1834061135371119E-2</v>
      </c>
      <c r="S122" s="71">
        <f t="shared" si="34"/>
        <v>4.3290043290042934E-3</v>
      </c>
      <c r="T122" s="71">
        <f t="shared" si="34"/>
        <v>1.3100436681222627E-2</v>
      </c>
      <c r="U122" s="70">
        <f t="shared" si="34"/>
        <v>-8.6580086580086979E-3</v>
      </c>
      <c r="V122" s="23">
        <v>8.6956521739129933E-3</v>
      </c>
      <c r="W122" s="71">
        <v>1.2820512820512775E-2</v>
      </c>
      <c r="X122" s="71">
        <v>8.6206896551723755E-3</v>
      </c>
      <c r="Y122" s="71">
        <v>-4.3103448275861878E-3</v>
      </c>
      <c r="Z122" s="70">
        <v>2.1834061135371119E-2</v>
      </c>
      <c r="AA122" s="23">
        <v>0.01</v>
      </c>
      <c r="AB122" s="71">
        <v>-1.6877637130801704E-2</v>
      </c>
      <c r="AC122" s="71">
        <v>-8.5470085470085166E-3</v>
      </c>
      <c r="AD122" s="71">
        <v>8.6580086580085869E-3</v>
      </c>
      <c r="AE122" s="70">
        <v>-4.2735042735042583E-3</v>
      </c>
      <c r="AF122" s="23">
        <v>-4.2735042735042583E-3</v>
      </c>
      <c r="AG122" s="71">
        <v>4.2918454935623185E-3</v>
      </c>
      <c r="AH122" s="71">
        <v>8.6206896551723755E-3</v>
      </c>
      <c r="AI122" s="71">
        <v>4.2918454935623185E-3</v>
      </c>
      <c r="AJ122" s="70">
        <v>4.2918454935623185E-3</v>
      </c>
      <c r="AK122" s="23">
        <v>4.2918454935623185E-3</v>
      </c>
      <c r="AL122" s="71">
        <v>-8.5470085470085166E-3</v>
      </c>
      <c r="AM122" s="71">
        <v>-1.2820512820512775E-2</v>
      </c>
      <c r="AN122" s="71">
        <v>-4.2735042735042583E-3</v>
      </c>
      <c r="AO122" s="70">
        <v>4.2735042735042583E-3</v>
      </c>
      <c r="AP122" s="23">
        <v>-4.2735042735042583E-3</v>
      </c>
      <c r="AQ122" s="71">
        <v>-4.3103448275861878E-3</v>
      </c>
      <c r="AR122" s="71">
        <v>0</v>
      </c>
      <c r="AS122" s="71">
        <v>0</v>
      </c>
      <c r="AT122" s="70">
        <v>8.5106382978723527E-3</v>
      </c>
      <c r="AU122" s="23">
        <v>0</v>
      </c>
      <c r="AV122" s="71">
        <v>4.3290043290042934E-3</v>
      </c>
      <c r="AW122" s="71">
        <v>-8.6580086580086979E-3</v>
      </c>
      <c r="AX122" s="71">
        <v>-3.0042918454935674E-2</v>
      </c>
      <c r="AY122" s="70">
        <v>-4.641350210970463E-2</v>
      </c>
      <c r="AZ122" s="23">
        <v>-2.1459227467811148E-2</v>
      </c>
      <c r="BA122" s="71">
        <v>-7.7586206896551713E-2</v>
      </c>
      <c r="BB122" s="160">
        <v>-6.1135371179039333E-2</v>
      </c>
      <c r="BC122" s="160">
        <v>-7.0796460176991149E-2</v>
      </c>
      <c r="BD122" s="161">
        <v>-8.8495575221238965E-2</v>
      </c>
      <c r="BE122" s="23">
        <v>-7.456140350877194E-2</v>
      </c>
      <c r="BF122" s="71">
        <v>-6.5420560747663559E-2</v>
      </c>
      <c r="BG122" s="160">
        <v>-7.906976744186045E-2</v>
      </c>
      <c r="BH122" s="160">
        <v>-5.7142857142857162E-2</v>
      </c>
    </row>
    <row r="123" spans="1:202" ht="9.75" customHeight="1">
      <c r="A123" s="69"/>
      <c r="B123" s="23"/>
      <c r="C123" s="71"/>
      <c r="D123" s="71"/>
      <c r="E123" s="71"/>
      <c r="F123" s="71"/>
      <c r="G123" s="23"/>
      <c r="H123" s="71"/>
      <c r="I123" s="71"/>
      <c r="J123" s="71"/>
      <c r="K123" s="70"/>
      <c r="L123" s="23"/>
      <c r="M123" s="71"/>
      <c r="N123" s="71"/>
      <c r="O123" s="71"/>
      <c r="P123" s="70"/>
      <c r="Q123" s="23"/>
      <c r="R123" s="71"/>
      <c r="S123" s="71"/>
      <c r="T123" s="71"/>
      <c r="U123" s="70"/>
      <c r="V123" s="23"/>
      <c r="W123" s="71"/>
      <c r="X123" s="71"/>
      <c r="Y123" s="71"/>
      <c r="Z123" s="70"/>
      <c r="AA123" s="23"/>
      <c r="AB123" s="71"/>
      <c r="AC123" s="71"/>
      <c r="AD123" s="71"/>
      <c r="AE123" s="70"/>
      <c r="AF123" s="23"/>
      <c r="AG123" s="71"/>
      <c r="AH123" s="71"/>
      <c r="AI123" s="71"/>
      <c r="AJ123" s="70"/>
      <c r="AK123" s="23"/>
      <c r="AL123" s="71"/>
      <c r="AM123" s="71"/>
      <c r="AN123" s="71"/>
      <c r="AO123" s="70"/>
      <c r="AP123" s="23"/>
      <c r="AQ123" s="71"/>
      <c r="AR123" s="71"/>
      <c r="AS123" s="71"/>
      <c r="AT123" s="70"/>
      <c r="AU123" s="23"/>
      <c r="AV123" s="71"/>
      <c r="AW123" s="71"/>
      <c r="AX123" s="71"/>
      <c r="AY123" s="70"/>
      <c r="AZ123" s="23"/>
      <c r="BA123" s="71"/>
      <c r="BB123" s="160"/>
      <c r="BC123" s="160"/>
      <c r="BD123" s="161"/>
      <c r="BE123" s="23"/>
      <c r="BF123" s="71"/>
      <c r="BG123" s="160"/>
      <c r="BH123" s="160"/>
    </row>
    <row r="124" spans="1:202">
      <c r="A124" s="67" t="s">
        <v>155</v>
      </c>
      <c r="B124" s="95" t="s">
        <v>49</v>
      </c>
      <c r="C124" s="78" t="s">
        <v>49</v>
      </c>
      <c r="D124" s="78" t="s">
        <v>49</v>
      </c>
      <c r="E124" s="78" t="s">
        <v>49</v>
      </c>
      <c r="F124" s="78" t="s">
        <v>49</v>
      </c>
      <c r="G124" s="95" t="s">
        <v>49</v>
      </c>
      <c r="H124" s="88">
        <v>3.6999999999999998E-2</v>
      </c>
      <c r="I124" s="88">
        <v>3.1E-2</v>
      </c>
      <c r="J124" s="88">
        <v>3.3000000000000002E-2</v>
      </c>
      <c r="K124" s="88">
        <v>3.2000000000000001E-2</v>
      </c>
      <c r="L124" s="38">
        <v>0.13300000000000001</v>
      </c>
      <c r="M124" s="88">
        <v>3.5000000000000003E-2</v>
      </c>
      <c r="N124" s="88">
        <v>3.1E-2</v>
      </c>
      <c r="O124" s="88">
        <v>3.3000000000000002E-2</v>
      </c>
      <c r="P124" s="88">
        <v>3.1E-2</v>
      </c>
      <c r="Q124" s="38">
        <v>0.13</v>
      </c>
      <c r="R124" s="88">
        <v>3.3000000000000002E-2</v>
      </c>
      <c r="S124" s="88">
        <v>2.9000000000000001E-2</v>
      </c>
      <c r="T124" s="88">
        <v>2.8000000000000001E-2</v>
      </c>
      <c r="U124" s="88">
        <v>2.8000000000000001E-2</v>
      </c>
      <c r="V124" s="38">
        <v>0.11899999999999999</v>
      </c>
      <c r="W124" s="88">
        <v>3.5999999999999997E-2</v>
      </c>
      <c r="X124" s="88">
        <v>3.9E-2</v>
      </c>
      <c r="Y124" s="88">
        <v>4.1000000000000002E-2</v>
      </c>
      <c r="Z124" s="88">
        <v>3.7999999999999999E-2</v>
      </c>
      <c r="AA124" s="139">
        <v>0.154</v>
      </c>
      <c r="AB124" s="88">
        <v>3.7999999999999999E-2</v>
      </c>
      <c r="AC124" s="88">
        <v>3.2000000000000001E-2</v>
      </c>
      <c r="AD124" s="88">
        <v>3.4000000000000002E-2</v>
      </c>
      <c r="AE124" s="88">
        <v>0.03</v>
      </c>
      <c r="AF124" s="139">
        <v>0.13500000000000001</v>
      </c>
      <c r="AG124" s="88">
        <v>3.5999999999999997E-2</v>
      </c>
      <c r="AH124" s="88">
        <v>3.1E-2</v>
      </c>
      <c r="AI124" s="88">
        <v>3.2000000000000001E-2</v>
      </c>
      <c r="AJ124" s="88">
        <v>2.9000000000000001E-2</v>
      </c>
      <c r="AK124" s="139">
        <v>0.128</v>
      </c>
      <c r="AL124" s="162">
        <v>3.4000000000000002E-2</v>
      </c>
      <c r="AM124" s="88">
        <v>3.1E-2</v>
      </c>
      <c r="AN124" s="88">
        <v>3.9E-2</v>
      </c>
      <c r="AO124" s="88">
        <v>3.5000000000000003E-2</v>
      </c>
      <c r="AP124" s="139">
        <v>0.13900000000000001</v>
      </c>
      <c r="AQ124" s="162">
        <v>4.2000000000000003E-2</v>
      </c>
      <c r="AR124" s="88">
        <v>3.5999999999999997E-2</v>
      </c>
      <c r="AS124" s="88">
        <v>4.4999999999999998E-2</v>
      </c>
      <c r="AT124" s="88">
        <v>3.6000000000000011E-2</v>
      </c>
      <c r="AU124" s="139">
        <v>0.159</v>
      </c>
      <c r="AV124" s="162">
        <v>4.2999999999999997E-2</v>
      </c>
      <c r="AW124" s="162">
        <v>3.7999999999999999E-2</v>
      </c>
      <c r="AX124" s="162">
        <v>4.8000000000000001E-2</v>
      </c>
      <c r="AY124" s="88">
        <v>5.8999999999999997E-2</v>
      </c>
      <c r="AZ124" s="139">
        <v>0.188</v>
      </c>
      <c r="BA124" s="162">
        <v>6.0999999999999999E-2</v>
      </c>
      <c r="BB124" s="162">
        <v>4.7E-2</v>
      </c>
      <c r="BC124" s="162">
        <v>5.0999999999999997E-2</v>
      </c>
      <c r="BD124" s="162">
        <v>5.6000000000000008E-2</v>
      </c>
      <c r="BE124" s="139">
        <v>0.215</v>
      </c>
      <c r="BF124" s="162">
        <v>5.6000000000000001E-2</v>
      </c>
      <c r="BG124" s="162">
        <v>4.9000000000000002E-2</v>
      </c>
      <c r="BH124" s="162">
        <v>5.5E-2</v>
      </c>
    </row>
    <row r="125" spans="1:202" ht="8.25" customHeight="1">
      <c r="A125" s="67"/>
      <c r="B125" s="95"/>
      <c r="C125" s="78"/>
      <c r="D125" s="78"/>
      <c r="E125" s="78"/>
      <c r="F125" s="78"/>
      <c r="G125" s="95"/>
      <c r="H125" s="88"/>
      <c r="I125" s="88"/>
      <c r="J125" s="88"/>
      <c r="K125" s="88"/>
      <c r="L125" s="38"/>
      <c r="M125" s="88"/>
      <c r="N125" s="88"/>
      <c r="O125" s="88"/>
      <c r="P125" s="88"/>
      <c r="Q125" s="38"/>
      <c r="R125" s="88"/>
      <c r="S125" s="88"/>
      <c r="T125" s="88"/>
      <c r="U125" s="88"/>
      <c r="V125" s="38"/>
      <c r="W125" s="88"/>
      <c r="X125" s="88"/>
      <c r="Y125" s="88"/>
      <c r="Z125" s="88"/>
      <c r="AA125" s="26"/>
      <c r="AB125" s="88"/>
      <c r="AC125" s="88"/>
      <c r="AD125" s="88"/>
      <c r="AE125" s="88"/>
      <c r="AF125" s="26"/>
      <c r="AG125" s="88"/>
      <c r="AH125" s="88"/>
      <c r="AI125" s="88"/>
      <c r="AJ125" s="88"/>
      <c r="AK125" s="26"/>
      <c r="AL125" s="88"/>
      <c r="AM125" s="88"/>
      <c r="AN125" s="88"/>
      <c r="AO125" s="88"/>
      <c r="AP125" s="26"/>
      <c r="AQ125" s="88"/>
      <c r="AR125" s="88"/>
      <c r="AS125" s="88"/>
      <c r="AT125" s="88"/>
      <c r="AU125" s="26"/>
      <c r="AV125" s="88"/>
      <c r="AW125" s="88"/>
      <c r="AX125" s="88"/>
      <c r="AY125" s="88"/>
      <c r="AZ125" s="26"/>
      <c r="BA125" s="88"/>
      <c r="BB125" s="88"/>
      <c r="BC125" s="88"/>
      <c r="BD125" s="88"/>
      <c r="BE125" s="26"/>
      <c r="BF125" s="88"/>
      <c r="BG125" s="88"/>
      <c r="BH125" s="88"/>
    </row>
    <row r="126" spans="1:202">
      <c r="A126" s="67" t="s">
        <v>17</v>
      </c>
      <c r="B126" s="95" t="s">
        <v>49</v>
      </c>
      <c r="C126" s="78"/>
      <c r="D126" s="78"/>
      <c r="E126" s="78"/>
      <c r="F126" s="78"/>
      <c r="G126" s="138">
        <v>1999</v>
      </c>
      <c r="H126" s="88"/>
      <c r="I126" s="88"/>
      <c r="J126" s="88"/>
      <c r="K126" s="88"/>
      <c r="L126" s="138">
        <v>2158</v>
      </c>
      <c r="M126" s="88"/>
      <c r="N126" s="88"/>
      <c r="O126" s="88"/>
      <c r="P126" s="88"/>
      <c r="Q126" s="138">
        <v>2229</v>
      </c>
      <c r="R126" s="116" t="s">
        <v>41</v>
      </c>
      <c r="S126" s="116" t="s">
        <v>41</v>
      </c>
      <c r="T126" s="116" t="s">
        <v>41</v>
      </c>
      <c r="U126" s="116" t="s">
        <v>41</v>
      </c>
      <c r="V126" s="138">
        <v>2227</v>
      </c>
      <c r="W126" s="116" t="s">
        <v>41</v>
      </c>
      <c r="X126" s="116" t="s">
        <v>41</v>
      </c>
      <c r="Y126" s="116" t="s">
        <v>41</v>
      </c>
      <c r="Z126" s="116" t="s">
        <v>41</v>
      </c>
      <c r="AA126" s="138">
        <v>2276</v>
      </c>
      <c r="AB126" s="116" t="s">
        <v>41</v>
      </c>
      <c r="AC126" s="116" t="s">
        <v>41</v>
      </c>
      <c r="AD126" s="116" t="s">
        <v>41</v>
      </c>
      <c r="AE126" s="116" t="s">
        <v>41</v>
      </c>
      <c r="AF126" s="138">
        <v>2208</v>
      </c>
      <c r="AG126" s="116" t="s">
        <v>41</v>
      </c>
      <c r="AH126" s="116" t="s">
        <v>41</v>
      </c>
      <c r="AI126" s="116" t="s">
        <v>41</v>
      </c>
      <c r="AJ126" s="68">
        <v>2042</v>
      </c>
      <c r="AK126" s="138">
        <v>2042</v>
      </c>
      <c r="AL126" s="116" t="s">
        <v>41</v>
      </c>
      <c r="AM126" s="116" t="s">
        <v>41</v>
      </c>
      <c r="AN126" s="116" t="s">
        <v>41</v>
      </c>
      <c r="AO126" s="68">
        <v>1984</v>
      </c>
      <c r="AP126" s="138">
        <v>1984</v>
      </c>
      <c r="AQ126" s="116" t="s">
        <v>41</v>
      </c>
      <c r="AR126" s="116" t="s">
        <v>41</v>
      </c>
      <c r="AS126" s="116" t="s">
        <v>41</v>
      </c>
      <c r="AT126" s="68">
        <v>1753</v>
      </c>
      <c r="AU126" s="138">
        <v>1753</v>
      </c>
      <c r="AV126" s="116" t="s">
        <v>41</v>
      </c>
      <c r="AW126" s="116" t="s">
        <v>41</v>
      </c>
      <c r="AX126" s="116" t="s">
        <v>41</v>
      </c>
      <c r="AY126" s="68">
        <v>1680</v>
      </c>
      <c r="AZ126" s="138">
        <v>1680</v>
      </c>
      <c r="BA126" s="116" t="s">
        <v>41</v>
      </c>
      <c r="BB126" s="116" t="s">
        <v>41</v>
      </c>
      <c r="BC126" s="116" t="s">
        <v>41</v>
      </c>
      <c r="BD126" s="68">
        <v>1532</v>
      </c>
      <c r="BE126" s="138">
        <v>1532</v>
      </c>
      <c r="BF126" s="116" t="s">
        <v>41</v>
      </c>
      <c r="BG126" s="68">
        <v>1350</v>
      </c>
      <c r="BH126" s="116" t="s">
        <v>41</v>
      </c>
    </row>
    <row r="127" spans="1:202" ht="9" customHeight="1">
      <c r="A127" s="69" t="s">
        <v>8</v>
      </c>
      <c r="B127" s="23"/>
      <c r="C127" s="71"/>
      <c r="D127" s="71"/>
      <c r="E127" s="71"/>
      <c r="F127" s="71"/>
      <c r="G127" s="23"/>
      <c r="H127" s="71"/>
      <c r="I127" s="71"/>
      <c r="J127" s="71"/>
      <c r="K127" s="70"/>
      <c r="L127" s="23">
        <f>L126/G126-1</f>
        <v>7.9539769884942491E-2</v>
      </c>
      <c r="M127" s="71"/>
      <c r="N127" s="71"/>
      <c r="O127" s="71"/>
      <c r="P127" s="70"/>
      <c r="Q127" s="23">
        <f>Q126/L126-1</f>
        <v>3.2900834105653365E-2</v>
      </c>
      <c r="R127" s="71"/>
      <c r="S127" s="71"/>
      <c r="T127" s="71"/>
      <c r="U127" s="70"/>
      <c r="V127" s="23">
        <v>-8.9726334679229858E-4</v>
      </c>
      <c r="W127" s="71"/>
      <c r="X127" s="71"/>
      <c r="Y127" s="71"/>
      <c r="Z127" s="70"/>
      <c r="AA127" s="23">
        <v>2.2002694207454043E-2</v>
      </c>
      <c r="AB127" s="71"/>
      <c r="AC127" s="71"/>
      <c r="AD127" s="71"/>
      <c r="AE127" s="70"/>
      <c r="AF127" s="23">
        <v>-2.9876977152899831E-2</v>
      </c>
      <c r="AG127" s="71"/>
      <c r="AH127" s="71"/>
      <c r="AI127" s="71"/>
      <c r="AJ127" s="70"/>
      <c r="AK127" s="23">
        <v>-7.51811594202898E-2</v>
      </c>
      <c r="AL127" s="71"/>
      <c r="AM127" s="71"/>
      <c r="AN127" s="71"/>
      <c r="AO127" s="70"/>
      <c r="AP127" s="23">
        <v>-2.8403525954946107E-2</v>
      </c>
      <c r="AQ127" s="71"/>
      <c r="AR127" s="71"/>
      <c r="AS127" s="71"/>
      <c r="AT127" s="70"/>
      <c r="AU127" s="23">
        <v>-0.11643145161290325</v>
      </c>
      <c r="AV127" s="71"/>
      <c r="AW127" s="71"/>
      <c r="AX127" s="71"/>
      <c r="AY127" s="70"/>
      <c r="AZ127" s="23">
        <v>-4.164289788933262E-2</v>
      </c>
      <c r="BA127" s="71"/>
      <c r="BB127" s="71"/>
      <c r="BC127" s="71"/>
      <c r="BD127" s="70"/>
      <c r="BE127" s="23">
        <v>-8.8095238095238115E-2</v>
      </c>
      <c r="BF127" s="71"/>
      <c r="BG127" s="71"/>
      <c r="BH127" s="71"/>
    </row>
    <row r="128" spans="1:202" s="45" customFormat="1" ht="4.5" customHeight="1">
      <c r="A128" s="88"/>
      <c r="B128" s="163"/>
      <c r="C128" s="88"/>
      <c r="D128" s="88"/>
      <c r="E128" s="88"/>
      <c r="F128" s="88"/>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88"/>
      <c r="AC128" s="88"/>
      <c r="AD128" s="88"/>
      <c r="AE128" s="88"/>
      <c r="AF128" s="163"/>
      <c r="AG128" s="88"/>
      <c r="AH128" s="88"/>
      <c r="AI128" s="88"/>
      <c r="AJ128" s="88"/>
      <c r="AK128" s="163"/>
      <c r="AL128" s="88"/>
      <c r="AM128" s="88"/>
      <c r="AN128" s="88"/>
      <c r="AO128" s="88"/>
      <c r="AP128" s="163"/>
      <c r="AQ128" s="88"/>
      <c r="AR128" s="88"/>
      <c r="AS128" s="88"/>
      <c r="AT128" s="88"/>
      <c r="AU128" s="163"/>
      <c r="AV128" s="88"/>
      <c r="AW128" s="88"/>
      <c r="AX128" s="88"/>
      <c r="AY128" s="88"/>
      <c r="AZ128" s="163"/>
      <c r="BA128" s="88"/>
      <c r="BB128" s="88"/>
      <c r="BC128" s="88"/>
      <c r="BD128" s="88"/>
      <c r="BE128" s="163"/>
      <c r="BF128" s="88"/>
      <c r="BG128" s="88"/>
      <c r="BH128" s="88"/>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202" s="164" customFormat="1" ht="14.25" customHeight="1">
      <c r="A129" s="67" t="s">
        <v>152</v>
      </c>
      <c r="B129" s="163">
        <v>0.37</v>
      </c>
      <c r="C129" s="71"/>
      <c r="D129" s="71"/>
      <c r="E129" s="71"/>
      <c r="F129" s="71"/>
      <c r="G129" s="163">
        <v>0.38</v>
      </c>
      <c r="H129" s="163"/>
      <c r="I129" s="163"/>
      <c r="J129" s="163"/>
      <c r="K129" s="163"/>
      <c r="L129" s="163">
        <v>0.38</v>
      </c>
      <c r="M129" s="163"/>
      <c r="N129" s="163"/>
      <c r="O129" s="163"/>
      <c r="P129" s="163"/>
      <c r="Q129" s="163">
        <v>0.39</v>
      </c>
      <c r="R129" s="163"/>
      <c r="S129" s="163"/>
      <c r="T129" s="163"/>
      <c r="U129" s="163"/>
      <c r="V129" s="163">
        <v>0.4</v>
      </c>
      <c r="W129" s="163"/>
      <c r="X129" s="163"/>
      <c r="Y129" s="163"/>
      <c r="Z129" s="163"/>
      <c r="AA129" s="163">
        <v>0.39</v>
      </c>
      <c r="AB129" s="71"/>
      <c r="AC129" s="71"/>
      <c r="AD129" s="71"/>
      <c r="AE129" s="71"/>
      <c r="AF129" s="163">
        <v>0.4</v>
      </c>
      <c r="AG129" s="116" t="s">
        <v>41</v>
      </c>
      <c r="AH129" s="116" t="s">
        <v>41</v>
      </c>
      <c r="AI129" s="116" t="s">
        <v>41</v>
      </c>
      <c r="AJ129" s="116" t="s">
        <v>41</v>
      </c>
      <c r="AK129" s="163">
        <v>0.42</v>
      </c>
      <c r="AL129" s="116" t="s">
        <v>41</v>
      </c>
      <c r="AM129" s="116" t="s">
        <v>41</v>
      </c>
      <c r="AN129" s="116" t="s">
        <v>41</v>
      </c>
      <c r="AO129" s="116" t="s">
        <v>41</v>
      </c>
      <c r="AP129" s="163">
        <v>0.42</v>
      </c>
      <c r="AQ129" s="116" t="s">
        <v>41</v>
      </c>
      <c r="AR129" s="116" t="s">
        <v>41</v>
      </c>
      <c r="AS129" s="116" t="s">
        <v>41</v>
      </c>
      <c r="AT129" s="116" t="s">
        <v>41</v>
      </c>
      <c r="AU129" s="163">
        <v>0.4</v>
      </c>
      <c r="AV129" s="116" t="s">
        <v>41</v>
      </c>
      <c r="AW129" s="116" t="s">
        <v>41</v>
      </c>
      <c r="AX129" s="116" t="s">
        <v>41</v>
      </c>
      <c r="AY129" s="116" t="s">
        <v>41</v>
      </c>
      <c r="AZ129" s="163">
        <v>0.37</v>
      </c>
      <c r="BA129" s="116" t="s">
        <v>41</v>
      </c>
      <c r="BB129" s="116" t="s">
        <v>41</v>
      </c>
      <c r="BC129" s="116" t="s">
        <v>41</v>
      </c>
      <c r="BD129" s="116" t="s">
        <v>41</v>
      </c>
      <c r="BE129" s="163">
        <v>0.34</v>
      </c>
      <c r="BF129" s="116" t="s">
        <v>41</v>
      </c>
      <c r="BG129" s="116" t="s">
        <v>41</v>
      </c>
      <c r="BH129" s="116" t="s">
        <v>41</v>
      </c>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row>
    <row r="130" spans="1:202" ht="5.25" customHeight="1">
      <c r="A130" s="91"/>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row>
    <row r="161" spans="3:57">
      <c r="N161" s="1">
        <v>340</v>
      </c>
      <c r="O161" s="1">
        <v>347.37700000000001</v>
      </c>
    </row>
    <row r="167" spans="3:57" customFormat="1"/>
    <row r="168" spans="3:57" customFormat="1"/>
    <row r="169" spans="3:57" customFormat="1"/>
    <row r="170" spans="3:57">
      <c r="AK170"/>
      <c r="AL170"/>
      <c r="AM170"/>
      <c r="AN170"/>
      <c r="AO170"/>
      <c r="AP170"/>
      <c r="AQ170"/>
      <c r="AR170"/>
      <c r="AS170"/>
      <c r="AT170"/>
      <c r="AU170"/>
      <c r="AV170"/>
      <c r="AW170"/>
      <c r="AX170"/>
      <c r="AY170"/>
      <c r="AZ170"/>
      <c r="BC170"/>
      <c r="BD170"/>
      <c r="BE170"/>
    </row>
    <row r="171" spans="3:57">
      <c r="AK171"/>
      <c r="AL171"/>
      <c r="AM171"/>
      <c r="AN171"/>
      <c r="AO171"/>
      <c r="AP171"/>
      <c r="AQ171"/>
      <c r="AR171"/>
      <c r="AS171"/>
      <c r="AT171"/>
      <c r="AU171"/>
      <c r="AV171"/>
      <c r="AW171"/>
      <c r="AX171"/>
      <c r="AY171"/>
      <c r="AZ171"/>
      <c r="BC171"/>
      <c r="BD171"/>
      <c r="BE171"/>
    </row>
    <row r="172" spans="3:57">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row>
    <row r="173" spans="3:57">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row>
    <row r="174" spans="3:57">
      <c r="AK174" s="1">
        <v>1980</v>
      </c>
    </row>
    <row r="177" spans="37:44">
      <c r="AK177" s="1">
        <v>1315</v>
      </c>
    </row>
    <row r="186" spans="37:44">
      <c r="AK186" s="1">
        <v>-23</v>
      </c>
    </row>
    <row r="191" spans="37:44">
      <c r="AR191" s="1">
        <v>59</v>
      </c>
    </row>
    <row r="196" spans="20:33">
      <c r="AG196" s="1">
        <v>616</v>
      </c>
    </row>
    <row r="202" spans="20:33">
      <c r="AG202" s="1">
        <f>18.765+190.909</f>
        <v>209.67399999999998</v>
      </c>
    </row>
    <row r="205" spans="20:33">
      <c r="AG205" s="1">
        <f>AG202-27</f>
        <v>182.67399999999998</v>
      </c>
    </row>
    <row r="207" spans="20:33">
      <c r="T207" s="1">
        <v>405.46800000000002</v>
      </c>
    </row>
    <row r="210" spans="1:20">
      <c r="T210" s="1">
        <v>63.363999999999997</v>
      </c>
    </row>
    <row r="213" spans="1:20">
      <c r="T213" s="1">
        <v>-75.885000000000005</v>
      </c>
    </row>
    <row r="216" spans="1:20">
      <c r="T216" s="1">
        <v>74.073999999999998</v>
      </c>
    </row>
    <row r="220" spans="1:20">
      <c r="A220" s="33"/>
    </row>
    <row r="224" spans="1:20">
      <c r="O224" s="1">
        <v>126.117</v>
      </c>
      <c r="T224" s="1">
        <v>134.20099999999999</v>
      </c>
    </row>
    <row r="229" spans="15:23">
      <c r="W229" s="1">
        <v>118</v>
      </c>
    </row>
    <row r="230" spans="15:23">
      <c r="O230" s="1">
        <f>52.441+2.5+9.771</f>
        <v>64.712000000000003</v>
      </c>
      <c r="T230" s="1">
        <f>51.634+6.428+9.274</f>
        <v>67.335999999999999</v>
      </c>
    </row>
    <row r="231" spans="15:23">
      <c r="W231" s="118">
        <v>-9.1999999999999998E-2</v>
      </c>
    </row>
    <row r="233" spans="15:23">
      <c r="T233" s="1">
        <f>T230-0.156</f>
        <v>67.179999999999993</v>
      </c>
    </row>
    <row r="332" spans="57:57">
      <c r="BE332" s="1">
        <v>-260</v>
      </c>
    </row>
    <row r="351" spans="55:55">
      <c r="BC351" s="118">
        <v>0.26400000000000001</v>
      </c>
    </row>
    <row r="403" spans="31:37">
      <c r="AE403" s="1">
        <v>131</v>
      </c>
      <c r="AJ403" s="1">
        <v>135</v>
      </c>
    </row>
    <row r="405" spans="31:37">
      <c r="AJ405" s="118">
        <v>3.5000000000000003E-2</v>
      </c>
    </row>
    <row r="408" spans="31:37">
      <c r="AE408" s="1">
        <v>134</v>
      </c>
      <c r="AF408" s="1">
        <v>491</v>
      </c>
    </row>
    <row r="410" spans="31:37">
      <c r="AJ410" s="118">
        <v>-8.7999999999999995E-2</v>
      </c>
      <c r="AK410" s="118">
        <v>-0.10100000000000001</v>
      </c>
    </row>
    <row r="420" spans="31:37">
      <c r="AF420" s="1">
        <v>167</v>
      </c>
      <c r="AJ420" s="1">
        <v>27</v>
      </c>
      <c r="AK420" s="1">
        <v>138</v>
      </c>
    </row>
    <row r="422" spans="31:37">
      <c r="AJ422" s="118">
        <v>-0.47899999999999998</v>
      </c>
      <c r="AK422" s="118">
        <v>-0.17799999999999999</v>
      </c>
    </row>
    <row r="428" spans="31:37">
      <c r="AE428" s="118">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58"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tabSelected="1" view="pageBreakPreview" zoomScaleSheetLayoutView="100" workbookViewId="0">
      <selection activeCell="BH122" sqref="BH122"/>
    </sheetView>
  </sheetViews>
  <sheetFormatPr defaultColWidth="8.6640625" defaultRowHeight="13.2"/>
  <cols>
    <col min="1" max="1" width="25.44140625" style="100" customWidth="1"/>
    <col min="2" max="2" width="19.33203125" style="100" customWidth="1"/>
    <col min="3" max="3" width="23.33203125" style="100" customWidth="1"/>
    <col min="4" max="4" width="49.33203125" style="128" customWidth="1"/>
    <col min="5" max="5" width="29.44140625" style="100" customWidth="1"/>
    <col min="6" max="9" width="10.33203125" style="100" customWidth="1"/>
    <col min="10" max="10" width="10.44140625" style="100" customWidth="1"/>
    <col min="11" max="11" width="10.33203125" style="100" customWidth="1"/>
    <col min="12" max="12" width="17.6640625" style="103" customWidth="1"/>
    <col min="13" max="13" width="9.33203125" style="103" customWidth="1"/>
    <col min="14" max="74" width="8.6640625" style="103"/>
    <col min="75" max="16384" width="8.6640625" style="100"/>
  </cols>
  <sheetData>
    <row r="1" spans="1:74" s="101" customFormat="1" ht="15.6">
      <c r="B1" s="122"/>
      <c r="C1"/>
      <c r="D1" s="25"/>
      <c r="E1"/>
      <c r="F1"/>
      <c r="G1"/>
      <c r="H1"/>
      <c r="I1"/>
      <c r="J1"/>
      <c r="K1"/>
      <c r="L1" s="102"/>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row>
    <row r="2" spans="1:74" s="101" customFormat="1">
      <c r="D2" s="130"/>
      <c r="L2" s="102"/>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row>
    <row r="3" spans="1:74" s="101" customFormat="1" ht="22.8">
      <c r="B3" s="123"/>
      <c r="C3"/>
      <c r="D3" s="25"/>
      <c r="E3"/>
      <c r="F3"/>
      <c r="G3"/>
      <c r="H3"/>
      <c r="I3"/>
      <c r="J3"/>
      <c r="K3"/>
      <c r="L3" s="102"/>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row>
    <row r="4" spans="1:74" s="55" customFormat="1" ht="6" customHeight="1">
      <c r="A4" s="56"/>
      <c r="B4" s="46"/>
      <c r="C4" s="46"/>
      <c r="D4" s="46"/>
      <c r="E4" s="46"/>
      <c r="F4" s="46"/>
      <c r="G4" s="46"/>
      <c r="H4" s="46"/>
      <c r="I4" s="46"/>
      <c r="J4" s="46"/>
      <c r="K4" s="46"/>
      <c r="L4" s="46"/>
      <c r="M4" s="46"/>
      <c r="N4" s="46"/>
      <c r="O4" s="46"/>
    </row>
    <row r="5" spans="1:74" s="24" customFormat="1" ht="4.5" customHeight="1">
      <c r="A5" s="43"/>
      <c r="B5" s="44"/>
      <c r="C5" s="44"/>
      <c r="D5" s="44"/>
      <c r="E5" s="44"/>
      <c r="F5" s="44"/>
      <c r="G5" s="44"/>
      <c r="H5" s="44"/>
      <c r="I5" s="44"/>
      <c r="J5" s="44"/>
      <c r="K5" s="44"/>
      <c r="L5" s="44"/>
      <c r="M5" s="44"/>
      <c r="N5" s="44"/>
      <c r="O5" s="44"/>
    </row>
    <row r="6" spans="1:74" s="3" customFormat="1" ht="17.399999999999999">
      <c r="A6" s="158" t="s">
        <v>117</v>
      </c>
      <c r="B6" s="26"/>
      <c r="C6" s="26"/>
      <c r="D6" s="131"/>
      <c r="E6" s="26"/>
      <c r="F6" s="26"/>
      <c r="G6" s="26"/>
      <c r="H6" s="26"/>
      <c r="I6" s="26"/>
      <c r="J6" s="26"/>
      <c r="K6" s="26"/>
      <c r="L6" s="26"/>
      <c r="M6" s="26"/>
      <c r="N6" s="26"/>
      <c r="O6" s="26"/>
    </row>
    <row r="7" spans="1:74" s="3" customFormat="1" ht="7.5" customHeight="1">
      <c r="A7" s="59"/>
      <c r="B7" s="60"/>
      <c r="C7" s="60"/>
      <c r="D7" s="132"/>
      <c r="E7" s="60"/>
      <c r="F7" s="60"/>
      <c r="G7" s="60"/>
      <c r="H7" s="60"/>
      <c r="I7" s="60"/>
      <c r="J7" s="60"/>
      <c r="K7" s="60"/>
      <c r="L7" s="60"/>
      <c r="M7" s="60"/>
      <c r="N7" s="60"/>
      <c r="O7" s="60"/>
    </row>
    <row r="8" spans="1:74" s="3" customFormat="1">
      <c r="A8" s="157" t="s">
        <v>97</v>
      </c>
      <c r="B8" s="41"/>
      <c r="C8" s="41"/>
      <c r="D8" s="133"/>
      <c r="E8" s="41"/>
      <c r="F8" s="41"/>
      <c r="G8" s="41"/>
      <c r="H8" s="41"/>
      <c r="I8" s="41"/>
      <c r="J8" s="41"/>
      <c r="K8" s="41"/>
      <c r="L8" s="41"/>
      <c r="M8" s="41"/>
      <c r="N8" s="41"/>
      <c r="O8" s="41"/>
    </row>
    <row r="9" spans="1:74" s="124" customFormat="1" ht="19.5" customHeight="1">
      <c r="A9" s="150" t="s">
        <v>118</v>
      </c>
      <c r="B9" s="150" t="s">
        <v>119</v>
      </c>
      <c r="C9" s="150" t="s">
        <v>100</v>
      </c>
      <c r="D9" s="151" t="s">
        <v>120</v>
      </c>
      <c r="E9" s="152"/>
      <c r="F9" s="125"/>
      <c r="G9" s="125"/>
      <c r="H9" s="125"/>
      <c r="I9" s="125"/>
      <c r="J9" s="125"/>
      <c r="K9" s="125"/>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row>
    <row r="10" spans="1:74" s="137" customFormat="1" ht="19.5" customHeight="1">
      <c r="A10" s="199" t="s">
        <v>254</v>
      </c>
      <c r="B10" s="200">
        <v>318</v>
      </c>
      <c r="C10" s="199">
        <v>0.11</v>
      </c>
      <c r="D10" s="201" t="s">
        <v>121</v>
      </c>
      <c r="E10" s="153"/>
      <c r="F10" s="135"/>
      <c r="G10" s="135"/>
      <c r="H10" s="135"/>
      <c r="I10" s="135"/>
      <c r="J10" s="135"/>
      <c r="K10" s="135"/>
      <c r="L10" s="135"/>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row>
    <row r="11" spans="1:74" s="137" customFormat="1" ht="18" customHeight="1">
      <c r="A11" s="199" t="s">
        <v>244</v>
      </c>
      <c r="B11" s="200">
        <v>368</v>
      </c>
      <c r="C11" s="199">
        <v>0.13</v>
      </c>
      <c r="D11" s="201" t="s">
        <v>157</v>
      </c>
      <c r="E11" s="153"/>
      <c r="F11" s="135"/>
      <c r="G11" s="135"/>
      <c r="H11" s="135"/>
      <c r="I11" s="135"/>
      <c r="J11" s="135"/>
      <c r="K11" s="135"/>
      <c r="L11" s="135"/>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row>
    <row r="12" spans="1:74" s="137" customFormat="1" ht="18" customHeight="1">
      <c r="A12" s="199" t="s">
        <v>206</v>
      </c>
      <c r="B12" s="200">
        <v>708</v>
      </c>
      <c r="C12" s="199">
        <v>0.26</v>
      </c>
      <c r="D12" s="201" t="s">
        <v>157</v>
      </c>
      <c r="E12" s="153"/>
      <c r="F12" s="135"/>
      <c r="G12" s="135"/>
      <c r="H12" s="135"/>
      <c r="I12" s="135"/>
      <c r="J12" s="135"/>
      <c r="K12" s="135"/>
      <c r="L12" s="135"/>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row>
    <row r="13" spans="1:74" s="137" customFormat="1" ht="18" customHeight="1">
      <c r="A13" s="202" t="s">
        <v>202</v>
      </c>
      <c r="B13" s="200">
        <v>578</v>
      </c>
      <c r="C13" s="202">
        <v>0.21</v>
      </c>
      <c r="D13" s="201" t="s">
        <v>157</v>
      </c>
      <c r="E13" s="154"/>
      <c r="F13" s="192"/>
      <c r="G13" s="192"/>
      <c r="H13" s="192"/>
      <c r="I13" s="135"/>
      <c r="J13" s="135"/>
      <c r="K13" s="135"/>
      <c r="L13" s="135"/>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row>
    <row r="14" spans="1:74" s="137" customFormat="1" ht="18" customHeight="1">
      <c r="A14" s="199" t="s">
        <v>192</v>
      </c>
      <c r="B14" s="200">
        <v>665</v>
      </c>
      <c r="C14" s="203">
        <v>0.24046770000000001</v>
      </c>
      <c r="D14" s="201" t="s">
        <v>157</v>
      </c>
      <c r="E14" s="154"/>
      <c r="F14" s="135"/>
      <c r="G14" s="135"/>
      <c r="H14" s="135"/>
      <c r="I14" s="135"/>
      <c r="J14" s="135"/>
      <c r="K14" s="135"/>
      <c r="L14" s="135"/>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row>
    <row r="15" spans="1:74" s="137" customFormat="1" ht="18" customHeight="1">
      <c r="A15" s="204">
        <v>42520</v>
      </c>
      <c r="B15" s="200">
        <v>776</v>
      </c>
      <c r="C15" s="205">
        <v>0.28060590000000002</v>
      </c>
      <c r="D15" s="201" t="s">
        <v>121</v>
      </c>
      <c r="E15" s="153"/>
      <c r="F15" s="135"/>
      <c r="G15" s="135"/>
      <c r="H15" s="135"/>
      <c r="I15" s="135"/>
      <c r="J15" s="135"/>
      <c r="K15" s="135"/>
      <c r="L15" s="135"/>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row>
    <row r="16" spans="1:74" s="137" customFormat="1" ht="18" customHeight="1">
      <c r="A16" s="199" t="s">
        <v>147</v>
      </c>
      <c r="B16" s="200">
        <v>933</v>
      </c>
      <c r="C16" s="203">
        <v>0.33895799999999998</v>
      </c>
      <c r="D16" s="201" t="s">
        <v>121</v>
      </c>
      <c r="E16" s="153"/>
      <c r="F16" s="135"/>
      <c r="G16" s="135"/>
      <c r="H16" s="135"/>
      <c r="I16" s="135"/>
      <c r="J16" s="135"/>
      <c r="K16" s="135"/>
      <c r="L16" s="135"/>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row>
    <row r="17" spans="1:74" s="137" customFormat="1" ht="18" customHeight="1">
      <c r="A17" s="199" t="s">
        <v>140</v>
      </c>
      <c r="B17" s="200">
        <v>844</v>
      </c>
      <c r="C17" s="199">
        <v>0.31</v>
      </c>
      <c r="D17" s="201" t="s">
        <v>157</v>
      </c>
      <c r="E17" s="153"/>
      <c r="F17" s="135"/>
      <c r="G17" s="135"/>
      <c r="H17" s="135"/>
      <c r="I17" s="135"/>
      <c r="J17" s="135"/>
      <c r="K17" s="135"/>
      <c r="L17" s="135"/>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row>
    <row r="18" spans="1:74" s="137" customFormat="1" ht="18" customHeight="1">
      <c r="A18" s="199" t="s">
        <v>139</v>
      </c>
      <c r="B18" s="200">
        <v>1267</v>
      </c>
      <c r="C18" s="203">
        <v>0.4627</v>
      </c>
      <c r="D18" s="201" t="s">
        <v>157</v>
      </c>
      <c r="E18" s="153"/>
      <c r="F18" s="135"/>
      <c r="G18" s="135"/>
      <c r="H18" s="135"/>
      <c r="I18" s="135"/>
      <c r="J18" s="135"/>
      <c r="K18" s="135"/>
      <c r="L18" s="135"/>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row>
    <row r="19" spans="1:74" s="137" customFormat="1" ht="18" customHeight="1">
      <c r="A19" s="199" t="s">
        <v>137</v>
      </c>
      <c r="B19" s="200">
        <v>802</v>
      </c>
      <c r="C19" s="203">
        <v>0.29365089999999999</v>
      </c>
      <c r="D19" s="201" t="s">
        <v>121</v>
      </c>
      <c r="E19" s="154"/>
      <c r="F19" s="135"/>
      <c r="G19" s="135"/>
      <c r="H19" s="135"/>
      <c r="I19" s="135"/>
      <c r="J19" s="135"/>
      <c r="K19" s="135"/>
      <c r="L19" s="135"/>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row>
    <row r="20" spans="1:74" ht="18" customHeight="1">
      <c r="A20" s="206" t="s">
        <v>116</v>
      </c>
      <c r="B20" s="200">
        <v>500</v>
      </c>
      <c r="C20" s="207">
        <v>0.35539340000000003</v>
      </c>
      <c r="D20" s="201" t="s">
        <v>123</v>
      </c>
      <c r="E20" s="155"/>
    </row>
    <row r="21" spans="1:74" ht="18" customHeight="1">
      <c r="A21" s="206" t="s">
        <v>116</v>
      </c>
      <c r="B21" s="200">
        <v>969</v>
      </c>
      <c r="C21" s="207">
        <v>0.1833815</v>
      </c>
      <c r="D21" s="201" t="s">
        <v>121</v>
      </c>
      <c r="E21" s="155"/>
    </row>
    <row r="22" spans="1:74" ht="18" customHeight="1">
      <c r="A22" s="206" t="s">
        <v>115</v>
      </c>
      <c r="B22" s="200">
        <v>500</v>
      </c>
      <c r="C22" s="207">
        <v>0.18347540000000001</v>
      </c>
      <c r="D22" s="201" t="s">
        <v>124</v>
      </c>
      <c r="E22" s="155"/>
    </row>
    <row r="23" spans="1:74" ht="18" customHeight="1">
      <c r="A23" s="206" t="s">
        <v>115</v>
      </c>
      <c r="B23" s="200">
        <v>861</v>
      </c>
      <c r="C23" s="207">
        <v>0.31594460000000002</v>
      </c>
      <c r="D23" s="201" t="s">
        <v>121</v>
      </c>
      <c r="E23" s="155"/>
    </row>
    <row r="24" spans="1:74" ht="18" customHeight="1">
      <c r="A24" s="206" t="s">
        <v>114</v>
      </c>
      <c r="B24" s="200">
        <v>500</v>
      </c>
      <c r="C24" s="207">
        <v>0.18353149999999999</v>
      </c>
      <c r="D24" s="201" t="s">
        <v>125</v>
      </c>
      <c r="E24" s="155"/>
    </row>
    <row r="25" spans="1:74" ht="18" customHeight="1">
      <c r="A25" s="206" t="s">
        <v>114</v>
      </c>
      <c r="B25" s="200">
        <v>997</v>
      </c>
      <c r="C25" s="207">
        <v>0.3659618</v>
      </c>
      <c r="D25" s="201" t="s">
        <v>121</v>
      </c>
      <c r="E25" s="155"/>
    </row>
    <row r="26" spans="1:74" ht="18" customHeight="1">
      <c r="A26" s="206" t="s">
        <v>113</v>
      </c>
      <c r="B26" s="200">
        <v>500</v>
      </c>
      <c r="C26" s="207">
        <v>0.18397520000000001</v>
      </c>
      <c r="D26" s="201" t="s">
        <v>126</v>
      </c>
      <c r="E26" s="155"/>
    </row>
    <row r="27" spans="1:74" ht="18" customHeight="1">
      <c r="A27" s="206" t="s">
        <v>113</v>
      </c>
      <c r="B27" s="200">
        <v>1074</v>
      </c>
      <c r="C27" s="207">
        <v>0.3951788</v>
      </c>
      <c r="D27" s="201" t="s">
        <v>121</v>
      </c>
      <c r="E27" s="155"/>
    </row>
    <row r="28" spans="1:74" ht="18" customHeight="1">
      <c r="A28" s="206" t="s">
        <v>112</v>
      </c>
      <c r="B28" s="200">
        <v>500</v>
      </c>
      <c r="C28" s="207">
        <v>0.18459929999999999</v>
      </c>
      <c r="D28" s="201" t="s">
        <v>127</v>
      </c>
      <c r="E28" s="155"/>
    </row>
    <row r="29" spans="1:74" ht="18" customHeight="1">
      <c r="A29" s="206" t="s">
        <v>112</v>
      </c>
      <c r="B29" s="200">
        <v>992</v>
      </c>
      <c r="C29" s="207">
        <v>0.36624509999999999</v>
      </c>
      <c r="D29" s="201" t="s">
        <v>121</v>
      </c>
      <c r="E29" s="155"/>
    </row>
    <row r="30" spans="1:74" ht="18" customHeight="1">
      <c r="A30" s="206" t="s">
        <v>111</v>
      </c>
      <c r="B30" s="200">
        <v>500</v>
      </c>
      <c r="C30" s="207">
        <v>0.18511250000000001</v>
      </c>
      <c r="D30" s="201" t="s">
        <v>122</v>
      </c>
      <c r="E30" s="155"/>
    </row>
    <row r="31" spans="1:74" ht="18" customHeight="1">
      <c r="A31" s="206" t="s">
        <v>111</v>
      </c>
      <c r="B31" s="200">
        <v>1163</v>
      </c>
      <c r="C31" s="207">
        <v>0.4305716</v>
      </c>
      <c r="D31" s="201" t="s">
        <v>121</v>
      </c>
      <c r="E31" s="155"/>
    </row>
    <row r="32" spans="1:74" ht="18" customHeight="1">
      <c r="A32" s="206" t="s">
        <v>110</v>
      </c>
      <c r="B32" s="200">
        <v>1280</v>
      </c>
      <c r="C32" s="207">
        <v>0.47804590000000002</v>
      </c>
      <c r="D32" s="201" t="s">
        <v>121</v>
      </c>
      <c r="E32" s="155"/>
    </row>
    <row r="33" spans="1:12" ht="18" customHeight="1">
      <c r="A33" s="206" t="s">
        <v>109</v>
      </c>
      <c r="B33" s="200">
        <v>2453</v>
      </c>
      <c r="C33" s="207">
        <v>0.91706790000000005</v>
      </c>
      <c r="D33" s="201" t="s">
        <v>121</v>
      </c>
      <c r="E33" s="155"/>
    </row>
    <row r="34" spans="1:12" ht="18" customHeight="1">
      <c r="A34" s="206" t="s">
        <v>108</v>
      </c>
      <c r="B34" s="200">
        <v>1149</v>
      </c>
      <c r="C34" s="207">
        <v>0.43297429999999998</v>
      </c>
      <c r="D34" s="201" t="s">
        <v>121</v>
      </c>
      <c r="E34" s="155"/>
    </row>
    <row r="35" spans="1:12" ht="18" customHeight="1">
      <c r="A35" s="206" t="s">
        <v>107</v>
      </c>
      <c r="B35" s="200">
        <v>792</v>
      </c>
      <c r="C35" s="207">
        <v>0.30130249999999997</v>
      </c>
      <c r="D35" s="201" t="s">
        <v>121</v>
      </c>
      <c r="E35" s="155"/>
    </row>
    <row r="36" spans="1:12" ht="18" customHeight="1">
      <c r="A36" s="206" t="s">
        <v>106</v>
      </c>
      <c r="B36" s="200">
        <v>835</v>
      </c>
      <c r="C36" s="207">
        <v>0.32053179999999998</v>
      </c>
      <c r="D36" s="201" t="s">
        <v>121</v>
      </c>
      <c r="E36" s="155"/>
    </row>
    <row r="37" spans="1:12" ht="18" customHeight="1">
      <c r="A37" s="206" t="s">
        <v>105</v>
      </c>
      <c r="B37" s="200">
        <v>679</v>
      </c>
      <c r="C37" s="207">
        <v>0.26064799999999999</v>
      </c>
      <c r="D37" s="201" t="s">
        <v>121</v>
      </c>
      <c r="E37" s="155"/>
    </row>
    <row r="38" spans="1:12" ht="18" customHeight="1">
      <c r="A38" s="208" t="s">
        <v>104</v>
      </c>
      <c r="B38" s="209">
        <v>760</v>
      </c>
      <c r="C38" s="207">
        <v>0.29174149999999999</v>
      </c>
      <c r="D38" s="201" t="s">
        <v>121</v>
      </c>
      <c r="E38" s="156"/>
      <c r="F38" s="101"/>
      <c r="G38" s="101"/>
      <c r="H38" s="101"/>
      <c r="I38" s="101"/>
      <c r="J38" s="101"/>
      <c r="K38" s="101"/>
      <c r="L38" s="102"/>
    </row>
    <row r="39" spans="1:12" ht="18" customHeight="1">
      <c r="A39" s="208" t="s">
        <v>103</v>
      </c>
      <c r="B39" s="209">
        <v>1800</v>
      </c>
      <c r="C39" s="207">
        <v>0.69096679999999999</v>
      </c>
      <c r="D39" s="201" t="s">
        <v>128</v>
      </c>
      <c r="E39" s="156"/>
      <c r="F39" s="101"/>
      <c r="G39" s="101"/>
      <c r="H39" s="101"/>
      <c r="I39" s="101"/>
      <c r="J39" s="101"/>
      <c r="K39" s="101"/>
      <c r="L39" s="102"/>
    </row>
    <row r="40" spans="1:12" ht="18" customHeight="1">
      <c r="A40" s="208" t="s">
        <v>102</v>
      </c>
      <c r="B40" s="209">
        <v>300</v>
      </c>
      <c r="C40" s="207">
        <v>0.11516120000000001</v>
      </c>
      <c r="D40" s="201" t="s">
        <v>121</v>
      </c>
      <c r="E40" s="156"/>
      <c r="F40" s="101"/>
      <c r="G40" s="101"/>
      <c r="H40" s="101"/>
      <c r="I40" s="101"/>
      <c r="J40" s="101"/>
      <c r="K40" s="101"/>
      <c r="L40" s="102"/>
    </row>
    <row r="41" spans="1:12" ht="18" customHeight="1">
      <c r="A41" s="208" t="s">
        <v>101</v>
      </c>
      <c r="B41" s="209">
        <v>400</v>
      </c>
      <c r="C41" s="207">
        <v>0.1535482</v>
      </c>
      <c r="D41" s="201" t="s">
        <v>121</v>
      </c>
      <c r="E41" s="156"/>
      <c r="F41" s="101"/>
      <c r="G41" s="101"/>
      <c r="H41" s="101"/>
      <c r="I41" s="101"/>
      <c r="J41" s="101"/>
      <c r="K41" s="101"/>
      <c r="L41" s="102"/>
    </row>
    <row r="42" spans="1:12" ht="18" customHeight="1">
      <c r="A42" s="208" t="s">
        <v>99</v>
      </c>
      <c r="B42" s="209">
        <v>1200</v>
      </c>
      <c r="C42" s="207">
        <v>0.46064460000000002</v>
      </c>
      <c r="D42" s="201" t="s">
        <v>121</v>
      </c>
      <c r="E42" s="156"/>
      <c r="F42" s="101"/>
      <c r="G42" s="101"/>
      <c r="H42" s="101"/>
      <c r="I42" s="101"/>
      <c r="J42" s="101"/>
      <c r="K42" s="101"/>
      <c r="L42" s="102"/>
    </row>
    <row r="43" spans="1:12" ht="18" customHeight="1">
      <c r="A43" s="127"/>
      <c r="B43" s="129"/>
      <c r="C43" s="101"/>
      <c r="E43" s="101"/>
      <c r="F43" s="101"/>
      <c r="G43" s="101"/>
      <c r="H43" s="101"/>
      <c r="I43" s="101"/>
      <c r="J43" s="101"/>
      <c r="K43" s="101"/>
      <c r="L43" s="102"/>
    </row>
    <row r="44" spans="1:12" ht="18" customHeight="1">
      <c r="A44" s="127"/>
      <c r="B44" s="129"/>
      <c r="C44" s="101"/>
      <c r="E44" s="101"/>
      <c r="F44" s="101"/>
      <c r="G44" s="101"/>
      <c r="H44" s="101"/>
      <c r="I44" s="101"/>
      <c r="J44" s="101"/>
      <c r="K44" s="101"/>
      <c r="L44" s="102"/>
    </row>
    <row r="45" spans="1:12" ht="18" customHeight="1">
      <c r="A45" s="127"/>
      <c r="B45" s="129"/>
      <c r="C45" s="101"/>
      <c r="E45" s="101"/>
      <c r="F45" s="101"/>
      <c r="G45" s="101"/>
      <c r="H45" s="101"/>
      <c r="I45" s="101"/>
      <c r="J45" s="101"/>
      <c r="K45" s="101"/>
      <c r="L45" s="102"/>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31496062992125984"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4"/>
  <sheetViews>
    <sheetView showGridLines="0" tabSelected="1" workbookViewId="0">
      <selection activeCell="BH122" sqref="BH122"/>
    </sheetView>
  </sheetViews>
  <sheetFormatPr defaultColWidth="8.6640625" defaultRowHeight="13.2"/>
  <cols>
    <col min="1" max="1" width="34.44140625" style="100" customWidth="1"/>
    <col min="2" max="2" width="2.33203125" style="100" customWidth="1"/>
    <col min="3" max="10" width="10.33203125" style="100" customWidth="1"/>
    <col min="11" max="11" width="10.44140625" style="100" customWidth="1"/>
    <col min="12" max="12" width="17.44140625" style="100" customWidth="1"/>
    <col min="13" max="13" width="17.6640625" style="103" customWidth="1"/>
    <col min="14" max="14" width="9.33203125" style="103" customWidth="1"/>
    <col min="15" max="89" width="8.6640625" style="103"/>
    <col min="90" max="16384" width="8.6640625" style="100"/>
  </cols>
  <sheetData>
    <row r="1" spans="1:256" s="101" customFormat="1" ht="15.6">
      <c r="C1" s="236" t="s">
        <v>4</v>
      </c>
      <c r="D1" s="236"/>
      <c r="E1" s="236"/>
      <c r="F1" s="236"/>
      <c r="G1" s="236"/>
      <c r="H1" s="236"/>
      <c r="I1" s="236"/>
      <c r="J1" s="236"/>
      <c r="K1" s="236"/>
      <c r="L1" s="236"/>
      <c r="M1" s="102"/>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row>
    <row r="2" spans="1:256" s="101" customFormat="1">
      <c r="M2" s="102"/>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row>
    <row r="3" spans="1:256" s="101" customFormat="1" ht="22.8">
      <c r="C3" s="237" t="s">
        <v>50</v>
      </c>
      <c r="D3" s="237"/>
      <c r="E3" s="237"/>
      <c r="F3" s="237"/>
      <c r="G3" s="237"/>
      <c r="H3" s="237"/>
      <c r="I3" s="237"/>
      <c r="J3" s="237"/>
      <c r="K3" s="237"/>
      <c r="L3" s="237"/>
      <c r="M3" s="102"/>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row>
    <row r="4" spans="1:256" s="101" customFormat="1" ht="9.75" customHeight="1">
      <c r="M4" s="102"/>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row>
    <row r="5" spans="1:256" s="107" customFormat="1" ht="6.75" customHeight="1">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row>
    <row r="6" spans="1:256">
      <c r="A6" s="108"/>
      <c r="B6" s="101"/>
      <c r="C6" s="101"/>
      <c r="D6" s="101"/>
      <c r="E6" s="101"/>
      <c r="F6" s="101"/>
      <c r="G6" s="101"/>
      <c r="H6" s="101"/>
      <c r="I6" s="101"/>
      <c r="J6" s="101"/>
      <c r="K6" s="101"/>
      <c r="L6" s="101"/>
      <c r="M6" s="102"/>
    </row>
    <row r="7" spans="1:256" s="110" customFormat="1">
      <c r="A7" s="109" t="s">
        <v>37</v>
      </c>
    </row>
    <row r="8" spans="1:256">
      <c r="A8" s="101"/>
      <c r="B8" s="101"/>
      <c r="C8" s="111"/>
      <c r="D8" s="101"/>
      <c r="E8" s="101"/>
      <c r="F8" s="101"/>
      <c r="G8" s="101"/>
      <c r="H8" s="101"/>
      <c r="I8" s="101"/>
      <c r="J8" s="101"/>
      <c r="K8" s="101"/>
      <c r="L8" s="101"/>
      <c r="M8" s="102"/>
    </row>
    <row r="9" spans="1:256">
      <c r="A9" s="112" t="s">
        <v>9</v>
      </c>
      <c r="B9" s="112" t="s">
        <v>34</v>
      </c>
      <c r="C9" s="112" t="s">
        <v>283</v>
      </c>
      <c r="D9" s="101"/>
      <c r="E9" s="101"/>
      <c r="F9" s="101"/>
      <c r="G9" s="101"/>
      <c r="H9" s="101"/>
      <c r="I9" s="101"/>
      <c r="J9" s="101"/>
      <c r="K9" s="101"/>
      <c r="L9" s="101"/>
      <c r="M9" s="102"/>
    </row>
    <row r="10" spans="1:256">
      <c r="A10" s="112" t="s">
        <v>197</v>
      </c>
      <c r="B10" s="112" t="s">
        <v>34</v>
      </c>
      <c r="C10" s="112" t="s">
        <v>274</v>
      </c>
      <c r="D10" s="101"/>
      <c r="E10" s="101"/>
      <c r="F10" s="101"/>
      <c r="G10" s="101"/>
      <c r="H10" s="101"/>
      <c r="I10" s="101"/>
      <c r="J10" s="101"/>
      <c r="K10" s="101"/>
      <c r="L10" s="101"/>
      <c r="M10" s="102"/>
    </row>
    <row r="11" spans="1:256">
      <c r="A11" s="112" t="s">
        <v>275</v>
      </c>
      <c r="B11" s="112" t="s">
        <v>34</v>
      </c>
      <c r="C11" s="112" t="s">
        <v>285</v>
      </c>
      <c r="D11" s="101"/>
      <c r="E11" s="101"/>
      <c r="F11" s="101"/>
      <c r="G11" s="101"/>
      <c r="H11" s="101"/>
      <c r="I11" s="101"/>
      <c r="J11" s="101"/>
      <c r="K11" s="101"/>
      <c r="L11" s="101"/>
      <c r="M11" s="102"/>
    </row>
    <row r="12" spans="1:256">
      <c r="A12" s="112"/>
      <c r="B12" s="112"/>
      <c r="C12" s="112" t="s">
        <v>284</v>
      </c>
      <c r="D12" s="101"/>
      <c r="E12" s="101"/>
      <c r="F12" s="101"/>
      <c r="G12" s="101"/>
      <c r="H12" s="101"/>
      <c r="I12" s="101"/>
      <c r="J12" s="101"/>
      <c r="K12" s="101"/>
      <c r="L12" s="101"/>
      <c r="M12" s="102"/>
    </row>
    <row r="13" spans="1:256">
      <c r="A13" s="112" t="s">
        <v>13</v>
      </c>
      <c r="B13" s="112" t="s">
        <v>34</v>
      </c>
      <c r="C13" s="112" t="s">
        <v>247</v>
      </c>
      <c r="D13" s="101"/>
      <c r="E13" s="101"/>
      <c r="F13" s="101"/>
      <c r="G13" s="101"/>
      <c r="H13" s="101"/>
      <c r="I13" s="101"/>
      <c r="J13" s="101"/>
      <c r="K13" s="101"/>
      <c r="L13" s="101"/>
      <c r="M13" s="102"/>
    </row>
    <row r="14" spans="1:256">
      <c r="A14" s="112" t="s">
        <v>54</v>
      </c>
      <c r="B14" s="112" t="s">
        <v>34</v>
      </c>
      <c r="C14" s="112" t="s">
        <v>70</v>
      </c>
      <c r="D14" s="101"/>
      <c r="E14" s="101"/>
      <c r="F14" s="101"/>
      <c r="G14" s="101"/>
      <c r="H14" s="101"/>
      <c r="I14" s="101"/>
      <c r="J14" s="101"/>
      <c r="K14" s="101"/>
      <c r="L14" s="101"/>
      <c r="M14" s="102"/>
    </row>
    <row r="15" spans="1:256">
      <c r="A15" s="112" t="s">
        <v>246</v>
      </c>
      <c r="B15" s="112" t="s">
        <v>34</v>
      </c>
      <c r="C15" s="112" t="s">
        <v>253</v>
      </c>
      <c r="D15" s="101"/>
      <c r="E15" s="101"/>
      <c r="F15" s="101"/>
      <c r="G15" s="101"/>
      <c r="H15" s="101"/>
      <c r="I15" s="101"/>
      <c r="J15" s="101"/>
      <c r="K15" s="101"/>
      <c r="L15" s="101"/>
      <c r="M15" s="102"/>
    </row>
    <row r="16" spans="1:256">
      <c r="A16" s="112" t="s">
        <v>68</v>
      </c>
      <c r="B16" s="112" t="s">
        <v>34</v>
      </c>
      <c r="C16" s="112" t="s">
        <v>69</v>
      </c>
      <c r="D16" s="101"/>
      <c r="E16" s="101"/>
      <c r="F16" s="101"/>
      <c r="G16" s="101"/>
      <c r="H16" s="101"/>
      <c r="I16" s="101"/>
      <c r="J16" s="101"/>
      <c r="K16" s="101"/>
      <c r="L16" s="101"/>
      <c r="M16" s="102"/>
    </row>
    <row r="17" spans="1:13">
      <c r="A17" s="112" t="s">
        <v>33</v>
      </c>
      <c r="B17" s="112" t="s">
        <v>34</v>
      </c>
      <c r="C17" s="112" t="s">
        <v>55</v>
      </c>
      <c r="D17" s="101"/>
      <c r="E17" s="101"/>
      <c r="F17" s="101"/>
      <c r="G17" s="101"/>
      <c r="H17" s="101"/>
      <c r="I17" s="101"/>
      <c r="J17" s="101"/>
      <c r="K17" s="101"/>
      <c r="L17" s="101"/>
      <c r="M17" s="102"/>
    </row>
    <row r="18" spans="1:13">
      <c r="A18" s="112" t="s">
        <v>35</v>
      </c>
      <c r="B18" s="112" t="s">
        <v>34</v>
      </c>
      <c r="C18" s="112" t="s">
        <v>56</v>
      </c>
      <c r="D18" s="101"/>
      <c r="E18" s="101"/>
      <c r="F18" s="101"/>
      <c r="G18" s="101"/>
      <c r="H18" s="101"/>
      <c r="I18" s="101"/>
      <c r="J18" s="101"/>
      <c r="K18" s="101"/>
      <c r="L18" s="101"/>
      <c r="M18" s="102"/>
    </row>
    <row r="19" spans="1:13">
      <c r="A19" s="112" t="s">
        <v>41</v>
      </c>
      <c r="B19" s="112" t="s">
        <v>34</v>
      </c>
      <c r="C19" s="112" t="s">
        <v>57</v>
      </c>
      <c r="D19" s="101"/>
      <c r="E19" s="101"/>
      <c r="F19" s="101"/>
      <c r="G19" s="101"/>
      <c r="H19" s="101"/>
      <c r="I19" s="101"/>
      <c r="J19" s="101"/>
      <c r="K19" s="101"/>
      <c r="L19" s="101"/>
      <c r="M19" s="102"/>
    </row>
    <row r="20" spans="1:13">
      <c r="A20" s="112" t="s">
        <v>40</v>
      </c>
      <c r="B20" s="112" t="s">
        <v>34</v>
      </c>
      <c r="C20" s="112" t="s">
        <v>58</v>
      </c>
      <c r="D20" s="101"/>
      <c r="E20" s="101"/>
      <c r="F20" s="101"/>
      <c r="G20" s="101"/>
      <c r="H20" s="101"/>
      <c r="I20" s="101"/>
      <c r="J20" s="101"/>
      <c r="K20" s="101"/>
      <c r="L20" s="101"/>
      <c r="M20" s="102"/>
    </row>
    <row r="21" spans="1:13">
      <c r="A21" s="112" t="s">
        <v>280</v>
      </c>
      <c r="B21" s="112" t="s">
        <v>34</v>
      </c>
      <c r="C21" s="112" t="s">
        <v>281</v>
      </c>
      <c r="D21" s="101"/>
      <c r="E21" s="101"/>
      <c r="F21" s="101"/>
      <c r="G21" s="101"/>
      <c r="H21" s="101"/>
      <c r="I21" s="101"/>
      <c r="J21" s="101"/>
      <c r="K21" s="101"/>
      <c r="L21" s="101"/>
      <c r="M21" s="102"/>
    </row>
    <row r="22" spans="1:13">
      <c r="A22" s="113"/>
    </row>
    <row r="23" spans="1:13">
      <c r="C23" s="100" t="s">
        <v>282</v>
      </c>
    </row>
    <row r="25" spans="1:13" ht="6" customHeight="1"/>
    <row r="27" spans="1:13">
      <c r="A27" s="114"/>
    </row>
    <row r="28" spans="1:13" ht="7.5" customHeight="1"/>
    <row r="252" spans="23:23">
      <c r="W252" s="103">
        <v>118</v>
      </c>
    </row>
    <row r="254" spans="23:23">
      <c r="W254" s="117">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13</vt:i4>
      </vt:variant>
    </vt:vector>
  </HeadingPairs>
  <TitlesOfParts>
    <vt:vector size="19" baseType="lpstr">
      <vt:lpstr>Index</vt:lpstr>
      <vt:lpstr>I - Financials</vt:lpstr>
      <vt:lpstr>II- Other income-exp</vt:lpstr>
      <vt:lpstr>III - KPIs</vt:lpstr>
      <vt:lpstr>IV - Dividends</vt:lpstr>
      <vt:lpstr>V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2019-11-17T13:01:22Z</cp:lastPrinted>
  <dcterms:created xsi:type="dcterms:W3CDTF">1999-09-09T08:56:33Z</dcterms:created>
  <dcterms:modified xsi:type="dcterms:W3CDTF">2019-11-17T16:44:34Z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