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5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6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updateLinks="always" defaultThemeVersion="124226"/>
  <xr:revisionPtr revIDLastSave="0" documentId="13_ncr:1_{6BAFDAB6-54D1-41CF-9579-62B333A2ABC9}" xr6:coauthVersionLast="47" xr6:coauthVersionMax="47" xr10:uidLastSave="{00000000-0000-0000-0000-000000000000}"/>
  <bookViews>
    <workbookView xWindow="-110" yWindow="-110" windowWidth="19420" windowHeight="10300" tabRatio="946" xr2:uid="{00000000-000D-0000-FFFF-FFFF00000000}"/>
  </bookViews>
  <sheets>
    <sheet name="פתיח" sheetId="26" r:id="rId1"/>
    <sheet name="בית" sheetId="27" r:id="rId2"/>
    <sheet name="יעדי קבוצת בזק" sheetId="5" r:id="rId3"/>
    <sheet name="סביבה&gt;&gt;&gt;" sheetId="33" r:id="rId4"/>
    <sheet name="פליטות גזי חממה" sheetId="14" r:id="rId5"/>
    <sheet name="עצימות" sheetId="25" r:id="rId6"/>
    <sheet name="צריכת אנרגיה" sheetId="4" r:id="rId7"/>
    <sheet name="מים" sheetId="16" r:id="rId8"/>
    <sheet name="פסולת" sheetId="29" r:id="rId9"/>
    <sheet name="חברה&gt;&gt;&gt; " sheetId="38" r:id="rId10"/>
    <sheet name="כוח אדם" sheetId="1" r:id="rId11"/>
    <sheet name="אופי העסקה" sheetId="11" r:id="rId12"/>
    <sheet name="ותק עובדים" sheetId="10" r:id="rId13"/>
    <sheet name="תחלופת עובדים" sheetId="9" r:id="rId14"/>
    <sheet name="גיוון והכללה" sheetId="7" r:id="rId15"/>
    <sheet name="הדרכות, משוב והערכה" sheetId="8" r:id="rId16"/>
    <sheet name="בטיחות וגהות" sheetId="3" r:id="rId17"/>
    <sheet name="ממשל תאגידי&gt;&gt;&gt;" sheetId="39" r:id="rId18"/>
    <sheet name="מבנה אחזקות" sheetId="28" r:id="rId19"/>
    <sheet name="חברי הדירקטוריון" sheetId="31" r:id="rId20"/>
    <sheet name="מענק שנתי לנושאי משרה" sheetId="32" r:id="rId21"/>
    <sheet name="פניות למבקר החברה" sheetId="24" r:id="rId22"/>
    <sheet name="ביצועים כספיים" sheetId="30" r:id="rId23"/>
    <sheet name="Grievances" sheetId="41" r:id="rId24"/>
  </sheets>
  <externalReferences>
    <externalReference r:id="rId25"/>
  </externalReferences>
  <definedNames>
    <definedName name="_ftn1" localSheetId="19">'חברי הדירקטוריון'!#REF!</definedName>
    <definedName name="_ftn2" localSheetId="19">'חברי הדירקטוריון'!#REF!</definedName>
    <definedName name="_ftnref1" localSheetId="19">'חברי הדירקטוריון'!$C$17</definedName>
    <definedName name="_ftnref2" localSheetId="19">'חברי הדירקטוריון'!#REF!</definedName>
    <definedName name="_xlnm.Print_Area" localSheetId="0">פתיח!$A$1:$Q$35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9" l="1"/>
  <c r="D25" i="31"/>
  <c r="D24" i="31"/>
  <c r="U53" i="3"/>
  <c r="E53" i="3"/>
  <c r="D53" i="3"/>
  <c r="C53" i="3"/>
  <c r="G37" i="3"/>
  <c r="G36" i="3"/>
  <c r="G35" i="3"/>
  <c r="G34" i="3"/>
  <c r="H31" i="3"/>
  <c r="C63" i="8"/>
  <c r="D61" i="8"/>
  <c r="D59" i="8"/>
  <c r="D58" i="8"/>
  <c r="E29" i="8"/>
  <c r="K10" i="8"/>
  <c r="C23" i="7"/>
  <c r="C22" i="7"/>
  <c r="C21" i="7"/>
  <c r="AG15" i="7"/>
  <c r="AF15" i="7"/>
  <c r="AE15" i="7"/>
  <c r="AD15" i="7"/>
  <c r="AC15" i="7"/>
  <c r="AB15" i="7"/>
  <c r="AA15" i="7"/>
  <c r="Z15" i="7"/>
  <c r="Y15" i="7"/>
  <c r="X15" i="7"/>
  <c r="W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AD12" i="7"/>
  <c r="X12" i="7"/>
  <c r="P12" i="7"/>
  <c r="H12" i="7"/>
  <c r="AE11" i="7"/>
  <c r="AB11" i="7"/>
  <c r="W11" i="7"/>
  <c r="O11" i="7"/>
  <c r="N11" i="7"/>
  <c r="L11" i="7"/>
  <c r="G11" i="7"/>
  <c r="F11" i="7"/>
  <c r="D11" i="7"/>
  <c r="Q61" i="9"/>
  <c r="P61" i="9"/>
  <c r="Q60" i="9"/>
  <c r="P60" i="9"/>
  <c r="K60" i="9"/>
  <c r="J60" i="9"/>
  <c r="H60" i="9"/>
  <c r="G60" i="9"/>
  <c r="E60" i="9"/>
  <c r="D60" i="9"/>
  <c r="Q59" i="9"/>
  <c r="P59" i="9"/>
  <c r="K59" i="9"/>
  <c r="J59" i="9"/>
  <c r="H59" i="9"/>
  <c r="G59" i="9"/>
  <c r="E59" i="9"/>
  <c r="D59" i="9"/>
  <c r="Q58" i="9"/>
  <c r="P58" i="9"/>
  <c r="K58" i="9"/>
  <c r="J58" i="9"/>
  <c r="H58" i="9"/>
  <c r="G58" i="9"/>
  <c r="E58" i="9"/>
  <c r="D58" i="9"/>
  <c r="Q57" i="9"/>
  <c r="P57" i="9"/>
  <c r="K57" i="9"/>
  <c r="J57" i="9"/>
  <c r="H57" i="9"/>
  <c r="G57" i="9"/>
  <c r="E57" i="9"/>
  <c r="D57" i="9"/>
  <c r="Q53" i="9"/>
  <c r="P53" i="9"/>
  <c r="K53" i="9"/>
  <c r="J53" i="9"/>
  <c r="H53" i="9"/>
  <c r="G53" i="9"/>
  <c r="E53" i="9"/>
  <c r="D53" i="9"/>
  <c r="R50" i="9"/>
  <c r="O50" i="9"/>
  <c r="L50" i="9"/>
  <c r="I50" i="9"/>
  <c r="Q45" i="9"/>
  <c r="P45" i="9"/>
  <c r="K45" i="9"/>
  <c r="J45" i="9"/>
  <c r="H45" i="9"/>
  <c r="G45" i="9"/>
  <c r="E45" i="9"/>
  <c r="D45" i="9"/>
  <c r="Q44" i="9"/>
  <c r="P44" i="9"/>
  <c r="K44" i="9"/>
  <c r="J44" i="9"/>
  <c r="H44" i="9"/>
  <c r="G44" i="9"/>
  <c r="E44" i="9"/>
  <c r="D44" i="9"/>
  <c r="Q43" i="9"/>
  <c r="P43" i="9"/>
  <c r="K43" i="9"/>
  <c r="J43" i="9"/>
  <c r="H43" i="9"/>
  <c r="G43" i="9"/>
  <c r="E43" i="9"/>
  <c r="D43" i="9"/>
  <c r="Q42" i="9"/>
  <c r="P42" i="9"/>
  <c r="K42" i="9"/>
  <c r="J42" i="9"/>
  <c r="H42" i="9"/>
  <c r="G42" i="9"/>
  <c r="E42" i="9"/>
  <c r="D42" i="9"/>
  <c r="Q41" i="9"/>
  <c r="P41" i="9"/>
  <c r="K41" i="9"/>
  <c r="J41" i="9"/>
  <c r="H41" i="9"/>
  <c r="G41" i="9"/>
  <c r="E41" i="9"/>
  <c r="D41" i="9"/>
  <c r="Q37" i="9"/>
  <c r="P37" i="9"/>
  <c r="K37" i="9"/>
  <c r="J37" i="9"/>
  <c r="H37" i="9"/>
  <c r="G37" i="9"/>
  <c r="E37" i="9"/>
  <c r="D37" i="9"/>
  <c r="R34" i="9"/>
  <c r="O34" i="9"/>
  <c r="L34" i="9"/>
  <c r="I34" i="9"/>
  <c r="R18" i="9"/>
  <c r="O18" i="9"/>
  <c r="L18" i="9"/>
  <c r="I18" i="9"/>
  <c r="X13" i="9"/>
  <c r="E13" i="9"/>
  <c r="X12" i="9"/>
  <c r="S12" i="9"/>
  <c r="N12" i="9"/>
  <c r="J12" i="9"/>
  <c r="F12" i="9"/>
  <c r="X11" i="9"/>
  <c r="E11" i="9"/>
  <c r="S10" i="9"/>
  <c r="N10" i="9"/>
  <c r="J10" i="9"/>
  <c r="F10" i="9"/>
  <c r="E10" i="9"/>
  <c r="Y9" i="9"/>
  <c r="V41" i="10"/>
  <c r="U41" i="10"/>
  <c r="T41" i="10"/>
  <c r="S41" i="10"/>
  <c r="V40" i="10"/>
  <c r="U40" i="10"/>
  <c r="V39" i="10"/>
  <c r="U39" i="10"/>
  <c r="V38" i="10"/>
  <c r="U38" i="10"/>
  <c r="V37" i="10"/>
  <c r="U37" i="10"/>
  <c r="U32" i="10"/>
  <c r="T32" i="10"/>
  <c r="S32" i="10"/>
  <c r="Q32" i="10"/>
  <c r="P32" i="10"/>
  <c r="O32" i="10"/>
  <c r="M32" i="10"/>
  <c r="L32" i="10"/>
  <c r="K32" i="10"/>
  <c r="I32" i="10"/>
  <c r="H32" i="10"/>
  <c r="G32" i="10"/>
  <c r="E32" i="10"/>
  <c r="D32" i="10"/>
  <c r="C32" i="10"/>
  <c r="U31" i="10"/>
  <c r="Q31" i="10"/>
  <c r="M31" i="10"/>
  <c r="I31" i="10"/>
  <c r="E31" i="10"/>
  <c r="U30" i="10"/>
  <c r="Q30" i="10"/>
  <c r="M30" i="10"/>
  <c r="I30" i="10"/>
  <c r="E30" i="10"/>
  <c r="U29" i="10"/>
  <c r="Q29" i="10"/>
  <c r="M29" i="10"/>
  <c r="I29" i="10"/>
  <c r="E29" i="10"/>
  <c r="U28" i="10"/>
  <c r="Q28" i="10"/>
  <c r="M28" i="10"/>
  <c r="I28" i="10"/>
  <c r="E28" i="10"/>
  <c r="Q23" i="10"/>
  <c r="P23" i="10"/>
  <c r="O23" i="10"/>
  <c r="M23" i="10"/>
  <c r="L23" i="10"/>
  <c r="K23" i="10"/>
  <c r="I23" i="10"/>
  <c r="H23" i="10"/>
  <c r="G23" i="10"/>
  <c r="Q22" i="10"/>
  <c r="Q21" i="10"/>
  <c r="Q20" i="10"/>
  <c r="Q19" i="10"/>
  <c r="M14" i="10"/>
  <c r="K14" i="10"/>
  <c r="I14" i="10"/>
  <c r="G14" i="10"/>
  <c r="E14" i="10"/>
  <c r="C14" i="10"/>
  <c r="P58" i="11"/>
  <c r="O58" i="11"/>
  <c r="Q57" i="11"/>
  <c r="K57" i="11"/>
  <c r="J57" i="11"/>
  <c r="I57" i="11"/>
  <c r="H57" i="11"/>
  <c r="G57" i="11"/>
  <c r="F57" i="11"/>
  <c r="E57" i="11"/>
  <c r="D57" i="11"/>
  <c r="C57" i="11"/>
  <c r="P56" i="11"/>
  <c r="O56" i="11"/>
  <c r="K56" i="11"/>
  <c r="J56" i="11"/>
  <c r="I56" i="11"/>
  <c r="H56" i="11"/>
  <c r="G56" i="11"/>
  <c r="F56" i="11"/>
  <c r="E56" i="11"/>
  <c r="D56" i="11"/>
  <c r="C56" i="11"/>
  <c r="K55" i="11"/>
  <c r="H55" i="11"/>
  <c r="E55" i="11"/>
  <c r="P54" i="11"/>
  <c r="O54" i="11"/>
  <c r="K54" i="11"/>
  <c r="J54" i="11"/>
  <c r="I54" i="11"/>
  <c r="H54" i="11"/>
  <c r="G54" i="11"/>
  <c r="F54" i="11"/>
  <c r="E54" i="11"/>
  <c r="D54" i="11"/>
  <c r="C54" i="11"/>
  <c r="K53" i="11"/>
  <c r="H53" i="11"/>
  <c r="E53" i="11"/>
  <c r="Q51" i="11"/>
  <c r="N44" i="11"/>
  <c r="M44" i="11"/>
  <c r="L44" i="11"/>
  <c r="K44" i="11"/>
  <c r="J44" i="11"/>
  <c r="I44" i="11"/>
  <c r="N43" i="11"/>
  <c r="M43" i="11"/>
  <c r="L43" i="11"/>
  <c r="K43" i="11"/>
  <c r="J43" i="11"/>
  <c r="I43" i="11"/>
  <c r="H43" i="11"/>
  <c r="G43" i="11"/>
  <c r="F43" i="11"/>
  <c r="N42" i="11"/>
  <c r="M42" i="11"/>
  <c r="L42" i="11"/>
  <c r="K42" i="11"/>
  <c r="J42" i="11"/>
  <c r="I42" i="11"/>
  <c r="N41" i="11"/>
  <c r="K41" i="11"/>
  <c r="H41" i="11"/>
  <c r="N40" i="11"/>
  <c r="M40" i="11"/>
  <c r="L40" i="11"/>
  <c r="K40" i="11"/>
  <c r="J40" i="11"/>
  <c r="I40" i="11"/>
  <c r="N39" i="11"/>
  <c r="K39" i="11"/>
  <c r="H39" i="11"/>
  <c r="L16" i="11"/>
  <c r="B16" i="11"/>
  <c r="B15" i="11"/>
  <c r="N14" i="11"/>
  <c r="M14" i="11"/>
  <c r="L14" i="11"/>
  <c r="B14" i="11"/>
  <c r="N13" i="11"/>
  <c r="B13" i="11"/>
  <c r="N12" i="11"/>
  <c r="B12" i="11"/>
  <c r="N11" i="11"/>
  <c r="B11" i="11"/>
  <c r="O10" i="11"/>
  <c r="N10" i="11"/>
  <c r="B10" i="11"/>
  <c r="U95" i="1"/>
  <c r="T95" i="1"/>
  <c r="S95" i="1"/>
  <c r="M95" i="1"/>
  <c r="L95" i="1"/>
  <c r="K95" i="1"/>
  <c r="I95" i="1"/>
  <c r="H95" i="1"/>
  <c r="G95" i="1"/>
  <c r="E95" i="1"/>
  <c r="D95" i="1"/>
  <c r="C95" i="1"/>
  <c r="U94" i="1"/>
  <c r="M94" i="1"/>
  <c r="I94" i="1"/>
  <c r="E94" i="1"/>
  <c r="U93" i="1"/>
  <c r="M93" i="1"/>
  <c r="I93" i="1"/>
  <c r="E93" i="1"/>
  <c r="U92" i="1"/>
  <c r="M92" i="1"/>
  <c r="I92" i="1"/>
  <c r="E92" i="1"/>
  <c r="K87" i="1"/>
  <c r="J87" i="1"/>
  <c r="I87" i="1"/>
  <c r="H87" i="1"/>
  <c r="G87" i="1"/>
  <c r="F87" i="1"/>
  <c r="E87" i="1"/>
  <c r="D87" i="1"/>
  <c r="C87" i="1"/>
  <c r="K86" i="1"/>
  <c r="H86" i="1"/>
  <c r="E86" i="1"/>
  <c r="K85" i="1"/>
  <c r="H85" i="1"/>
  <c r="E85" i="1"/>
  <c r="U79" i="1"/>
  <c r="T79" i="1"/>
  <c r="S79" i="1"/>
  <c r="Q79" i="1"/>
  <c r="P79" i="1"/>
  <c r="O79" i="1"/>
  <c r="M79" i="1"/>
  <c r="L79" i="1"/>
  <c r="K79" i="1"/>
  <c r="I79" i="1"/>
  <c r="H79" i="1"/>
  <c r="G79" i="1"/>
  <c r="E79" i="1"/>
  <c r="D79" i="1"/>
  <c r="C79" i="1"/>
  <c r="U78" i="1"/>
  <c r="Q78" i="1"/>
  <c r="M78" i="1"/>
  <c r="I78" i="1"/>
  <c r="E78" i="1"/>
  <c r="U77" i="1"/>
  <c r="Q77" i="1"/>
  <c r="M77" i="1"/>
  <c r="I77" i="1"/>
  <c r="E77" i="1"/>
  <c r="U76" i="1"/>
  <c r="Q76" i="1"/>
  <c r="M76" i="1"/>
  <c r="I76" i="1"/>
  <c r="E76" i="1"/>
  <c r="Q71" i="1"/>
  <c r="P71" i="1"/>
  <c r="O71" i="1"/>
  <c r="K71" i="1"/>
  <c r="J71" i="1"/>
  <c r="I71" i="1"/>
  <c r="H71" i="1"/>
  <c r="G71" i="1"/>
  <c r="F71" i="1"/>
  <c r="E71" i="1"/>
  <c r="D71" i="1"/>
  <c r="C71" i="1"/>
  <c r="Q70" i="1"/>
  <c r="K70" i="1"/>
  <c r="H70" i="1"/>
  <c r="E70" i="1"/>
  <c r="Q69" i="1"/>
  <c r="K69" i="1"/>
  <c r="H69" i="1"/>
  <c r="E69" i="1"/>
  <c r="P63" i="1"/>
  <c r="O63" i="1"/>
  <c r="M63" i="1"/>
  <c r="L63" i="1"/>
  <c r="K63" i="1"/>
  <c r="I63" i="1"/>
  <c r="H63" i="1"/>
  <c r="G63" i="1"/>
  <c r="E63" i="1"/>
  <c r="D63" i="1"/>
  <c r="C63" i="1"/>
  <c r="Q62" i="1"/>
  <c r="M62" i="1"/>
  <c r="I62" i="1"/>
  <c r="E62" i="1"/>
  <c r="Q61" i="1"/>
  <c r="M61" i="1"/>
  <c r="I61" i="1"/>
  <c r="E61" i="1"/>
  <c r="Q60" i="1"/>
  <c r="M60" i="1"/>
  <c r="I60" i="1"/>
  <c r="E60" i="1"/>
  <c r="K55" i="1"/>
  <c r="J55" i="1"/>
  <c r="I55" i="1"/>
  <c r="H55" i="1"/>
  <c r="G55" i="1"/>
  <c r="F55" i="1"/>
  <c r="E55" i="1"/>
  <c r="D55" i="1"/>
  <c r="C55" i="1"/>
  <c r="K54" i="1"/>
  <c r="H54" i="1"/>
  <c r="E54" i="1"/>
  <c r="K53" i="1"/>
  <c r="H53" i="1"/>
  <c r="E53" i="1"/>
  <c r="Q47" i="1"/>
  <c r="P47" i="1"/>
  <c r="O47" i="1"/>
  <c r="N47" i="1"/>
  <c r="M47" i="1"/>
  <c r="L47" i="1"/>
  <c r="G47" i="1"/>
  <c r="Q46" i="1"/>
  <c r="N46" i="1"/>
  <c r="J46" i="1"/>
  <c r="I46" i="1"/>
  <c r="K46" i="1" s="1"/>
  <c r="G46" i="1"/>
  <c r="F46" i="1"/>
  <c r="H46" i="1" s="1"/>
  <c r="D46" i="1"/>
  <c r="C46" i="1"/>
  <c r="E46" i="1" s="1"/>
  <c r="Q45" i="1"/>
  <c r="N45" i="1"/>
  <c r="K45" i="1"/>
  <c r="J45" i="1"/>
  <c r="I45" i="1"/>
  <c r="G45" i="1"/>
  <c r="F45" i="1"/>
  <c r="H45" i="1" s="1"/>
  <c r="E45" i="1"/>
  <c r="D45" i="1"/>
  <c r="C45" i="1"/>
  <c r="Q44" i="1"/>
  <c r="N44" i="1"/>
  <c r="J44" i="1"/>
  <c r="K44" i="1" s="1"/>
  <c r="I44" i="1"/>
  <c r="I47" i="1" s="1"/>
  <c r="G44" i="1"/>
  <c r="H44" i="1" s="1"/>
  <c r="F44" i="1"/>
  <c r="F47" i="1" s="1"/>
  <c r="D44" i="1"/>
  <c r="E44" i="1" s="1"/>
  <c r="C44" i="1"/>
  <c r="C47" i="1" s="1"/>
  <c r="Q39" i="1"/>
  <c r="N39" i="1"/>
  <c r="Q38" i="1"/>
  <c r="N38" i="1"/>
  <c r="Q37" i="1"/>
  <c r="N37" i="1"/>
  <c r="Q36" i="1"/>
  <c r="N36" i="1"/>
  <c r="I23" i="1"/>
  <c r="G23" i="1"/>
  <c r="E23" i="1"/>
  <c r="C23" i="1"/>
  <c r="G19" i="1"/>
  <c r="E19" i="1"/>
  <c r="C19" i="1"/>
  <c r="F14" i="1"/>
  <c r="E14" i="1"/>
  <c r="D14" i="1"/>
  <c r="C14" i="1"/>
  <c r="D36" i="29"/>
  <c r="I11" i="29"/>
  <c r="H11" i="29"/>
  <c r="G11" i="29"/>
  <c r="F11" i="29"/>
  <c r="E11" i="29"/>
  <c r="C11" i="29"/>
  <c r="G10" i="29"/>
  <c r="K10" i="16"/>
  <c r="J10" i="16"/>
  <c r="H10" i="16"/>
  <c r="F10" i="16"/>
  <c r="D10" i="16"/>
  <c r="K9" i="16"/>
  <c r="J9" i="16"/>
  <c r="H9" i="16"/>
  <c r="F9" i="16"/>
  <c r="D9" i="16"/>
  <c r="K8" i="16"/>
  <c r="J8" i="16"/>
  <c r="H8" i="16"/>
  <c r="F8" i="16"/>
  <c r="D8" i="16"/>
  <c r="K7" i="16"/>
  <c r="G75" i="4"/>
  <c r="F75" i="4"/>
  <c r="E75" i="4"/>
  <c r="D75" i="4"/>
  <c r="C75" i="4"/>
  <c r="G74" i="4"/>
  <c r="F74" i="4"/>
  <c r="E74" i="4"/>
  <c r="G73" i="4"/>
  <c r="F73" i="4"/>
  <c r="E73" i="4"/>
  <c r="G72" i="4"/>
  <c r="E72" i="4"/>
  <c r="G71" i="4"/>
  <c r="E71" i="4"/>
  <c r="H67" i="4"/>
  <c r="G67" i="4"/>
  <c r="H66" i="4"/>
  <c r="G66" i="4"/>
  <c r="G65" i="4"/>
  <c r="G64" i="4"/>
  <c r="G63" i="4"/>
  <c r="G51" i="4"/>
  <c r="G50" i="4"/>
  <c r="H43" i="4"/>
  <c r="G43" i="4"/>
  <c r="H42" i="4"/>
  <c r="G42" i="4"/>
  <c r="H41" i="4"/>
  <c r="G41" i="4"/>
  <c r="H40" i="4"/>
  <c r="G40" i="4"/>
  <c r="H39" i="4"/>
  <c r="G39" i="4"/>
  <c r="C35" i="4"/>
  <c r="H28" i="4"/>
  <c r="G28" i="4"/>
  <c r="F28" i="4"/>
  <c r="E28" i="4"/>
  <c r="D28" i="4"/>
  <c r="H27" i="4"/>
  <c r="H26" i="4"/>
  <c r="H25" i="4"/>
  <c r="G25" i="4"/>
  <c r="F25" i="4"/>
  <c r="E25" i="4"/>
  <c r="D25" i="4"/>
  <c r="H24" i="4"/>
  <c r="H23" i="4"/>
  <c r="H22" i="4"/>
  <c r="G22" i="4"/>
  <c r="F22" i="4"/>
  <c r="E22" i="4"/>
  <c r="D22" i="4"/>
  <c r="H21" i="4"/>
  <c r="H20" i="4"/>
  <c r="H19" i="4"/>
  <c r="G19" i="4"/>
  <c r="F19" i="4"/>
  <c r="E19" i="4"/>
  <c r="D19" i="4"/>
  <c r="H18" i="4"/>
  <c r="H17" i="4"/>
  <c r="I13" i="4"/>
  <c r="H13" i="4"/>
  <c r="G13" i="4"/>
  <c r="F13" i="4"/>
  <c r="E13" i="4"/>
  <c r="I12" i="4"/>
  <c r="H12" i="4"/>
  <c r="I11" i="4"/>
  <c r="H11" i="4"/>
  <c r="I10" i="4"/>
  <c r="H10" i="4"/>
  <c r="I9" i="4"/>
  <c r="H9" i="4"/>
  <c r="Y23" i="25"/>
  <c r="X23" i="25"/>
  <c r="W23" i="25"/>
  <c r="Y22" i="25"/>
  <c r="Y21" i="25"/>
  <c r="G21" i="25"/>
  <c r="F21" i="25"/>
  <c r="E21" i="25"/>
  <c r="D21" i="25"/>
  <c r="C21" i="25"/>
  <c r="Y20" i="25"/>
  <c r="G20" i="25"/>
  <c r="F20" i="25"/>
  <c r="E20" i="25"/>
  <c r="D20" i="25"/>
  <c r="C20" i="25"/>
  <c r="Y19" i="25"/>
  <c r="G19" i="25"/>
  <c r="F19" i="25"/>
  <c r="E19" i="25"/>
  <c r="D19" i="25"/>
  <c r="C19" i="25"/>
  <c r="G18" i="25"/>
  <c r="F18" i="25"/>
  <c r="E18" i="25"/>
  <c r="D18" i="25"/>
  <c r="C18" i="25"/>
  <c r="G17" i="25"/>
  <c r="F17" i="25"/>
  <c r="E17" i="25"/>
  <c r="D17" i="25"/>
  <c r="C17" i="25"/>
  <c r="AB14" i="25"/>
  <c r="Z14" i="25"/>
  <c r="Y14" i="25"/>
  <c r="X14" i="25"/>
  <c r="W14" i="25"/>
  <c r="V14" i="25"/>
  <c r="U14" i="25"/>
  <c r="Q14" i="25"/>
  <c r="P14" i="25"/>
  <c r="O14" i="25"/>
  <c r="N14" i="25"/>
  <c r="M14" i="25"/>
  <c r="AG13" i="25"/>
  <c r="AF13" i="25"/>
  <c r="AE13" i="25"/>
  <c r="AD13" i="25"/>
  <c r="AB13" i="25"/>
  <c r="X13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D13" i="25"/>
  <c r="C13" i="25"/>
  <c r="AB12" i="25"/>
  <c r="X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AB11" i="25"/>
  <c r="X11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AB10" i="25"/>
  <c r="X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C10" i="25"/>
  <c r="D49" i="14"/>
  <c r="D48" i="14"/>
  <c r="G47" i="14"/>
  <c r="E47" i="14"/>
  <c r="D47" i="14"/>
  <c r="P46" i="14"/>
  <c r="D46" i="14"/>
  <c r="D45" i="14"/>
  <c r="G44" i="14"/>
  <c r="F44" i="14"/>
  <c r="E44" i="14"/>
  <c r="D44" i="14"/>
  <c r="D43" i="14"/>
  <c r="D42" i="14"/>
  <c r="G41" i="14"/>
  <c r="E41" i="14"/>
  <c r="D41" i="14"/>
  <c r="E39" i="14"/>
  <c r="D39" i="14"/>
  <c r="G35" i="14"/>
  <c r="F35" i="14"/>
  <c r="E35" i="14"/>
  <c r="D35" i="14"/>
  <c r="C35" i="14"/>
  <c r="G34" i="14"/>
  <c r="G33" i="14"/>
  <c r="G29" i="14"/>
  <c r="F29" i="14"/>
  <c r="E29" i="14"/>
  <c r="D29" i="14"/>
  <c r="C29" i="14"/>
  <c r="G28" i="14"/>
  <c r="G27" i="14"/>
  <c r="G23" i="14"/>
  <c r="F23" i="14"/>
  <c r="E23" i="14"/>
  <c r="D23" i="14"/>
  <c r="C23" i="14"/>
  <c r="G22" i="14"/>
  <c r="G21" i="14"/>
  <c r="J16" i="14"/>
  <c r="I16" i="14"/>
  <c r="I15" i="14"/>
  <c r="J14" i="14"/>
  <c r="I14" i="14"/>
  <c r="J13" i="14"/>
  <c r="I13" i="14"/>
  <c r="H13" i="14"/>
  <c r="G13" i="14"/>
  <c r="F13" i="14"/>
  <c r="E13" i="14"/>
  <c r="D13" i="14"/>
  <c r="J12" i="14"/>
  <c r="I12" i="14"/>
  <c r="H12" i="14"/>
  <c r="G12" i="14"/>
  <c r="F12" i="14"/>
  <c r="E12" i="14"/>
  <c r="D12" i="14"/>
  <c r="C12" i="14"/>
  <c r="E51" i="5"/>
  <c r="C51" i="5"/>
  <c r="E50" i="5"/>
  <c r="E49" i="5"/>
  <c r="C44" i="5"/>
  <c r="L40" i="5"/>
  <c r="L39" i="5"/>
  <c r="F39" i="5"/>
  <c r="C39" i="5"/>
  <c r="H32" i="5"/>
  <c r="I31" i="5"/>
  <c r="H31" i="5"/>
  <c r="H29" i="5"/>
  <c r="I28" i="5"/>
  <c r="H28" i="5"/>
  <c r="H26" i="5"/>
  <c r="I25" i="5"/>
  <c r="H25" i="5"/>
  <c r="H24" i="5"/>
  <c r="I23" i="5"/>
  <c r="H23" i="5"/>
  <c r="L15" i="5"/>
  <c r="K15" i="5"/>
  <c r="J15" i="5"/>
  <c r="I15" i="5"/>
  <c r="H15" i="5"/>
  <c r="G15" i="5"/>
  <c r="F15" i="5"/>
  <c r="E15" i="5"/>
  <c r="D15" i="5"/>
  <c r="C15" i="5"/>
  <c r="J14" i="5"/>
  <c r="I14" i="5"/>
  <c r="J13" i="5"/>
  <c r="I13" i="5"/>
  <c r="J12" i="5"/>
  <c r="I12" i="5"/>
  <c r="J11" i="5"/>
  <c r="I11" i="5"/>
  <c r="H11" i="5"/>
  <c r="F11" i="5"/>
  <c r="D11" i="5"/>
  <c r="E47" i="1" l="1"/>
  <c r="H47" i="1"/>
  <c r="J47" i="1"/>
  <c r="K47" i="1" s="1"/>
  <c r="D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מחבר</author>
  </authors>
  <commentList>
    <comment ref="G13" authorId="0" shapeId="0" xr:uid="{00000000-0006-0000-0400-000001000000}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חלק מההפחתה במכלול 2 ניתן לייחס לפירוק מדויק יותר של מקורות רכש החשמל בשנת 2021, ומכאן ירידה במקדם הפליטה.
</t>
        </r>
      </text>
    </comment>
    <comment ref="F34" authorId="0" shapeId="0" xr:uid="{00000000-0006-0000-0400-000002000000}">
      <text>
        <r>
          <rPr>
            <b/>
            <sz val="9"/>
            <rFont val="Tahoma"/>
            <family val="2"/>
          </rPr>
          <t>מחבר:</t>
        </r>
        <r>
          <rPr>
            <sz val="9"/>
            <rFont val="Tahoma"/>
            <family val="2"/>
          </rPr>
          <t xml:space="preserve">
הייתי ממליצה לבדוק למה צריכת החשמל ירדה כל כך- בההרות שלהם ציינו כי הנתונים של 24 מציינים את צריכת החשמל בשחם וסיבים- האם יש עוד אתרים שדווחו בשנים קודמות ועכשיו לא?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מחבר</author>
  </authors>
  <commentList>
    <comment ref="AC7" authorId="0" shapeId="0" xr:uid="{00000000-0006-0000-0500-000001000000}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מחבר:
למעצב/ת - נא לא להראות בגיליון זה את הטבלה שמוסתרת (פונט צבוע בלבן))
</t>
        </r>
      </text>
    </comment>
    <comment ref="U8" authorId="0" shapeId="0" xr:uid="{00000000-0006-0000-0500-000002000000}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למעצב/ת - נא לא להראות בגיליון זה את הטבלה שמוסתרת (פונט צבוע בלבן))
</t>
        </r>
      </text>
    </comment>
    <comment ref="W10" authorId="0" shapeId="0" xr:uid="{00000000-0006-0000-0500-000003000000}">
      <text>
        <r>
          <rPr>
            <b/>
            <sz val="9"/>
            <rFont val="Tahoma"/>
            <family val="2"/>
          </rPr>
          <t>מחבר:</t>
        </r>
        <r>
          <rPr>
            <sz val="9"/>
            <rFont val="Tahoma"/>
            <family val="2"/>
          </rPr>
          <t xml:space="preserve">
סופי</t>
        </r>
      </text>
    </comment>
    <comment ref="AA10" authorId="0" shapeId="0" xr:uid="{00000000-0006-0000-0500-000004000000}">
      <text>
        <r>
          <rPr>
            <b/>
            <sz val="9"/>
            <rFont val="Tahoma"/>
            <family val="2"/>
          </rPr>
          <t>מחבר:</t>
        </r>
        <r>
          <rPr>
            <sz val="9"/>
            <rFont val="Tahoma"/>
            <family val="2"/>
          </rPr>
          <t xml:space="preserve">
סופי
</t>
        </r>
      </text>
    </comment>
    <comment ref="T18" authorId="0" shapeId="0" xr:uid="{00000000-0006-0000-0500-000005000000}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מחבר:
למעצב/ת - נא לא להראות בגיליון זה את הטבלה שמוסתרת (פונט צבוע בלבן))
</t>
        </r>
      </text>
    </comment>
    <comment ref="W19" authorId="0" shapeId="0" xr:uid="{00000000-0006-0000-0500-000006000000}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מעודכן 23.5.23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מחבר</author>
  </authors>
  <commentList>
    <comment ref="G16" authorId="0" shapeId="0" xr:uid="{00000000-0006-0000-0600-000001000000}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2022- צריכת הדלק היא לפי נתונים של חברות הדלק השונות, למעט רכב חליפי של חברות הליסינג
לא כולל תוספות דלק לרכבי הליסינג</t>
        </r>
      </text>
    </comment>
    <comment ref="H38" authorId="0" shapeId="0" xr:uid="{00000000-0006-0000-0600-000002000000}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רכבים פרטיים - רכבי נוסעים בלבד (לא כוללת מסחרי קל, מסחרי בינוני, מסחרי כבד ואופנועים)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מחבר</author>
  </authors>
  <commentList>
    <comment ref="I10" authorId="0" shapeId="0" xr:uid="{00000000-0006-0000-0700-000001000000}">
      <text>
        <r>
          <rPr>
            <b/>
            <sz val="9"/>
            <rFont val="Tahoma"/>
            <family val="2"/>
          </rPr>
          <t>מחבר:</t>
        </r>
        <r>
          <rPr>
            <sz val="9"/>
            <rFont val="Tahoma"/>
            <family val="2"/>
          </rPr>
          <t xml:space="preserve">
להבין את פשר הירידה הדרמטית הזו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מחבר</author>
  </authors>
  <commentList>
    <comment ref="K49" authorId="0" shapeId="0" xr:uid="{00000000-0006-0000-0D00-000001000000}">
      <text>
        <r>
          <rPr>
            <b/>
            <sz val="8"/>
            <rFont val="Calibri"/>
            <family val="2"/>
          </rPr>
  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יש לנו 2 עובדים שבשנה זו נפטרו לא הוספתי אותם לחישוב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מחבר</author>
  </authors>
  <commentList>
    <comment ref="D10" authorId="0" shapeId="0" xr:uid="{00000000-0006-0000-0F00-000001000000}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לא קיים מידע מ 2020 לגבי הדרכות, מלבד קורסי הכשרה לעובדים</t>
        </r>
      </text>
    </comment>
    <comment ref="H10" authorId="0" shapeId="0" xr:uid="{00000000-0006-0000-0F00-000002000000}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מוכב מ: 5184 שעות הדרכה קורסי שירות ותמיכה, 2700 קבלן</t>
        </r>
      </text>
    </comment>
    <comment ref="L10" authorId="0" shapeId="0" xr:uid="{00000000-0006-0000-0F00-000003000000}">
      <text>
        <r>
          <rPr>
            <b/>
            <sz val="11"/>
            <color theme="1"/>
            <rFont val="Calibri"/>
            <family val="2"/>
          </rPr>
          <t>מחבר:</t>
        </r>
        <r>
          <rPr>
            <sz val="11"/>
            <color theme="1"/>
            <rFont val="Calibri"/>
            <family val="2"/>
          </rPr>
          <t xml:space="preserve">
מורכב מ 3888 שעות קורסי תמיכה ושירות, 1620 שעות קורסי טכנאים בחת, 540 שעות קורסי קבלן מקוצרים . כולל ריענוני גובה ל 12 מנהלים 8 שעות כל אחד</t>
        </r>
      </text>
    </comment>
    <comment ref="P10" authorId="0" shapeId="0" xr:uid="{00000000-0006-0000-0F00-000004000000}">
      <text>
        <r>
          <rPr>
            <b/>
            <sz val="9"/>
            <rFont val="Tahoma"/>
            <family val="2"/>
          </rPr>
          <t>מחבר:</t>
        </r>
        <r>
          <rPr>
            <sz val="9"/>
            <rFont val="Tahoma"/>
            <family val="2"/>
          </rPr>
          <t xml:space="preserve">
מורכב מ 570 עובדים חדשים שנקלטו בקורסי הכשרה והכשרות עובדי מטה (טריפלרן ועוד) ותהליכי למידה מתקדמים  לנציגים קיימים (סדנאות, ימי עיון ועוד). </t>
        </r>
      </text>
    </comment>
    <comment ref="T10" authorId="0" shapeId="0" xr:uid="{00000000-0006-0000-0F00-000005000000}">
      <text>
        <r>
          <rPr>
            <b/>
            <sz val="8"/>
            <rFont val="Calibri"/>
            <family val="2"/>
          </rPr>
          <t xml:space="preserve">
מורכב :
577 - עובדי קורסים
315 - עובדי מטה בוסט
2040 - הדרכות המשך</t>
        </r>
      </text>
    </comment>
    <comment ref="P11" authorId="0" shapeId="0" xr:uid="{00000000-0006-0000-0F00-000006000000}">
      <text>
        <r>
          <rPr>
            <b/>
            <sz val="9"/>
            <rFont val="Tahoma"/>
            <family val="2"/>
          </rPr>
          <t>מחבר:</t>
        </r>
        <r>
          <rPr>
            <sz val="9"/>
            <rFont val="Tahoma"/>
            <family val="2"/>
          </rPr>
          <t xml:space="preserve">
חישוב לפי 10,423 שעות סה"כ : 10,053 בקורסי הכשרה, 330 לתהליכי למידה מתקדמים בסיום הכשרה, 40 טריפלרן</t>
        </r>
      </text>
    </comment>
    <comment ref="T11" authorId="0" shapeId="0" xr:uid="{00000000-0006-0000-0F00-000007000000}">
      <text>
        <r>
          <rPr>
            <b/>
            <sz val="9"/>
            <rFont val="Tahoma"/>
            <family val="2"/>
          </rPr>
          <t>מחבר:</t>
        </r>
        <r>
          <rPr>
            <sz val="9"/>
            <rFont val="Tahoma"/>
            <family val="2"/>
          </rPr>
          <t xml:space="preserve">
10.1 - עובדי קורסים
0.6 - בוסט
0.7 - הדרכות המשך</t>
        </r>
      </text>
    </comment>
  </commentList>
</comments>
</file>

<file path=xl/sharedStrings.xml><?xml version="1.0" encoding="utf-8"?>
<sst xmlns="http://schemas.openxmlformats.org/spreadsheetml/2006/main" count="1585" uniqueCount="507">
  <si>
    <r>
      <t xml:space="preserve">חזון הקיימות של קבוצת בזק הוא </t>
    </r>
    <r>
      <rPr>
        <b/>
        <sz val="12"/>
        <color rgb="FF16254F"/>
        <rFont val="Calibri"/>
        <family val="2"/>
      </rPr>
      <t xml:space="preserve">לחבר את ישראל לעתיד טוב יותר, </t>
    </r>
    <r>
      <rPr>
        <sz val="12"/>
        <color rgb="FF16254F"/>
        <rFont val="Calibri"/>
        <family val="2"/>
      </rPr>
      <t xml:space="preserve">והוא נשען על התפיסה שלפיה ליבת הפעילות העסקית של הקבוצה נמצאת בהלימה מלאה עם עקרונות אחריות תאגידית ופיתוח בר־קיימא בשלושה תחומים:
</t>
    </r>
    <r>
      <rPr>
        <b/>
        <sz val="12"/>
        <color rgb="FF16254F"/>
        <rFont val="Calibri"/>
        <family val="2"/>
      </rPr>
      <t>סביבה (Environment)
חברה (Society)
ממשל תאגידי (Governance)</t>
    </r>
    <r>
      <rPr>
        <sz val="12"/>
        <color rgb="FF16254F"/>
        <rFont val="Calibri"/>
        <family val="2"/>
      </rPr>
      <t xml:space="preserve">
שלושת התחומים הללו מתווים באופן טבעי את היעדים והמטרות לקידום ומימוש חזון הקבוצה בדרך להטמעתם המלאה באסטרטגיה העסקית שלה.</t>
    </r>
  </si>
  <si>
    <t>תוכן העניינים</t>
  </si>
  <si>
    <t>יעדי קבוצת בזק</t>
  </si>
  <si>
    <t>למעבר &gt;</t>
  </si>
  <si>
    <t>הישגים בתחום ה־ESG לשנת 2025:</t>
  </si>
  <si>
    <t>סביבה</t>
  </si>
  <si>
    <t>פליטות גזי חממה</t>
  </si>
  <si>
    <r>
      <rPr>
        <sz val="10"/>
        <color rgb="FF000000"/>
        <rFont val="Calibri"/>
        <family val="2"/>
      </rPr>
      <t xml:space="preserve">ירידה של </t>
    </r>
    <r>
      <rPr>
        <b/>
        <sz val="15"/>
        <color rgb="FF000000"/>
        <rFont val="Calibri"/>
        <family val="2"/>
      </rPr>
      <t>16%</t>
    </r>
    <r>
      <rPr>
        <sz val="10"/>
        <color rgb="FF000000"/>
        <rFont val="Calibri"/>
        <family val="2"/>
      </rPr>
      <t xml:space="preserve"> בצריכת המים ביחס לשנת 2023</t>
    </r>
  </si>
  <si>
    <t>עצימות</t>
  </si>
  <si>
    <r>
      <rPr>
        <sz val="10"/>
        <color rgb="FF000000"/>
        <rFont val="Calibri"/>
        <family val="2"/>
      </rPr>
      <t>מיחזור של</t>
    </r>
    <r>
      <rPr>
        <b/>
        <sz val="14"/>
        <color rgb="FF000000"/>
        <rFont val="Calibri"/>
        <family val="2"/>
      </rPr>
      <t xml:space="preserve"> 103</t>
    </r>
    <r>
      <rPr>
        <sz val="10"/>
        <color rgb="FF000000"/>
        <rFont val="Calibri"/>
        <family val="2"/>
      </rPr>
      <t xml:space="preserve"> טון מוצרי תקשורת בבזק טק, ו- </t>
    </r>
    <r>
      <rPr>
        <b/>
        <sz val="14"/>
        <color rgb="FF000000"/>
        <rFont val="Calibri"/>
        <family val="2"/>
      </rPr>
      <t xml:space="preserve">4255 </t>
    </r>
    <r>
      <rPr>
        <sz val="10"/>
        <color rgb="FF000000"/>
        <rFont val="Calibri"/>
        <family val="2"/>
      </rPr>
      <t>מכשירים סלולררים בפלאפון</t>
    </r>
  </si>
  <si>
    <t>צריכת אנרגיה</t>
  </si>
  <si>
    <r>
      <rPr>
        <b/>
        <sz val="15"/>
        <color rgb="FF000000"/>
        <rFont val="Calibri"/>
        <family val="2"/>
      </rPr>
      <t>כ - 65%</t>
    </r>
    <r>
      <rPr>
        <sz val="10"/>
        <color rgb="FF000000"/>
        <rFont val="Calibri"/>
        <family val="2"/>
      </rPr>
      <t xml:space="preserve"> מהרכבים בקבוצה הם חשמליים והיברידיים </t>
    </r>
  </si>
  <si>
    <t>מים</t>
  </si>
  <si>
    <t>פסולת</t>
  </si>
  <si>
    <t>חברה</t>
  </si>
  <si>
    <t>כוח אדם</t>
  </si>
  <si>
    <r>
      <rPr>
        <sz val="10"/>
        <color rgb="FF000000"/>
        <rFont val="Calibri"/>
        <family val="2"/>
      </rPr>
      <t xml:space="preserve">למעלה מ - </t>
    </r>
    <r>
      <rPr>
        <b/>
        <sz val="16"/>
        <color rgb="FF000000"/>
        <rFont val="Calibri"/>
        <family val="2"/>
      </rPr>
      <t xml:space="preserve">15 מיליון ש"ח תרומה לקהילה </t>
    </r>
    <r>
      <rPr>
        <sz val="10"/>
        <color rgb="FF000000"/>
        <rFont val="Calibri"/>
        <family val="2"/>
      </rPr>
      <t>בשנת 2024</t>
    </r>
  </si>
  <si>
    <t>אופי העסקה</t>
  </si>
  <si>
    <r>
      <rPr>
        <sz val="10"/>
        <color rgb="FF000000"/>
        <rFont val="Calibri"/>
        <family val="2"/>
      </rPr>
      <t xml:space="preserve">חיבור </t>
    </r>
    <r>
      <rPr>
        <b/>
        <sz val="16"/>
        <color rgb="FF000000"/>
        <rFont val="Calibri"/>
        <family val="2"/>
      </rPr>
      <t>תשתית אינטרנט בלמעלה מ -</t>
    </r>
    <r>
      <rPr>
        <sz val="10"/>
        <color rgb="FF000000"/>
        <rFont val="Calibri"/>
        <family val="2"/>
      </rPr>
      <t xml:space="preserve"> </t>
    </r>
    <r>
      <rPr>
        <b/>
        <sz val="15"/>
        <color rgb="FF000000"/>
        <rFont val="Calibri"/>
        <family val="2"/>
      </rPr>
      <t>1,000</t>
    </r>
    <r>
      <rPr>
        <sz val="10"/>
        <color rgb="FF000000"/>
        <rFont val="Calibri"/>
        <family val="2"/>
      </rPr>
      <t xml:space="preserve"> מקלטים במלחמת חרבות ברזל</t>
    </r>
  </si>
  <si>
    <t>תחלופת עובדים</t>
  </si>
  <si>
    <r>
      <rPr>
        <b/>
        <sz val="15"/>
        <color rgb="FF000000"/>
        <rFont val="Calibri"/>
        <family val="2"/>
      </rPr>
      <t>תרומה של אלפי מכשירים</t>
    </r>
    <r>
      <rPr>
        <sz val="10"/>
        <color rgb="FF000000"/>
        <rFont val="Calibri"/>
        <family val="2"/>
      </rPr>
      <t xml:space="preserve"> ותשתיות תקשורת למפונים ולנפגעים</t>
    </r>
  </si>
  <si>
    <t>ותק עובדים</t>
  </si>
  <si>
    <r>
      <rPr>
        <b/>
        <sz val="15"/>
        <color rgb="FF000000"/>
        <rFont val="Calibri"/>
        <family val="2"/>
      </rPr>
      <t xml:space="preserve">כ - 37% </t>
    </r>
    <r>
      <rPr>
        <sz val="11"/>
        <color rgb="FF000000"/>
        <rFont val="Calibri"/>
        <family val="2"/>
      </rPr>
      <t xml:space="preserve">מהמנהלות בקבוצה הן נשים </t>
    </r>
  </si>
  <si>
    <t>גיוון והכללה</t>
  </si>
  <si>
    <r>
      <rPr>
        <sz val="10"/>
        <color rgb="FF000000"/>
        <rFont val="Calibri"/>
        <family val="2"/>
      </rPr>
      <t>כ-</t>
    </r>
    <r>
      <rPr>
        <b/>
        <sz val="15"/>
        <color rgb="FF000000"/>
        <rFont val="Calibri"/>
        <family val="2"/>
      </rPr>
      <t>17%</t>
    </r>
    <r>
      <rPr>
        <sz val="10"/>
        <color rgb="FF000000"/>
        <rFont val="Calibri"/>
        <family val="2"/>
      </rPr>
      <t xml:space="preserve"> מעובדי הקבוצה משתייכים ל </t>
    </r>
    <r>
      <rPr>
        <b/>
        <sz val="16"/>
        <color rgb="FF000000"/>
        <rFont val="Calibri"/>
        <family val="2"/>
      </rPr>
      <t xml:space="preserve">אוכלוסיית גיוון
</t>
    </r>
    <r>
      <rPr>
        <sz val="8"/>
        <color rgb="FF000000"/>
        <rFont val="Calibri"/>
        <family val="2"/>
      </rPr>
      <t>* עובדים מהמגזר החרדי, החברה הערבית, יוצאי אתיופיה ואנשים עם מוגבלות</t>
    </r>
  </si>
  <si>
    <t>בטיחות וגהות</t>
  </si>
  <si>
    <r>
      <rPr>
        <b/>
        <sz val="15"/>
        <color rgb="FF000000"/>
        <rFont val="Calibri"/>
        <family val="2"/>
      </rPr>
      <t>כ - 91%</t>
    </r>
    <r>
      <rPr>
        <sz val="10"/>
        <color rgb="FF000000"/>
        <rFont val="Calibri"/>
        <family val="2"/>
      </rPr>
      <t xml:space="preserve"> מעובדי הקבוצה מאוגדים בהסכמים קיבוציים</t>
    </r>
  </si>
  <si>
    <t>הדרכות, משוב והערכה</t>
  </si>
  <si>
    <t>ממשל תאגידי</t>
  </si>
  <si>
    <t>ביצועים כספיים</t>
  </si>
  <si>
    <r>
      <rPr>
        <b/>
        <sz val="16"/>
        <color rgb="FF000000"/>
        <rFont val="Calibri"/>
        <family val="2"/>
      </rPr>
      <t xml:space="preserve">שליש </t>
    </r>
    <r>
      <rPr>
        <sz val="12"/>
        <color rgb="FF000000"/>
        <rFont val="Calibri"/>
        <family val="2"/>
      </rPr>
      <t xml:space="preserve">מדירקטוריון בזק והחברות הבנות הן נשים </t>
    </r>
  </si>
  <si>
    <t>מבנה אחזקות</t>
  </si>
  <si>
    <r>
      <rPr>
        <sz val="11"/>
        <color rgb="FF000000"/>
        <rFont val="Calibri"/>
        <family val="2"/>
      </rPr>
      <t>כ־</t>
    </r>
    <r>
      <rPr>
        <b/>
        <sz val="15"/>
        <color rgb="FF000000"/>
        <rFont val="Calibri"/>
        <family val="2"/>
      </rPr>
      <t>98%</t>
    </r>
    <r>
      <rPr>
        <sz val="11"/>
        <color rgb="FF000000"/>
        <rFont val="Calibri"/>
        <family val="2"/>
      </rPr>
      <t xml:space="preserve"> מכלל עובדי החברות ,yes פלאפון ובזק בינלאומי TECH ביצעו את לומדת הקוד האתי</t>
    </r>
  </si>
  <si>
    <t>חברי הדירקטוריון</t>
  </si>
  <si>
    <r>
      <rPr>
        <b/>
        <sz val="15"/>
        <color rgb="FF000000"/>
        <rFont val="Calibri"/>
        <family val="2"/>
      </rPr>
      <t>כ - 600</t>
    </r>
    <r>
      <rPr>
        <sz val="11"/>
        <color rgb="FF000000"/>
        <rFont val="Calibri"/>
        <family val="2"/>
      </rPr>
      <t xml:space="preserve"> שעות הדרכת אתיקה בבזק</t>
    </r>
    <r>
      <rPr>
        <sz val="12"/>
        <color rgb="FF000000"/>
        <rFont val="Goudy Old Style"/>
        <family val="2"/>
      </rPr>
      <t> </t>
    </r>
  </si>
  <si>
    <t>מענק שנתי לנושאי משרה</t>
  </si>
  <si>
    <t>פניות למבקר החברה</t>
  </si>
  <si>
    <r>
      <rPr>
        <sz val="11"/>
        <color rgb="FF000000"/>
        <rFont val="Calibri"/>
        <family val="2"/>
      </rPr>
      <t xml:space="preserve">כ- </t>
    </r>
    <r>
      <rPr>
        <b/>
        <sz val="16"/>
        <color rgb="FF000000"/>
        <rFont val="Calibri"/>
        <family val="2"/>
      </rPr>
      <t>30%</t>
    </r>
    <r>
      <rPr>
        <sz val="11"/>
        <color rgb="FF000000"/>
        <rFont val="Calibri"/>
        <family val="2"/>
      </rPr>
      <t xml:space="preserve"> מספקי החברות בקבוצה חתמו על הקוד האתי לספקים</t>
    </r>
  </si>
  <si>
    <t>סטטוס עמידה ביעדי הדירקטוריון של חברת בזק</t>
  </si>
  <si>
    <t>יעד: לפחות 50% נשים בדרגי הניהול של הקבוצה עד 2030</t>
  </si>
  <si>
    <t>שיעור הנשים בהנהלה</t>
  </si>
  <si>
    <t>אינדיקטור GRI 2021</t>
  </si>
  <si>
    <t>מס' המנהלות</t>
  </si>
  <si>
    <t>שיעור המנהלות בקרב כלל המנהלים בארגון</t>
  </si>
  <si>
    <t>בזק</t>
  </si>
  <si>
    <t>405-1</t>
  </si>
  <si>
    <t>yes</t>
  </si>
  <si>
    <t>פלאפון</t>
  </si>
  <si>
    <t>בזק בינלאומי tech</t>
  </si>
  <si>
    <t>סך המנהלות בקבוצה</t>
  </si>
  <si>
    <t>יעד: Net zero 2050</t>
  </si>
  <si>
    <t>פליטות גזי חממה במכלולים 1, 2, 3</t>
  </si>
  <si>
    <t>בזק בינלאומי TECH</t>
  </si>
  <si>
    <t>סה"כ מכלולים</t>
  </si>
  <si>
    <t>סה"כ פליטות מחושבות</t>
  </si>
  <si>
    <t>מכלול 1</t>
  </si>
  <si>
    <t>305-1
305-2
305-3
305-5</t>
  </si>
  <si>
    <t>מכלול 2</t>
  </si>
  <si>
    <t>מכלול 3</t>
  </si>
  <si>
    <t>שיעור אוכלוסיות גיוון בקבוצה</t>
  </si>
  <si>
    <t>אנשים עם מוגבלויות (מבוסס על הצהרות העובדים בלבד)</t>
  </si>
  <si>
    <t>יוצאי אתיופיה</t>
  </si>
  <si>
    <t>המגזר החרדי</t>
  </si>
  <si>
    <t>המגזר הערבי</t>
  </si>
  <si>
    <t>n/a</t>
  </si>
  <si>
    <t>סה"כ קבוצה</t>
  </si>
  <si>
    <t>סה"כ  שיעור האנשים עם מוגבלות בקבוצה בשנת 2024</t>
  </si>
  <si>
    <t>יעד: לפחות 40% נשים בדירקטוריון הקבוצה על 2030</t>
  </si>
  <si>
    <t>אחוז הנשים בדירקטוריון</t>
  </si>
  <si>
    <t>דירקטוריון בזק</t>
  </si>
  <si>
    <t>דירקטוריון החברות הבנות</t>
  </si>
  <si>
    <r>
      <rPr>
        <sz val="18"/>
        <color rgb="FF16254F"/>
        <rFont val="Calibri"/>
        <family val="2"/>
      </rPr>
      <t>פליטות גזי חממה</t>
    </r>
    <r>
      <rPr>
        <sz val="12"/>
        <color rgb="FF16254F"/>
        <rFont val="Calibri"/>
        <family val="2"/>
      </rPr>
      <t xml:space="preserve"> (טון ש"ע פד"ח)</t>
    </r>
  </si>
  <si>
    <t>קטגוריה</t>
  </si>
  <si>
    <t>אחוז השינוי</t>
  </si>
  <si>
    <t>Purchased Goods and Services</t>
  </si>
  <si>
    <t>302-3
305-1
305-2
305-3
305-5</t>
  </si>
  <si>
    <t>Capital Goods</t>
  </si>
  <si>
    <t>מכלול 3*</t>
  </si>
  <si>
    <t>סה"כ</t>
  </si>
  <si>
    <t>Waste</t>
  </si>
  <si>
    <r>
      <t xml:space="preserve">% השנוי
מהשנה הקודמת </t>
    </r>
    <r>
      <rPr>
        <b/>
        <sz val="8"/>
        <rFont val="Calibri"/>
        <family val="2"/>
      </rPr>
      <t>(מכלולים 1+2 בלבד)</t>
    </r>
  </si>
  <si>
    <t>Business Travel</t>
  </si>
  <si>
    <r>
      <t xml:space="preserve">% השינוי משנת הבסיס (2022) 
</t>
    </r>
    <r>
      <rPr>
        <b/>
        <sz val="8"/>
        <rFont val="Calibri"/>
        <family val="2"/>
      </rPr>
      <t>במכלולים 1+2</t>
    </r>
  </si>
  <si>
    <t>Employee Commuting</t>
  </si>
  <si>
    <r>
      <t xml:space="preserve">% השינוי
מהשנה הקודמת </t>
    </r>
    <r>
      <rPr>
        <b/>
        <sz val="8"/>
        <rFont val="Calibri"/>
        <family val="2"/>
      </rPr>
      <t>(שלושת המכלולים)</t>
    </r>
  </si>
  <si>
    <t>Use of Sold Products</t>
  </si>
  <si>
    <r>
      <t xml:space="preserve">% השינוי משנת הבסיס (2022) 
</t>
    </r>
    <r>
      <rPr>
        <b/>
        <sz val="8"/>
        <rFont val="Calibri"/>
        <family val="2"/>
      </rPr>
      <t>שלושת המכלולים**</t>
    </r>
  </si>
  <si>
    <t>Total</t>
  </si>
  <si>
    <t>אחוז שינוי</t>
  </si>
  <si>
    <t>305-1
305-2
305-5</t>
  </si>
  <si>
    <t>בזק בינלאומי Tech</t>
  </si>
  <si>
    <t>אומדן</t>
  </si>
  <si>
    <r>
      <t xml:space="preserve">פליטות גזי חממה בכל הקבוצה </t>
    </r>
    <r>
      <rPr>
        <sz val="11"/>
        <color rgb="FF16254F"/>
        <rFont val="Calibri"/>
        <family val="2"/>
      </rPr>
      <t>(טון ש"ע פד"ח)</t>
    </r>
  </si>
  <si>
    <t>שנה</t>
  </si>
  <si>
    <t>מכלול</t>
  </si>
  <si>
    <t>פליטות בכל מכלול</t>
  </si>
  <si>
    <t>אחוז שינוי (שלושת המכלולים)</t>
  </si>
  <si>
    <t>אחוז שינוי (מכלולים 1+2 בלבד)</t>
  </si>
  <si>
    <r>
      <t xml:space="preserve">עצימות פליטות גזי חממה (tCO2e-revenue) - </t>
    </r>
    <r>
      <rPr>
        <sz val="11"/>
        <color rgb="FF16254F"/>
        <rFont val="Calibri"/>
        <family val="2"/>
      </rPr>
      <t>טון tCO2e למיליון ₪</t>
    </r>
  </si>
  <si>
    <t>פליטות עצמן</t>
  </si>
  <si>
    <t>הכנסות (במיליוני ₪)</t>
  </si>
  <si>
    <t>בצהוב אלו תיקונים שבוצעו לפי לנתונים הכספיים בהתאם למצגות המשקיעים של שנת 2024</t>
  </si>
  <si>
    <t>אינדקס GRI 2021</t>
  </si>
  <si>
    <t>305-4</t>
  </si>
  <si>
    <t xml:space="preserve">בזק בינלאומי </t>
  </si>
  <si>
    <t xml:space="preserve">סה"כ </t>
  </si>
  <si>
    <r>
      <t xml:space="preserve">עצימות אנרגטית (kWh-revenue) - </t>
    </r>
    <r>
      <rPr>
        <sz val="11"/>
        <color rgb="FF16254F"/>
        <rFont val="Calibri"/>
        <family val="2"/>
      </rPr>
      <t>קוט"ש ל- ₪</t>
    </r>
  </si>
  <si>
    <t>302-3</t>
  </si>
  <si>
    <t>Yes</t>
  </si>
  <si>
    <t>בזק בינלאומי</t>
  </si>
  <si>
    <t>סה"כ צריכת אנרגיה</t>
  </si>
  <si>
    <r>
      <t xml:space="preserve">צריכת אנרגיה </t>
    </r>
    <r>
      <rPr>
        <sz val="11"/>
        <color rgb="FF16254F"/>
        <rFont val="Calibri"/>
        <family val="2"/>
      </rPr>
      <t>(בקוט"ש)</t>
    </r>
  </si>
  <si>
    <t xml:space="preserve">2020
</t>
  </si>
  <si>
    <t xml:space="preserve">2021
</t>
  </si>
  <si>
    <t xml:space="preserve">2022
</t>
  </si>
  <si>
    <t xml:space="preserve">2023
</t>
  </si>
  <si>
    <t xml:space="preserve">2024
</t>
  </si>
  <si>
    <t>אחוז השינוי
2022-2023</t>
  </si>
  <si>
    <t>אחוז השינוי
2023-2024</t>
  </si>
  <si>
    <t>302-1
302-4</t>
  </si>
  <si>
    <r>
      <t xml:space="preserve">צריכת דלק ברכבים </t>
    </r>
    <r>
      <rPr>
        <sz val="11"/>
        <color rgb="FF16254F"/>
        <rFont val="Calibri"/>
        <family val="2"/>
      </rPr>
      <t>(בליטרים</t>
    </r>
    <r>
      <rPr>
        <sz val="11"/>
        <rFont val="Calibri"/>
        <family val="2"/>
      </rPr>
      <t>) </t>
    </r>
  </si>
  <si>
    <t xml:space="preserve">yes 
</t>
  </si>
  <si>
    <t xml:space="preserve">פלאפון 
</t>
  </si>
  <si>
    <t xml:space="preserve">בזק בינלאומי TECH
</t>
  </si>
  <si>
    <t xml:space="preserve">בזק  
</t>
  </si>
  <si>
    <t xml:space="preserve">סה"כ קבוצה
</t>
  </si>
  <si>
    <t>בנזין </t>
  </si>
  <si>
    <t>סולר </t>
  </si>
  <si>
    <r>
      <rPr>
        <b/>
        <sz val="14"/>
        <color rgb="FF16254F"/>
        <rFont val="Calibri"/>
        <family val="2"/>
      </rPr>
      <t xml:space="preserve">צריכת דלק בגנרטורים (מתקנים נייחים) </t>
    </r>
    <r>
      <rPr>
        <sz val="11"/>
        <color rgb="FF16254F"/>
        <rFont val="Calibri"/>
        <family val="2"/>
      </rPr>
      <t>(בליטרים)</t>
    </r>
  </si>
  <si>
    <t xml:space="preserve">yes
</t>
  </si>
  <si>
    <t>* צריכת הדלק בגנרטורים בשנת 2024 נרשמה כנגד רכישת למילוי מיכלים ולא כנגד צריכה בפועל בהיעדר נתוני צריכה</t>
  </si>
  <si>
    <t>מגמות בצי הרכבים הפרטיים בחברת בזק </t>
  </si>
  <si>
    <t>היברידי </t>
  </si>
  <si>
    <t>חשמלי </t>
  </si>
  <si>
    <t>שיעור הרכבים ההיברידיים והחשמליים בצי הרכבים</t>
  </si>
  <si>
    <t>סה"כ רכבים פרטיים בצי</t>
  </si>
  <si>
    <t>2020 </t>
  </si>
  <si>
    <t xml:space="preserve">
302-4</t>
  </si>
  <si>
    <t>2021 </t>
  </si>
  <si>
    <t>2022 </t>
  </si>
  <si>
    <t>מגמות בצי הרכבים הפרטיים בחברת yes</t>
  </si>
  <si>
    <t>בנזין</t>
  </si>
  <si>
    <t>סולר</t>
  </si>
  <si>
    <t>היברידי</t>
  </si>
  <si>
    <t>חשמלי</t>
  </si>
  <si>
    <t>מגמות בצי הרכבים הפרטיים בחברת פלאפון</t>
  </si>
  <si>
    <t>מגמות בצי הרכבים הפרטיים בחברת בזק בינלאומי Tech</t>
  </si>
  <si>
    <t>שיעור הרכבים החשמליים וההיברידיים בצי הרכבים הכולל</t>
  </si>
  <si>
    <t>yes </t>
  </si>
  <si>
    <t>פלאפון </t>
  </si>
  <si>
    <t>בזק </t>
  </si>
  <si>
    <r>
      <t xml:space="preserve">צריכת מים </t>
    </r>
    <r>
      <rPr>
        <sz val="11"/>
        <color rgb="FF16254F"/>
        <rFont val="Calibri"/>
        <family val="2"/>
      </rPr>
      <t>(קוב</t>
    </r>
    <r>
      <rPr>
        <sz val="11"/>
        <rFont val="Calibri"/>
        <family val="2"/>
      </rPr>
      <t>) </t>
    </r>
  </si>
  <si>
    <t>שינוי משנה קודמת</t>
  </si>
  <si>
    <t>בזק בינלאומי
 TECH</t>
  </si>
  <si>
    <t>303-3</t>
  </si>
  <si>
    <r>
      <rPr>
        <b/>
        <sz val="14"/>
        <color rgb="FF16254F"/>
        <rFont val="Calibri"/>
        <family val="2"/>
      </rPr>
      <t xml:space="preserve">פסולת - בזק </t>
    </r>
    <r>
      <rPr>
        <sz val="11"/>
        <color rgb="FF16254F"/>
        <rFont val="Calibri"/>
        <family val="2"/>
      </rPr>
      <t>(ק"ג)</t>
    </r>
  </si>
  <si>
    <t>מיחזור מוצרים –
בזק טק</t>
  </si>
  <si>
    <t>אחוז השמשה מחדש של מוצרים במפעל בזק טק (מיחדוש)</t>
  </si>
  <si>
    <t>פסולת מעורבת להטמנה</t>
  </si>
  <si>
    <t>טיפול - פסולת מסוכנת (מצברים)</t>
  </si>
  <si>
    <t>פסולת אלקטרונית למיחזור</t>
  </si>
  <si>
    <t>ניילון ופלסטיק למיחזור</t>
  </si>
  <si>
    <t>נייר וקרטון למיחזור</t>
  </si>
  <si>
    <t>301-3
306-3
306-4
306-5</t>
  </si>
  <si>
    <t>הערות</t>
  </si>
  <si>
    <r>
      <rPr>
        <b/>
        <sz val="14"/>
        <color rgb="FF16254F"/>
        <rFont val="Calibri"/>
        <family val="2"/>
      </rPr>
      <t xml:space="preserve">פסולת - פלאפון </t>
    </r>
    <r>
      <rPr>
        <sz val="11"/>
        <color rgb="FF16254F"/>
        <rFont val="Calibri"/>
        <family val="2"/>
      </rPr>
      <t>(ק"ג)</t>
    </r>
  </si>
  <si>
    <t>מימוש חוק האריזות
(פסולת למיחזור) </t>
  </si>
  <si>
    <t>מיחדוש מוצרים - ציוד
(מס' יחידות) </t>
  </si>
  <si>
    <t>מכירת ציוד
עודף
(מס’ יחידות) </t>
  </si>
  <si>
    <t>פינוי פסולת אלקטרונית (ק"ג) </t>
  </si>
  <si>
    <t>פינוי משטחי
עץ
(ק”ג) </t>
  </si>
  <si>
    <t>מיחזור פלסטיקה (ק"ג) </t>
  </si>
  <si>
    <t>הטמנת
סוללות
(ק"ג) </t>
  </si>
  <si>
    <t>קרטון
למיחזור
(ק"ג) </t>
  </si>
  <si>
    <t>306-3
306-4
306-5</t>
  </si>
  <si>
    <t>הפחתה בפסולת המיוצרת כתוצאה ממעבר לארגזים רב פעמיים - בוקסיט ומפאות</t>
  </si>
  <si>
    <r>
      <rPr>
        <b/>
        <sz val="14"/>
        <color rgb="FF16254F"/>
        <rFont val="Calibri"/>
        <family val="2"/>
      </rPr>
      <t>ק"ג()  yes - פסולת</t>
    </r>
    <r>
      <rPr>
        <sz val="11"/>
        <color rgb="FF16254F"/>
        <rFont val="Calibri"/>
        <family val="2"/>
      </rPr>
      <t xml:space="preserve"> </t>
    </r>
  </si>
  <si>
    <t>מימוש חוק האריזות
(ק"ג - פסולת למיחזור) </t>
  </si>
  <si>
    <t>קרטון למיחזור
(ק"ג) </t>
  </si>
  <si>
    <t>נייר למיחזור
(ק"ג) </t>
  </si>
  <si>
    <t>ביתי</t>
  </si>
  <si>
    <t> 27,700</t>
  </si>
  <si>
    <t>מסחרי</t>
  </si>
  <si>
    <t>30,430 </t>
  </si>
  <si>
    <t>29,574 </t>
  </si>
  <si>
    <t>34,210 </t>
  </si>
  <si>
    <t>ירידה בפסולת המיוצרת בעקבות מעבר לארגזים רב פעמיים לבוקסיט ומפאות</t>
  </si>
  <si>
    <r>
      <t xml:space="preserve">בזק בינלאומי tech - פסולת </t>
    </r>
    <r>
      <rPr>
        <sz val="11"/>
        <color rgb="FF16254F"/>
        <rFont val="Calibri"/>
        <family val="2"/>
      </rPr>
      <t>(ק"ג)</t>
    </r>
  </si>
  <si>
    <t>מיחזור
נייר
(ק"ג)</t>
  </si>
  <si>
    <t xml:space="preserve">מיחזור
קרטונים
(ק"ג) </t>
  </si>
  <si>
    <t>פסולת שהועברה להטמנה</t>
  </si>
  <si>
    <t xml:space="preserve">306-3
306-4
</t>
  </si>
  <si>
    <t>2023*</t>
  </si>
  <si>
    <t>בשנת 2025 טויבו נתוני שנת 2023 *</t>
  </si>
  <si>
    <t>כלל הקבוצה</t>
  </si>
  <si>
    <r>
      <t xml:space="preserve">מס' העובדים בקבוצה </t>
    </r>
    <r>
      <rPr>
        <sz val="11"/>
        <color rgb="FF16254F"/>
        <rFont val="Calibri"/>
        <family val="2"/>
      </rPr>
      <t>(סה"כ מועסקים, עובדים ומנהלים, במשרה חלקית ומלאה, לא כולל עובדים חיצוניים)</t>
    </r>
  </si>
  <si>
    <t>2-7</t>
  </si>
  <si>
    <t>1106</t>
  </si>
  <si>
    <t>1,672</t>
  </si>
  <si>
    <t>597</t>
  </si>
  <si>
    <t>8,800</t>
  </si>
  <si>
    <t>עובדים המאוגדים תחת הסכמים קיבוציים</t>
  </si>
  <si>
    <t>מספר</t>
  </si>
  <si>
    <t>אחוז מסך המועסקים בחברה</t>
  </si>
  <si>
    <t>2-30</t>
  </si>
  <si>
    <t>סה"כ עובדים</t>
  </si>
  <si>
    <t>חופשת לידה/הורות 2024</t>
  </si>
  <si>
    <t>נשים</t>
  </si>
  <si>
    <t>גברים</t>
  </si>
  <si>
    <t>יצאו לחופשת הורות/לידה</t>
  </si>
  <si>
    <t>401-3</t>
  </si>
  <si>
    <t>חזרו מחופשת הורות/לידה</t>
  </si>
  <si>
    <t>נשארו בעבודה 12 חודשים לאחר חזרה מחל"ד</t>
  </si>
  <si>
    <t>חברת בזק</t>
  </si>
  <si>
    <t>מס' העובדים והעובדות בחברת בזק</t>
  </si>
  <si>
    <t>2-7
405-1</t>
  </si>
  <si>
    <t>מנהלים</t>
  </si>
  <si>
    <t>עובדים</t>
  </si>
  <si>
    <t>העסקה קבועה</t>
  </si>
  <si>
    <t>התפלגות גיל העובדים והמנהלים בחברת בזק</t>
  </si>
  <si>
    <t>עד 30 (כולל)</t>
  </si>
  <si>
    <t>31-50 (כולל)</t>
  </si>
  <si>
    <t>51 ומעלה</t>
  </si>
  <si>
    <t>חברת yes</t>
  </si>
  <si>
    <t>מס' העובדים והעובדות בחברת yes</t>
  </si>
  <si>
    <t>כולל עובדי קבלן</t>
  </si>
  <si>
    <t>גיל העובדים והמנהלים בחברת yes</t>
  </si>
  <si>
    <t>גיל ממוצע</t>
  </si>
  <si>
    <t>חברת פלאפון</t>
  </si>
  <si>
    <t>מס' העובדים והעובדות בחברת פלאפון</t>
  </si>
  <si>
    <t>גיל העובדים והמנהלים בחברת פלאפון</t>
  </si>
  <si>
    <t>חברת בזק בינלאומי Tech</t>
  </si>
  <si>
    <t>העובדים בחברת בזק בינלאומי tech</t>
  </si>
  <si>
    <t>גילאי עובדים ומנהלים בחברת בזק בינלאומי tech</t>
  </si>
  <si>
    <t>אופי העסקה בחברה</t>
  </si>
  <si>
    <t xml:space="preserve">אופי ההעסקה בחברת בזק </t>
  </si>
  <si>
    <t xml:space="preserve">נשים </t>
  </si>
  <si>
    <t xml:space="preserve"> 2-30</t>
  </si>
  <si>
    <t>אופי ההעסקה בחברת yes</t>
  </si>
  <si>
    <t>מס' העובדים החיצוניים (שמחזיקים במשרות מקצועיות)</t>
  </si>
  <si>
    <t>2-7, 2-8</t>
  </si>
  <si>
    <t>אחוז עובדים חיצוניים (שמחזיקים במשרות מקצועיות)</t>
  </si>
  <si>
    <t>מס' העובדים החיצוניים שנקלטו</t>
  </si>
  <si>
    <t>שיעור העובדים החיצוניים שנקלטו</t>
  </si>
  <si>
    <t>מס' העובדים במשרה מלאה</t>
  </si>
  <si>
    <t>שיעור העובדים במשרה מלאה</t>
  </si>
  <si>
    <t>מס' העובדים במשרה חלקית</t>
  </si>
  <si>
    <t>אחוז העובדים במשרה חלקית</t>
  </si>
  <si>
    <t>סה"כ מספר (מלאה+חלקית)</t>
  </si>
  <si>
    <t>סה"כ אחוזים (מלאה+חלקית)</t>
  </si>
  <si>
    <t>אופי ההעסקה בחברת פלאפון</t>
  </si>
  <si>
    <t>שיעור העובדים החיצוניים (שמחזיקים במשרות מקצועיות)</t>
  </si>
  <si>
    <t>שיעור העובדים במשרה חלקית</t>
  </si>
  <si>
    <t>סה"כ מועסקים (מלאה+חלקית)</t>
  </si>
  <si>
    <t>אופי ההעסקה בחברת בזק בינלאומי TECH</t>
  </si>
  <si>
    <t xml:space="preserve">ותק העובדים בחברת בזק </t>
  </si>
  <si>
    <t>ותק ממוצע</t>
  </si>
  <si>
    <t>עד 5 שנים (כולל)</t>
  </si>
  <si>
    <t>405-1 
2-7</t>
  </si>
  <si>
    <t>6-10 שנים (כולל)</t>
  </si>
  <si>
    <t>11-20 שנים (כולל)</t>
  </si>
  <si>
    <t>21 שנים  ומעלה</t>
  </si>
  <si>
    <t>ותק העובדים בחברת yes</t>
  </si>
  <si>
    <t>21 שנה  ומעלה</t>
  </si>
  <si>
    <t>ותק העובדים בחברת פלאפון</t>
  </si>
  <si>
    <t>ותק העובדים בחברת בזק בינלאומי TECH</t>
  </si>
  <si>
    <t>תחלופת העובדים בחברת בזק</t>
  </si>
  <si>
    <t>שיעור תחלופה (עובדים ומנהלים)</t>
  </si>
  <si>
    <t>אינדיקטור GRI SRS</t>
  </si>
  <si>
    <t>עובדים חדשים שנקלטו</t>
  </si>
  <si>
    <t>401-1</t>
  </si>
  <si>
    <t>עובדים שהסתיימה העסקתם</t>
  </si>
  <si>
    <t>מנהלים חדשים שנקלטו</t>
  </si>
  <si>
    <t>מנהלים שהסתיימה העסקתם</t>
  </si>
  <si>
    <t>תחלופת העובדים בחברת yes</t>
  </si>
  <si>
    <t>קבוצת גיל</t>
  </si>
  <si>
    <t xml:space="preserve">עובדים ומנהלים שנקלטו לעבודה </t>
  </si>
  <si>
    <t>עובדים ומנהלים שהעסקתם הסתיימה (פוטרו/ התפטרו/ פרשו)</t>
  </si>
  <si>
    <t>מעל 51</t>
  </si>
  <si>
    <t>סה"כ גברים</t>
  </si>
  <si>
    <t>סה"כ נשים</t>
  </si>
  <si>
    <t>סה"כ עד 30 (כולל)</t>
  </si>
  <si>
    <t>סה"כ 31-50 (כולל)</t>
  </si>
  <si>
    <t>סה"כ 51 ומעלה</t>
  </si>
  <si>
    <t>תחלופת העובדים בחברת פלאפון</t>
  </si>
  <si>
    <t>מגדר</t>
  </si>
  <si>
    <t>תחלופת עובדים בחברת בזק בינלאומי tech</t>
  </si>
  <si>
    <t>גיוון והכללה בקבוצת בזק</t>
  </si>
  <si>
    <t>סה"כ קבוצת בזק</t>
  </si>
  <si>
    <t>סה"כ אחוז אוכלוסיות גיוון בקבוצת בזק מכלל המועסקים</t>
  </si>
  <si>
    <t>פיתוח והכשרת עובדים - שעות הדרכה כלליות בקבוצת בזק</t>
  </si>
  <si>
    <t>מס' עובדים מודרכים</t>
  </si>
  <si>
    <t>404-1</t>
  </si>
  <si>
    <t>ממוצע שעות כללי</t>
  </si>
  <si>
    <t>51 לעובדים, 21 למנהלים</t>
  </si>
  <si>
    <t>49.4 לעובדים, 19.5 למנהלים</t>
  </si>
  <si>
    <t>47.4 עובדים   25.2 מנהלים</t>
  </si>
  <si>
    <t>36.36 עובדים  21 מנהלים</t>
  </si>
  <si>
    <t>משוב והערכה בחברת בזק</t>
  </si>
  <si>
    <t xml:space="preserve">כ - 600 שעות הדרכות </t>
  </si>
  <si>
    <t>שיעור העובדים שקיבלו משוב במהלך השנה</t>
  </si>
  <si>
    <t>404-3</t>
  </si>
  <si>
    <t>אחוז כללי</t>
  </si>
  <si>
    <t>סניפים</t>
  </si>
  <si>
    <t>מטה</t>
  </si>
  <si>
    <t>שעות למידה דיגיטליות ופרונטליות בנושא אתיקה ב־2024 בחברת בזק</t>
  </si>
  <si>
    <t>סוג הפעילות  </t>
  </si>
  <si>
    <t>צורת העברה  </t>
  </si>
  <si>
    <t>משתתפים  </t>
  </si>
  <si>
    <t>סה"כ שעות  </t>
  </si>
  <si>
    <t>ימי אוריינטציה לעובדים חדשים  </t>
  </si>
  <si>
    <t>פרונטלי  </t>
  </si>
  <si>
    <t>לומדה – קורסי בסיס  </t>
  </si>
  <si>
    <t>דיגיטלי  </t>
  </si>
  <si>
    <t>תוכנית פיתוח מנהלים  </t>
  </si>
  <si>
    <t>לומדה – ריענון ידע לכלל החברה  </t>
  </si>
  <si>
    <t>סה"כ  </t>
  </si>
  <si>
    <t>משוב והערכה בחברת yes</t>
  </si>
  <si>
    <t>משוב והערכה בחברת פלאפון</t>
  </si>
  <si>
    <t>משוב והערכה בחברת בזק בינלאומי TECH</t>
  </si>
  <si>
    <t>סה"כ מקבלי משוב בקבוצת בזק</t>
  </si>
  <si>
    <t>אחוז מקבלי משוב מכלל העובדים בקבוצה</t>
  </si>
  <si>
    <t>ביטוח בריאות</t>
  </si>
  <si>
    <t>  </t>
  </si>
  <si>
    <t>מספר ביקורות השטח לטכנאים, צוותים ועובדי קבלן</t>
  </si>
  <si>
    <t>403-1</t>
  </si>
  <si>
    <t>בבזק היו גם 960 ביקורות של מנהלים ישירים</t>
  </si>
  <si>
    <t>היעדרות עובדים כתוצאה מתאונות עבודה בחברת בזק</t>
  </si>
  <si>
    <t>מס' התאונות  </t>
  </si>
  <si>
    <t>אירועי בטיחות מגורם עבודה ישיר  </t>
  </si>
  <si>
    <t>אירועי בטיחות בדרכים  </t>
  </si>
  <si>
    <t>סה"כ ימי היעדרות  </t>
  </si>
  <si>
    <t>ממוצע ימי היעדרות  </t>
  </si>
  <si>
    <t>אובדן ימי עבודה כתוצאה מתאונה, בממוצע לעובד  </t>
  </si>
  <si>
    <t>מס' תאונות לכל 100 אלף שעות עבודה  </t>
  </si>
  <si>
    <t>2020  </t>
  </si>
  <si>
    <t>191  </t>
  </si>
  <si>
    <t>25  </t>
  </si>
  <si>
    <t>50  </t>
  </si>
  <si>
    <t>5,043  </t>
  </si>
  <si>
    <t>26.4  </t>
  </si>
  <si>
    <t>0.85  </t>
  </si>
  <si>
    <t>1.61  </t>
  </si>
  <si>
    <t>403-9
403-10</t>
  </si>
  <si>
    <t>2021  </t>
  </si>
  <si>
    <t>229  </t>
  </si>
  <si>
    <t>32  </t>
  </si>
  <si>
    <t>74  </t>
  </si>
  <si>
    <t>5,049  </t>
  </si>
  <si>
    <t>22  </t>
  </si>
  <si>
    <t>0.84  </t>
  </si>
  <si>
    <t>1.96  </t>
  </si>
  <si>
    <t>2022  </t>
  </si>
  <si>
    <t>186  </t>
  </si>
  <si>
    <t>21  </t>
  </si>
  <si>
    <t>51  </t>
  </si>
  <si>
    <t>4,913  </t>
  </si>
  <si>
    <t>0.86  </t>
  </si>
  <si>
    <t>1.52  </t>
  </si>
  <si>
    <t>תכיפות וחומרת תאונות העבודה בחברת פלאפון</t>
  </si>
  <si>
    <t>היעדרות עובדים כתוצאה מתאונות עבודה בחברת yes</t>
  </si>
  <si>
    <t>15.2</t>
  </si>
  <si>
    <t>היעדרות עובדים כתוצאה מתאונות עבודה בחברת בזק בינלאומי TECH</t>
  </si>
  <si>
    <t>1.20</t>
  </si>
  <si>
    <t>נתוני בטיחות ובריאות העובדים בקבוצת בזק</t>
  </si>
  <si>
    <t>פלאפון  </t>
  </si>
  <si>
    <t>בזק בינלאומי TECH  </t>
  </si>
  <si>
    <t>אירועי בטיחות (כולל "כמעט ונפגע"), כולל תאונות דרכים</t>
  </si>
  <si>
    <t>24  </t>
  </si>
  <si>
    <t>36  </t>
  </si>
  <si>
    <t>תאונות דרכים בדרך אל או מהעבודה / במהלך נסיעת עבודה</t>
  </si>
  <si>
    <t>14  </t>
  </si>
  <si>
    <t>13  </t>
  </si>
  <si>
    <t>אובדן ימי עבודה כתוצאה מתאונות</t>
  </si>
  <si>
    <t>247  </t>
  </si>
  <si>
    <t>248  </t>
  </si>
  <si>
    <t>246  </t>
  </si>
  <si>
    <t>סה"כ ימי מחלה שנוצלו  </t>
  </si>
  <si>
    <t>N/A</t>
  </si>
  <si>
    <t>40  </t>
  </si>
  <si>
    <t>49  </t>
  </si>
  <si>
    <t xml:space="preserve">שיעור ימי מחלה מתוך סך ימי העבודה </t>
  </si>
  <si>
    <t>0.08%  </t>
  </si>
  <si>
    <t>0.09%  </t>
  </si>
  <si>
    <t>0.01%  </t>
  </si>
  <si>
    <t>0.02%  </t>
  </si>
  <si>
    <t>5.19%  </t>
  </si>
  <si>
    <t>הדרכות בטיחות</t>
  </si>
  <si>
    <t>אחוז העובדים שהשלימו את לומדת הבטיחות המקוונת</t>
  </si>
  <si>
    <t>403-5</t>
  </si>
  <si>
    <t>הדרכה פרונטלית לעובדים</t>
  </si>
  <si>
    <t xml:space="preserve">הדרכה מקוונת לעובדים </t>
  </si>
  <si>
    <t>ל.ר</t>
  </si>
  <si>
    <t>מספר קבלני הביצוע שעברו הדרכות</t>
  </si>
  <si>
    <t>הדרכות לשעת חירום - מס' תרגילי ההתגוננות והפינוי בשנה</t>
  </si>
  <si>
    <t>מבנה אחזקות*</t>
  </si>
  <si>
    <t>שם</t>
  </si>
  <si>
    <t>מועד תחילת כהונה</t>
  </si>
  <si>
    <t>תאריך לידה</t>
  </si>
  <si>
    <t>נתינות</t>
  </si>
  <si>
    <t>תפקיד</t>
  </si>
  <si>
    <t>ועדת בטחון</t>
  </si>
  <si>
    <t>ועדה לבחינת
הדוחות הכספיים</t>
  </si>
  <si>
    <t>ועדת ביקורת</t>
  </si>
  <si>
    <t>ועדת תגמול</t>
  </si>
  <si>
    <t xml:space="preserve">בעל מומחיות חשבונאית ופיננסית </t>
  </si>
  <si>
    <t>תומר ראב"ד</t>
  </si>
  <si>
    <t>14.5.2020</t>
  </si>
  <si>
    <t>18.4.1985</t>
  </si>
  <si>
    <t>ישראלית</t>
  </si>
  <si>
    <t>זכר</t>
  </si>
  <si>
    <t xml:space="preserve">יו"ר הדירקטוריון </t>
  </si>
  <si>
    <t>חבר</t>
  </si>
  <si>
    <t>כן</t>
  </si>
  <si>
    <t>2-9</t>
  </si>
  <si>
    <t>דארן גלאט</t>
  </si>
  <si>
    <t>1.12.2019</t>
  </si>
  <si>
    <t>18.11.1975</t>
  </si>
  <si>
    <t>אמריקאית</t>
  </si>
  <si>
    <t>דירקטור</t>
  </si>
  <si>
    <t>רן פורר</t>
  </si>
  <si>
    <t>2.9.1984</t>
  </si>
  <si>
    <t>טל פורר</t>
  </si>
  <si>
    <t>15.12.1977</t>
  </si>
  <si>
    <t>אורית אלסטר</t>
  </si>
  <si>
    <t>17.4.2024</t>
  </si>
  <si>
    <t>נקבה</t>
  </si>
  <si>
    <t>דירקטורית</t>
  </si>
  <si>
    <t>דוד גרנות</t>
  </si>
  <si>
    <t>9.5.2017</t>
  </si>
  <si>
    <t>30.1.1947</t>
  </si>
  <si>
    <t xml:space="preserve">דירקטור בלתי תלוי </t>
  </si>
  <si>
    <t>זאב וורמברנד</t>
  </si>
  <si>
    <t>3.9.2017</t>
  </si>
  <si>
    <t>19.6.1951</t>
  </si>
  <si>
    <t>דירקטור חיצוני</t>
  </si>
  <si>
    <t>יו"ר</t>
  </si>
  <si>
    <t>עידית לוסקי</t>
  </si>
  <si>
    <t>26.4.2018</t>
  </si>
  <si>
    <t>16.8.1950</t>
  </si>
  <si>
    <t xml:space="preserve">דירקטורית חיצונית </t>
  </si>
  <si>
    <t>ציפי לבני</t>
  </si>
  <si>
    <t>26.4.2021</t>
  </si>
  <si>
    <t>8.7.1958</t>
  </si>
  <si>
    <t>דירקטורית חיצונית</t>
  </si>
  <si>
    <t>לא</t>
  </si>
  <si>
    <t>פטריס טייב</t>
  </si>
  <si>
    <t>1.1.2022</t>
  </si>
  <si>
    <t>26.8.1960</t>
  </si>
  <si>
    <t>דירקטור מקרב העובדים</t>
  </si>
  <si>
    <t>מר טל פורר מונה כדירקטור חליף למר רן פורר, בישיבות הדירקטוריון בהן ייבצר ממר רן פורר להשתתף, וזאת החל ממועד המינוי כאמור ועד להודעה אחרת.</t>
  </si>
  <si>
    <t>מר תומר ראב"ד מכהן ביו"ר דירקטוריון החברה מיום 1 בינואר 2024</t>
  </si>
  <si>
    <t>גיוון בדירקטוריון</t>
  </si>
  <si>
    <t>מספר דירקטורים</t>
  </si>
  <si>
    <t>% נשים</t>
  </si>
  <si>
    <t>דירקטוריון מלא</t>
  </si>
  <si>
    <t>ועדה לבחינת הדוחות הכספיים</t>
  </si>
  <si>
    <t>מקור: מדיניות תגמול</t>
  </si>
  <si>
    <t>רכיב</t>
  </si>
  <si>
    <t>פירוט</t>
  </si>
  <si>
    <t>א.</t>
  </si>
  <si>
    <t>רכיב המבוסס על יעדי חברה וקבוצה</t>
  </si>
  <si>
    <t>יעדים שיחולו באותה שנה בתוכניות המענק עבור כל נושאי המשרה, כאשר יוגדרו יעדים נפרדים עבור נושאי המשרה בבזק ועבור מנכ"לי החברות הבנות המהותיות.</t>
  </si>
  <si>
    <t>2-20</t>
  </si>
  <si>
    <t>ב.</t>
  </si>
  <si>
    <t>רכיב המבוסס על  יעדים אישיים</t>
  </si>
  <si>
    <t>יעדים המתאימים לתפקידו של נושא המשרה הרלבנטי וליעדים והנושאים הספציפיים שהחברה או הקבוצה רוצה שיקדם באותה שנה.</t>
  </si>
  <si>
    <t>ג.</t>
  </si>
  <si>
    <t>רכיב מענק המותנה בשיקול דעת</t>
  </si>
  <si>
    <t>נושאי המשרה בחברה יהיו זכאים לרכיב מענק שאינו מדיד המבוסס על הערכה איכותית של ביצועיהם על ידי המנהל הממונה.</t>
  </si>
  <si>
    <t>במסגרת יעדי החברה וקבוצה (רכיב א' לעיל), יעד ה-EBITDA או ה-EBITDA המתואם ו/או יעד הרווח הנקי (לאחר מס) מתואם ו/או יעד התזרים של החברה או הקבוצה יהוו את היעד/ים בעל/י המשקולת המשמעותית/גדולה ביותר מתוך יעדי חברה/קבוצה. משקל יעד ה- EBITDA או ה -EBITDA המתואם (לפי העניין) ו/או הרווח הנקי (לאחר מס) מתואם ו/או תזרים של כל נושא משרה יקבע ביחס לתפקידו בחברה או בקבוצה, לפי העניין.</t>
  </si>
  <si>
    <t>יעד ה- EBITDA או ה-EBITDA המתואם (לפי העניין) יהווה יעד לטווח ארוך והמענק בגין יעד זה ישולם על פני שנתיים, כך שנושא המשרה יהיה צריך לעמוד במשך שנתיים ביעד ה- EBITDA או ה-EBITDA המתואם (לפי העניין) שנקבע לו על מנת שיהיה זכאי למלוא המענק השנתי בגינו.</t>
  </si>
  <si>
    <t>פניות למבקר החברה בנושאי אתיקה</t>
  </si>
  <si>
    <t>משאבי אנוש</t>
  </si>
  <si>
    <t xml:space="preserve"> 2-26</t>
  </si>
  <si>
    <t>תפעול</t>
  </si>
  <si>
    <t>אחר</t>
  </si>
  <si>
    <t xml:space="preserve">הפניות למבקר החברה עוסקות בעיקרן בסוגיות הנוגעות למשאבי אנוש ולתפעול. הטיפול של מבקר החברה בפניות אלו מבוצע על ידי ביצוע הבירורים והבדיקות הדרושים, בהתאם לאופי הפניות שהתקבלו, מול הגורמים הרלבנטיים. </t>
  </si>
  <si>
    <t>טיפול בפניות ותלונות</t>
  </si>
  <si>
    <t xml:space="preserve">דרך הפנייה </t>
  </si>
  <si>
    <t>מדיניות זכויות אדם</t>
  </si>
  <si>
    <t xml:space="preserve">ליאור סגל, המבקר הפנימי Lior.Segal@bezeq.co.il </t>
  </si>
  <si>
    <t>הטרדה מינית</t>
  </si>
  <si>
    <t>לימור חסין קליין - לשכה משפטית - limor.Kleinhasin@bezeq.co.il</t>
  </si>
  <si>
    <t>אתיקה</t>
  </si>
  <si>
    <t>מורן קיטה - סמנכ''לית משאבי אנוש - Moran Kita Moran.Kita@bezeq.co.il</t>
  </si>
  <si>
    <t>משמעת</t>
  </si>
  <si>
    <t>אתיקה בספקים</t>
  </si>
  <si>
    <t>פניות הציבור-  ca-2@bezeq.co.il</t>
  </si>
  <si>
    <t>קשרים עם הרשות הפלסטינית</t>
  </si>
  <si>
    <t>פרטיות</t>
  </si>
  <si>
    <t>NA</t>
  </si>
  <si>
    <t>מספר הטכנאים שעברו הדרכות (באמצעות מערכת פל"א)</t>
  </si>
  <si>
    <t>מספר עובדים</t>
  </si>
  <si>
    <t>עובדים שעזבו</t>
  </si>
  <si>
    <t>ממוצע 23-24</t>
  </si>
  <si>
    <t>חישוב באמצעות נוסחה נכונה</t>
  </si>
  <si>
    <t>חישוב באמצעות נוסחה לא נכונה</t>
  </si>
  <si>
    <t>דוגמה לחישוב תחלופה</t>
  </si>
  <si>
    <t>שיעור תחלופה</t>
  </si>
  <si>
    <t>יעד: 20% עובדים מאוכלוסיות גיוון עד 2030</t>
  </si>
  <si>
    <t>נתוני כוח אדם (Headcount)</t>
  </si>
  <si>
    <t>* B Communications holdings as of Sept 2025</t>
  </si>
  <si>
    <t>חברי הדירקטוריון (נכון ל-31.12.2024)</t>
  </si>
  <si>
    <t>מכלול 3 קבוצת בבזק*</t>
  </si>
  <si>
    <t xml:space="preserve">*עקב עדכון מתודולוגיות החישוב של פליטות מכלול 3, שנת 2024 מוגדרת כשנת בסיס ותשמש נקודת ייחוס להשוואה בשנים הבאות. לטובת חישוב קטגוריות 1, 2, ו-11, נעשה שימוש בנתונים שנשלחו על ידי ספקי הארגון ונתונים ממוצעים מקובלים. אחוז המוצרים שנכללו בחישוב מסך רכש המוצרים של קבוצת בזק הינו כ-65% (בהערכה של הוצאה כספית). </t>
  </si>
  <si>
    <t>אחוז העובדים המכוסים בביטוח בריאות משלים של החברה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</si>
</sst>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₪&quot;\ * #,##0_ ;_ &quot;₪&quot;\ * \-#,##0_ ;_ &quot;₪&quot;\ * &quot;-&quot;_ ;_ @_ "/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00_ ;_ * \-#,##0.000_ ;_ * &quot;-&quot;??_ ;_ @_ "/>
    <numFmt numFmtId="168" formatCode="#,##0.0"/>
    <numFmt numFmtId="169" formatCode="_ * #,##0.0_ ;_ * \-#,##0.0_ ;_ * &quot;-&quot;??_ ;_ @_ "/>
  </numFmts>
  <fonts count="66" x14ac:knownFonts="1"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rgb="FF16254F"/>
      <name val="Calibri"/>
      <family val="2"/>
    </font>
    <font>
      <b/>
      <sz val="12"/>
      <color rgb="FF16254F"/>
      <name val="Calibri"/>
      <family val="2"/>
    </font>
    <font>
      <sz val="10"/>
      <color rgb="FF16254F"/>
      <name val="Arial"/>
      <family val="2"/>
      <scheme val="minor"/>
    </font>
    <font>
      <b/>
      <sz val="16"/>
      <color theme="0"/>
      <name val="Calibri"/>
      <family val="2"/>
    </font>
    <font>
      <sz val="14"/>
      <color theme="0"/>
      <name val="Calibri"/>
      <family val="2"/>
    </font>
    <font>
      <sz val="10"/>
      <color theme="1"/>
      <name val="Calibri"/>
      <family val="2"/>
    </font>
    <font>
      <sz val="10"/>
      <color rgb="FF1229C6"/>
      <name val="Calibri"/>
      <family val="2"/>
    </font>
    <font>
      <sz val="10"/>
      <color rgb="FF000000"/>
      <name val="Calibri"/>
      <family val="2"/>
    </font>
    <font>
      <sz val="11"/>
      <color rgb="FF1229C6"/>
      <name val="Calibri"/>
      <family val="2"/>
    </font>
    <font>
      <sz val="14"/>
      <color rgb="FF1229C6"/>
      <name val="Calibri"/>
      <family val="2"/>
    </font>
    <font>
      <b/>
      <sz val="10"/>
      <color rgb="FF000000"/>
      <name val="Calibri"/>
      <family val="2"/>
    </font>
    <font>
      <sz val="18"/>
      <color rgb="FF16254F"/>
      <name val="Calibri"/>
      <family val="2"/>
    </font>
    <font>
      <b/>
      <sz val="14"/>
      <color rgb="FF16254F"/>
      <name val="Calibri"/>
      <family val="2"/>
    </font>
    <font>
      <sz val="11"/>
      <color rgb="FF16254F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b/>
      <sz val="10"/>
      <color rgb="FF16254F"/>
      <name val="Calibri"/>
      <family val="2"/>
    </font>
    <font>
      <u/>
      <sz val="10"/>
      <color theme="10"/>
      <name val="Calibri"/>
      <family val="2"/>
    </font>
    <font>
      <sz val="10"/>
      <color theme="10"/>
      <name val="Calibri"/>
      <family val="2"/>
    </font>
    <font>
      <sz val="10"/>
      <name val="Arial"/>
      <family val="2"/>
      <scheme val="minor"/>
    </font>
    <font>
      <b/>
      <sz val="11"/>
      <color theme="1"/>
      <name val="Calibri"/>
      <family val="2"/>
    </font>
    <font>
      <sz val="18"/>
      <color theme="1"/>
      <name val="Calibri"/>
      <family val="2"/>
    </font>
    <font>
      <b/>
      <sz val="14"/>
      <color theme="1"/>
      <name val="Calibri"/>
      <family val="2"/>
    </font>
    <font>
      <sz val="8"/>
      <name val="Calibri"/>
      <family val="2"/>
    </font>
    <font>
      <sz val="9"/>
      <name val="Tahoma"/>
      <family val="2"/>
    </font>
    <font>
      <b/>
      <sz val="9"/>
      <name val="Tahoma"/>
      <family val="2"/>
    </font>
    <font>
      <b/>
      <sz val="14"/>
      <color rgb="FFFF0000"/>
      <name val="Calibri"/>
      <family val="2"/>
    </font>
    <font>
      <b/>
      <sz val="18"/>
      <color rgb="FF16254F"/>
      <name val="Calibri"/>
      <family val="2"/>
    </font>
    <font>
      <sz val="18"/>
      <name val="Calibri"/>
      <family val="2"/>
    </font>
    <font>
      <b/>
      <sz val="11"/>
      <name val="Arial"/>
      <family val="2"/>
      <scheme val="minor"/>
    </font>
    <font>
      <b/>
      <sz val="10"/>
      <name val="Arial"/>
      <family val="2"/>
      <scheme val="minor"/>
    </font>
    <font>
      <sz val="11"/>
      <name val="Arial"/>
      <family val="2"/>
      <scheme val="minor"/>
    </font>
    <font>
      <b/>
      <sz val="18"/>
      <color rgb="FF16254F"/>
      <name val="Calibri Light"/>
      <family val="2"/>
    </font>
    <font>
      <b/>
      <sz val="8"/>
      <name val="Calibri"/>
      <family val="2"/>
    </font>
    <font>
      <b/>
      <sz val="10"/>
      <color rgb="FFFFFFFF"/>
      <name val="Calibri"/>
      <family val="2"/>
    </font>
    <font>
      <sz val="8"/>
      <color theme="1"/>
      <name val="Calibri"/>
      <family val="2"/>
    </font>
    <font>
      <sz val="10"/>
      <color rgb="FFFF0000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b/>
      <sz val="14"/>
      <color theme="0"/>
      <name val="Calibri"/>
      <family val="2"/>
    </font>
    <font>
      <b/>
      <sz val="15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Goudy Old Style"/>
      <family val="2"/>
    </font>
    <font>
      <sz val="9"/>
      <color rgb="FF000000"/>
      <name val="Arial"/>
      <family val="2"/>
    </font>
    <font>
      <sz val="11"/>
      <color theme="0"/>
      <name val="Calibri"/>
      <family val="2"/>
    </font>
    <font>
      <b/>
      <sz val="16"/>
      <color theme="1"/>
      <name val="Calibri"/>
      <family val="2"/>
    </font>
    <font>
      <b/>
      <sz val="11"/>
      <color theme="0"/>
      <name val="Calibri"/>
      <family val="2"/>
    </font>
    <font>
      <sz val="9"/>
      <name val="Calibri"/>
      <family val="2"/>
    </font>
    <font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16254F"/>
        <bgColor indexed="64"/>
      </patternFill>
    </fill>
    <fill>
      <patternFill patternType="solid">
        <fgColor theme="0" tint="-4.956205938901944E-2"/>
        <bgColor indexed="64"/>
      </patternFill>
    </fill>
    <fill>
      <patternFill patternType="solid">
        <fgColor rgb="FFE7EB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57121494186223"/>
        <bgColor indexed="64"/>
      </patternFill>
    </fill>
    <fill>
      <patternFill patternType="solid">
        <fgColor rgb="FF0C1C60"/>
        <bgColor indexed="64"/>
      </patternFill>
    </fill>
    <fill>
      <patternFill patternType="solid">
        <fgColor rgb="FFD2CBD2"/>
        <bgColor indexed="64"/>
      </patternFill>
    </fill>
    <fill>
      <patternFill patternType="solid">
        <fgColor rgb="FF5392C7"/>
        <bgColor indexed="64"/>
      </patternFill>
    </fill>
    <fill>
      <patternFill patternType="solid">
        <fgColor theme="0" tint="-0.14975432599871821"/>
        <bgColor indexed="64"/>
      </patternFill>
    </fill>
    <fill>
      <patternFill patternType="solid">
        <fgColor rgb="FFF0C2E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0" tint="-4.986724448377941E-2"/>
        <bgColor indexed="64"/>
      </patternFill>
    </fill>
    <fill>
      <patternFill patternType="solid">
        <fgColor theme="0" tint="-4.9470503860591451E-2"/>
        <bgColor indexed="64"/>
      </patternFill>
    </fill>
  </fills>
  <borders count="146">
    <border>
      <left/>
      <right/>
      <top/>
      <bottom/>
      <diagonal/>
    </border>
    <border>
      <left/>
      <right/>
      <top/>
      <bottom style="thin">
        <color theme="0" tint="-4.956205938901944E-2"/>
      </bottom>
      <diagonal/>
    </border>
    <border>
      <left/>
      <right/>
      <top style="thin">
        <color theme="0" tint="-4.956205938901944E-2"/>
      </top>
      <bottom/>
      <diagonal/>
    </border>
    <border>
      <left/>
      <right/>
      <top style="thin">
        <color theme="0" tint="-4.956205938901944E-2"/>
      </top>
      <bottom style="thin">
        <color theme="0" tint="-4.956205938901944E-2"/>
      </bottom>
      <diagonal/>
    </border>
    <border>
      <left/>
      <right/>
      <top/>
      <bottom style="thick">
        <color rgb="FF16254F"/>
      </bottom>
      <diagonal/>
    </border>
    <border>
      <left style="thick">
        <color theme="0"/>
      </left>
      <right/>
      <top/>
      <bottom/>
      <diagonal/>
    </border>
    <border>
      <left/>
      <right style="thin">
        <color theme="0" tint="-0.34955900753807184"/>
      </right>
      <top/>
      <bottom/>
      <diagonal/>
    </border>
    <border>
      <left style="thin">
        <color theme="0" tint="-0.34955900753807184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 tint="-0.34955900753807184"/>
      </right>
      <top style="thin">
        <color theme="0" tint="-4.956205938901944E-2"/>
      </top>
      <bottom style="thin">
        <color theme="0" tint="-4.956205938901944E-2"/>
      </bottom>
      <diagonal/>
    </border>
    <border>
      <left/>
      <right style="thin">
        <color theme="0" tint="-0.34955900753807184"/>
      </right>
      <top/>
      <bottom style="thin">
        <color theme="0" tint="-4.956205938901944E-2"/>
      </bottom>
      <diagonal/>
    </border>
    <border>
      <left/>
      <right/>
      <top style="thin">
        <color theme="0" tint="-4.956205938901944E-2"/>
      </top>
      <bottom style="thin">
        <color theme="0" tint="-0.3495590075380718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n">
        <color theme="0" tint="-4.956205938901944E-2"/>
      </top>
      <bottom/>
      <diagonal/>
    </border>
    <border>
      <left style="thick">
        <color theme="0"/>
      </left>
      <right style="thin">
        <color auto="1"/>
      </right>
      <top style="thin">
        <color auto="1"/>
      </top>
      <bottom/>
      <diagonal/>
    </border>
    <border>
      <left style="thin">
        <color theme="0" tint="-0.34955900753807184"/>
      </left>
      <right/>
      <top/>
      <bottom style="thin">
        <color theme="0" tint="-4.956205938901944E-2"/>
      </bottom>
      <diagonal/>
    </border>
    <border>
      <left/>
      <right style="thick">
        <color theme="0"/>
      </right>
      <top/>
      <bottom style="thin">
        <color theme="0" tint="-4.956205938901944E-2"/>
      </bottom>
      <diagonal/>
    </border>
    <border>
      <left style="thin">
        <color theme="0" tint="-0.34955900753807184"/>
      </left>
      <right/>
      <top style="thin">
        <color theme="0" tint="-4.956205938901944E-2"/>
      </top>
      <bottom style="thin">
        <color theme="0" tint="-4.956205938901944E-2"/>
      </bottom>
      <diagonal/>
    </border>
    <border>
      <left/>
      <right style="thick">
        <color theme="0"/>
      </right>
      <top style="thin">
        <color theme="0" tint="-4.956205938901944E-2"/>
      </top>
      <bottom style="thin">
        <color theme="0" tint="-4.956205938901944E-2"/>
      </bottom>
      <diagonal/>
    </border>
    <border>
      <left/>
      <right style="thin">
        <color theme="0" tint="-0.34955900753807184"/>
      </right>
      <top style="thin">
        <color theme="0" tint="-4.956205938901944E-2"/>
      </top>
      <bottom/>
      <diagonal/>
    </border>
    <border>
      <left/>
      <right/>
      <top/>
      <bottom style="thin">
        <color theme="0" tint="-0.14954069643238624"/>
      </bottom>
      <diagonal/>
    </border>
    <border>
      <left/>
      <right/>
      <top style="thin">
        <color theme="0" tint="-0.14954069643238624"/>
      </top>
      <bottom style="thin">
        <color theme="0" tint="-0.14954069643238624"/>
      </bottom>
      <diagonal/>
    </border>
    <border>
      <left/>
      <right/>
      <top style="thin">
        <color theme="0" tint="-0.14954069643238624"/>
      </top>
      <bottom/>
      <diagonal/>
    </border>
    <border>
      <left style="thin">
        <color theme="0" tint="-0.34955900753807184"/>
      </left>
      <right/>
      <top style="thin">
        <color theme="0" tint="-4.956205938901944E-2"/>
      </top>
      <bottom/>
      <diagonal/>
    </border>
    <border>
      <left/>
      <right/>
      <top/>
      <bottom style="thin">
        <color theme="0" tint="-4.9439985351115455E-2"/>
      </bottom>
      <diagonal/>
    </border>
    <border>
      <left/>
      <right/>
      <top style="thin">
        <color theme="0" tint="-4.9439985351115455E-2"/>
      </top>
      <bottom style="thin">
        <color theme="0" tint="-4.9439985351115455E-2"/>
      </bottom>
      <diagonal/>
    </border>
    <border>
      <left/>
      <right/>
      <top style="thin">
        <color theme="0" tint="-4.9439985351115455E-2"/>
      </top>
      <bottom/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/>
      <top/>
      <bottom style="thin">
        <color theme="0" tint="-0.14957121494186223"/>
      </bottom>
      <diagonal/>
    </border>
    <border>
      <left/>
      <right/>
      <top/>
      <bottom style="medium">
        <color rgb="FFF2F2F2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theme="0" tint="-4.956205938901944E-2"/>
      </bottom>
      <diagonal/>
    </border>
    <border>
      <left/>
      <right style="thin">
        <color auto="1"/>
      </right>
      <top style="thin">
        <color theme="0" tint="-4.956205938901944E-2"/>
      </top>
      <bottom style="thin">
        <color theme="0" tint="-4.956205938901944E-2"/>
      </bottom>
      <diagonal/>
    </border>
    <border>
      <left/>
      <right style="thin">
        <color auto="1"/>
      </right>
      <top style="thin">
        <color theme="0" tint="-4.956205938901944E-2"/>
      </top>
      <bottom/>
      <diagonal/>
    </border>
    <border>
      <left/>
      <right/>
      <top/>
      <bottom style="thin">
        <color theme="0" tint="-4.986724448377941E-2"/>
      </bottom>
      <diagonal/>
    </border>
    <border>
      <left/>
      <right/>
      <top style="thin">
        <color theme="0" tint="-4.986724448377941E-2"/>
      </top>
      <bottom/>
      <diagonal/>
    </border>
    <border>
      <left/>
      <right/>
      <top style="thin">
        <color theme="0" tint="-4.986724448377941E-2"/>
      </top>
      <bottom style="thin">
        <color theme="0" tint="-4.986724448377941E-2"/>
      </bottom>
      <diagonal/>
    </border>
    <border>
      <left/>
      <right/>
      <top style="thin">
        <color theme="2"/>
      </top>
      <bottom/>
      <diagonal/>
    </border>
    <border>
      <left style="thin">
        <color theme="0" tint="-0.24985503707998902"/>
      </left>
      <right/>
      <top/>
      <bottom style="thin">
        <color theme="0" tint="-4.956205938901944E-2"/>
      </bottom>
      <diagonal/>
    </border>
    <border>
      <left style="thin">
        <color theme="0" tint="-0.24985503707998902"/>
      </left>
      <right/>
      <top style="thin">
        <color theme="0" tint="-4.956205938901944E-2"/>
      </top>
      <bottom style="thin">
        <color theme="0" tint="-4.956205938901944E-2"/>
      </bottom>
      <diagonal/>
    </border>
    <border>
      <left/>
      <right style="thin">
        <color theme="0" tint="-0.24985503707998902"/>
      </right>
      <top/>
      <bottom/>
      <diagonal/>
    </border>
    <border>
      <left/>
      <right style="thin">
        <color theme="0" tint="-4.986724448377941E-2"/>
      </right>
      <top style="thin">
        <color theme="0" tint="-4.956205938901944E-2"/>
      </top>
      <bottom style="thin">
        <color theme="0" tint="-4.956205938901944E-2"/>
      </bottom>
      <diagonal/>
    </border>
    <border>
      <left/>
      <right style="thin">
        <color theme="0" tint="-0.24985503707998902"/>
      </right>
      <top/>
      <bottom style="thin">
        <color theme="0" tint="-4.956205938901944E-2"/>
      </bottom>
      <diagonal/>
    </border>
    <border>
      <left/>
      <right style="thin">
        <color theme="0" tint="-0.24985503707998902"/>
      </right>
      <top style="thin">
        <color theme="0" tint="-4.956205938901944E-2"/>
      </top>
      <bottom/>
      <diagonal/>
    </border>
    <border>
      <left/>
      <right style="thin">
        <color theme="0" tint="-0.24985503707998902"/>
      </right>
      <top style="thin">
        <color theme="0" tint="-4.956205938901944E-2"/>
      </top>
      <bottom style="thin">
        <color theme="0" tint="-4.956205938901944E-2"/>
      </bottom>
      <diagonal/>
    </border>
    <border>
      <left/>
      <right style="thin">
        <color theme="0"/>
      </right>
      <top/>
      <bottom style="thin">
        <color theme="0" tint="-4.956205938901944E-2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0.34955900753807184"/>
      </bottom>
      <diagonal/>
    </border>
    <border>
      <left style="thin">
        <color theme="0" tint="-0.34946745200964385"/>
      </left>
      <right/>
      <top/>
      <bottom style="thin">
        <color theme="0" tint="-4.9470503860591451E-2"/>
      </bottom>
      <diagonal/>
    </border>
    <border>
      <left/>
      <right/>
      <top/>
      <bottom style="thin">
        <color theme="0" tint="-4.9470503860591451E-2"/>
      </bottom>
      <diagonal/>
    </border>
    <border>
      <left/>
      <right/>
      <top style="thin">
        <color theme="0" tint="-4.9470503860591451E-2"/>
      </top>
      <bottom style="thin">
        <color theme="0" tint="-4.9470503860591451E-2"/>
      </bottom>
      <diagonal/>
    </border>
    <border>
      <left/>
      <right/>
      <top style="thin">
        <color theme="0" tint="-4.9470503860591451E-2"/>
      </top>
      <bottom/>
      <diagonal/>
    </border>
    <border>
      <left/>
      <right style="thin">
        <color theme="0" tint="-0.34946745200964385"/>
      </right>
      <top style="thin">
        <color theme="0" tint="-4.9470503860591451E-2"/>
      </top>
      <bottom style="thin">
        <color theme="0" tint="-4.9470503860591451E-2"/>
      </bottom>
      <diagonal/>
    </border>
    <border>
      <left/>
      <right style="thin">
        <color theme="0" tint="-0.34946745200964385"/>
      </right>
      <top style="thin">
        <color theme="0" tint="-4.9470503860591451E-2"/>
      </top>
      <bottom/>
      <diagonal/>
    </border>
    <border>
      <left/>
      <right/>
      <top/>
      <bottom style="thin">
        <color rgb="FFF2F2F2"/>
      </bottom>
      <diagonal/>
    </border>
    <border>
      <left/>
      <right/>
      <top style="thin">
        <color rgb="FFF2F2F2"/>
      </top>
      <bottom/>
      <diagonal/>
    </border>
    <border>
      <left/>
      <right style="thin">
        <color theme="0" tint="-0.34946745200964385"/>
      </right>
      <top/>
      <bottom/>
      <diagonal/>
    </border>
    <border>
      <left/>
      <right style="thin">
        <color theme="0" tint="-0.34946745200964385"/>
      </right>
      <top/>
      <bottom style="thin">
        <color theme="0" tint="-4.9470503860591451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theme="0" tint="-4.9439985351115455E-2"/>
      </bottom>
      <diagonal/>
    </border>
    <border>
      <left/>
      <right style="thin">
        <color auto="1"/>
      </right>
      <top/>
      <bottom style="thin">
        <color theme="0" tint="-4.9470503860591451E-2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0" tint="-4.956205938901944E-2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theme="0" tint="-4.9439985351115455E-2"/>
      </bottom>
      <diagonal/>
    </border>
    <border>
      <left/>
      <right style="medium">
        <color auto="1"/>
      </right>
      <top/>
      <bottom style="thin">
        <color theme="0" tint="-4.9439985351115455E-2"/>
      </bottom>
      <diagonal/>
    </border>
    <border>
      <left style="medium">
        <color auto="1"/>
      </left>
      <right/>
      <top style="thin">
        <color theme="0" tint="-4.956205938901944E-2"/>
      </top>
      <bottom style="thin">
        <color theme="0" tint="-4.956205938901944E-2"/>
      </bottom>
      <diagonal/>
    </border>
    <border>
      <left/>
      <right style="medium">
        <color auto="1"/>
      </right>
      <top style="thin">
        <color theme="0" tint="-4.956205938901944E-2"/>
      </top>
      <bottom style="thin">
        <color theme="0" tint="-4.956205938901944E-2"/>
      </bottom>
      <diagonal/>
    </border>
    <border>
      <left style="medium">
        <color auto="1"/>
      </left>
      <right/>
      <top style="thin">
        <color theme="0" tint="-4.956205938901944E-2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theme="0" tint="-4.9470503860591451E-2"/>
      </bottom>
      <diagonal/>
    </border>
    <border>
      <left style="medium">
        <color auto="1"/>
      </left>
      <right style="thin">
        <color theme="0" tint="-0.14957121494186223"/>
      </right>
      <top style="thin">
        <color theme="0" tint="-4.956205938901944E-2"/>
      </top>
      <bottom style="thin">
        <color theme="0" tint="-4.956205938901944E-2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theme="0" tint="-4.956205938901944E-2"/>
      </top>
      <bottom style="medium">
        <color auto="1"/>
      </bottom>
      <diagonal/>
    </border>
    <border>
      <left/>
      <right style="thin">
        <color auto="1"/>
      </right>
      <top style="thin">
        <color theme="0" tint="-4.956205938901944E-2"/>
      </top>
      <bottom style="medium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theme="0" tint="-4.956205938901944E-2"/>
      </bottom>
      <diagonal/>
    </border>
    <border>
      <left/>
      <right style="thin">
        <color rgb="FF000000"/>
      </right>
      <top style="thin">
        <color theme="0" tint="-4.956205938901944E-2"/>
      </top>
      <bottom style="thin">
        <color theme="0" tint="-4.956205938901944E-2"/>
      </bottom>
      <diagonal/>
    </border>
    <border>
      <left/>
      <right style="thin">
        <color rgb="FF000000"/>
      </right>
      <top style="thin">
        <color theme="0" tint="-4.956205938901944E-2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theme="0" tint="-4.956205938901944E-2"/>
      </top>
      <bottom style="thin">
        <color theme="0" tint="-4.986724448377941E-2"/>
      </bottom>
      <diagonal/>
    </border>
    <border>
      <left style="thin">
        <color rgb="FF000000"/>
      </left>
      <right/>
      <top/>
      <bottom/>
      <diagonal/>
    </border>
    <border>
      <left style="thin">
        <color theme="0" tint="-0.34955900753807184"/>
      </left>
      <right/>
      <top style="thin">
        <color theme="0" tint="-0.3495590075380718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0" tint="-0.34955900753807184"/>
      </right>
      <top style="thin">
        <color auto="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 tint="-0.14957121494186223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theme="0"/>
      </right>
      <top style="thin">
        <color theme="0" tint="-4.956205938901944E-2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/>
      <bottom style="thin">
        <color theme="0" tint="-4.956205938901944E-2"/>
      </bottom>
      <diagonal/>
    </border>
    <border>
      <left style="thick">
        <color theme="0"/>
      </left>
      <right/>
      <top style="thin">
        <color theme="0" tint="-4.956205938901944E-2"/>
      </top>
      <bottom style="thin">
        <color theme="0" tint="-4.956205938901944E-2"/>
      </bottom>
      <diagonal/>
    </border>
    <border>
      <left style="thick">
        <color theme="0"/>
      </left>
      <right/>
      <top style="thin">
        <color theme="0" tint="-4.956205938901944E-2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4.956205938901944E-2"/>
      </bottom>
      <diagonal/>
    </border>
    <border>
      <left style="thin">
        <color theme="0"/>
      </left>
      <right/>
      <top/>
      <bottom style="thin">
        <color theme="0" tint="-4.956205938901944E-2"/>
      </bottom>
      <diagonal/>
    </border>
    <border>
      <left style="thin">
        <color theme="0" tint="-0.34955900753807184"/>
      </left>
      <right style="thin">
        <color theme="0" tint="-0.34955900753807184"/>
      </right>
      <top style="thin">
        <color theme="0" tint="-4.956205938901944E-2"/>
      </top>
      <bottom/>
      <diagonal/>
    </border>
    <border>
      <left style="thick">
        <color theme="0"/>
      </left>
      <right style="thin">
        <color auto="1"/>
      </right>
      <top/>
      <bottom/>
      <diagonal/>
    </border>
    <border>
      <left/>
      <right style="thick">
        <color theme="0"/>
      </right>
      <top style="thin">
        <color theme="0" tint="-4.9439985351115455E-2"/>
      </top>
      <bottom/>
      <diagonal/>
    </border>
    <border>
      <left style="thin">
        <color theme="0" tint="-0.24985503707998902"/>
      </left>
      <right/>
      <top style="thin">
        <color theme="0" tint="-4.986724448377941E-2"/>
      </top>
      <bottom/>
      <diagonal/>
    </border>
    <border>
      <left/>
      <right style="thick">
        <color theme="0"/>
      </right>
      <top style="thin">
        <color theme="0" tint="-4.986724448377941E-2"/>
      </top>
      <bottom/>
      <diagonal/>
    </border>
    <border>
      <left style="thin">
        <color theme="0" tint="-0.24985503707998902"/>
      </left>
      <right/>
      <top style="thin">
        <color theme="0" tint="-4.956205938901944E-2"/>
      </top>
      <bottom style="thin">
        <color theme="0" tint="-4.986724448377941E-2"/>
      </bottom>
      <diagonal/>
    </border>
    <border>
      <left/>
      <right style="thin">
        <color theme="0" tint="-0.24985503707998902"/>
      </right>
      <top style="thin">
        <color theme="0" tint="-4.956205938901944E-2"/>
      </top>
      <bottom style="thin">
        <color theme="0" tint="-4.986724448377941E-2"/>
      </bottom>
      <diagonal/>
    </border>
    <border>
      <left/>
      <right style="thin">
        <color theme="0" tint="-0.24985503707998902"/>
      </right>
      <top style="thin">
        <color theme="0" tint="-4.9439985351115455E-2"/>
      </top>
      <bottom/>
      <diagonal/>
    </border>
    <border>
      <left style="thin">
        <color theme="0" tint="-0.24985503707998902"/>
      </left>
      <right/>
      <top/>
      <bottom/>
      <diagonal/>
    </border>
    <border>
      <left/>
      <right style="thin">
        <color theme="0" tint="-0.24985503707998902"/>
      </right>
      <top style="thin">
        <color theme="0" tint="-4.986724448377941E-2"/>
      </top>
      <bottom/>
      <diagonal/>
    </border>
    <border>
      <left style="thick">
        <color theme="0"/>
      </left>
      <right/>
      <top/>
      <bottom style="thin">
        <color theme="0" tint="-0.14947965941343425"/>
      </bottom>
      <diagonal/>
    </border>
    <border>
      <left/>
      <right style="thick">
        <color theme="0"/>
      </right>
      <top/>
      <bottom style="thin">
        <color theme="0" tint="-4.9501022370067448E-2"/>
      </bottom>
      <diagonal/>
    </border>
    <border>
      <left/>
      <right style="thick">
        <color theme="0"/>
      </right>
      <top style="thin">
        <color theme="0" tint="-4.9501022370067448E-2"/>
      </top>
      <bottom style="thin">
        <color theme="0" tint="-4.9501022370067448E-2"/>
      </bottom>
      <diagonal/>
    </border>
    <border>
      <left/>
      <right style="thick">
        <color theme="0"/>
      </right>
      <top style="thin">
        <color theme="0" tint="-4.9501022370067448E-2"/>
      </top>
      <bottom/>
      <diagonal/>
    </border>
    <border>
      <left style="thick">
        <color theme="0"/>
      </left>
      <right/>
      <top/>
      <bottom style="thin">
        <color theme="0" tint="-4.9470503860591451E-2"/>
      </bottom>
      <diagonal/>
    </border>
    <border>
      <left style="thick">
        <color theme="0"/>
      </left>
      <right/>
      <top style="thin">
        <color theme="0" tint="-4.9470503860591451E-2"/>
      </top>
      <bottom style="thin">
        <color theme="0" tint="-4.9470503860591451E-2"/>
      </bottom>
      <diagonal/>
    </border>
    <border>
      <left/>
      <right style="thick">
        <color theme="0"/>
      </right>
      <top/>
      <bottom style="thin">
        <color theme="0" tint="-4.9470503860591451E-2"/>
      </bottom>
      <diagonal/>
    </border>
    <border>
      <left/>
      <right style="thick">
        <color theme="0"/>
      </right>
      <top style="thin">
        <color theme="0" tint="-4.9470503860591451E-2"/>
      </top>
      <bottom/>
      <diagonal/>
    </border>
    <border>
      <left/>
      <right style="thin">
        <color theme="0" tint="-0.34955900753807184"/>
      </right>
      <top style="thin">
        <color theme="0" tint="-4.956205938901944E-2"/>
      </top>
      <bottom style="thin">
        <color theme="0" tint="-0.34955900753807184"/>
      </bottom>
      <diagonal/>
    </border>
    <border>
      <left/>
      <right/>
      <top style="thin">
        <color theme="0" tint="-0.34955900753807184"/>
      </top>
      <bottom style="thin">
        <color theme="0" tint="-4.956205938901944E-2"/>
      </bottom>
      <diagonal/>
    </border>
    <border>
      <left/>
      <right style="thin">
        <color theme="0" tint="-0.34955900753807184"/>
      </right>
      <top style="thin">
        <color theme="0" tint="-0.34955900753807184"/>
      </top>
      <bottom style="thin">
        <color theme="0" tint="-4.956205938901944E-2"/>
      </bottom>
      <diagonal/>
    </border>
    <border>
      <left style="thin">
        <color theme="0" tint="-0.34955900753807184"/>
      </left>
      <right style="thick">
        <color theme="0"/>
      </right>
      <top style="thin">
        <color theme="0" tint="-0.34955900753807184"/>
      </top>
      <bottom/>
      <diagonal/>
    </border>
    <border>
      <left style="thin">
        <color theme="0" tint="-0.34955900753807184"/>
      </left>
      <right style="thick">
        <color theme="0"/>
      </right>
      <top/>
      <bottom/>
      <diagonal/>
    </border>
    <border>
      <left style="thin">
        <color theme="0" tint="-0.1498764000366222"/>
      </left>
      <right/>
      <top/>
      <bottom/>
      <diagonal/>
    </border>
    <border>
      <left style="thin">
        <color theme="0" tint="-4.986724448377941E-2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ck">
        <color theme="0"/>
      </right>
      <top style="thin">
        <color theme="0" tint="-4.9470503860591451E-2"/>
      </top>
      <bottom style="thin">
        <color theme="0" tint="-4.9470503860591451E-2"/>
      </bottom>
      <diagonal/>
    </border>
    <border>
      <left/>
      <right/>
      <top style="thin">
        <color theme="0" tint="-4.9653614917447429E-2"/>
      </top>
      <bottom/>
      <diagonal/>
    </border>
  </borders>
  <cellStyleXfs count="14">
    <xf numFmtId="0" fontId="0" fillId="0" borderId="0"/>
    <xf numFmtId="9" fontId="7" fillId="0" borderId="0" applyFill="0" applyBorder="0" applyProtection="0">
      <alignment vertical="center"/>
    </xf>
    <xf numFmtId="42" fontId="1" fillId="0" borderId="0" applyFill="0" applyBorder="0" applyProtection="0">
      <alignment vertical="center"/>
    </xf>
    <xf numFmtId="43" fontId="7" fillId="0" borderId="0" applyFill="0" applyBorder="0" applyProtection="0">
      <alignment vertical="center"/>
    </xf>
    <xf numFmtId="41" fontId="1" fillId="0" borderId="0" applyFill="0" applyBorder="0" applyProtection="0">
      <alignment vertical="center"/>
    </xf>
    <xf numFmtId="0" fontId="5" fillId="0" borderId="0" applyNumberFormat="0" applyFill="0" applyBorder="0" applyProtection="0">
      <alignment vertical="center"/>
    </xf>
    <xf numFmtId="43" fontId="7" fillId="0" borderId="0" applyFill="0" applyBorder="0" applyProtection="0">
      <alignment vertical="center"/>
    </xf>
    <xf numFmtId="0" fontId="65" fillId="0" borderId="0" applyNumberFormat="0" applyFill="0" applyBorder="0"/>
    <xf numFmtId="0" fontId="7" fillId="0" borderId="0" applyNumberFormat="0" applyFill="0" applyBorder="0"/>
    <xf numFmtId="43" fontId="7" fillId="0" borderId="0" applyFill="0" applyBorder="0" applyProtection="0">
      <alignment vertical="center"/>
    </xf>
    <xf numFmtId="9" fontId="7" fillId="0" borderId="0" applyFill="0" applyBorder="0" applyProtection="0">
      <alignment vertical="center"/>
    </xf>
    <xf numFmtId="43" fontId="7" fillId="0" borderId="0" applyFill="0" applyBorder="0" applyProtection="0">
      <alignment vertical="center"/>
    </xf>
    <xf numFmtId="43" fontId="7" fillId="0" borderId="0" applyFill="0" applyBorder="0" applyProtection="0">
      <alignment vertical="center"/>
    </xf>
    <xf numFmtId="43" fontId="7" fillId="0" borderId="0" applyFill="0" applyBorder="0" applyProtection="0">
      <alignment vertical="center"/>
    </xf>
  </cellStyleXfs>
  <cellXfs count="1238">
    <xf numFmtId="0" fontId="0" fillId="0" borderId="0" xfId="0"/>
    <xf numFmtId="0" fontId="22" fillId="2" borderId="0" xfId="0" applyFont="1" applyFill="1" applyAlignment="1">
      <alignment horizontal="center" vertical="center" readingOrder="2"/>
    </xf>
    <xf numFmtId="9" fontId="13" fillId="0" borderId="1" xfId="1" applyFont="1" applyBorder="1" applyAlignment="1">
      <alignment horizontal="right" vertical="center"/>
    </xf>
    <xf numFmtId="0" fontId="22" fillId="2" borderId="0" xfId="0" applyFont="1" applyFill="1" applyAlignment="1">
      <alignment horizontal="right" vertical="center" wrapText="1"/>
    </xf>
    <xf numFmtId="0" fontId="24" fillId="3" borderId="0" xfId="3" applyNumberFormat="1" applyFont="1" applyFill="1" applyAlignment="1">
      <alignment horizontal="center" vertical="center" wrapText="1" readingOrder="2"/>
    </xf>
    <xf numFmtId="9" fontId="13" fillId="0" borderId="2" xfId="1" applyFont="1" applyBorder="1" applyAlignment="1">
      <alignment horizontal="right" vertical="center"/>
    </xf>
    <xf numFmtId="0" fontId="22" fillId="2" borderId="0" xfId="0" applyFont="1" applyFill="1" applyAlignment="1">
      <alignment horizontal="center" vertical="center" wrapText="1" readingOrder="2"/>
    </xf>
    <xf numFmtId="0" fontId="15" fillId="0" borderId="3" xfId="0" applyFont="1" applyBorder="1" applyAlignment="1">
      <alignment horizontal="right" vertical="center" wrapText="1" readingOrder="2"/>
    </xf>
    <xf numFmtId="0" fontId="8" fillId="0" borderId="0" xfId="0" applyFont="1" applyAlignment="1">
      <alignment vertical="top" wrapText="1" readingOrder="2"/>
    </xf>
    <xf numFmtId="0" fontId="27" fillId="0" borderId="2" xfId="0" applyFont="1" applyBorder="1" applyAlignment="1">
      <alignment horizontal="right" vertical="center"/>
    </xf>
    <xf numFmtId="0" fontId="22" fillId="2" borderId="0" xfId="0" applyFont="1" applyFill="1" applyAlignment="1">
      <alignment horizontal="center" vertical="center" wrapText="1"/>
    </xf>
    <xf numFmtId="0" fontId="27" fillId="0" borderId="2" xfId="3" applyNumberFormat="1" applyFont="1" applyBorder="1" applyAlignment="1">
      <alignment horizontal="right" vertical="center"/>
    </xf>
    <xf numFmtId="0" fontId="27" fillId="0" borderId="3" xfId="3" applyNumberFormat="1" applyFont="1" applyBorder="1" applyAlignment="1">
      <alignment horizontal="right" vertical="center"/>
    </xf>
    <xf numFmtId="0" fontId="27" fillId="0" borderId="1" xfId="3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0" fontId="0" fillId="0" borderId="0" xfId="3" applyNumberFormat="1" applyFont="1">
      <alignment vertical="center"/>
    </xf>
    <xf numFmtId="166" fontId="0" fillId="0" borderId="0" xfId="3" applyNumberFormat="1" applyFont="1">
      <alignment vertical="center"/>
    </xf>
    <xf numFmtId="9" fontId="0" fillId="0" borderId="0" xfId="1" applyFont="1">
      <alignment vertical="center"/>
    </xf>
    <xf numFmtId="165" fontId="0" fillId="0" borderId="0" xfId="1" applyNumberFormat="1" applyFont="1">
      <alignment vertical="center"/>
    </xf>
    <xf numFmtId="166" fontId="0" fillId="0" borderId="0" xfId="3" applyNumberFormat="1" applyFont="1" applyAlignment="1">
      <alignment horizontal="center"/>
    </xf>
    <xf numFmtId="0" fontId="2" fillId="0" borderId="0" xfId="3" applyNumberFormat="1" applyFont="1" applyAlignment="1">
      <alignment horizontal="right" vertical="center" wrapText="1" readingOrder="2"/>
    </xf>
    <xf numFmtId="166" fontId="0" fillId="0" borderId="0" xfId="3" applyNumberFormat="1" applyFont="1" applyAlignment="1">
      <alignment wrapText="1"/>
    </xf>
    <xf numFmtId="0" fontId="0" fillId="0" borderId="0" xfId="0" applyAlignment="1">
      <alignment vertical="top"/>
    </xf>
    <xf numFmtId="0" fontId="9" fillId="0" borderId="0" xfId="0" applyFont="1" applyAlignment="1">
      <alignment vertical="center" wrapText="1" readingOrder="2"/>
    </xf>
    <xf numFmtId="0" fontId="0" fillId="0" borderId="0" xfId="0" applyAlignment="1">
      <alignment vertical="center"/>
    </xf>
    <xf numFmtId="0" fontId="11" fillId="2" borderId="0" xfId="0" applyFont="1" applyFill="1" applyAlignment="1">
      <alignment vertical="center" wrapText="1" readingOrder="2"/>
    </xf>
    <xf numFmtId="0" fontId="12" fillId="2" borderId="0" xfId="0" applyFont="1" applyFill="1" applyAlignment="1">
      <alignment vertical="center" wrapText="1" readingOrder="2"/>
    </xf>
    <xf numFmtId="0" fontId="13" fillId="0" borderId="1" xfId="0" applyFont="1" applyBorder="1" applyAlignment="1">
      <alignment vertical="center" wrapText="1" readingOrder="2"/>
    </xf>
    <xf numFmtId="0" fontId="14" fillId="0" borderId="1" xfId="5" applyFont="1" applyBorder="1">
      <alignment vertical="center"/>
    </xf>
    <xf numFmtId="0" fontId="13" fillId="0" borderId="1" xfId="0" applyFont="1" applyBorder="1" applyAlignment="1">
      <alignment horizontal="right" vertical="center" wrapText="1" readingOrder="2"/>
    </xf>
    <xf numFmtId="0" fontId="13" fillId="0" borderId="3" xfId="0" applyFont="1" applyBorder="1" applyAlignment="1">
      <alignment vertical="center" wrapText="1" readingOrder="2"/>
    </xf>
    <xf numFmtId="0" fontId="13" fillId="0" borderId="3" xfId="0" applyFont="1" applyBorder="1" applyAlignment="1">
      <alignment horizontal="right" vertical="center" wrapText="1" readingOrder="2"/>
    </xf>
    <xf numFmtId="0" fontId="13" fillId="0" borderId="2" xfId="0" applyFont="1" applyBorder="1" applyAlignment="1">
      <alignment vertical="center" wrapText="1" readingOrder="2"/>
    </xf>
    <xf numFmtId="0" fontId="13" fillId="0" borderId="2" xfId="0" applyFont="1" applyBorder="1" applyAlignment="1">
      <alignment horizontal="right" vertical="center" wrapText="1" readingOrder="2"/>
    </xf>
    <xf numFmtId="0" fontId="0" fillId="0" borderId="0" xfId="0" applyAlignment="1">
      <alignment vertical="center" wrapText="1" readingOrder="2"/>
    </xf>
    <xf numFmtId="0" fontId="16" fillId="0" borderId="0" xfId="0" applyFont="1" applyAlignment="1">
      <alignment vertical="center"/>
    </xf>
    <xf numFmtId="0" fontId="17" fillId="2" borderId="0" xfId="0" applyFont="1" applyFill="1" applyAlignment="1">
      <alignment vertical="center" wrapText="1" readingOrder="2"/>
    </xf>
    <xf numFmtId="0" fontId="15" fillId="0" borderId="3" xfId="0" applyFont="1" applyBorder="1" applyAlignment="1">
      <alignment horizontal="right" vertical="center" readingOrder="2"/>
    </xf>
    <xf numFmtId="0" fontId="13" fillId="0" borderId="0" xfId="0" applyFont="1" applyAlignment="1">
      <alignment readingOrder="2"/>
    </xf>
    <xf numFmtId="0" fontId="19" fillId="0" borderId="4" xfId="0" applyFont="1" applyBorder="1" applyAlignment="1">
      <alignment vertical="center" readingOrder="2"/>
    </xf>
    <xf numFmtId="0" fontId="13" fillId="0" borderId="4" xfId="0" applyFont="1" applyBorder="1" applyAlignment="1">
      <alignment readingOrder="2"/>
    </xf>
    <xf numFmtId="0" fontId="19" fillId="0" borderId="0" xfId="0" applyFont="1" applyAlignment="1">
      <alignment vertical="center" readingOrder="2"/>
    </xf>
    <xf numFmtId="0" fontId="22" fillId="2" borderId="1" xfId="3" applyNumberFormat="1" applyFont="1" applyFill="1" applyBorder="1" applyAlignment="1">
      <alignment horizontal="right" vertical="top" wrapText="1" readingOrder="2"/>
    </xf>
    <xf numFmtId="0" fontId="22" fillId="2" borderId="5" xfId="0" applyFont="1" applyFill="1" applyBorder="1" applyAlignment="1">
      <alignment horizontal="center" vertical="center" wrapText="1" readingOrder="2"/>
    </xf>
    <xf numFmtId="0" fontId="23" fillId="0" borderId="3" xfId="3" applyNumberFormat="1" applyFont="1" applyBorder="1" applyAlignment="1">
      <alignment horizontal="right" vertical="center" wrapText="1" readingOrder="2"/>
    </xf>
    <xf numFmtId="166" fontId="13" fillId="0" borderId="3" xfId="3" applyNumberFormat="1" applyFont="1" applyBorder="1" applyAlignment="1">
      <alignment vertical="center" readingOrder="2"/>
    </xf>
    <xf numFmtId="0" fontId="23" fillId="0" borderId="2" xfId="3" applyNumberFormat="1" applyFont="1" applyBorder="1" applyAlignment="1">
      <alignment horizontal="right" vertical="center" wrapText="1" readingOrder="2"/>
    </xf>
    <xf numFmtId="166" fontId="13" fillId="0" borderId="2" xfId="3" applyNumberFormat="1" applyFont="1" applyBorder="1" applyAlignment="1">
      <alignment vertical="center" readingOrder="2"/>
    </xf>
    <xf numFmtId="0" fontId="22" fillId="2" borderId="0" xfId="3" applyNumberFormat="1" applyFont="1" applyFill="1" applyAlignment="1">
      <alignment vertical="center" wrapText="1"/>
    </xf>
    <xf numFmtId="0" fontId="23" fillId="0" borderId="0" xfId="3" applyNumberFormat="1" applyFont="1" applyAlignment="1">
      <alignment horizontal="right" vertical="center" wrapText="1" readingOrder="2"/>
    </xf>
    <xf numFmtId="0" fontId="23" fillId="0" borderId="1" xfId="3" applyNumberFormat="1" applyFont="1" applyBorder="1" applyAlignment="1">
      <alignment horizontal="right" vertical="center" wrapText="1" readingOrder="2"/>
    </xf>
    <xf numFmtId="0" fontId="25" fillId="0" borderId="0" xfId="0" applyFont="1" applyAlignment="1">
      <alignment vertical="center"/>
    </xf>
    <xf numFmtId="0" fontId="22" fillId="2" borderId="0" xfId="3" applyNumberFormat="1" applyFont="1" applyFill="1" applyAlignment="1">
      <alignment horizontal="right" vertical="center" wrapText="1"/>
    </xf>
    <xf numFmtId="0" fontId="22" fillId="2" borderId="0" xfId="3" applyNumberFormat="1" applyFont="1" applyFill="1" applyAlignment="1">
      <alignment vertical="top" wrapText="1" readingOrder="2"/>
    </xf>
    <xf numFmtId="0" fontId="22" fillId="2" borderId="0" xfId="3" applyNumberFormat="1" applyFont="1" applyFill="1" applyAlignment="1">
      <alignment vertical="top" wrapText="1"/>
    </xf>
    <xf numFmtId="0" fontId="22" fillId="2" borderId="0" xfId="3" applyNumberFormat="1" applyFont="1" applyFill="1" applyAlignment="1">
      <alignment horizontal="right" vertical="center"/>
    </xf>
    <xf numFmtId="0" fontId="25" fillId="0" borderId="0" xfId="0" applyFont="1" applyAlignment="1">
      <alignment horizontal="right" vertical="center" wrapText="1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vertical="center" wrapText="1"/>
    </xf>
    <xf numFmtId="0" fontId="22" fillId="2" borderId="0" xfId="3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 wrapText="1"/>
    </xf>
    <xf numFmtId="0" fontId="4" fillId="3" borderId="0" xfId="0" applyFont="1" applyFill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20" fillId="0" borderId="0" xfId="3" applyNumberFormat="1" applyFont="1" applyAlignment="1">
      <alignment vertical="center" readingOrder="2"/>
    </xf>
    <xf numFmtId="0" fontId="4" fillId="0" borderId="0" xfId="0" applyFont="1" applyAlignment="1">
      <alignment horizontal="right" vertical="center"/>
    </xf>
    <xf numFmtId="166" fontId="3" fillId="0" borderId="0" xfId="3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3" applyNumberFormat="1" applyFont="1" applyAlignment="1">
      <alignment horizontal="right" vertical="center" wrapText="1" readingOrder="2"/>
    </xf>
    <xf numFmtId="0" fontId="0" fillId="0" borderId="0" xfId="3" applyNumberFormat="1" applyFont="1" applyAlignment="1">
      <alignment vertical="center" wrapText="1"/>
    </xf>
    <xf numFmtId="0" fontId="26" fillId="2" borderId="5" xfId="0" applyFont="1" applyFill="1" applyBorder="1" applyAlignment="1">
      <alignment horizontal="center" vertical="center" wrapText="1" readingOrder="2"/>
    </xf>
    <xf numFmtId="0" fontId="22" fillId="0" borderId="5" xfId="0" applyFont="1" applyBorder="1" applyAlignment="1">
      <alignment horizontal="center" vertical="center" wrapText="1" readingOrder="2"/>
    </xf>
    <xf numFmtId="0" fontId="22" fillId="2" borderId="1" xfId="0" applyFont="1" applyFill="1" applyBorder="1" applyAlignment="1">
      <alignment vertical="top" readingOrder="2"/>
    </xf>
    <xf numFmtId="0" fontId="13" fillId="0" borderId="3" xfId="0" applyFont="1" applyBorder="1" applyAlignment="1">
      <alignment vertical="center" readingOrder="2"/>
    </xf>
    <xf numFmtId="0" fontId="13" fillId="0" borderId="2" xfId="0" applyFont="1" applyBorder="1" applyAlignment="1">
      <alignment vertical="center" readingOrder="2"/>
    </xf>
    <xf numFmtId="166" fontId="13" fillId="0" borderId="0" xfId="3" applyNumberFormat="1" applyFont="1" applyAlignment="1">
      <alignment vertical="center" readingOrder="2"/>
    </xf>
    <xf numFmtId="166" fontId="13" fillId="0" borderId="3" xfId="3" applyNumberFormat="1" applyFont="1" applyBorder="1" applyAlignment="1">
      <alignment horizontal="right" vertical="center"/>
    </xf>
    <xf numFmtId="166" fontId="13" fillId="0" borderId="2" xfId="3" applyNumberFormat="1" applyFont="1" applyBorder="1" applyAlignment="1">
      <alignment horizontal="right" vertical="center"/>
    </xf>
    <xf numFmtId="0" fontId="23" fillId="0" borderId="3" xfId="3" applyNumberFormat="1" applyFont="1" applyBorder="1" applyAlignment="1">
      <alignment vertical="center" wrapText="1" readingOrder="2"/>
    </xf>
    <xf numFmtId="0" fontId="23" fillId="0" borderId="2" xfId="3" applyNumberFormat="1" applyFont="1" applyBorder="1" applyAlignment="1">
      <alignment vertical="center" wrapText="1" readingOrder="2"/>
    </xf>
    <xf numFmtId="166" fontId="25" fillId="0" borderId="0" xfId="3" applyNumberFormat="1" applyFont="1" applyAlignment="1">
      <alignment vertical="center" wrapText="1"/>
    </xf>
    <xf numFmtId="49" fontId="25" fillId="0" borderId="0" xfId="0" applyNumberFormat="1" applyFont="1" applyAlignment="1">
      <alignment horizontal="center" vertical="center" wrapText="1" readingOrder="2"/>
    </xf>
    <xf numFmtId="0" fontId="25" fillId="0" borderId="0" xfId="0" applyFont="1" applyAlignment="1">
      <alignment horizontal="right" vertical="center" readingOrder="2"/>
    </xf>
    <xf numFmtId="166" fontId="25" fillId="0" borderId="0" xfId="3" applyNumberFormat="1" applyFont="1" applyAlignment="1">
      <alignment horizontal="center" vertical="center" readingOrder="2"/>
    </xf>
    <xf numFmtId="0" fontId="25" fillId="0" borderId="0" xfId="0" applyFont="1" applyAlignment="1">
      <alignment horizontal="right" readingOrder="2"/>
    </xf>
    <xf numFmtId="3" fontId="25" fillId="0" borderId="0" xfId="0" applyNumberFormat="1" applyFont="1" applyAlignment="1">
      <alignment horizontal="right" readingOrder="2"/>
    </xf>
    <xf numFmtId="0" fontId="25" fillId="0" borderId="0" xfId="0" applyFont="1" applyAlignment="1">
      <alignment vertical="center" wrapText="1" readingOrder="2"/>
    </xf>
    <xf numFmtId="0" fontId="25" fillId="0" borderId="0" xfId="0" applyFont="1" applyAlignment="1">
      <alignment readingOrder="2"/>
    </xf>
    <xf numFmtId="3" fontId="25" fillId="0" borderId="0" xfId="0" applyNumberFormat="1" applyFont="1" applyAlignment="1">
      <alignment readingOrder="2"/>
    </xf>
    <xf numFmtId="0" fontId="25" fillId="0" borderId="0" xfId="0" applyFont="1" applyAlignment="1">
      <alignment vertical="center" readingOrder="2"/>
    </xf>
    <xf numFmtId="0" fontId="26" fillId="2" borderId="0" xfId="0" applyFont="1" applyFill="1" applyAlignment="1">
      <alignment horizontal="center" vertical="center" readingOrder="2"/>
    </xf>
    <xf numFmtId="0" fontId="4" fillId="4" borderId="0" xfId="0" applyFont="1" applyFill="1" applyAlignment="1">
      <alignment vertical="center" readingOrder="2"/>
    </xf>
    <xf numFmtId="0" fontId="4" fillId="4" borderId="0" xfId="0" applyFont="1" applyFill="1" applyAlignment="1">
      <alignment horizontal="right" vertical="center" readingOrder="2"/>
    </xf>
    <xf numFmtId="0" fontId="2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25" fillId="0" borderId="0" xfId="0" applyNumberFormat="1" applyFont="1" applyAlignment="1">
      <alignment vertical="center" readingOrder="2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6" fillId="2" borderId="0" xfId="0" applyFont="1" applyFill="1" applyAlignment="1">
      <alignment vertical="center" readingOrder="2"/>
    </xf>
    <xf numFmtId="0" fontId="26" fillId="2" borderId="0" xfId="0" applyFont="1" applyFill="1" applyAlignment="1">
      <alignment horizontal="right" vertical="center" readingOrder="2"/>
    </xf>
    <xf numFmtId="0" fontId="25" fillId="0" borderId="0" xfId="0" applyFont="1" applyAlignment="1">
      <alignment horizontal="right" vertical="center" wrapText="1" readingOrder="2"/>
    </xf>
    <xf numFmtId="9" fontId="25" fillId="0" borderId="0" xfId="0" applyNumberFormat="1" applyFont="1" applyAlignment="1">
      <alignment horizontal="right" vertical="center" wrapText="1" readingOrder="2"/>
    </xf>
    <xf numFmtId="9" fontId="25" fillId="0" borderId="0" xfId="0" applyNumberFormat="1" applyFont="1" applyAlignment="1" applyProtection="1">
      <alignment horizontal="right" vertical="center" wrapText="1" readingOrder="2"/>
      <protection locked="0"/>
    </xf>
    <xf numFmtId="9" fontId="25" fillId="0" borderId="0" xfId="1" applyFont="1" applyAlignment="1">
      <alignment horizontal="right" vertical="center" wrapText="1" readingOrder="2"/>
    </xf>
    <xf numFmtId="0" fontId="4" fillId="0" borderId="0" xfId="0" applyFont="1" applyAlignment="1" applyProtection="1">
      <alignment horizontal="right" vertical="center" wrapText="1" readingOrder="2"/>
      <protection locked="0"/>
    </xf>
    <xf numFmtId="9" fontId="25" fillId="0" borderId="0" xfId="0" applyNumberFormat="1" applyFont="1" applyAlignment="1" applyProtection="1">
      <alignment vertical="center" wrapText="1" readingOrder="2"/>
      <protection locked="0"/>
    </xf>
    <xf numFmtId="0" fontId="4" fillId="0" borderId="0" xfId="0" applyFont="1" applyAlignment="1">
      <alignment vertical="center" wrapText="1" readingOrder="2"/>
    </xf>
    <xf numFmtId="9" fontId="25" fillId="0" borderId="0" xfId="1" applyFont="1" applyAlignment="1">
      <alignment vertical="center" wrapText="1" readingOrder="2"/>
    </xf>
    <xf numFmtId="0" fontId="0" fillId="0" borderId="0" xfId="0" applyAlignment="1">
      <alignment horizontal="right" readingOrder="2"/>
    </xf>
    <xf numFmtId="0" fontId="2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27" fillId="4" borderId="0" xfId="0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 vertical="top"/>
    </xf>
    <xf numFmtId="0" fontId="27" fillId="4" borderId="0" xfId="0" applyFont="1" applyFill="1" applyAlignment="1">
      <alignment vertical="top" wrapText="1"/>
    </xf>
    <xf numFmtId="0" fontId="13" fillId="0" borderId="1" xfId="0" applyFont="1" applyBorder="1" applyAlignment="1" applyProtection="1">
      <alignment horizontal="right" vertical="center" readingOrder="2"/>
      <protection locked="0"/>
    </xf>
    <xf numFmtId="0" fontId="13" fillId="0" borderId="1" xfId="0" applyFont="1" applyBorder="1" applyAlignment="1">
      <alignment vertical="center"/>
    </xf>
    <xf numFmtId="0" fontId="13" fillId="0" borderId="3" xfId="0" applyFont="1" applyBorder="1" applyAlignment="1" applyProtection="1">
      <alignment horizontal="right" vertical="center" readingOrder="2"/>
      <protection locked="0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right" vertical="center" readingOrder="2"/>
    </xf>
    <xf numFmtId="0" fontId="13" fillId="0" borderId="2" xfId="0" applyFont="1" applyBorder="1" applyAlignment="1">
      <alignment horizontal="right" vertical="center" readingOrder="2"/>
    </xf>
    <xf numFmtId="0" fontId="13" fillId="0" borderId="2" xfId="0" applyFont="1" applyBorder="1" applyAlignment="1">
      <alignment vertical="center"/>
    </xf>
    <xf numFmtId="0" fontId="22" fillId="2" borderId="8" xfId="0" applyFont="1" applyFill="1" applyBorder="1" applyAlignment="1">
      <alignment vertical="center"/>
    </xf>
    <xf numFmtId="0" fontId="27" fillId="0" borderId="9" xfId="0" applyFont="1" applyBorder="1" applyAlignment="1">
      <alignment horizontal="right" vertical="center" wrapText="1"/>
    </xf>
    <xf numFmtId="0" fontId="27" fillId="4" borderId="6" xfId="0" applyFont="1" applyFill="1" applyBorder="1" applyAlignment="1">
      <alignment horizontal="right" vertical="top"/>
    </xf>
    <xf numFmtId="0" fontId="27" fillId="0" borderId="10" xfId="0" applyFont="1" applyBorder="1" applyAlignment="1">
      <alignment horizontal="right" vertical="center" wrapText="1"/>
    </xf>
    <xf numFmtId="0" fontId="27" fillId="4" borderId="6" xfId="0" applyFont="1" applyFill="1" applyBorder="1" applyAlignment="1">
      <alignment vertical="top" wrapText="1"/>
    </xf>
    <xf numFmtId="0" fontId="13" fillId="0" borderId="11" xfId="0" applyFont="1" applyBorder="1" applyAlignment="1">
      <alignment horizontal="right" vertical="center" readingOrder="2"/>
    </xf>
    <xf numFmtId="0" fontId="13" fillId="0" borderId="1" xfId="0" applyFont="1" applyBorder="1" applyAlignment="1">
      <alignment horizontal="right" vertical="center" readingOrder="2"/>
    </xf>
    <xf numFmtId="0" fontId="22" fillId="2" borderId="0" xfId="0" applyFont="1" applyFill="1" applyAlignment="1">
      <alignment vertical="center" wrapText="1" readingOrder="2"/>
    </xf>
    <xf numFmtId="0" fontId="13" fillId="0" borderId="1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9" fontId="13" fillId="0" borderId="3" xfId="1" applyFont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0" fontId="27" fillId="0" borderId="1" xfId="0" applyFont="1" applyBorder="1" applyAlignment="1">
      <alignment horizontal="right" vertical="center" wrapText="1"/>
    </xf>
    <xf numFmtId="0" fontId="27" fillId="0" borderId="3" xfId="0" applyFont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/>
    </xf>
    <xf numFmtId="0" fontId="22" fillId="2" borderId="12" xfId="0" applyFont="1" applyFill="1" applyBorder="1" applyAlignment="1">
      <alignment horizontal="right" vertical="center"/>
    </xf>
    <xf numFmtId="0" fontId="23" fillId="4" borderId="0" xfId="0" applyFont="1" applyFill="1" applyAlignment="1">
      <alignment horizontal="right" vertical="center"/>
    </xf>
    <xf numFmtId="0" fontId="23" fillId="4" borderId="8" xfId="0" applyFont="1" applyFill="1" applyBorder="1" applyAlignment="1">
      <alignment horizontal="right" vertical="center"/>
    </xf>
    <xf numFmtId="0" fontId="13" fillId="5" borderId="1" xfId="0" applyFont="1" applyFill="1" applyBorder="1" applyAlignment="1">
      <alignment horizontal="right" vertical="center"/>
    </xf>
    <xf numFmtId="0" fontId="13" fillId="5" borderId="3" xfId="0" applyFont="1" applyFill="1" applyBorder="1" applyAlignment="1">
      <alignment horizontal="right" vertical="center"/>
    </xf>
    <xf numFmtId="0" fontId="13" fillId="5" borderId="2" xfId="0" applyFont="1" applyFill="1" applyBorder="1" applyAlignment="1">
      <alignment horizontal="right" vertical="center"/>
    </xf>
    <xf numFmtId="166" fontId="13" fillId="0" borderId="1" xfId="3" applyNumberFormat="1" applyFont="1" applyBorder="1" applyAlignment="1">
      <alignment horizontal="right" vertical="center"/>
    </xf>
    <xf numFmtId="166" fontId="27" fillId="0" borderId="3" xfId="3" applyNumberFormat="1" applyFont="1" applyBorder="1" applyAlignment="1">
      <alignment horizontal="right" vertical="center"/>
    </xf>
    <xf numFmtId="165" fontId="13" fillId="0" borderId="2" xfId="1" applyNumberFormat="1" applyFont="1" applyBorder="1" applyAlignment="1">
      <alignment horizontal="right" vertical="center"/>
    </xf>
    <xf numFmtId="0" fontId="27" fillId="0" borderId="1" xfId="0" applyFont="1" applyBorder="1" applyAlignment="1">
      <alignment vertical="center"/>
    </xf>
    <xf numFmtId="166" fontId="13" fillId="0" borderId="1" xfId="3" applyNumberFormat="1" applyFont="1" applyBorder="1">
      <alignment vertical="center"/>
    </xf>
    <xf numFmtId="0" fontId="27" fillId="0" borderId="3" xfId="0" applyFont="1" applyBorder="1" applyAlignment="1">
      <alignment vertical="center"/>
    </xf>
    <xf numFmtId="166" fontId="13" fillId="0" borderId="3" xfId="3" applyNumberFormat="1" applyFont="1" applyBorder="1">
      <alignment vertical="center"/>
    </xf>
    <xf numFmtId="166" fontId="27" fillId="0" borderId="2" xfId="3" applyNumberFormat="1" applyFont="1" applyBorder="1">
      <alignment vertical="center"/>
    </xf>
    <xf numFmtId="0" fontId="27" fillId="0" borderId="1" xfId="0" applyFont="1" applyBorder="1" applyAlignment="1">
      <alignment horizontal="right" vertical="center"/>
    </xf>
    <xf numFmtId="0" fontId="27" fillId="0" borderId="3" xfId="0" applyFont="1" applyBorder="1" applyAlignment="1">
      <alignment horizontal="right" vertical="center"/>
    </xf>
    <xf numFmtId="0" fontId="13" fillId="0" borderId="1" xfId="3" applyNumberFormat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13" xfId="0" applyFont="1" applyBorder="1" applyAlignment="1">
      <alignment horizontal="right" vertical="center"/>
    </xf>
    <xf numFmtId="0" fontId="13" fillId="0" borderId="3" xfId="3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right" vertical="center"/>
    </xf>
    <xf numFmtId="43" fontId="13" fillId="0" borderId="1" xfId="0" applyNumberFormat="1" applyFont="1" applyBorder="1" applyAlignment="1">
      <alignment horizontal="right" vertical="center"/>
    </xf>
    <xf numFmtId="43" fontId="13" fillId="0" borderId="3" xfId="0" applyNumberFormat="1" applyFont="1" applyBorder="1" applyAlignment="1">
      <alignment horizontal="right" vertical="center"/>
    </xf>
    <xf numFmtId="43" fontId="13" fillId="0" borderId="2" xfId="0" applyNumberFormat="1" applyFont="1" applyBorder="1" applyAlignment="1">
      <alignment horizontal="right" vertical="center"/>
    </xf>
    <xf numFmtId="167" fontId="13" fillId="0" borderId="1" xfId="0" applyNumberFormat="1" applyFont="1" applyBorder="1" applyAlignment="1">
      <alignment horizontal="right" vertical="center"/>
    </xf>
    <xf numFmtId="167" fontId="13" fillId="0" borderId="3" xfId="0" applyNumberFormat="1" applyFont="1" applyBorder="1" applyAlignment="1">
      <alignment horizontal="right" vertical="center"/>
    </xf>
    <xf numFmtId="0" fontId="22" fillId="2" borderId="0" xfId="3" applyNumberFormat="1" applyFont="1" applyFill="1">
      <alignment vertical="center"/>
    </xf>
    <xf numFmtId="0" fontId="22" fillId="2" borderId="0" xfId="0" applyFont="1" applyFill="1" applyAlignment="1">
      <alignment vertical="center" wrapText="1"/>
    </xf>
    <xf numFmtId="166" fontId="13" fillId="0" borderId="1" xfId="3" applyNumberFormat="1" applyFont="1" applyBorder="1" applyAlignment="1">
      <alignment vertical="center" readingOrder="2"/>
    </xf>
    <xf numFmtId="0" fontId="27" fillId="0" borderId="3" xfId="3" applyNumberFormat="1" applyFont="1" applyBorder="1" applyAlignment="1">
      <alignment horizontal="right" vertical="center" wrapText="1"/>
    </xf>
    <xf numFmtId="166" fontId="15" fillId="0" borderId="3" xfId="3" applyNumberFormat="1" applyFont="1" applyBorder="1" applyAlignment="1">
      <alignment vertical="center" readingOrder="2"/>
    </xf>
    <xf numFmtId="0" fontId="27" fillId="0" borderId="2" xfId="3" applyNumberFormat="1" applyFont="1" applyBorder="1" applyAlignment="1">
      <alignment horizontal="right" vertical="center" wrapText="1"/>
    </xf>
    <xf numFmtId="166" fontId="15" fillId="0" borderId="2" xfId="3" applyNumberFormat="1" applyFont="1" applyBorder="1" applyAlignment="1">
      <alignment vertical="center" readingOrder="2"/>
    </xf>
    <xf numFmtId="0" fontId="22" fillId="2" borderId="1" xfId="3" applyNumberFormat="1" applyFont="1" applyFill="1" applyBorder="1" applyAlignment="1">
      <alignment horizontal="right" vertical="center"/>
    </xf>
    <xf numFmtId="0" fontId="22" fillId="2" borderId="1" xfId="3" applyNumberFormat="1" applyFont="1" applyFill="1" applyBorder="1" applyAlignment="1">
      <alignment horizontal="right" vertical="center" wrapText="1"/>
    </xf>
    <xf numFmtId="0" fontId="22" fillId="2" borderId="1" xfId="3" applyNumberFormat="1" applyFont="1" applyFill="1" applyBorder="1" applyAlignment="1">
      <alignment horizontal="right" vertical="center" wrapText="1" readingOrder="2"/>
    </xf>
    <xf numFmtId="0" fontId="22" fillId="2" borderId="1" xfId="3" applyNumberFormat="1" applyFont="1" applyFill="1" applyBorder="1" applyAlignment="1">
      <alignment vertical="center" wrapText="1"/>
    </xf>
    <xf numFmtId="0" fontId="24" fillId="0" borderId="3" xfId="3" applyNumberFormat="1" applyFont="1" applyBorder="1" applyAlignment="1">
      <alignment horizontal="right" vertical="center" wrapText="1"/>
    </xf>
    <xf numFmtId="0" fontId="24" fillId="0" borderId="2" xfId="3" applyNumberFormat="1" applyFont="1" applyBorder="1" applyAlignment="1">
      <alignment horizontal="right" vertical="center" wrapText="1"/>
    </xf>
    <xf numFmtId="166" fontId="13" fillId="0" borderId="2" xfId="3" applyNumberFormat="1" applyFont="1" applyBorder="1">
      <alignment vertical="center"/>
    </xf>
    <xf numFmtId="166" fontId="13" fillId="0" borderId="1" xfId="3" applyNumberFormat="1" applyFont="1" applyBorder="1" applyAlignment="1">
      <alignment horizontal="right" vertical="center" wrapText="1"/>
    </xf>
    <xf numFmtId="166" fontId="13" fillId="0" borderId="2" xfId="3" applyNumberFormat="1" applyFont="1" applyBorder="1" applyAlignment="1">
      <alignment horizontal="right" vertical="center" wrapText="1"/>
    </xf>
    <xf numFmtId="166" fontId="13" fillId="0" borderId="3" xfId="3" applyNumberFormat="1" applyFont="1" applyBorder="1" applyAlignment="1">
      <alignment horizontal="right" vertical="center" wrapText="1"/>
    </xf>
    <xf numFmtId="0" fontId="27" fillId="0" borderId="1" xfId="3" applyNumberFormat="1" applyFont="1" applyBorder="1" applyAlignment="1">
      <alignment horizontal="right" vertical="center" readingOrder="2"/>
    </xf>
    <xf numFmtId="0" fontId="27" fillId="0" borderId="3" xfId="3" applyNumberFormat="1" applyFont="1" applyBorder="1" applyAlignment="1">
      <alignment horizontal="right" vertical="center" readingOrder="2"/>
    </xf>
    <xf numFmtId="0" fontId="27" fillId="0" borderId="2" xfId="3" applyNumberFormat="1" applyFont="1" applyBorder="1" applyAlignment="1">
      <alignment horizontal="right" vertical="center" readingOrder="2"/>
    </xf>
    <xf numFmtId="0" fontId="22" fillId="2" borderId="0" xfId="3" applyNumberFormat="1" applyFont="1" applyFill="1" applyAlignment="1">
      <alignment horizontal="right" vertical="top" wrapText="1"/>
    </xf>
    <xf numFmtId="0" fontId="22" fillId="2" borderId="5" xfId="0" applyFont="1" applyFill="1" applyBorder="1" applyAlignment="1">
      <alignment horizontal="center" vertical="top" wrapText="1" readingOrder="2"/>
    </xf>
    <xf numFmtId="0" fontId="28" fillId="2" borderId="0" xfId="0" applyFont="1" applyFill="1" applyAlignment="1">
      <alignment vertical="center"/>
    </xf>
    <xf numFmtId="0" fontId="22" fillId="2" borderId="15" xfId="0" applyFont="1" applyFill="1" applyBorder="1" applyAlignment="1">
      <alignment horizontal="center" vertical="center" wrapText="1" readingOrder="2"/>
    </xf>
    <xf numFmtId="166" fontId="13" fillId="0" borderId="1" xfId="3" applyNumberFormat="1" applyFont="1" applyBorder="1" applyAlignment="1">
      <alignment vertical="center" wrapText="1"/>
    </xf>
    <xf numFmtId="166" fontId="13" fillId="0" borderId="3" xfId="3" applyNumberFormat="1" applyFont="1" applyBorder="1" applyAlignment="1">
      <alignment vertical="center" wrapText="1"/>
    </xf>
    <xf numFmtId="0" fontId="28" fillId="2" borderId="0" xfId="0" applyFont="1" applyFill="1" applyAlignment="1">
      <alignment vertical="center" wrapText="1"/>
    </xf>
    <xf numFmtId="0" fontId="27" fillId="4" borderId="0" xfId="0" applyFont="1" applyFill="1" applyAlignment="1">
      <alignment horizontal="right" vertical="top" readingOrder="2"/>
    </xf>
    <xf numFmtId="0" fontId="27" fillId="4" borderId="7" xfId="0" applyFont="1" applyFill="1" applyBorder="1" applyAlignment="1">
      <alignment vertical="top"/>
    </xf>
    <xf numFmtId="0" fontId="27" fillId="0" borderId="1" xfId="0" applyFont="1" applyBorder="1" applyAlignment="1">
      <alignment horizontal="right" vertical="center" readingOrder="2"/>
    </xf>
    <xf numFmtId="3" fontId="13" fillId="0" borderId="1" xfId="0" applyNumberFormat="1" applyFont="1" applyBorder="1" applyAlignment="1">
      <alignment horizontal="right" vertical="center" readingOrder="2"/>
    </xf>
    <xf numFmtId="9" fontId="13" fillId="0" borderId="10" xfId="0" applyNumberFormat="1" applyFont="1" applyBorder="1" applyAlignment="1">
      <alignment vertical="center"/>
    </xf>
    <xf numFmtId="3" fontId="13" fillId="0" borderId="16" xfId="0" applyNumberFormat="1" applyFont="1" applyBorder="1" applyAlignment="1">
      <alignment vertical="center"/>
    </xf>
    <xf numFmtId="9" fontId="13" fillId="0" borderId="1" xfId="0" applyNumberFormat="1" applyFont="1" applyBorder="1" applyAlignment="1">
      <alignment vertical="center" wrapText="1"/>
    </xf>
    <xf numFmtId="0" fontId="13" fillId="0" borderId="17" xfId="0" applyFont="1" applyBorder="1" applyAlignment="1">
      <alignment vertical="center"/>
    </xf>
    <xf numFmtId="0" fontId="27" fillId="0" borderId="3" xfId="0" applyFont="1" applyBorder="1" applyAlignment="1">
      <alignment horizontal="right" vertical="center" readingOrder="2"/>
    </xf>
    <xf numFmtId="165" fontId="13" fillId="0" borderId="9" xfId="0" applyNumberFormat="1" applyFont="1" applyBorder="1" applyAlignment="1">
      <alignment vertical="center"/>
    </xf>
    <xf numFmtId="0" fontId="13" fillId="0" borderId="18" xfId="0" applyFont="1" applyBorder="1" applyAlignment="1">
      <alignment horizontal="right" vertical="center" readingOrder="2"/>
    </xf>
    <xf numFmtId="0" fontId="13" fillId="0" borderId="19" xfId="0" applyFont="1" applyBorder="1" applyAlignment="1">
      <alignment vertical="center"/>
    </xf>
    <xf numFmtId="3" fontId="13" fillId="0" borderId="3" xfId="0" applyNumberFormat="1" applyFont="1" applyBorder="1" applyAlignment="1">
      <alignment horizontal="right" vertical="center" readingOrder="2"/>
    </xf>
    <xf numFmtId="165" fontId="13" fillId="0" borderId="9" xfId="1" applyNumberFormat="1" applyFont="1" applyBorder="1">
      <alignment vertical="center"/>
    </xf>
    <xf numFmtId="3" fontId="13" fillId="0" borderId="18" xfId="0" applyNumberFormat="1" applyFont="1" applyBorder="1" applyAlignment="1">
      <alignment vertical="center"/>
    </xf>
    <xf numFmtId="9" fontId="13" fillId="0" borderId="9" xfId="0" applyNumberFormat="1" applyFont="1" applyBorder="1" applyAlignment="1">
      <alignment vertical="center"/>
    </xf>
    <xf numFmtId="9" fontId="13" fillId="0" borderId="3" xfId="0" applyNumberFormat="1" applyFont="1" applyBorder="1" applyAlignment="1">
      <alignment vertical="center" wrapText="1"/>
    </xf>
    <xf numFmtId="0" fontId="27" fillId="0" borderId="2" xfId="0" applyFont="1" applyBorder="1" applyAlignment="1">
      <alignment horizontal="right" vertical="center" readingOrder="2"/>
    </xf>
    <xf numFmtId="0" fontId="13" fillId="0" borderId="14" xfId="0" applyFont="1" applyBorder="1" applyAlignment="1">
      <alignment vertical="center"/>
    </xf>
    <xf numFmtId="0" fontId="22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vertical="center"/>
    </xf>
    <xf numFmtId="0" fontId="27" fillId="4" borderId="3" xfId="0" applyFont="1" applyFill="1" applyBorder="1" applyAlignment="1">
      <alignment vertical="center"/>
    </xf>
    <xf numFmtId="0" fontId="27" fillId="4" borderId="9" xfId="0" applyFont="1" applyFill="1" applyBorder="1" applyAlignment="1">
      <alignment vertical="center"/>
    </xf>
    <xf numFmtId="0" fontId="27" fillId="4" borderId="18" xfId="0" applyFont="1" applyFill="1" applyBorder="1" applyAlignment="1">
      <alignment vertical="center"/>
    </xf>
    <xf numFmtId="0" fontId="13" fillId="4" borderId="3" xfId="0" applyFont="1" applyFill="1" applyBorder="1" applyAlignment="1">
      <alignment vertical="center"/>
    </xf>
    <xf numFmtId="0" fontId="27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27" fillId="4" borderId="0" xfId="0" applyFont="1" applyFill="1" applyAlignment="1">
      <alignment horizontal="right" vertical="center" readingOrder="2"/>
    </xf>
    <xf numFmtId="0" fontId="27" fillId="4" borderId="6" xfId="0" applyFont="1" applyFill="1" applyBorder="1" applyAlignment="1">
      <alignment horizontal="right" vertical="center" readingOrder="2"/>
    </xf>
    <xf numFmtId="0" fontId="27" fillId="4" borderId="0" xfId="0" applyFont="1" applyFill="1" applyAlignment="1">
      <alignment horizontal="right" vertical="center"/>
    </xf>
    <xf numFmtId="0" fontId="27" fillId="0" borderId="1" xfId="0" applyFont="1" applyBorder="1" applyAlignment="1">
      <alignment vertical="center" readingOrder="2"/>
    </xf>
    <xf numFmtId="3" fontId="13" fillId="0" borderId="1" xfId="0" applyNumberFormat="1" applyFont="1" applyBorder="1" applyAlignment="1" applyProtection="1">
      <alignment vertical="center"/>
      <protection locked="0"/>
    </xf>
    <xf numFmtId="3" fontId="13" fillId="0" borderId="10" xfId="0" applyNumberFormat="1" applyFont="1" applyBorder="1" applyAlignment="1">
      <alignment vertical="center" readingOrder="2"/>
    </xf>
    <xf numFmtId="3" fontId="13" fillId="0" borderId="1" xfId="0" applyNumberFormat="1" applyFont="1" applyBorder="1" applyAlignment="1" applyProtection="1">
      <alignment vertical="center" readingOrder="2"/>
      <protection locked="0"/>
    </xf>
    <xf numFmtId="3" fontId="13" fillId="0" borderId="1" xfId="0" applyNumberFormat="1" applyFont="1" applyBorder="1" applyAlignment="1">
      <alignment vertical="center" readingOrder="2"/>
    </xf>
    <xf numFmtId="0" fontId="27" fillId="0" borderId="3" xfId="0" applyFont="1" applyBorder="1" applyAlignment="1">
      <alignment vertical="center" readingOrder="2"/>
    </xf>
    <xf numFmtId="3" fontId="13" fillId="0" borderId="3" xfId="0" applyNumberFormat="1" applyFont="1" applyBorder="1" applyAlignment="1" applyProtection="1">
      <alignment vertical="center"/>
      <protection locked="0"/>
    </xf>
    <xf numFmtId="3" fontId="13" fillId="0" borderId="9" xfId="0" applyNumberFormat="1" applyFont="1" applyBorder="1" applyAlignment="1">
      <alignment vertical="center" readingOrder="2"/>
    </xf>
    <xf numFmtId="3" fontId="13" fillId="0" borderId="3" xfId="0" applyNumberFormat="1" applyFont="1" applyBorder="1" applyAlignment="1" applyProtection="1">
      <alignment vertical="center" readingOrder="2"/>
      <protection locked="0"/>
    </xf>
    <xf numFmtId="3" fontId="13" fillId="0" borderId="3" xfId="0" applyNumberFormat="1" applyFont="1" applyBorder="1" applyAlignment="1">
      <alignment vertical="center" readingOrder="2"/>
    </xf>
    <xf numFmtId="0" fontId="27" fillId="0" borderId="2" xfId="0" applyFont="1" applyBorder="1" applyAlignment="1">
      <alignment vertical="center" readingOrder="2"/>
    </xf>
    <xf numFmtId="3" fontId="13" fillId="0" borderId="2" xfId="0" applyNumberFormat="1" applyFont="1" applyBorder="1" applyAlignment="1">
      <alignment vertical="center" readingOrder="2"/>
    </xf>
    <xf numFmtId="3" fontId="13" fillId="0" borderId="20" xfId="0" applyNumberFormat="1" applyFont="1" applyBorder="1" applyAlignment="1">
      <alignment vertical="center" readingOrder="2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0" fontId="13" fillId="2" borderId="0" xfId="0" applyFont="1" applyFill="1" applyAlignment="1">
      <alignment vertical="center" readingOrder="2"/>
    </xf>
    <xf numFmtId="0" fontId="13" fillId="4" borderId="0" xfId="0" applyFont="1" applyFill="1" applyAlignment="1">
      <alignment vertical="center" readingOrder="2"/>
    </xf>
    <xf numFmtId="0" fontId="27" fillId="4" borderId="0" xfId="0" applyFont="1" applyFill="1" applyAlignment="1">
      <alignment vertical="center" readingOrder="2"/>
    </xf>
    <xf numFmtId="0" fontId="27" fillId="4" borderId="6" xfId="0" applyFont="1" applyFill="1" applyBorder="1" applyAlignment="1">
      <alignment vertical="center" readingOrder="2"/>
    </xf>
    <xf numFmtId="0" fontId="13" fillId="4" borderId="0" xfId="0" applyFont="1" applyFill="1" applyAlignment="1">
      <alignment vertical="center" wrapText="1"/>
    </xf>
    <xf numFmtId="0" fontId="13" fillId="4" borderId="0" xfId="0" applyFont="1" applyFill="1" applyAlignment="1">
      <alignment vertical="center"/>
    </xf>
    <xf numFmtId="3" fontId="13" fillId="0" borderId="1" xfId="0" applyNumberFormat="1" applyFont="1" applyBorder="1" applyAlignment="1" applyProtection="1">
      <alignment horizontal="right" vertical="center" readingOrder="2"/>
      <protection locked="0"/>
    </xf>
    <xf numFmtId="3" fontId="13" fillId="0" borderId="3" xfId="0" applyNumberFormat="1" applyFont="1" applyBorder="1" applyAlignment="1" applyProtection="1">
      <alignment horizontal="right" vertical="center" readingOrder="2"/>
      <protection locked="0"/>
    </xf>
    <xf numFmtId="3" fontId="13" fillId="0" borderId="3" xfId="0" applyNumberFormat="1" applyFont="1" applyBorder="1" applyAlignment="1">
      <alignment horizontal="right" vertical="center"/>
    </xf>
    <xf numFmtId="3" fontId="13" fillId="0" borderId="2" xfId="0" applyNumberFormat="1" applyFont="1" applyBorder="1" applyAlignment="1">
      <alignment horizontal="right" vertical="center" readingOrder="2"/>
    </xf>
    <xf numFmtId="0" fontId="27" fillId="4" borderId="0" xfId="0" applyFont="1" applyFill="1" applyAlignment="1">
      <alignment vertical="center" wrapText="1"/>
    </xf>
    <xf numFmtId="0" fontId="27" fillId="4" borderId="0" xfId="0" applyFont="1" applyFill="1" applyAlignment="1">
      <alignment horizontal="right" vertical="center" wrapText="1"/>
    </xf>
    <xf numFmtId="0" fontId="27" fillId="4" borderId="6" xfId="0" applyFont="1" applyFill="1" applyBorder="1" applyAlignment="1">
      <alignment horizontal="right" vertical="center" wrapText="1"/>
    </xf>
    <xf numFmtId="166" fontId="27" fillId="0" borderId="1" xfId="3" applyNumberFormat="1" applyFont="1" applyBorder="1" applyAlignment="1">
      <alignment horizontal="right" vertical="center" wrapText="1"/>
    </xf>
    <xf numFmtId="9" fontId="13" fillId="0" borderId="3" xfId="1" applyFont="1" applyBorder="1" applyAlignment="1">
      <alignment vertical="center" wrapText="1"/>
    </xf>
    <xf numFmtId="9" fontId="13" fillId="0" borderId="9" xfId="1" applyFont="1" applyBorder="1" applyAlignment="1">
      <alignment vertical="center" wrapText="1"/>
    </xf>
    <xf numFmtId="166" fontId="27" fillId="0" borderId="3" xfId="3" applyNumberFormat="1" applyFont="1" applyBorder="1" applyAlignment="1">
      <alignment horizontal="right" vertical="center" wrapText="1"/>
    </xf>
    <xf numFmtId="9" fontId="27" fillId="0" borderId="2" xfId="1" applyFont="1" applyBorder="1" applyAlignment="1">
      <alignment horizontal="right" vertical="center" wrapText="1"/>
    </xf>
    <xf numFmtId="0" fontId="13" fillId="4" borderId="0" xfId="0" applyFont="1" applyFill="1" applyAlignment="1">
      <alignment horizontal="right" vertical="center" wrapText="1"/>
    </xf>
    <xf numFmtId="0" fontId="27" fillId="4" borderId="0" xfId="0" applyFont="1" applyFill="1" applyAlignment="1">
      <alignment horizontal="right" vertical="center" wrapText="1" readingOrder="2"/>
    </xf>
    <xf numFmtId="0" fontId="27" fillId="4" borderId="6" xfId="0" applyFont="1" applyFill="1" applyBorder="1" applyAlignment="1">
      <alignment horizontal="right" vertical="center" wrapText="1" readingOrder="2"/>
    </xf>
    <xf numFmtId="0" fontId="27" fillId="4" borderId="8" xfId="0" applyFont="1" applyFill="1" applyBorder="1" applyAlignment="1">
      <alignment horizontal="right" vertical="center" wrapText="1"/>
    </xf>
    <xf numFmtId="0" fontId="27" fillId="0" borderId="1" xfId="0" applyFont="1" applyBorder="1" applyAlignment="1">
      <alignment horizontal="right" vertical="center" wrapText="1" readingOrder="2"/>
    </xf>
    <xf numFmtId="0" fontId="13" fillId="0" borderId="1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3" fontId="13" fillId="0" borderId="1" xfId="0" applyNumberFormat="1" applyFont="1" applyBorder="1" applyAlignment="1" applyProtection="1">
      <alignment vertical="center" wrapText="1"/>
      <protection locked="0"/>
    </xf>
    <xf numFmtId="3" fontId="13" fillId="0" borderId="10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0" fontId="27" fillId="0" borderId="3" xfId="0" applyFont="1" applyBorder="1" applyAlignment="1">
      <alignment horizontal="right" vertical="center" wrapText="1" readingOrder="2"/>
    </xf>
    <xf numFmtId="10" fontId="13" fillId="0" borderId="3" xfId="1" applyNumberFormat="1" applyFont="1" applyBorder="1" applyAlignment="1">
      <alignment vertical="center" wrapText="1"/>
    </xf>
    <xf numFmtId="10" fontId="13" fillId="0" borderId="9" xfId="0" applyNumberFormat="1" applyFont="1" applyBorder="1" applyAlignment="1">
      <alignment vertical="center" wrapText="1"/>
    </xf>
    <xf numFmtId="9" fontId="13" fillId="0" borderId="9" xfId="0" applyNumberFormat="1" applyFont="1" applyBorder="1" applyAlignment="1">
      <alignment vertical="center" wrapText="1"/>
    </xf>
    <xf numFmtId="3" fontId="13" fillId="0" borderId="3" xfId="0" applyNumberFormat="1" applyFont="1" applyBorder="1" applyAlignment="1" applyProtection="1">
      <alignment vertical="center" wrapText="1"/>
      <protection locked="0"/>
    </xf>
    <xf numFmtId="3" fontId="13" fillId="0" borderId="9" xfId="0" applyNumberFormat="1" applyFont="1" applyBorder="1" applyAlignment="1">
      <alignment vertical="center" wrapText="1"/>
    </xf>
    <xf numFmtId="3" fontId="13" fillId="0" borderId="3" xfId="0" applyNumberFormat="1" applyFont="1" applyBorder="1" applyAlignment="1">
      <alignment vertical="center" wrapText="1"/>
    </xf>
    <xf numFmtId="3" fontId="13" fillId="0" borderId="9" xfId="0" applyNumberFormat="1" applyFont="1" applyBorder="1" applyAlignment="1" applyProtection="1">
      <alignment vertical="center" wrapText="1"/>
      <protection locked="0"/>
    </xf>
    <xf numFmtId="0" fontId="27" fillId="0" borderId="2" xfId="0" applyFont="1" applyBorder="1" applyAlignment="1">
      <alignment horizontal="right" vertical="center" wrapText="1" readingOrder="2"/>
    </xf>
    <xf numFmtId="9" fontId="13" fillId="0" borderId="2" xfId="0" applyNumberFormat="1" applyFont="1" applyBorder="1" applyAlignment="1">
      <alignment vertical="center" wrapText="1"/>
    </xf>
    <xf numFmtId="9" fontId="13" fillId="0" borderId="20" xfId="0" applyNumberFormat="1" applyFont="1" applyBorder="1" applyAlignment="1">
      <alignment vertical="center" wrapText="1"/>
    </xf>
    <xf numFmtId="9" fontId="13" fillId="0" borderId="2" xfId="0" applyNumberFormat="1" applyFont="1" applyBorder="1" applyAlignment="1" applyProtection="1">
      <alignment vertical="center" wrapText="1"/>
      <protection locked="0"/>
    </xf>
    <xf numFmtId="9" fontId="13" fillId="0" borderId="20" xfId="0" applyNumberFormat="1" applyFont="1" applyBorder="1" applyAlignment="1" applyProtection="1">
      <alignment vertical="center" wrapText="1"/>
      <protection locked="0"/>
    </xf>
    <xf numFmtId="9" fontId="13" fillId="0" borderId="2" xfId="1" applyFont="1" applyBorder="1" applyAlignment="1">
      <alignment vertical="center" wrapText="1"/>
    </xf>
    <xf numFmtId="9" fontId="13" fillId="0" borderId="20" xfId="1" applyFont="1" applyBorder="1" applyAlignment="1">
      <alignment vertical="center" wrapText="1"/>
    </xf>
    <xf numFmtId="0" fontId="13" fillId="4" borderId="0" xfId="0" applyFont="1" applyFill="1" applyAlignment="1">
      <alignment horizontal="right" vertical="center" wrapText="1" readingOrder="2"/>
    </xf>
    <xf numFmtId="0" fontId="13" fillId="4" borderId="6" xfId="0" applyFont="1" applyFill="1" applyBorder="1" applyAlignment="1">
      <alignment horizontal="right" vertical="center" wrapText="1" readingOrder="2"/>
    </xf>
    <xf numFmtId="0" fontId="27" fillId="0" borderId="1" xfId="0" applyFont="1" applyBorder="1" applyAlignment="1">
      <alignment vertical="center" wrapText="1" readingOrder="2"/>
    </xf>
    <xf numFmtId="3" fontId="13" fillId="0" borderId="1" xfId="0" applyNumberFormat="1" applyFont="1" applyBorder="1" applyAlignment="1" applyProtection="1">
      <alignment vertical="center" wrapText="1" readingOrder="2"/>
      <protection locked="0"/>
    </xf>
    <xf numFmtId="3" fontId="13" fillId="0" borderId="10" xfId="0" applyNumberFormat="1" applyFont="1" applyBorder="1" applyAlignment="1">
      <alignment vertical="center" wrapText="1" readingOrder="2"/>
    </xf>
    <xf numFmtId="0" fontId="27" fillId="0" borderId="3" xfId="0" applyFont="1" applyBorder="1" applyAlignment="1">
      <alignment vertical="center" wrapText="1" readingOrder="2"/>
    </xf>
    <xf numFmtId="9" fontId="13" fillId="0" borderId="3" xfId="0" applyNumberFormat="1" applyFont="1" applyBorder="1" applyAlignment="1">
      <alignment vertical="center" wrapText="1" readingOrder="2"/>
    </xf>
    <xf numFmtId="9" fontId="13" fillId="0" borderId="9" xfId="0" applyNumberFormat="1" applyFont="1" applyBorder="1" applyAlignment="1">
      <alignment vertical="center" wrapText="1" readingOrder="2"/>
    </xf>
    <xf numFmtId="3" fontId="13" fillId="0" borderId="3" xfId="0" applyNumberFormat="1" applyFont="1" applyBorder="1" applyAlignment="1">
      <alignment vertical="center" wrapText="1" readingOrder="2"/>
    </xf>
    <xf numFmtId="3" fontId="13" fillId="0" borderId="3" xfId="0" applyNumberFormat="1" applyFont="1" applyBorder="1" applyAlignment="1" applyProtection="1">
      <alignment vertical="center" wrapText="1" readingOrder="2"/>
      <protection locked="0"/>
    </xf>
    <xf numFmtId="3" fontId="13" fillId="0" borderId="9" xfId="0" applyNumberFormat="1" applyFont="1" applyBorder="1" applyAlignment="1" applyProtection="1">
      <alignment vertical="center" wrapText="1" readingOrder="2"/>
      <protection locked="0"/>
    </xf>
    <xf numFmtId="3" fontId="13" fillId="0" borderId="9" xfId="0" applyNumberFormat="1" applyFont="1" applyBorder="1" applyAlignment="1">
      <alignment vertical="center" wrapText="1" readingOrder="2"/>
    </xf>
    <xf numFmtId="9" fontId="13" fillId="0" borderId="3" xfId="1" applyFont="1" applyBorder="1" applyAlignment="1">
      <alignment vertical="center" wrapText="1" readingOrder="2"/>
    </xf>
    <xf numFmtId="9" fontId="13" fillId="0" borderId="9" xfId="1" applyFont="1" applyBorder="1" applyAlignment="1">
      <alignment vertical="center" wrapText="1" readingOrder="2"/>
    </xf>
    <xf numFmtId="0" fontId="27" fillId="0" borderId="2" xfId="0" applyFont="1" applyBorder="1" applyAlignment="1">
      <alignment vertical="center" wrapText="1" readingOrder="2"/>
    </xf>
    <xf numFmtId="9" fontId="13" fillId="0" borderId="2" xfId="0" applyNumberFormat="1" applyFont="1" applyBorder="1" applyAlignment="1" applyProtection="1">
      <alignment vertical="center" wrapText="1" readingOrder="2"/>
      <protection locked="0"/>
    </xf>
    <xf numFmtId="9" fontId="13" fillId="0" borderId="20" xfId="0" applyNumberFormat="1" applyFont="1" applyBorder="1" applyAlignment="1" applyProtection="1">
      <alignment vertical="center" wrapText="1" readingOrder="2"/>
      <protection locked="0"/>
    </xf>
    <xf numFmtId="9" fontId="13" fillId="0" borderId="2" xfId="1" applyFont="1" applyBorder="1" applyAlignment="1">
      <alignment vertical="center" wrapText="1" readingOrder="2"/>
    </xf>
    <xf numFmtId="0" fontId="22" fillId="2" borderId="0" xfId="0" applyFont="1" applyFill="1" applyAlignment="1">
      <alignment horizontal="right" vertical="center" wrapText="1" readingOrder="2"/>
    </xf>
    <xf numFmtId="0" fontId="13" fillId="0" borderId="10" xfId="0" applyFont="1" applyBorder="1" applyAlignment="1">
      <alignment vertical="center" wrapText="1" readingOrder="2"/>
    </xf>
    <xf numFmtId="0" fontId="13" fillId="0" borderId="9" xfId="0" applyFont="1" applyBorder="1" applyAlignment="1">
      <alignment vertical="center" wrapText="1" readingOrder="2"/>
    </xf>
    <xf numFmtId="3" fontId="13" fillId="5" borderId="3" xfId="0" applyNumberFormat="1" applyFont="1" applyFill="1" applyBorder="1" applyAlignment="1" applyProtection="1">
      <alignment vertical="center" wrapText="1" readingOrder="2"/>
      <protection locked="0"/>
    </xf>
    <xf numFmtId="3" fontId="13" fillId="5" borderId="9" xfId="0" applyNumberFormat="1" applyFont="1" applyFill="1" applyBorder="1" applyAlignment="1">
      <alignment vertical="center" wrapText="1" readingOrder="2"/>
    </xf>
    <xf numFmtId="3" fontId="13" fillId="5" borderId="9" xfId="0" applyNumberFormat="1" applyFont="1" applyFill="1" applyBorder="1" applyAlignment="1" applyProtection="1">
      <alignment vertical="center" wrapText="1" readingOrder="2"/>
      <protection locked="0"/>
    </xf>
    <xf numFmtId="0" fontId="13" fillId="5" borderId="1" xfId="0" applyFont="1" applyFill="1" applyBorder="1" applyAlignment="1">
      <alignment vertical="center"/>
    </xf>
    <xf numFmtId="0" fontId="13" fillId="5" borderId="2" xfId="0" applyFont="1" applyFill="1" applyBorder="1" applyAlignment="1">
      <alignment vertical="center"/>
    </xf>
    <xf numFmtId="0" fontId="13" fillId="5" borderId="11" xfId="0" applyFont="1" applyFill="1" applyBorder="1" applyAlignment="1">
      <alignment horizontal="right" vertical="center"/>
    </xf>
    <xf numFmtId="0" fontId="27" fillId="0" borderId="0" xfId="0" applyFont="1" applyAlignment="1">
      <alignment horizontal="right" vertical="center" wrapText="1"/>
    </xf>
    <xf numFmtId="3" fontId="13" fillId="0" borderId="2" xfId="0" applyNumberFormat="1" applyFont="1" applyBorder="1" applyAlignment="1">
      <alignment vertical="center"/>
    </xf>
    <xf numFmtId="0" fontId="27" fillId="5" borderId="1" xfId="0" applyFont="1" applyFill="1" applyBorder="1" applyAlignment="1">
      <alignment horizontal="right" vertical="center" wrapText="1"/>
    </xf>
    <xf numFmtId="3" fontId="13" fillId="5" borderId="1" xfId="0" applyNumberFormat="1" applyFont="1" applyFill="1" applyBorder="1" applyAlignment="1">
      <alignment vertical="center"/>
    </xf>
    <xf numFmtId="0" fontId="27" fillId="5" borderId="3" xfId="0" applyFont="1" applyFill="1" applyBorder="1" applyAlignment="1">
      <alignment horizontal="right" vertical="center" wrapText="1"/>
    </xf>
    <xf numFmtId="3" fontId="13" fillId="5" borderId="3" xfId="0" applyNumberFormat="1" applyFont="1" applyFill="1" applyBorder="1" applyAlignment="1">
      <alignment vertical="center"/>
    </xf>
    <xf numFmtId="0" fontId="27" fillId="5" borderId="2" xfId="0" applyFont="1" applyFill="1" applyBorder="1" applyAlignment="1">
      <alignment horizontal="right" vertical="center" wrapText="1"/>
    </xf>
    <xf numFmtId="3" fontId="13" fillId="5" borderId="2" xfId="0" applyNumberFormat="1" applyFont="1" applyFill="1" applyBorder="1" applyAlignment="1">
      <alignment vertical="center"/>
    </xf>
    <xf numFmtId="3" fontId="13" fillId="0" borderId="2" xfId="0" applyNumberFormat="1" applyFont="1" applyBorder="1" applyAlignment="1" applyProtection="1">
      <alignment horizontal="right" vertical="center" readingOrder="2"/>
      <protection locked="0"/>
    </xf>
    <xf numFmtId="0" fontId="27" fillId="4" borderId="13" xfId="0" applyFont="1" applyFill="1" applyBorder="1" applyAlignment="1">
      <alignment horizontal="right" vertical="center" readingOrder="2"/>
    </xf>
    <xf numFmtId="0" fontId="22" fillId="4" borderId="0" xfId="0" applyFont="1" applyFill="1" applyAlignment="1">
      <alignment vertical="center" wrapText="1" readingOrder="2"/>
    </xf>
    <xf numFmtId="0" fontId="27" fillId="4" borderId="0" xfId="0" applyFont="1" applyFill="1" applyAlignment="1">
      <alignment vertical="center" wrapText="1" readingOrder="2"/>
    </xf>
    <xf numFmtId="0" fontId="27" fillId="3" borderId="0" xfId="0" applyFont="1" applyFill="1" applyAlignment="1">
      <alignment horizontal="right" vertical="center" readingOrder="2"/>
    </xf>
    <xf numFmtId="166" fontId="13" fillId="0" borderId="0" xfId="3" applyNumberFormat="1" applyFont="1">
      <alignment vertical="center"/>
    </xf>
    <xf numFmtId="0" fontId="22" fillId="2" borderId="0" xfId="0" applyFont="1" applyFill="1" applyAlignment="1">
      <alignment horizontal="right" vertical="top" wrapText="1" readingOrder="2"/>
    </xf>
    <xf numFmtId="0" fontId="24" fillId="0" borderId="0" xfId="0" applyFont="1" applyAlignment="1">
      <alignment horizontal="right" vertical="center" wrapText="1" readingOrder="2"/>
    </xf>
    <xf numFmtId="0" fontId="23" fillId="5" borderId="1" xfId="0" applyFont="1" applyFill="1" applyBorder="1" applyAlignment="1">
      <alignment horizontal="right" vertical="center" wrapText="1" readingOrder="2"/>
    </xf>
    <xf numFmtId="0" fontId="24" fillId="5" borderId="1" xfId="0" applyFont="1" applyFill="1" applyBorder="1" applyAlignment="1">
      <alignment horizontal="right" vertical="center" wrapText="1" readingOrder="2"/>
    </xf>
    <xf numFmtId="0" fontId="23" fillId="5" borderId="3" xfId="0" applyFont="1" applyFill="1" applyBorder="1" applyAlignment="1">
      <alignment horizontal="right" vertical="center" wrapText="1" readingOrder="2"/>
    </xf>
    <xf numFmtId="0" fontId="24" fillId="5" borderId="3" xfId="0" applyFont="1" applyFill="1" applyBorder="1" applyAlignment="1">
      <alignment horizontal="right" vertical="center" wrapText="1" readingOrder="2"/>
    </xf>
    <xf numFmtId="0" fontId="24" fillId="5" borderId="2" xfId="0" applyFont="1" applyFill="1" applyBorder="1" applyAlignment="1">
      <alignment horizontal="right" vertical="center" wrapText="1" readingOrder="2"/>
    </xf>
    <xf numFmtId="0" fontId="18" fillId="4" borderId="0" xfId="0" applyFont="1" applyFill="1" applyAlignment="1">
      <alignment vertical="center" wrapText="1" readingOrder="2"/>
    </xf>
    <xf numFmtId="0" fontId="18" fillId="0" borderId="1" xfId="0" applyFont="1" applyBorder="1" applyAlignment="1">
      <alignment vertical="center" wrapText="1" readingOrder="2"/>
    </xf>
    <xf numFmtId="0" fontId="18" fillId="0" borderId="3" xfId="0" applyFont="1" applyBorder="1" applyAlignment="1">
      <alignment vertical="center" wrapText="1" readingOrder="2"/>
    </xf>
    <xf numFmtId="0" fontId="15" fillId="0" borderId="3" xfId="0" applyFont="1" applyBorder="1" applyAlignment="1">
      <alignment vertical="center" wrapText="1"/>
    </xf>
    <xf numFmtId="166" fontId="15" fillId="0" borderId="3" xfId="3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 readingOrder="2"/>
    </xf>
    <xf numFmtId="10" fontId="15" fillId="0" borderId="2" xfId="0" applyNumberFormat="1" applyFont="1" applyBorder="1" applyAlignment="1">
      <alignment vertical="center" wrapText="1"/>
    </xf>
    <xf numFmtId="0" fontId="18" fillId="4" borderId="6" xfId="0" applyFont="1" applyFill="1" applyBorder="1" applyAlignment="1">
      <alignment vertical="center" wrapText="1" readingOrder="2"/>
    </xf>
    <xf numFmtId="0" fontId="27" fillId="4" borderId="0" xfId="0" applyFont="1" applyFill="1" applyAlignment="1">
      <alignment horizontal="right" vertical="top" wrapText="1"/>
    </xf>
    <xf numFmtId="0" fontId="27" fillId="0" borderId="0" xfId="0" applyFont="1" applyAlignment="1">
      <alignment vertical="center" wrapText="1"/>
    </xf>
    <xf numFmtId="0" fontId="27" fillId="5" borderId="1" xfId="0" applyFont="1" applyFill="1" applyBorder="1" applyAlignment="1">
      <alignment vertical="center" wrapText="1"/>
    </xf>
    <xf numFmtId="0" fontId="27" fillId="5" borderId="2" xfId="0" applyFont="1" applyFill="1" applyBorder="1" applyAlignment="1">
      <alignment vertical="center" wrapText="1"/>
    </xf>
    <xf numFmtId="0" fontId="13" fillId="5" borderId="2" xfId="0" applyFont="1" applyFill="1" applyBorder="1" applyAlignment="1">
      <alignment horizontal="right" vertical="center" wrapText="1" readingOrder="2"/>
    </xf>
    <xf numFmtId="0" fontId="27" fillId="4" borderId="6" xfId="0" applyFont="1" applyFill="1" applyBorder="1" applyAlignment="1">
      <alignment horizontal="right" vertical="top" wrapText="1"/>
    </xf>
    <xf numFmtId="0" fontId="13" fillId="5" borderId="10" xfId="0" applyFont="1" applyFill="1" applyBorder="1" applyAlignment="1">
      <alignment vertical="center"/>
    </xf>
    <xf numFmtId="0" fontId="13" fillId="5" borderId="20" xfId="0" applyFont="1" applyFill="1" applyBorder="1" applyAlignment="1">
      <alignment vertical="center"/>
    </xf>
    <xf numFmtId="0" fontId="22" fillId="2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/>
    </xf>
    <xf numFmtId="9" fontId="13" fillId="0" borderId="0" xfId="0" applyNumberFormat="1" applyFont="1" applyAlignment="1" applyProtection="1">
      <alignment horizontal="center" vertical="center"/>
      <protection locked="0"/>
    </xf>
    <xf numFmtId="9" fontId="13" fillId="5" borderId="1" xfId="0" applyNumberFormat="1" applyFont="1" applyFill="1" applyBorder="1" applyAlignment="1" applyProtection="1">
      <alignment horizontal="right" vertical="center"/>
      <protection locked="0"/>
    </xf>
    <xf numFmtId="9" fontId="13" fillId="5" borderId="3" xfId="0" applyNumberFormat="1" applyFont="1" applyFill="1" applyBorder="1" applyAlignment="1" applyProtection="1">
      <alignment horizontal="right" vertical="center"/>
      <protection locked="0"/>
    </xf>
    <xf numFmtId="9" fontId="13" fillId="5" borderId="2" xfId="0" applyNumberFormat="1" applyFont="1" applyFill="1" applyBorder="1" applyAlignment="1" applyProtection="1">
      <alignment horizontal="right" vertical="center"/>
      <protection locked="0"/>
    </xf>
    <xf numFmtId="9" fontId="15" fillId="5" borderId="1" xfId="0" applyNumberFormat="1" applyFont="1" applyFill="1" applyBorder="1" applyAlignment="1">
      <alignment horizontal="right" vertical="center" readingOrder="2"/>
    </xf>
    <xf numFmtId="9" fontId="15" fillId="5" borderId="1" xfId="0" applyNumberFormat="1" applyFont="1" applyFill="1" applyBorder="1" applyAlignment="1">
      <alignment horizontal="right" vertical="center" readingOrder="1"/>
    </xf>
    <xf numFmtId="9" fontId="15" fillId="5" borderId="3" xfId="0" applyNumberFormat="1" applyFont="1" applyFill="1" applyBorder="1" applyAlignment="1">
      <alignment horizontal="right" vertical="center" readingOrder="2"/>
    </xf>
    <xf numFmtId="9" fontId="15" fillId="5" borderId="3" xfId="0" applyNumberFormat="1" applyFont="1" applyFill="1" applyBorder="1" applyAlignment="1">
      <alignment horizontal="right" vertical="center" readingOrder="1"/>
    </xf>
    <xf numFmtId="9" fontId="13" fillId="5" borderId="9" xfId="0" applyNumberFormat="1" applyFont="1" applyFill="1" applyBorder="1" applyAlignment="1" applyProtection="1">
      <alignment horizontal="right" vertical="center"/>
      <protection locked="0"/>
    </xf>
    <xf numFmtId="9" fontId="13" fillId="5" borderId="20" xfId="0" applyNumberFormat="1" applyFont="1" applyFill="1" applyBorder="1" applyAlignment="1" applyProtection="1">
      <alignment horizontal="right" vertical="center"/>
      <protection locked="0"/>
    </xf>
    <xf numFmtId="0" fontId="27" fillId="4" borderId="6" xfId="0" applyFont="1" applyFill="1" applyBorder="1" applyAlignment="1">
      <alignment horizontal="right" vertical="center"/>
    </xf>
    <xf numFmtId="9" fontId="13" fillId="5" borderId="10" xfId="0" applyNumberFormat="1" applyFont="1" applyFill="1" applyBorder="1" applyAlignment="1" applyProtection="1">
      <alignment horizontal="right" vertical="center"/>
      <protection locked="0"/>
    </xf>
    <xf numFmtId="9" fontId="15" fillId="5" borderId="10" xfId="0" applyNumberFormat="1" applyFont="1" applyFill="1" applyBorder="1" applyAlignment="1">
      <alignment horizontal="right" vertical="center" readingOrder="2"/>
    </xf>
    <xf numFmtId="9" fontId="15" fillId="5" borderId="9" xfId="0" applyNumberFormat="1" applyFont="1" applyFill="1" applyBorder="1" applyAlignment="1">
      <alignment horizontal="right" vertical="center" readingOrder="2"/>
    </xf>
    <xf numFmtId="9" fontId="15" fillId="5" borderId="10" xfId="0" applyNumberFormat="1" applyFont="1" applyFill="1" applyBorder="1" applyAlignment="1">
      <alignment horizontal="right" vertical="center" readingOrder="1"/>
    </xf>
    <xf numFmtId="9" fontId="15" fillId="5" borderId="9" xfId="0" applyNumberFormat="1" applyFont="1" applyFill="1" applyBorder="1" applyAlignment="1">
      <alignment horizontal="right" vertical="center" readingOrder="1"/>
    </xf>
    <xf numFmtId="0" fontId="22" fillId="2" borderId="8" xfId="0" applyFont="1" applyFill="1" applyBorder="1" applyAlignment="1">
      <alignment vertical="center" wrapText="1"/>
    </xf>
    <xf numFmtId="0" fontId="27" fillId="5" borderId="10" xfId="0" applyFont="1" applyFill="1" applyBorder="1" applyAlignment="1">
      <alignment vertical="center" wrapText="1"/>
    </xf>
    <xf numFmtId="0" fontId="27" fillId="5" borderId="9" xfId="0" applyFont="1" applyFill="1" applyBorder="1" applyAlignment="1">
      <alignment vertical="center" wrapText="1"/>
    </xf>
    <xf numFmtId="0" fontId="27" fillId="5" borderId="20" xfId="0" applyFont="1" applyFill="1" applyBorder="1" applyAlignment="1">
      <alignment vertical="center" wrapText="1"/>
    </xf>
    <xf numFmtId="0" fontId="20" fillId="6" borderId="0" xfId="3" applyNumberFormat="1" applyFont="1" applyFill="1" applyAlignment="1">
      <alignment vertical="center" wrapText="1" readingOrder="2"/>
    </xf>
    <xf numFmtId="0" fontId="13" fillId="0" borderId="0" xfId="0" applyFont="1" applyAlignment="1">
      <alignment horizontal="right" wrapText="1" readingOrder="2"/>
    </xf>
    <xf numFmtId="0" fontId="13" fillId="0" borderId="0" xfId="0" applyFont="1" applyAlignment="1">
      <alignment horizontal="right" readingOrder="2"/>
    </xf>
    <xf numFmtId="10" fontId="13" fillId="0" borderId="0" xfId="0" applyNumberFormat="1" applyFont="1" applyAlignment="1">
      <alignment vertical="center"/>
    </xf>
    <xf numFmtId="9" fontId="13" fillId="0" borderId="1" xfId="0" applyNumberFormat="1" applyFont="1" applyBorder="1" applyAlignment="1">
      <alignment vertical="center"/>
    </xf>
    <xf numFmtId="9" fontId="13" fillId="0" borderId="3" xfId="0" applyNumberFormat="1" applyFont="1" applyBorder="1" applyAlignment="1">
      <alignment vertical="center"/>
    </xf>
    <xf numFmtId="9" fontId="13" fillId="0" borderId="3" xfId="1" applyFont="1" applyBorder="1">
      <alignment vertical="center"/>
    </xf>
    <xf numFmtId="9" fontId="13" fillId="0" borderId="2" xfId="0" applyNumberFormat="1" applyFont="1" applyBorder="1" applyAlignment="1">
      <alignment vertical="center"/>
    </xf>
    <xf numFmtId="0" fontId="20" fillId="6" borderId="0" xfId="3" applyNumberFormat="1" applyFont="1" applyFill="1" applyAlignment="1">
      <alignment vertical="center" readingOrder="2"/>
    </xf>
    <xf numFmtId="9" fontId="13" fillId="0" borderId="10" xfId="1" applyFont="1" applyBorder="1" applyAlignment="1">
      <alignment horizontal="right" vertical="center" readingOrder="2"/>
    </xf>
    <xf numFmtId="9" fontId="13" fillId="0" borderId="9" xfId="0" applyNumberFormat="1" applyFont="1" applyBorder="1" applyAlignment="1">
      <alignment horizontal="right" vertical="center" readingOrder="2"/>
    </xf>
    <xf numFmtId="9" fontId="13" fillId="0" borderId="20" xfId="1" applyFont="1" applyBorder="1" applyAlignment="1">
      <alignment horizontal="right" vertical="center" readingOrder="2"/>
    </xf>
    <xf numFmtId="9" fontId="13" fillId="0" borderId="9" xfId="1" applyFont="1" applyBorder="1">
      <alignment vertical="center"/>
    </xf>
    <xf numFmtId="9" fontId="13" fillId="0" borderId="20" xfId="0" applyNumberFormat="1" applyFont="1" applyBorder="1" applyAlignment="1">
      <alignment vertical="center"/>
    </xf>
    <xf numFmtId="0" fontId="22" fillId="2" borderId="0" xfId="3" applyNumberFormat="1" applyFont="1" applyFill="1" applyAlignment="1">
      <alignment horizontal="right"/>
    </xf>
    <xf numFmtId="166" fontId="13" fillId="5" borderId="1" xfId="3" applyNumberFormat="1" applyFont="1" applyFill="1" applyBorder="1">
      <alignment vertical="center"/>
    </xf>
    <xf numFmtId="166" fontId="13" fillId="5" borderId="3" xfId="3" applyNumberFormat="1" applyFont="1" applyFill="1" applyBorder="1">
      <alignment vertical="center"/>
    </xf>
    <xf numFmtId="0" fontId="27" fillId="5" borderId="1" xfId="3" applyNumberFormat="1" applyFont="1" applyFill="1" applyBorder="1">
      <alignment vertical="center"/>
    </xf>
    <xf numFmtId="0" fontId="27" fillId="5" borderId="3" xfId="3" applyNumberFormat="1" applyFont="1" applyFill="1" applyBorder="1">
      <alignment vertical="center"/>
    </xf>
    <xf numFmtId="0" fontId="13" fillId="4" borderId="0" xfId="0" applyFont="1" applyFill="1" applyAlignment="1">
      <alignment horizontal="right" vertical="center" readingOrder="2"/>
    </xf>
    <xf numFmtId="0" fontId="27" fillId="5" borderId="1" xfId="0" applyFont="1" applyFill="1" applyBorder="1" applyAlignment="1">
      <alignment horizontal="right" vertical="center" readingOrder="2"/>
    </xf>
    <xf numFmtId="165" fontId="13" fillId="5" borderId="1" xfId="1" applyNumberFormat="1" applyFont="1" applyFill="1" applyBorder="1">
      <alignment vertical="center"/>
    </xf>
    <xf numFmtId="0" fontId="27" fillId="5" borderId="3" xfId="0" applyFont="1" applyFill="1" applyBorder="1" applyAlignment="1">
      <alignment horizontal="right" vertical="center" readingOrder="2"/>
    </xf>
    <xf numFmtId="0" fontId="13" fillId="5" borderId="2" xfId="0" applyFont="1" applyFill="1" applyBorder="1" applyAlignment="1">
      <alignment horizontal="right" vertical="center" readingOrder="2"/>
    </xf>
    <xf numFmtId="0" fontId="0" fillId="0" borderId="0" xfId="0" applyAlignment="1">
      <alignment horizontal="center"/>
    </xf>
    <xf numFmtId="0" fontId="27" fillId="4" borderId="21" xfId="0" applyFont="1" applyFill="1" applyBorder="1" applyAlignment="1">
      <alignment horizontal="right" vertical="center" wrapText="1" readingOrder="2"/>
    </xf>
    <xf numFmtId="0" fontId="27" fillId="4" borderId="22" xfId="0" applyFont="1" applyFill="1" applyBorder="1" applyAlignment="1">
      <alignment horizontal="right" vertical="center" wrapText="1" readingOrder="2"/>
    </xf>
    <xf numFmtId="0" fontId="13" fillId="5" borderId="3" xfId="0" applyFont="1" applyFill="1" applyBorder="1" applyAlignment="1">
      <alignment horizontal="right" vertical="center" readingOrder="2"/>
    </xf>
    <xf numFmtId="0" fontId="13" fillId="5" borderId="3" xfId="0" applyFont="1" applyFill="1" applyBorder="1" applyAlignment="1">
      <alignment horizontal="right" vertical="center" wrapText="1" readingOrder="2"/>
    </xf>
    <xf numFmtId="0" fontId="13" fillId="5" borderId="3" xfId="0" applyFont="1" applyFill="1" applyBorder="1" applyAlignment="1">
      <alignment vertical="center" wrapText="1" readingOrder="2"/>
    </xf>
    <xf numFmtId="0" fontId="29" fillId="0" borderId="0" xfId="0" applyFont="1" applyAlignment="1">
      <alignment vertical="center" readingOrder="2"/>
    </xf>
    <xf numFmtId="0" fontId="13" fillId="0" borderId="0" xfId="0" applyFont="1" applyAlignment="1">
      <alignment vertical="center" readingOrder="2"/>
    </xf>
    <xf numFmtId="0" fontId="13" fillId="0" borderId="1" xfId="0" applyFont="1" applyBorder="1" applyAlignment="1">
      <alignment horizontal="right" vertical="top" wrapText="1"/>
    </xf>
    <xf numFmtId="0" fontId="13" fillId="0" borderId="3" xfId="0" applyFont="1" applyBorder="1" applyAlignment="1">
      <alignment horizontal="right" vertical="top" wrapText="1"/>
    </xf>
    <xf numFmtId="0" fontId="13" fillId="0" borderId="2" xfId="0" applyFont="1" applyBorder="1" applyAlignment="1">
      <alignment horizontal="right" vertical="top" wrapText="1"/>
    </xf>
    <xf numFmtId="0" fontId="27" fillId="3" borderId="21" xfId="0" applyFont="1" applyFill="1" applyBorder="1" applyAlignment="1">
      <alignment horizontal="right" vertical="top"/>
    </xf>
    <xf numFmtId="0" fontId="27" fillId="3" borderId="21" xfId="0" applyFont="1" applyFill="1" applyBorder="1" applyAlignment="1">
      <alignment horizontal="right" vertical="top" wrapText="1"/>
    </xf>
    <xf numFmtId="0" fontId="27" fillId="3" borderId="22" xfId="0" applyFont="1" applyFill="1" applyBorder="1" applyAlignment="1">
      <alignment horizontal="right" vertical="top"/>
    </xf>
    <xf numFmtId="0" fontId="27" fillId="3" borderId="22" xfId="0" applyFont="1" applyFill="1" applyBorder="1" applyAlignment="1">
      <alignment horizontal="right" vertical="top" wrapText="1"/>
    </xf>
    <xf numFmtId="0" fontId="27" fillId="3" borderId="23" xfId="0" applyFont="1" applyFill="1" applyBorder="1" applyAlignment="1">
      <alignment horizontal="right" vertical="top"/>
    </xf>
    <xf numFmtId="0" fontId="27" fillId="3" borderId="23" xfId="0" applyFont="1" applyFill="1" applyBorder="1" applyAlignment="1">
      <alignment horizontal="right" vertical="top" wrapText="1"/>
    </xf>
    <xf numFmtId="0" fontId="13" fillId="0" borderId="0" xfId="0" applyFont="1" applyAlignment="1">
      <alignment horizontal="right" vertical="center" readingOrder="2"/>
    </xf>
    <xf numFmtId="0" fontId="27" fillId="0" borderId="2" xfId="0" applyFont="1" applyBorder="1" applyAlignment="1">
      <alignment vertical="center"/>
    </xf>
    <xf numFmtId="0" fontId="0" fillId="7" borderId="0" xfId="0" applyFill="1" applyAlignment="1">
      <alignment vertical="center"/>
    </xf>
    <xf numFmtId="0" fontId="14" fillId="0" borderId="3" xfId="5" applyFont="1" applyBorder="1">
      <alignment vertical="center"/>
    </xf>
    <xf numFmtId="0" fontId="14" fillId="0" borderId="2" xfId="5" applyFont="1" applyBorder="1">
      <alignment vertical="center"/>
    </xf>
    <xf numFmtId="0" fontId="14" fillId="0" borderId="0" xfId="5" applyFont="1">
      <alignment vertical="center"/>
    </xf>
    <xf numFmtId="0" fontId="31" fillId="0" borderId="1" xfId="5" applyFont="1" applyBorder="1">
      <alignment vertical="center"/>
    </xf>
    <xf numFmtId="0" fontId="31" fillId="0" borderId="3" xfId="5" applyFont="1" applyBorder="1">
      <alignment vertical="center"/>
    </xf>
    <xf numFmtId="0" fontId="31" fillId="0" borderId="2" xfId="5" applyFont="1" applyBorder="1">
      <alignment vertical="center"/>
    </xf>
    <xf numFmtId="0" fontId="0" fillId="8" borderId="0" xfId="0" applyFill="1" applyAlignment="1">
      <alignment vertical="center"/>
    </xf>
    <xf numFmtId="0" fontId="0" fillId="9" borderId="0" xfId="0" applyFill="1" applyAlignment="1">
      <alignment vertical="center"/>
    </xf>
    <xf numFmtId="0" fontId="0" fillId="1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10" fillId="0" borderId="0" xfId="0" applyFont="1" applyAlignment="1">
      <alignment vertical="top" wrapText="1" readingOrder="2"/>
    </xf>
    <xf numFmtId="164" fontId="13" fillId="5" borderId="2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2" fillId="0" borderId="0" xfId="0" applyFont="1" applyAlignment="1">
      <alignment horizontal="right" vertical="center"/>
    </xf>
    <xf numFmtId="165" fontId="7" fillId="0" borderId="0" xfId="1" applyNumberFormat="1">
      <alignment vertical="center"/>
    </xf>
    <xf numFmtId="2" fontId="13" fillId="0" borderId="24" xfId="1" applyNumberFormat="1" applyFont="1" applyBorder="1" applyAlignment="1">
      <alignment horizontal="right" vertical="center"/>
    </xf>
    <xf numFmtId="2" fontId="13" fillId="0" borderId="2" xfId="1" applyNumberFormat="1" applyFont="1" applyBorder="1" applyAlignment="1">
      <alignment horizontal="right" vertical="center"/>
    </xf>
    <xf numFmtId="0" fontId="20" fillId="0" borderId="0" xfId="3" applyNumberFormat="1" applyFont="1" applyAlignment="1">
      <alignment horizontal="right" vertical="center" wrapText="1" readingOrder="2"/>
    </xf>
    <xf numFmtId="165" fontId="13" fillId="0" borderId="1" xfId="1" applyNumberFormat="1" applyFont="1" applyBorder="1" applyAlignment="1">
      <alignment horizontal="right" vertical="center"/>
    </xf>
    <xf numFmtId="0" fontId="22" fillId="2" borderId="5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165" fontId="27" fillId="0" borderId="1" xfId="1" applyNumberFormat="1" applyFont="1" applyBorder="1" applyAlignment="1">
      <alignment horizontal="right" vertical="center"/>
    </xf>
    <xf numFmtId="0" fontId="34" fillId="0" borderId="4" xfId="0" applyFont="1" applyBorder="1" applyAlignment="1">
      <alignment vertical="center" readingOrder="2"/>
    </xf>
    <xf numFmtId="0" fontId="34" fillId="0" borderId="0" xfId="0" applyFont="1" applyAlignment="1">
      <alignment vertical="center" readingOrder="2"/>
    </xf>
    <xf numFmtId="0" fontId="35" fillId="0" borderId="0" xfId="3" applyNumberFormat="1" applyFont="1" applyAlignment="1">
      <alignment horizontal="right" vertical="center" wrapText="1" readingOrder="2"/>
    </xf>
    <xf numFmtId="9" fontId="27" fillId="0" borderId="1" xfId="1" applyFont="1" applyBorder="1" applyAlignment="1">
      <alignment horizontal="right" vertical="center"/>
    </xf>
    <xf numFmtId="0" fontId="0" fillId="0" borderId="0" xfId="0" applyAlignment="1">
      <alignment wrapText="1"/>
    </xf>
    <xf numFmtId="0" fontId="13" fillId="0" borderId="0" xfId="0" applyFont="1" applyAlignment="1">
      <alignment wrapText="1" readingOrder="2"/>
    </xf>
    <xf numFmtId="0" fontId="13" fillId="0" borderId="4" xfId="0" applyFont="1" applyBorder="1" applyAlignment="1">
      <alignment wrapText="1" readingOrder="2"/>
    </xf>
    <xf numFmtId="0" fontId="13" fillId="0" borderId="0" xfId="0" applyFont="1" applyAlignment="1">
      <alignment horizontal="right" vertical="center" wrapText="1"/>
    </xf>
    <xf numFmtId="10" fontId="13" fillId="0" borderId="2" xfId="0" applyNumberFormat="1" applyFont="1" applyBorder="1" applyAlignment="1">
      <alignment vertical="center"/>
    </xf>
    <xf numFmtId="0" fontId="18" fillId="4" borderId="0" xfId="0" applyFont="1" applyFill="1" applyAlignment="1">
      <alignment horizontal="right" vertical="center" wrapText="1" readingOrder="2"/>
    </xf>
    <xf numFmtId="0" fontId="23" fillId="5" borderId="0" xfId="0" applyFont="1" applyFill="1" applyAlignment="1">
      <alignment horizontal="right" vertical="center" wrapText="1" readingOrder="2"/>
    </xf>
    <xf numFmtId="0" fontId="24" fillId="5" borderId="0" xfId="0" applyFont="1" applyFill="1" applyAlignment="1">
      <alignment horizontal="right" vertical="center" wrapText="1" readingOrder="2"/>
    </xf>
    <xf numFmtId="0" fontId="23" fillId="5" borderId="0" xfId="0" applyFont="1" applyFill="1" applyAlignment="1">
      <alignment vertical="center" wrapText="1" readingOrder="2"/>
    </xf>
    <xf numFmtId="0" fontId="22" fillId="2" borderId="0" xfId="0" applyFont="1" applyFill="1" applyAlignment="1">
      <alignment vertical="center" readingOrder="2"/>
    </xf>
    <xf numFmtId="0" fontId="20" fillId="0" borderId="0" xfId="6" applyNumberFormat="1" applyFont="1" applyAlignment="1">
      <alignment vertical="center" readingOrder="2"/>
    </xf>
    <xf numFmtId="0" fontId="24" fillId="0" borderId="1" xfId="0" applyFont="1" applyBorder="1" applyAlignment="1">
      <alignment horizontal="right" vertical="center" wrapText="1" readingOrder="2"/>
    </xf>
    <xf numFmtId="0" fontId="24" fillId="0" borderId="3" xfId="0" applyFont="1" applyBorder="1" applyAlignment="1">
      <alignment horizontal="right" vertical="center" wrapText="1" readingOrder="2"/>
    </xf>
    <xf numFmtId="9" fontId="15" fillId="0" borderId="1" xfId="3" applyNumberFormat="1" applyFont="1" applyBorder="1" applyAlignment="1">
      <alignment vertical="center" wrapText="1"/>
    </xf>
    <xf numFmtId="0" fontId="23" fillId="0" borderId="1" xfId="0" applyFont="1" applyBorder="1" applyAlignment="1">
      <alignment horizontal="right" vertical="center" wrapText="1" readingOrder="2"/>
    </xf>
    <xf numFmtId="0" fontId="23" fillId="0" borderId="3" xfId="0" applyFont="1" applyBorder="1" applyAlignment="1">
      <alignment horizontal="right" vertical="center" wrapText="1" readingOrder="2"/>
    </xf>
    <xf numFmtId="0" fontId="24" fillId="0" borderId="0" xfId="7" applyFont="1" applyAlignment="1">
      <alignment horizontal="left" vertical="center" wrapText="1" readingOrder="2"/>
    </xf>
    <xf numFmtId="0" fontId="24" fillId="0" borderId="2" xfId="0" applyFont="1" applyBorder="1" applyAlignment="1">
      <alignment horizontal="left" vertical="center" wrapText="1" readingOrder="2"/>
    </xf>
    <xf numFmtId="0" fontId="24" fillId="0" borderId="1" xfId="7" applyFont="1" applyBorder="1" applyAlignment="1">
      <alignment horizontal="left" vertical="center" wrapText="1" readingOrder="2"/>
    </xf>
    <xf numFmtId="0" fontId="24" fillId="0" borderId="3" xfId="7" applyFont="1" applyBorder="1" applyAlignment="1">
      <alignment horizontal="left" vertical="center" wrapText="1" readingOrder="2"/>
    </xf>
    <xf numFmtId="43" fontId="15" fillId="0" borderId="1" xfId="3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3" fontId="15" fillId="0" borderId="3" xfId="3" applyFont="1" applyBorder="1" applyAlignment="1">
      <alignment vertical="center" wrapText="1"/>
    </xf>
    <xf numFmtId="166" fontId="15" fillId="0" borderId="3" xfId="3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horizontal="right" vertical="center" wrapText="1"/>
    </xf>
    <xf numFmtId="10" fontId="13" fillId="0" borderId="2" xfId="1" applyNumberFormat="1" applyFont="1" applyBorder="1">
      <alignment vertical="center"/>
    </xf>
    <xf numFmtId="0" fontId="23" fillId="0" borderId="0" xfId="0" applyFont="1" applyAlignment="1">
      <alignment vertical="center" wrapText="1" readingOrder="2"/>
    </xf>
    <xf numFmtId="0" fontId="24" fillId="0" borderId="1" xfId="7" applyFont="1" applyBorder="1" applyAlignment="1">
      <alignment horizontal="center" vertical="center" wrapText="1" readingOrder="2"/>
    </xf>
    <xf numFmtId="0" fontId="24" fillId="0" borderId="3" xfId="7" applyFont="1" applyBorder="1" applyAlignment="1">
      <alignment horizontal="center" vertical="center" wrapText="1" readingOrder="2"/>
    </xf>
    <xf numFmtId="0" fontId="24" fillId="0" borderId="0" xfId="7" applyFont="1" applyAlignment="1">
      <alignment horizontal="center" vertical="center" wrapText="1" readingOrder="2"/>
    </xf>
    <xf numFmtId="49" fontId="24" fillId="0" borderId="1" xfId="7" applyNumberFormat="1" applyFont="1" applyBorder="1" applyAlignment="1">
      <alignment horizontal="center" vertical="center" wrapText="1" readingOrder="2"/>
    </xf>
    <xf numFmtId="166" fontId="13" fillId="0" borderId="1" xfId="0" applyNumberFormat="1" applyFont="1" applyBorder="1" applyAlignment="1">
      <alignment horizontal="right" vertical="center"/>
    </xf>
    <xf numFmtId="9" fontId="13" fillId="0" borderId="10" xfId="1" applyFont="1" applyBorder="1" applyAlignment="1">
      <alignment horizontal="right" vertical="center"/>
    </xf>
    <xf numFmtId="43" fontId="13" fillId="0" borderId="16" xfId="0" applyNumberFormat="1" applyFont="1" applyBorder="1" applyAlignment="1">
      <alignment horizontal="right" vertical="center"/>
    </xf>
    <xf numFmtId="2" fontId="13" fillId="0" borderId="16" xfId="1" applyNumberFormat="1" applyFont="1" applyBorder="1" applyAlignment="1">
      <alignment horizontal="right" vertical="center"/>
    </xf>
    <xf numFmtId="2" fontId="13" fillId="0" borderId="1" xfId="1" applyNumberFormat="1" applyFont="1" applyBorder="1" applyAlignment="1">
      <alignment horizontal="right" vertical="center"/>
    </xf>
    <xf numFmtId="166" fontId="13" fillId="0" borderId="0" xfId="3" applyNumberFormat="1" applyFont="1" applyAlignment="1">
      <alignment horizontal="right" vertical="center"/>
    </xf>
    <xf numFmtId="166" fontId="27" fillId="0" borderId="0" xfId="3" applyNumberFormat="1" applyFont="1" applyAlignment="1">
      <alignment horizontal="right" vertical="center"/>
    </xf>
    <xf numFmtId="166" fontId="27" fillId="0" borderId="2" xfId="3" applyNumberFormat="1" applyFont="1" applyBorder="1" applyAlignment="1">
      <alignment horizontal="right" vertical="center"/>
    </xf>
    <xf numFmtId="2" fontId="13" fillId="0" borderId="1" xfId="0" applyNumberFormat="1" applyFont="1" applyBorder="1" applyAlignment="1">
      <alignment horizontal="right" vertical="center"/>
    </xf>
    <xf numFmtId="43" fontId="13" fillId="0" borderId="18" xfId="0" applyNumberFormat="1" applyFont="1" applyBorder="1" applyAlignment="1">
      <alignment horizontal="right" vertical="center"/>
    </xf>
    <xf numFmtId="2" fontId="13" fillId="0" borderId="18" xfId="1" applyNumberFormat="1" applyFont="1" applyBorder="1" applyAlignment="1">
      <alignment horizontal="right" vertical="center"/>
    </xf>
    <xf numFmtId="2" fontId="13" fillId="0" borderId="3" xfId="1" applyNumberFormat="1" applyFont="1" applyBorder="1" applyAlignment="1">
      <alignment horizontal="right" vertical="center"/>
    </xf>
    <xf numFmtId="43" fontId="13" fillId="0" borderId="24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65" fontId="7" fillId="0" borderId="0" xfId="1" applyNumberFormat="1" applyAlignment="1">
      <alignment vertical="center" readingOrder="2"/>
    </xf>
    <xf numFmtId="9" fontId="7" fillId="0" borderId="0" xfId="1">
      <alignment vertical="center"/>
    </xf>
    <xf numFmtId="3" fontId="13" fillId="0" borderId="25" xfId="0" applyNumberFormat="1" applyFont="1" applyBorder="1" applyAlignment="1" applyProtection="1">
      <alignment vertical="center" readingOrder="2"/>
      <protection locked="0"/>
    </xf>
    <xf numFmtId="3" fontId="13" fillId="0" borderId="26" xfId="0" applyNumberFormat="1" applyFont="1" applyBorder="1" applyAlignment="1" applyProtection="1">
      <alignment vertical="center" readingOrder="2"/>
      <protection locked="0"/>
    </xf>
    <xf numFmtId="3" fontId="13" fillId="0" borderId="27" xfId="0" applyNumberFormat="1" applyFont="1" applyBorder="1" applyAlignment="1">
      <alignment vertical="center" readingOrder="2"/>
    </xf>
    <xf numFmtId="3" fontId="15" fillId="0" borderId="28" xfId="0" applyNumberFormat="1" applyFont="1" applyBorder="1" applyAlignment="1">
      <alignment vertical="center"/>
    </xf>
    <xf numFmtId="9" fontId="7" fillId="0" borderId="0" xfId="1" applyAlignment="1">
      <alignment horizontal="right" vertical="center" wrapText="1" readingOrder="2"/>
    </xf>
    <xf numFmtId="9" fontId="7" fillId="0" borderId="0" xfId="1" applyAlignment="1">
      <alignment vertical="center" readingOrder="2"/>
    </xf>
    <xf numFmtId="166" fontId="13" fillId="0" borderId="25" xfId="3" applyNumberFormat="1" applyFont="1" applyBorder="1" applyAlignment="1">
      <alignment vertical="center" wrapText="1"/>
    </xf>
    <xf numFmtId="166" fontId="13" fillId="0" borderId="25" xfId="0" applyNumberFormat="1" applyFont="1" applyBorder="1" applyAlignment="1">
      <alignment vertical="center"/>
    </xf>
    <xf numFmtId="166" fontId="13" fillId="0" borderId="26" xfId="3" applyNumberFormat="1" applyFont="1" applyBorder="1" applyAlignment="1">
      <alignment vertical="center" wrapText="1"/>
    </xf>
    <xf numFmtId="0" fontId="13" fillId="0" borderId="25" xfId="0" applyFont="1" applyBorder="1" applyAlignment="1">
      <alignment horizontal="right" vertical="center" readingOrder="2"/>
    </xf>
    <xf numFmtId="0" fontId="24" fillId="0" borderId="25" xfId="0" applyFont="1" applyBorder="1" applyAlignment="1">
      <alignment horizontal="right" vertical="center" wrapText="1" readingOrder="2"/>
    </xf>
    <xf numFmtId="0" fontId="24" fillId="0" borderId="26" xfId="0" applyFont="1" applyBorder="1" applyAlignment="1">
      <alignment horizontal="right" vertical="center" wrapText="1" readingOrder="2"/>
    </xf>
    <xf numFmtId="0" fontId="23" fillId="0" borderId="26" xfId="0" applyFont="1" applyBorder="1" applyAlignment="1">
      <alignment horizontal="right" vertical="center" wrapText="1" readingOrder="2"/>
    </xf>
    <xf numFmtId="0" fontId="24" fillId="0" borderId="2" xfId="0" applyFont="1" applyBorder="1" applyAlignment="1">
      <alignment horizontal="right" vertical="center" wrapText="1" readingOrder="2"/>
    </xf>
    <xf numFmtId="0" fontId="0" fillId="0" borderId="0" xfId="0" applyAlignment="1">
      <alignment readingOrder="2"/>
    </xf>
    <xf numFmtId="0" fontId="23" fillId="0" borderId="2" xfId="3" applyNumberFormat="1" applyFont="1" applyBorder="1" applyAlignment="1">
      <alignment horizontal="right" vertical="center"/>
    </xf>
    <xf numFmtId="0" fontId="23" fillId="0" borderId="2" xfId="3" applyNumberFormat="1" applyFont="1" applyBorder="1" applyAlignment="1">
      <alignment horizontal="right" vertical="center" readingOrder="2"/>
    </xf>
    <xf numFmtId="0" fontId="20" fillId="0" borderId="29" xfId="6" applyNumberFormat="1" applyFont="1" applyBorder="1" applyAlignment="1">
      <alignment vertical="center" readingOrder="2"/>
    </xf>
    <xf numFmtId="2" fontId="24" fillId="0" borderId="1" xfId="7" applyNumberFormat="1" applyFont="1" applyBorder="1" applyAlignment="1">
      <alignment horizontal="center" vertical="center" wrapText="1" readingOrder="2"/>
    </xf>
    <xf numFmtId="0" fontId="39" fillId="0" borderId="0" xfId="3" applyNumberFormat="1" applyFont="1" applyAlignment="1">
      <alignment vertical="center" readingOrder="2"/>
    </xf>
    <xf numFmtId="49" fontId="13" fillId="0" borderId="3" xfId="0" applyNumberFormat="1" applyFont="1" applyBorder="1" applyAlignment="1">
      <alignment vertical="center" wrapText="1" readingOrder="2"/>
    </xf>
    <xf numFmtId="49" fontId="13" fillId="0" borderId="2" xfId="0" applyNumberFormat="1" applyFont="1" applyBorder="1" applyAlignment="1">
      <alignment vertical="center" wrapText="1" readingOrder="2"/>
    </xf>
    <xf numFmtId="0" fontId="23" fillId="0" borderId="0" xfId="7" applyFont="1" applyAlignment="1">
      <alignment vertical="center" wrapText="1" readingOrder="2"/>
    </xf>
    <xf numFmtId="0" fontId="22" fillId="2" borderId="8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right" vertical="center" wrapText="1"/>
    </xf>
    <xf numFmtId="0" fontId="27" fillId="3" borderId="2" xfId="0" applyFont="1" applyFill="1" applyBorder="1" applyAlignment="1">
      <alignment horizontal="right" vertical="center" wrapText="1"/>
    </xf>
    <xf numFmtId="0" fontId="22" fillId="2" borderId="0" xfId="0" applyFont="1" applyFill="1" applyAlignment="1">
      <alignment horizontal="center" vertical="top" wrapText="1" readingOrder="2"/>
    </xf>
    <xf numFmtId="1" fontId="13" fillId="0" borderId="25" xfId="1" applyNumberFormat="1" applyFont="1" applyBorder="1" applyAlignment="1">
      <alignment horizontal="right" vertical="center"/>
    </xf>
    <xf numFmtId="166" fontId="13" fillId="0" borderId="2" xfId="3" applyNumberFormat="1" applyFont="1" applyBorder="1" applyAlignment="1">
      <alignment vertical="center" wrapText="1"/>
    </xf>
    <xf numFmtId="2" fontId="13" fillId="0" borderId="2" xfId="0" applyNumberFormat="1" applyFont="1" applyBorder="1" applyAlignment="1">
      <alignment vertical="center" wrapText="1" readingOrder="2"/>
    </xf>
    <xf numFmtId="166" fontId="7" fillId="0" borderId="3" xfId="3" applyNumberFormat="1" applyBorder="1">
      <alignment vertical="center"/>
    </xf>
    <xf numFmtId="9" fontId="13" fillId="0" borderId="1" xfId="0" applyNumberFormat="1" applyFont="1" applyBorder="1" applyAlignment="1">
      <alignment vertical="center" wrapText="1" readingOrder="2"/>
    </xf>
    <xf numFmtId="0" fontId="27" fillId="3" borderId="1" xfId="0" applyFont="1" applyFill="1" applyBorder="1" applyAlignment="1">
      <alignment horizontal="right" vertical="center" wrapText="1"/>
    </xf>
    <xf numFmtId="3" fontId="13" fillId="0" borderId="0" xfId="0" applyNumberFormat="1" applyFont="1" applyAlignment="1">
      <alignment vertical="center"/>
    </xf>
    <xf numFmtId="0" fontId="13" fillId="0" borderId="1" xfId="0" applyFont="1" applyBorder="1" applyAlignment="1" applyProtection="1">
      <alignment vertical="center" readingOrder="2"/>
      <protection locked="0"/>
    </xf>
    <xf numFmtId="0" fontId="13" fillId="0" borderId="3" xfId="0" applyFont="1" applyBorder="1" applyAlignment="1" applyProtection="1">
      <alignment vertical="center" readingOrder="2"/>
      <protection locked="0"/>
    </xf>
    <xf numFmtId="3" fontId="13" fillId="0" borderId="2" xfId="0" applyNumberFormat="1" applyFont="1" applyBorder="1" applyAlignment="1" applyProtection="1">
      <alignment vertical="center" readingOrder="2"/>
      <protection locked="0"/>
    </xf>
    <xf numFmtId="2" fontId="24" fillId="0" borderId="1" xfId="0" applyNumberFormat="1" applyFont="1" applyBorder="1" applyAlignment="1">
      <alignment horizontal="center" vertical="center" wrapText="1" readingOrder="2"/>
    </xf>
    <xf numFmtId="2" fontId="24" fillId="0" borderId="3" xfId="0" applyNumberFormat="1" applyFont="1" applyBorder="1" applyAlignment="1">
      <alignment horizontal="center" vertical="center" wrapText="1" readingOrder="2"/>
    </xf>
    <xf numFmtId="2" fontId="24" fillId="0" borderId="0" xfId="0" applyNumberFormat="1" applyFont="1" applyAlignment="1">
      <alignment horizontal="center" vertical="center" wrapText="1" readingOrder="2"/>
    </xf>
    <xf numFmtId="164" fontId="24" fillId="0" borderId="1" xfId="0" applyNumberFormat="1" applyFont="1" applyBorder="1" applyAlignment="1">
      <alignment horizontal="center" vertical="center" wrapText="1" readingOrder="2"/>
    </xf>
    <xf numFmtId="164" fontId="24" fillId="0" borderId="3" xfId="0" applyNumberFormat="1" applyFont="1" applyBorder="1" applyAlignment="1">
      <alignment horizontal="center" vertical="center" wrapText="1" readingOrder="2"/>
    </xf>
    <xf numFmtId="164" fontId="24" fillId="0" borderId="0" xfId="0" applyNumberFormat="1" applyFont="1" applyAlignment="1">
      <alignment horizontal="center" vertical="center" wrapText="1" readingOrder="2"/>
    </xf>
    <xf numFmtId="9" fontId="13" fillId="0" borderId="1" xfId="0" applyNumberFormat="1" applyFont="1" applyBorder="1" applyAlignment="1" applyProtection="1">
      <alignment horizontal="right" vertical="center"/>
      <protection locked="0"/>
    </xf>
    <xf numFmtId="0" fontId="15" fillId="0" borderId="30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center" vertical="center" wrapText="1" readingOrder="2"/>
    </xf>
    <xf numFmtId="165" fontId="7" fillId="0" borderId="0" xfId="1" applyNumberFormat="1" applyAlignment="1">
      <alignment horizontal="center" vertical="center" wrapText="1" readingOrder="2"/>
    </xf>
    <xf numFmtId="0" fontId="13" fillId="0" borderId="0" xfId="3" applyNumberFormat="1" applyFont="1" applyAlignment="1">
      <alignment horizontal="right" vertical="center"/>
    </xf>
    <xf numFmtId="0" fontId="27" fillId="0" borderId="0" xfId="3" applyNumberFormat="1" applyFont="1">
      <alignment vertical="center"/>
    </xf>
    <xf numFmtId="166" fontId="13" fillId="0" borderId="0" xfId="3" applyNumberFormat="1" applyFont="1" applyAlignment="1">
      <alignment horizontal="center" vertical="center"/>
    </xf>
    <xf numFmtId="10" fontId="13" fillId="5" borderId="1" xfId="0" applyNumberFormat="1" applyFont="1" applyFill="1" applyBorder="1" applyAlignment="1">
      <alignment horizontal="right" vertical="center" readingOrder="2"/>
    </xf>
    <xf numFmtId="10" fontId="13" fillId="5" borderId="3" xfId="0" applyNumberFormat="1" applyFont="1" applyFill="1" applyBorder="1" applyAlignment="1">
      <alignment vertical="center"/>
    </xf>
    <xf numFmtId="9" fontId="13" fillId="5" borderId="3" xfId="0" applyNumberFormat="1" applyFont="1" applyFill="1" applyBorder="1" applyAlignment="1">
      <alignment horizontal="right" vertical="center"/>
    </xf>
    <xf numFmtId="0" fontId="27" fillId="4" borderId="31" xfId="0" applyFont="1" applyFill="1" applyBorder="1" applyAlignment="1">
      <alignment vertical="center" wrapText="1"/>
    </xf>
    <xf numFmtId="0" fontId="27" fillId="4" borderId="32" xfId="0" applyFont="1" applyFill="1" applyBorder="1" applyAlignment="1">
      <alignment vertical="center" wrapText="1"/>
    </xf>
    <xf numFmtId="0" fontId="40" fillId="0" borderId="4" xfId="0" applyFont="1" applyBorder="1" applyAlignment="1">
      <alignment vertical="center" readingOrder="2"/>
    </xf>
    <xf numFmtId="0" fontId="13" fillId="4" borderId="32" xfId="0" applyFont="1" applyFill="1" applyBorder="1" applyAlignment="1">
      <alignment horizontal="right" vertical="center" wrapText="1"/>
    </xf>
    <xf numFmtId="0" fontId="13" fillId="0" borderId="33" xfId="0" applyFont="1" applyBorder="1" applyAlignment="1">
      <alignment vertical="center" wrapText="1" readingOrder="2"/>
    </xf>
    <xf numFmtId="0" fontId="13" fillId="0" borderId="34" xfId="0" applyFont="1" applyBorder="1" applyAlignment="1">
      <alignment vertical="center" wrapText="1" readingOrder="2"/>
    </xf>
    <xf numFmtId="3" fontId="13" fillId="0" borderId="34" xfId="0" applyNumberFormat="1" applyFont="1" applyBorder="1" applyAlignment="1">
      <alignment vertical="center" wrapText="1" readingOrder="2"/>
    </xf>
    <xf numFmtId="9" fontId="13" fillId="0" borderId="34" xfId="1" applyFont="1" applyBorder="1" applyAlignment="1">
      <alignment vertical="center" wrapText="1" readingOrder="2"/>
    </xf>
    <xf numFmtId="3" fontId="13" fillId="0" borderId="34" xfId="0" applyNumberFormat="1" applyFont="1" applyBorder="1" applyAlignment="1" applyProtection="1">
      <alignment vertical="center" wrapText="1" readingOrder="2"/>
      <protection locked="0"/>
    </xf>
    <xf numFmtId="9" fontId="13" fillId="0" borderId="35" xfId="1" applyFont="1" applyBorder="1" applyAlignment="1">
      <alignment vertical="center" wrapText="1" readingOrder="2"/>
    </xf>
    <xf numFmtId="0" fontId="41" fillId="0" borderId="0" xfId="0" applyFont="1" applyAlignment="1">
      <alignment vertical="center" readingOrder="2"/>
    </xf>
    <xf numFmtId="165" fontId="44" fillId="0" borderId="0" xfId="1" applyNumberFormat="1" applyFont="1" applyAlignment="1">
      <alignment horizontal="right" vertical="center"/>
    </xf>
    <xf numFmtId="0" fontId="32" fillId="0" borderId="0" xfId="3" applyNumberFormat="1" applyFont="1" applyAlignment="1">
      <alignment horizontal="right" vertical="center"/>
    </xf>
    <xf numFmtId="0" fontId="45" fillId="0" borderId="0" xfId="0" applyFont="1" applyAlignment="1">
      <alignment vertical="center" readingOrder="2"/>
    </xf>
    <xf numFmtId="9" fontId="0" fillId="0" borderId="0" xfId="3" applyNumberFormat="1" applyFont="1">
      <alignment vertical="center"/>
    </xf>
    <xf numFmtId="0" fontId="23" fillId="0" borderId="1" xfId="3" applyNumberFormat="1" applyFont="1" applyBorder="1" applyAlignment="1">
      <alignment vertical="center" wrapText="1" readingOrder="2"/>
    </xf>
    <xf numFmtId="0" fontId="47" fillId="2" borderId="0" xfId="0" applyFont="1" applyFill="1" applyAlignment="1">
      <alignment horizontal="right" vertical="center" wrapText="1"/>
    </xf>
    <xf numFmtId="0" fontId="47" fillId="2" borderId="0" xfId="0" applyFont="1" applyFill="1" applyAlignment="1">
      <alignment horizontal="center" vertical="center" wrapText="1" readingOrder="2"/>
    </xf>
    <xf numFmtId="0" fontId="23" fillId="0" borderId="2" xfId="3" applyNumberFormat="1" applyFont="1" applyBorder="1">
      <alignment vertical="center"/>
    </xf>
    <xf numFmtId="9" fontId="13" fillId="0" borderId="0" xfId="1" applyFont="1" applyAlignment="1">
      <alignment horizontal="right" vertical="center"/>
    </xf>
    <xf numFmtId="166" fontId="13" fillId="0" borderId="0" xfId="3" applyNumberFormat="1" applyFont="1" applyAlignment="1">
      <alignment horizontal="right" vertical="center" wrapText="1"/>
    </xf>
    <xf numFmtId="0" fontId="23" fillId="0" borderId="0" xfId="3" applyNumberFormat="1" applyFont="1">
      <alignment vertical="center"/>
    </xf>
    <xf numFmtId="0" fontId="24" fillId="0" borderId="1" xfId="7" applyFont="1" applyBorder="1" applyAlignment="1">
      <alignment horizontal="right" vertical="center" wrapText="1" readingOrder="2"/>
    </xf>
    <xf numFmtId="0" fontId="24" fillId="0" borderId="3" xfId="7" applyFont="1" applyBorder="1" applyAlignment="1">
      <alignment horizontal="right" vertical="center" wrapText="1" readingOrder="2"/>
    </xf>
    <xf numFmtId="0" fontId="15" fillId="0" borderId="1" xfId="0" applyFont="1" applyBorder="1" applyAlignment="1">
      <alignment vertical="center" readingOrder="2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13" fillId="0" borderId="39" xfId="0" applyFont="1" applyBorder="1" applyAlignment="1">
      <alignment horizontal="right" vertical="center" wrapText="1" readingOrder="2"/>
    </xf>
    <xf numFmtId="9" fontId="13" fillId="0" borderId="3" xfId="3" applyNumberFormat="1" applyFont="1" applyBorder="1" applyAlignment="1">
      <alignment vertical="center" readingOrder="2"/>
    </xf>
    <xf numFmtId="9" fontId="13" fillId="0" borderId="2" xfId="3" applyNumberFormat="1" applyFont="1" applyBorder="1" applyAlignment="1">
      <alignment vertical="center" readingOrder="2"/>
    </xf>
    <xf numFmtId="0" fontId="48" fillId="0" borderId="0" xfId="0" applyFont="1" applyAlignment="1">
      <alignment vertical="center"/>
    </xf>
    <xf numFmtId="0" fontId="27" fillId="0" borderId="0" xfId="3" applyNumberFormat="1" applyFont="1" applyAlignment="1">
      <alignment horizontal="right" vertical="center"/>
    </xf>
    <xf numFmtId="0" fontId="15" fillId="0" borderId="0" xfId="0" applyFont="1" applyAlignment="1">
      <alignment vertical="top" wrapText="1" readingOrder="2"/>
    </xf>
    <xf numFmtId="166" fontId="13" fillId="0" borderId="0" xfId="3" applyNumberFormat="1" applyFont="1" applyAlignment="1">
      <alignment horizontal="right" vertical="center" wrapText="1" readingOrder="2"/>
    </xf>
    <xf numFmtId="0" fontId="27" fillId="0" borderId="0" xfId="0" applyFont="1" applyAlignment="1">
      <alignment readingOrder="2"/>
    </xf>
    <xf numFmtId="0" fontId="33" fillId="0" borderId="0" xfId="0" applyFont="1" applyAlignment="1">
      <alignment vertical="center"/>
    </xf>
    <xf numFmtId="165" fontId="13" fillId="0" borderId="3" xfId="0" applyNumberFormat="1" applyFont="1" applyBorder="1" applyAlignment="1">
      <alignment vertical="center"/>
    </xf>
    <xf numFmtId="165" fontId="13" fillId="0" borderId="3" xfId="1" applyNumberFormat="1" applyFont="1" applyBorder="1">
      <alignment vertical="center"/>
    </xf>
    <xf numFmtId="3" fontId="13" fillId="5" borderId="40" xfId="0" applyNumberFormat="1" applyFont="1" applyFill="1" applyBorder="1" applyAlignment="1">
      <alignment vertical="center"/>
    </xf>
    <xf numFmtId="3" fontId="13" fillId="5" borderId="41" xfId="0" applyNumberFormat="1" applyFont="1" applyFill="1" applyBorder="1" applyAlignment="1">
      <alignment vertical="center"/>
    </xf>
    <xf numFmtId="0" fontId="27" fillId="4" borderId="42" xfId="0" applyFont="1" applyFill="1" applyBorder="1" applyAlignment="1">
      <alignment horizontal="right" vertical="center" readingOrder="2"/>
    </xf>
    <xf numFmtId="0" fontId="27" fillId="4" borderId="0" xfId="0" applyFont="1" applyFill="1" applyAlignment="1">
      <alignment horizontal="center" vertical="center" wrapText="1"/>
    </xf>
    <xf numFmtId="0" fontId="13" fillId="0" borderId="43" xfId="0" applyFont="1" applyBorder="1" applyAlignment="1">
      <alignment horizontal="right" vertical="center"/>
    </xf>
    <xf numFmtId="0" fontId="27" fillId="4" borderId="42" xfId="0" applyFont="1" applyFill="1" applyBorder="1" applyAlignment="1">
      <alignment horizontal="right" vertical="top" wrapText="1"/>
    </xf>
    <xf numFmtId="0" fontId="13" fillId="5" borderId="44" xfId="0" applyFont="1" applyFill="1" applyBorder="1" applyAlignment="1">
      <alignment vertical="center"/>
    </xf>
    <xf numFmtId="0" fontId="13" fillId="5" borderId="45" xfId="0" applyFont="1" applyFill="1" applyBorder="1" applyAlignment="1">
      <alignment vertical="center"/>
    </xf>
    <xf numFmtId="0" fontId="27" fillId="4" borderId="42" xfId="0" applyFont="1" applyFill="1" applyBorder="1" applyAlignment="1">
      <alignment horizontal="right" vertical="center"/>
    </xf>
    <xf numFmtId="9" fontId="13" fillId="5" borderId="44" xfId="0" applyNumberFormat="1" applyFont="1" applyFill="1" applyBorder="1" applyAlignment="1" applyProtection="1">
      <alignment horizontal="right" vertical="center"/>
      <protection locked="0"/>
    </xf>
    <xf numFmtId="9" fontId="13" fillId="5" borderId="46" xfId="0" applyNumberFormat="1" applyFont="1" applyFill="1" applyBorder="1" applyAlignment="1" applyProtection="1">
      <alignment horizontal="right" vertical="center"/>
      <protection locked="0"/>
    </xf>
    <xf numFmtId="9" fontId="13" fillId="5" borderId="45" xfId="0" applyNumberFormat="1" applyFont="1" applyFill="1" applyBorder="1" applyAlignment="1" applyProtection="1">
      <alignment horizontal="right" vertical="center"/>
      <protection locked="0"/>
    </xf>
    <xf numFmtId="9" fontId="15" fillId="5" borderId="44" xfId="0" applyNumberFormat="1" applyFont="1" applyFill="1" applyBorder="1" applyAlignment="1">
      <alignment horizontal="right" vertical="center" readingOrder="2"/>
    </xf>
    <xf numFmtId="9" fontId="15" fillId="5" borderId="46" xfId="0" applyNumberFormat="1" applyFont="1" applyFill="1" applyBorder="1" applyAlignment="1">
      <alignment horizontal="right" vertical="center" readingOrder="2"/>
    </xf>
    <xf numFmtId="0" fontId="23" fillId="0" borderId="1" xfId="7" applyFont="1" applyBorder="1" applyAlignment="1">
      <alignment vertical="center" wrapText="1" readingOrder="2"/>
    </xf>
    <xf numFmtId="0" fontId="23" fillId="0" borderId="3" xfId="7" applyFont="1" applyBorder="1" applyAlignment="1">
      <alignment vertical="center" wrapText="1" readingOrder="2"/>
    </xf>
    <xf numFmtId="9" fontId="15" fillId="0" borderId="1" xfId="6" applyNumberFormat="1" applyFont="1" applyBorder="1" applyAlignment="1">
      <alignment vertical="center" wrapText="1"/>
    </xf>
    <xf numFmtId="166" fontId="13" fillId="0" borderId="3" xfId="6" applyNumberFormat="1" applyFont="1" applyBorder="1">
      <alignment vertical="center"/>
    </xf>
    <xf numFmtId="0" fontId="22" fillId="2" borderId="13" xfId="0" applyFont="1" applyFill="1" applyBorder="1" applyAlignment="1">
      <alignment horizontal="center" vertical="top" wrapText="1" readingOrder="2"/>
    </xf>
    <xf numFmtId="0" fontId="24" fillId="0" borderId="0" xfId="3" applyNumberFormat="1" applyFont="1" applyAlignment="1">
      <alignment horizontal="center" vertical="center" wrapText="1" readingOrder="2"/>
    </xf>
    <xf numFmtId="0" fontId="27" fillId="4" borderId="8" xfId="0" applyFont="1" applyFill="1" applyBorder="1" applyAlignment="1">
      <alignment vertical="center" wrapText="1"/>
    </xf>
    <xf numFmtId="0" fontId="22" fillId="2" borderId="8" xfId="3" applyNumberFormat="1" applyFont="1" applyFill="1" applyBorder="1" applyAlignment="1">
      <alignment horizontal="right" vertical="center" wrapText="1"/>
    </xf>
    <xf numFmtId="0" fontId="27" fillId="4" borderId="47" xfId="0" applyFont="1" applyFill="1" applyBorder="1" applyAlignment="1">
      <alignment horizontal="right" vertical="top" wrapText="1"/>
    </xf>
    <xf numFmtId="0" fontId="27" fillId="2" borderId="8" xfId="3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2" fillId="2" borderId="48" xfId="0" applyFont="1" applyFill="1" applyBorder="1" applyAlignment="1">
      <alignment vertical="center" wrapText="1"/>
    </xf>
    <xf numFmtId="0" fontId="28" fillId="2" borderId="49" xfId="0" applyFont="1" applyFill="1" applyBorder="1" applyAlignment="1">
      <alignment vertical="center" wrapText="1"/>
    </xf>
    <xf numFmtId="0" fontId="27" fillId="4" borderId="42" xfId="0" applyFont="1" applyFill="1" applyBorder="1" applyAlignment="1">
      <alignment horizontal="right" vertical="center" wrapText="1"/>
    </xf>
    <xf numFmtId="166" fontId="13" fillId="0" borderId="44" xfId="3" applyNumberFormat="1" applyFont="1" applyBorder="1" applyAlignment="1">
      <alignment vertical="center" wrapText="1"/>
    </xf>
    <xf numFmtId="166" fontId="13" fillId="0" borderId="46" xfId="3" applyNumberFormat="1" applyFont="1" applyBorder="1" applyAlignment="1">
      <alignment vertical="center" wrapText="1"/>
    </xf>
    <xf numFmtId="166" fontId="13" fillId="0" borderId="0" xfId="3" applyNumberFormat="1" applyFont="1" applyAlignment="1">
      <alignment vertical="center" wrapText="1"/>
    </xf>
    <xf numFmtId="0" fontId="2" fillId="0" borderId="37" xfId="0" applyFont="1" applyBorder="1" applyAlignment="1">
      <alignment wrapText="1"/>
    </xf>
    <xf numFmtId="0" fontId="22" fillId="2" borderId="50" xfId="0" applyFont="1" applyFill="1" applyBorder="1" applyAlignment="1">
      <alignment horizontal="center" vertical="center" wrapText="1" readingOrder="2"/>
    </xf>
    <xf numFmtId="0" fontId="23" fillId="0" borderId="0" xfId="3" applyNumberFormat="1" applyFont="1" applyAlignment="1">
      <alignment horizontal="right" vertical="center" readingOrder="2"/>
    </xf>
    <xf numFmtId="0" fontId="22" fillId="5" borderId="0" xfId="0" applyFont="1" applyFill="1" applyAlignment="1">
      <alignment horizontal="center" vertical="center" readingOrder="2"/>
    </xf>
    <xf numFmtId="0" fontId="27" fillId="5" borderId="0" xfId="0" applyFont="1" applyFill="1" applyAlignment="1">
      <alignment horizontal="right" vertical="top"/>
    </xf>
    <xf numFmtId="0" fontId="13" fillId="0" borderId="51" xfId="0" applyFont="1" applyBorder="1" applyAlignment="1">
      <alignment vertical="center"/>
    </xf>
    <xf numFmtId="0" fontId="13" fillId="0" borderId="51" xfId="0" applyFont="1" applyBorder="1" applyAlignment="1">
      <alignment horizontal="right" wrapText="1" readingOrder="2"/>
    </xf>
    <xf numFmtId="0" fontId="13" fillId="0" borderId="51" xfId="0" applyFont="1" applyBorder="1" applyAlignment="1">
      <alignment horizontal="right" readingOrder="2"/>
    </xf>
    <xf numFmtId="0" fontId="27" fillId="5" borderId="47" xfId="0" applyFont="1" applyFill="1" applyBorder="1" applyAlignment="1">
      <alignment horizontal="right" vertical="top" wrapText="1"/>
    </xf>
    <xf numFmtId="0" fontId="0" fillId="5" borderId="0" xfId="0" applyFill="1" applyAlignment="1">
      <alignment vertical="center"/>
    </xf>
    <xf numFmtId="3" fontId="13" fillId="5" borderId="0" xfId="0" applyNumberFormat="1" applyFont="1" applyFill="1" applyAlignment="1">
      <alignment vertical="center"/>
    </xf>
    <xf numFmtId="9" fontId="13" fillId="5" borderId="3" xfId="0" applyNumberFormat="1" applyFont="1" applyFill="1" applyBorder="1" applyAlignment="1">
      <alignment vertical="center"/>
    </xf>
    <xf numFmtId="9" fontId="13" fillId="5" borderId="3" xfId="1" applyFont="1" applyFill="1" applyBorder="1">
      <alignment vertical="center"/>
    </xf>
    <xf numFmtId="9" fontId="13" fillId="5" borderId="2" xfId="0" applyNumberFormat="1" applyFont="1" applyFill="1" applyBorder="1" applyAlignment="1">
      <alignment vertical="center"/>
    </xf>
    <xf numFmtId="0" fontId="13" fillId="5" borderId="0" xfId="0" applyFont="1" applyFill="1" applyAlignment="1">
      <alignment vertical="center"/>
    </xf>
    <xf numFmtId="0" fontId="22" fillId="5" borderId="0" xfId="0" applyFont="1" applyFill="1" applyAlignment="1">
      <alignment vertical="center" readingOrder="2"/>
    </xf>
    <xf numFmtId="0" fontId="24" fillId="5" borderId="0" xfId="3" applyNumberFormat="1" applyFont="1" applyFill="1" applyAlignment="1">
      <alignment vertical="center" wrapText="1" readingOrder="2"/>
    </xf>
    <xf numFmtId="0" fontId="24" fillId="5" borderId="0" xfId="3" applyNumberFormat="1" applyFont="1" applyFill="1" applyAlignment="1">
      <alignment horizontal="center" vertical="center" wrapText="1" readingOrder="2"/>
    </xf>
    <xf numFmtId="0" fontId="20" fillId="11" borderId="0" xfId="3" applyNumberFormat="1" applyFont="1" applyFill="1" applyAlignment="1">
      <alignment vertical="center" readingOrder="2"/>
    </xf>
    <xf numFmtId="166" fontId="13" fillId="0" borderId="0" xfId="3" applyNumberFormat="1" applyFont="1" applyAlignment="1">
      <alignment horizontal="right" vertical="center" readingOrder="2"/>
    </xf>
    <xf numFmtId="169" fontId="13" fillId="0" borderId="0" xfId="3" applyNumberFormat="1" applyFont="1" applyAlignment="1">
      <alignment vertical="center" readingOrder="2"/>
    </xf>
    <xf numFmtId="166" fontId="49" fillId="5" borderId="0" xfId="3" applyNumberFormat="1" applyFont="1" applyFill="1" applyAlignment="1">
      <alignment vertical="center" readingOrder="2"/>
    </xf>
    <xf numFmtId="0" fontId="23" fillId="0" borderId="0" xfId="3" applyNumberFormat="1" applyFont="1" applyAlignment="1">
      <alignment horizontal="right" vertical="center"/>
    </xf>
    <xf numFmtId="0" fontId="47" fillId="2" borderId="0" xfId="0" applyFont="1" applyFill="1" applyAlignment="1">
      <alignment horizontal="right" vertical="center" wrapText="1" readingOrder="2"/>
    </xf>
    <xf numFmtId="0" fontId="23" fillId="5" borderId="0" xfId="3" applyNumberFormat="1" applyFont="1" applyFill="1">
      <alignment vertical="center"/>
    </xf>
    <xf numFmtId="166" fontId="13" fillId="5" borderId="0" xfId="3" applyNumberFormat="1" applyFont="1" applyFill="1" applyAlignment="1">
      <alignment horizontal="right" vertical="center"/>
    </xf>
    <xf numFmtId="9" fontId="13" fillId="5" borderId="0" xfId="1" applyFont="1" applyFill="1" applyAlignment="1">
      <alignment horizontal="right" vertical="center"/>
    </xf>
    <xf numFmtId="166" fontId="13" fillId="5" borderId="0" xfId="3" applyNumberFormat="1" applyFont="1" applyFill="1" applyAlignment="1">
      <alignment horizontal="right" vertical="center" wrapText="1"/>
    </xf>
    <xf numFmtId="0" fontId="22" fillId="2" borderId="1" xfId="3" applyNumberFormat="1" applyFont="1" applyFill="1" applyBorder="1" applyAlignment="1">
      <alignment horizontal="center" vertical="center" wrapText="1" readingOrder="2"/>
    </xf>
    <xf numFmtId="10" fontId="13" fillId="0" borderId="1" xfId="1" applyNumberFormat="1" applyFont="1" applyBorder="1" applyAlignment="1">
      <alignment vertical="center" readingOrder="2"/>
    </xf>
    <xf numFmtId="0" fontId="50" fillId="0" borderId="0" xfId="0" applyFont="1" applyAlignment="1">
      <alignment horizontal="right" vertical="center" readingOrder="2"/>
    </xf>
    <xf numFmtId="0" fontId="13" fillId="5" borderId="18" xfId="0" applyFont="1" applyFill="1" applyBorder="1" applyAlignment="1" applyProtection="1">
      <alignment vertical="center"/>
      <protection locked="0"/>
    </xf>
    <xf numFmtId="0" fontId="13" fillId="5" borderId="9" xfId="0" applyFont="1" applyFill="1" applyBorder="1" applyAlignment="1" applyProtection="1">
      <alignment vertical="center"/>
      <protection locked="0"/>
    </xf>
    <xf numFmtId="0" fontId="13" fillId="5" borderId="24" xfId="0" applyFont="1" applyFill="1" applyBorder="1" applyAlignment="1" applyProtection="1">
      <alignment vertical="center"/>
      <protection locked="0"/>
    </xf>
    <xf numFmtId="0" fontId="13" fillId="5" borderId="20" xfId="0" applyFont="1" applyFill="1" applyBorder="1" applyAlignment="1" applyProtection="1">
      <alignment horizontal="right" vertical="center"/>
      <protection locked="0"/>
    </xf>
    <xf numFmtId="165" fontId="13" fillId="5" borderId="3" xfId="0" applyNumberFormat="1" applyFont="1" applyFill="1" applyBorder="1" applyAlignment="1">
      <alignment vertical="center" wrapText="1"/>
    </xf>
    <xf numFmtId="0" fontId="13" fillId="5" borderId="3" xfId="0" applyFont="1" applyFill="1" applyBorder="1" applyAlignment="1">
      <alignment vertical="center"/>
    </xf>
    <xf numFmtId="0" fontId="13" fillId="5" borderId="52" xfId="0" applyFont="1" applyFill="1" applyBorder="1" applyAlignment="1">
      <alignment vertical="center"/>
    </xf>
    <xf numFmtId="3" fontId="13" fillId="5" borderId="18" xfId="0" applyNumberFormat="1" applyFont="1" applyFill="1" applyBorder="1" applyAlignment="1">
      <alignment horizontal="right" vertical="center" readingOrder="2"/>
    </xf>
    <xf numFmtId="165" fontId="13" fillId="5" borderId="3" xfId="0" applyNumberFormat="1" applyFont="1" applyFill="1" applyBorder="1" applyAlignment="1">
      <alignment vertical="center"/>
    </xf>
    <xf numFmtId="0" fontId="13" fillId="5" borderId="20" xfId="0" applyFont="1" applyFill="1" applyBorder="1" applyAlignment="1" applyProtection="1">
      <alignment vertical="center"/>
      <protection locked="0"/>
    </xf>
    <xf numFmtId="3" fontId="13" fillId="5" borderId="1" xfId="0" applyNumberFormat="1" applyFont="1" applyFill="1" applyBorder="1" applyAlignment="1" applyProtection="1">
      <alignment vertical="center" readingOrder="2"/>
      <protection locked="0"/>
    </xf>
    <xf numFmtId="3" fontId="13" fillId="5" borderId="10" xfId="0" applyNumberFormat="1" applyFont="1" applyFill="1" applyBorder="1" applyAlignment="1">
      <alignment vertical="center" readingOrder="2"/>
    </xf>
    <xf numFmtId="3" fontId="13" fillId="5" borderId="3" xfId="0" applyNumberFormat="1" applyFont="1" applyFill="1" applyBorder="1" applyAlignment="1" applyProtection="1">
      <alignment vertical="center" readingOrder="2"/>
      <protection locked="0"/>
    </xf>
    <xf numFmtId="3" fontId="13" fillId="5" borderId="9" xfId="0" applyNumberFormat="1" applyFont="1" applyFill="1" applyBorder="1" applyAlignment="1">
      <alignment vertical="center" readingOrder="2"/>
    </xf>
    <xf numFmtId="3" fontId="13" fillId="5" borderId="2" xfId="0" applyNumberFormat="1" applyFont="1" applyFill="1" applyBorder="1" applyAlignment="1">
      <alignment vertical="center" readingOrder="2"/>
    </xf>
    <xf numFmtId="3" fontId="13" fillId="5" borderId="1" xfId="0" applyNumberFormat="1" applyFont="1" applyFill="1" applyBorder="1" applyAlignment="1" applyProtection="1">
      <alignment horizontal="right" vertical="center" readingOrder="2"/>
      <protection locked="0"/>
    </xf>
    <xf numFmtId="3" fontId="13" fillId="5" borderId="1" xfId="0" applyNumberFormat="1" applyFont="1" applyFill="1" applyBorder="1" applyAlignment="1">
      <alignment horizontal="right" vertical="center" readingOrder="2"/>
    </xf>
    <xf numFmtId="3" fontId="13" fillId="5" borderId="3" xfId="0" applyNumberFormat="1" applyFont="1" applyFill="1" applyBorder="1" applyAlignment="1" applyProtection="1">
      <alignment horizontal="right" vertical="center" readingOrder="2"/>
      <protection locked="0"/>
    </xf>
    <xf numFmtId="3" fontId="13" fillId="5" borderId="2" xfId="0" applyNumberFormat="1" applyFont="1" applyFill="1" applyBorder="1" applyAlignment="1">
      <alignment horizontal="right" vertical="center" readingOrder="2"/>
    </xf>
    <xf numFmtId="3" fontId="13" fillId="5" borderId="1" xfId="0" applyNumberFormat="1" applyFont="1" applyFill="1" applyBorder="1" applyAlignment="1">
      <alignment vertical="center" wrapText="1"/>
    </xf>
    <xf numFmtId="3" fontId="51" fillId="5" borderId="17" xfId="0" applyNumberFormat="1" applyFont="1" applyFill="1" applyBorder="1" applyAlignment="1" applyProtection="1">
      <alignment vertical="center" wrapText="1"/>
      <protection locked="0"/>
    </xf>
    <xf numFmtId="9" fontId="13" fillId="5" borderId="3" xfId="10" applyFont="1" applyFill="1" applyBorder="1" applyAlignment="1">
      <alignment vertical="center" wrapText="1"/>
    </xf>
    <xf numFmtId="3" fontId="13" fillId="5" borderId="3" xfId="0" applyNumberFormat="1" applyFont="1" applyFill="1" applyBorder="1" applyAlignment="1">
      <alignment vertical="center" wrapText="1"/>
    </xf>
    <xf numFmtId="0" fontId="13" fillId="5" borderId="19" xfId="0" applyFont="1" applyFill="1" applyBorder="1" applyAlignment="1" applyProtection="1">
      <alignment vertical="center" wrapText="1"/>
      <protection locked="0"/>
    </xf>
    <xf numFmtId="3" fontId="13" fillId="5" borderId="19" xfId="0" applyNumberFormat="1" applyFont="1" applyFill="1" applyBorder="1" applyAlignment="1" applyProtection="1">
      <alignment vertical="center" wrapText="1"/>
      <protection locked="0"/>
    </xf>
    <xf numFmtId="0" fontId="51" fillId="5" borderId="19" xfId="0" applyFont="1" applyFill="1" applyBorder="1" applyAlignment="1" applyProtection="1">
      <alignment vertical="center" wrapText="1"/>
      <protection locked="0"/>
    </xf>
    <xf numFmtId="9" fontId="13" fillId="5" borderId="2" xfId="10" applyFont="1" applyFill="1" applyBorder="1" applyAlignment="1">
      <alignment vertical="center" wrapText="1"/>
    </xf>
    <xf numFmtId="9" fontId="13" fillId="5" borderId="14" xfId="0" applyNumberFormat="1" applyFont="1" applyFill="1" applyBorder="1" applyAlignment="1" applyProtection="1">
      <alignment vertical="center" wrapText="1"/>
      <protection locked="0"/>
    </xf>
    <xf numFmtId="0" fontId="13" fillId="5" borderId="1" xfId="0" applyFont="1" applyFill="1" applyBorder="1" applyAlignment="1">
      <alignment vertical="center" wrapText="1" readingOrder="2"/>
    </xf>
    <xf numFmtId="9" fontId="13" fillId="5" borderId="3" xfId="10" applyFont="1" applyFill="1" applyBorder="1" applyAlignment="1">
      <alignment vertical="center" wrapText="1" readingOrder="2"/>
    </xf>
    <xf numFmtId="3" fontId="13" fillId="5" borderId="3" xfId="0" applyNumberFormat="1" applyFont="1" applyFill="1" applyBorder="1" applyAlignment="1">
      <alignment vertical="center" wrapText="1" readingOrder="2"/>
    </xf>
    <xf numFmtId="9" fontId="13" fillId="5" borderId="2" xfId="10" applyFont="1" applyFill="1" applyBorder="1" applyAlignment="1">
      <alignment vertical="center" wrapText="1" readingOrder="2"/>
    </xf>
    <xf numFmtId="3" fontId="13" fillId="5" borderId="53" xfId="0" applyNumberFormat="1" applyFont="1" applyFill="1" applyBorder="1" applyAlignment="1">
      <alignment vertical="center"/>
    </xf>
    <xf numFmtId="9" fontId="13" fillId="5" borderId="54" xfId="0" applyNumberFormat="1" applyFont="1" applyFill="1" applyBorder="1" applyAlignment="1">
      <alignment vertical="center" wrapText="1"/>
    </xf>
    <xf numFmtId="3" fontId="13" fillId="5" borderId="54" xfId="0" applyNumberFormat="1" applyFont="1" applyFill="1" applyBorder="1" applyAlignment="1" applyProtection="1">
      <alignment vertical="center" readingOrder="2"/>
      <protection locked="0"/>
    </xf>
    <xf numFmtId="3" fontId="13" fillId="5" borderId="54" xfId="0" applyNumberFormat="1" applyFont="1" applyFill="1" applyBorder="1" applyAlignment="1">
      <alignment vertical="center" readingOrder="2"/>
    </xf>
    <xf numFmtId="3" fontId="13" fillId="5" borderId="55" xfId="0" applyNumberFormat="1" applyFont="1" applyFill="1" applyBorder="1" applyAlignment="1" applyProtection="1">
      <alignment vertical="center" readingOrder="2"/>
      <protection locked="0"/>
    </xf>
    <xf numFmtId="3" fontId="13" fillId="5" borderId="56" xfId="0" applyNumberFormat="1" applyFont="1" applyFill="1" applyBorder="1" applyAlignment="1">
      <alignment vertical="center" readingOrder="2"/>
    </xf>
    <xf numFmtId="0" fontId="13" fillId="5" borderId="55" xfId="0" applyFont="1" applyFill="1" applyBorder="1" applyAlignment="1">
      <alignment vertical="center" wrapText="1"/>
    </xf>
    <xf numFmtId="0" fontId="13" fillId="5" borderId="57" xfId="0" applyFont="1" applyFill="1" applyBorder="1" applyAlignment="1">
      <alignment vertical="center" wrapText="1"/>
    </xf>
    <xf numFmtId="0" fontId="13" fillId="5" borderId="56" xfId="0" applyFont="1" applyFill="1" applyBorder="1" applyAlignment="1">
      <alignment vertical="center" wrapText="1"/>
    </xf>
    <xf numFmtId="0" fontId="13" fillId="5" borderId="58" xfId="0" applyFont="1" applyFill="1" applyBorder="1" applyAlignment="1">
      <alignment vertical="center" wrapText="1"/>
    </xf>
    <xf numFmtId="3" fontId="15" fillId="5" borderId="59" xfId="0" applyNumberFormat="1" applyFont="1" applyFill="1" applyBorder="1" applyAlignment="1" applyProtection="1">
      <alignment vertical="center" readingOrder="2"/>
      <protection locked="0"/>
    </xf>
    <xf numFmtId="3" fontId="15" fillId="5" borderId="59" xfId="0" applyNumberFormat="1" applyFont="1" applyFill="1" applyBorder="1" applyAlignment="1">
      <alignment vertical="center" readingOrder="2"/>
    </xf>
    <xf numFmtId="3" fontId="15" fillId="5" borderId="28" xfId="0" applyNumberFormat="1" applyFont="1" applyFill="1" applyBorder="1" applyAlignment="1" applyProtection="1">
      <alignment vertical="center" readingOrder="2"/>
      <protection locked="0"/>
    </xf>
    <xf numFmtId="3" fontId="15" fillId="5" borderId="28" xfId="0" applyNumberFormat="1" applyFont="1" applyFill="1" applyBorder="1" applyAlignment="1">
      <alignment vertical="center" readingOrder="2"/>
    </xf>
    <xf numFmtId="3" fontId="15" fillId="5" borderId="28" xfId="0" applyNumberFormat="1" applyFont="1" applyFill="1" applyBorder="1" applyAlignment="1">
      <alignment vertical="center"/>
    </xf>
    <xf numFmtId="3" fontId="15" fillId="5" borderId="60" xfId="0" applyNumberFormat="1" applyFont="1" applyFill="1" applyBorder="1" applyAlignment="1">
      <alignment vertical="center" readingOrder="2"/>
    </xf>
    <xf numFmtId="166" fontId="13" fillId="5" borderId="54" xfId="3" applyNumberFormat="1" applyFont="1" applyFill="1" applyBorder="1" applyAlignment="1">
      <alignment vertical="center" wrapText="1"/>
    </xf>
    <xf numFmtId="0" fontId="13" fillId="5" borderId="54" xfId="0" applyFont="1" applyFill="1" applyBorder="1" applyAlignment="1">
      <alignment vertical="center"/>
    </xf>
    <xf numFmtId="9" fontId="13" fillId="5" borderId="55" xfId="1" applyFont="1" applyFill="1" applyBorder="1">
      <alignment vertical="center"/>
    </xf>
    <xf numFmtId="166" fontId="13" fillId="5" borderId="55" xfId="3" applyNumberFormat="1" applyFont="1" applyFill="1" applyBorder="1" applyAlignment="1">
      <alignment vertical="center" wrapText="1"/>
    </xf>
    <xf numFmtId="166" fontId="13" fillId="5" borderId="55" xfId="0" applyNumberFormat="1" applyFont="1" applyFill="1" applyBorder="1" applyAlignment="1">
      <alignment vertical="center"/>
    </xf>
    <xf numFmtId="9" fontId="13" fillId="5" borderId="55" xfId="1" applyFont="1" applyFill="1" applyBorder="1" applyAlignment="1">
      <alignment vertical="center" wrapText="1"/>
    </xf>
    <xf numFmtId="0" fontId="13" fillId="5" borderId="55" xfId="0" applyFont="1" applyFill="1" applyBorder="1" applyAlignment="1">
      <alignment vertical="center"/>
    </xf>
    <xf numFmtId="2" fontId="13" fillId="5" borderId="54" xfId="1" applyNumberFormat="1" applyFont="1" applyFill="1" applyBorder="1" applyAlignment="1">
      <alignment horizontal="right" vertical="center"/>
    </xf>
    <xf numFmtId="0" fontId="13" fillId="5" borderId="25" xfId="0" applyFont="1" applyFill="1" applyBorder="1" applyAlignment="1">
      <alignment horizontal="right" vertical="center" readingOrder="2"/>
    </xf>
    <xf numFmtId="1" fontId="13" fillId="5" borderId="25" xfId="1" applyNumberFormat="1" applyFont="1" applyFill="1" applyBorder="1" applyAlignment="1">
      <alignment horizontal="right" vertical="center"/>
    </xf>
    <xf numFmtId="0" fontId="24" fillId="0" borderId="54" xfId="0" applyFont="1" applyBorder="1" applyAlignment="1">
      <alignment horizontal="right" vertical="center" wrapText="1" readingOrder="2"/>
    </xf>
    <xf numFmtId="20" fontId="0" fillId="0" borderId="0" xfId="0" applyNumberFormat="1" applyAlignment="1">
      <alignment vertical="center"/>
    </xf>
    <xf numFmtId="0" fontId="23" fillId="0" borderId="55" xfId="0" applyFont="1" applyBorder="1" applyAlignment="1">
      <alignment horizontal="right" vertical="center" wrapText="1" readingOrder="2"/>
    </xf>
    <xf numFmtId="0" fontId="24" fillId="0" borderId="55" xfId="0" applyFont="1" applyBorder="1" applyAlignment="1">
      <alignment horizontal="right" vertical="center" wrapText="1" readingOrder="2"/>
    </xf>
    <xf numFmtId="0" fontId="27" fillId="4" borderId="61" xfId="0" applyFont="1" applyFill="1" applyBorder="1" applyAlignment="1">
      <alignment horizontal="right" vertical="center" wrapText="1"/>
    </xf>
    <xf numFmtId="0" fontId="27" fillId="5" borderId="62" xfId="0" applyFont="1" applyFill="1" applyBorder="1" applyAlignment="1">
      <alignment vertical="center" wrapText="1"/>
    </xf>
    <xf numFmtId="0" fontId="27" fillId="5" borderId="57" xfId="0" applyFont="1" applyFill="1" applyBorder="1" applyAlignment="1">
      <alignment vertical="center" wrapText="1"/>
    </xf>
    <xf numFmtId="9" fontId="13" fillId="5" borderId="55" xfId="0" applyNumberFormat="1" applyFont="1" applyFill="1" applyBorder="1" applyAlignment="1" applyProtection="1">
      <alignment horizontal="right" vertical="center"/>
      <protection locked="0"/>
    </xf>
    <xf numFmtId="0" fontId="27" fillId="5" borderId="58" xfId="0" applyFont="1" applyFill="1" applyBorder="1" applyAlignment="1">
      <alignment vertical="center" wrapText="1"/>
    </xf>
    <xf numFmtId="9" fontId="13" fillId="5" borderId="56" xfId="0" applyNumberFormat="1" applyFont="1" applyFill="1" applyBorder="1" applyAlignment="1" applyProtection="1">
      <alignment horizontal="right" vertical="center"/>
      <protection locked="0"/>
    </xf>
    <xf numFmtId="0" fontId="22" fillId="5" borderId="0" xfId="0" applyFont="1" applyFill="1" applyAlignment="1">
      <alignment horizontal="right" vertical="center"/>
    </xf>
    <xf numFmtId="0" fontId="22" fillId="5" borderId="63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0" fontId="22" fillId="5" borderId="0" xfId="0" applyFont="1" applyFill="1" applyAlignment="1">
      <alignment vertical="center" wrapText="1" readingOrder="2"/>
    </xf>
    <xf numFmtId="0" fontId="18" fillId="5" borderId="0" xfId="0" applyFont="1" applyFill="1" applyAlignment="1">
      <alignment vertical="center" wrapText="1" readingOrder="2"/>
    </xf>
    <xf numFmtId="9" fontId="24" fillId="5" borderId="1" xfId="7" applyNumberFormat="1" applyFont="1" applyFill="1" applyBorder="1" applyAlignment="1">
      <alignment vertical="center" wrapText="1" readingOrder="2"/>
    </xf>
    <xf numFmtId="0" fontId="24" fillId="5" borderId="0" xfId="0" applyFont="1" applyFill="1" applyAlignment="1">
      <alignment horizontal="center" vertical="center" wrapText="1" readingOrder="2"/>
    </xf>
    <xf numFmtId="2" fontId="24" fillId="0" borderId="0" xfId="7" applyNumberFormat="1" applyFont="1" applyAlignment="1">
      <alignment horizontal="center" vertical="center" wrapText="1" readingOrder="2"/>
    </xf>
    <xf numFmtId="166" fontId="24" fillId="5" borderId="56" xfId="3" applyNumberFormat="1" applyFont="1" applyFill="1" applyBorder="1" applyAlignment="1">
      <alignment vertical="center" wrapText="1" readingOrder="1"/>
    </xf>
    <xf numFmtId="0" fontId="24" fillId="5" borderId="56" xfId="0" applyFont="1" applyFill="1" applyBorder="1" applyAlignment="1">
      <alignment vertical="center" wrapText="1" readingOrder="2"/>
    </xf>
    <xf numFmtId="0" fontId="15" fillId="0" borderId="30" xfId="0" applyFont="1" applyBorder="1" applyAlignment="1">
      <alignment horizontal="left" vertical="center" wrapText="1" readingOrder="2"/>
    </xf>
    <xf numFmtId="3" fontId="25" fillId="5" borderId="2" xfId="8" applyNumberFormat="1" applyFont="1" applyFill="1" applyBorder="1" applyAlignment="1">
      <alignment horizontal="right" vertical="center"/>
    </xf>
    <xf numFmtId="0" fontId="27" fillId="4" borderId="0" xfId="8" applyFont="1" applyFill="1" applyAlignment="1">
      <alignment horizontal="right" vertical="center"/>
    </xf>
    <xf numFmtId="9" fontId="13" fillId="5" borderId="1" xfId="8" applyNumberFormat="1" applyFont="1" applyFill="1" applyBorder="1" applyAlignment="1" applyProtection="1">
      <alignment horizontal="right" vertical="center"/>
      <protection locked="0"/>
    </xf>
    <xf numFmtId="9" fontId="13" fillId="5" borderId="3" xfId="8" applyNumberFormat="1" applyFont="1" applyFill="1" applyBorder="1" applyAlignment="1" applyProtection="1">
      <alignment horizontal="right" vertical="center"/>
      <protection locked="0"/>
    </xf>
    <xf numFmtId="3" fontId="25" fillId="5" borderId="1" xfId="8" applyNumberFormat="1" applyFont="1" applyFill="1" applyBorder="1" applyAlignment="1">
      <alignment horizontal="right" vertical="center"/>
    </xf>
    <xf numFmtId="0" fontId="25" fillId="5" borderId="1" xfId="8" applyFont="1" applyFill="1" applyBorder="1" applyAlignment="1">
      <alignment horizontal="right" vertical="center"/>
    </xf>
    <xf numFmtId="0" fontId="25" fillId="5" borderId="3" xfId="8" applyFont="1" applyFill="1" applyBorder="1" applyAlignment="1">
      <alignment horizontal="right" vertical="center"/>
    </xf>
    <xf numFmtId="0" fontId="25" fillId="5" borderId="2" xfId="8" applyFont="1" applyFill="1" applyBorder="1" applyAlignment="1">
      <alignment horizontal="right" vertical="center"/>
    </xf>
    <xf numFmtId="166" fontId="13" fillId="0" borderId="2" xfId="3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166" fontId="24" fillId="0" borderId="0" xfId="3" applyNumberFormat="1" applyFont="1" applyAlignment="1">
      <alignment vertical="center" readingOrder="2"/>
    </xf>
    <xf numFmtId="9" fontId="24" fillId="0" borderId="0" xfId="3" applyNumberFormat="1" applyFont="1" applyAlignment="1">
      <alignment vertical="center" readingOrder="2"/>
    </xf>
    <xf numFmtId="0" fontId="24" fillId="0" borderId="0" xfId="0" applyFont="1" applyAlignment="1">
      <alignment vertical="center" readingOrder="2"/>
    </xf>
    <xf numFmtId="0" fontId="22" fillId="2" borderId="0" xfId="3" applyNumberFormat="1" applyFont="1" applyFill="1" applyAlignment="1">
      <alignment horizontal="center" vertical="center" wrapText="1"/>
    </xf>
    <xf numFmtId="9" fontId="13" fillId="0" borderId="2" xfId="1" applyFont="1" applyBorder="1">
      <alignment vertical="center"/>
    </xf>
    <xf numFmtId="166" fontId="13" fillId="0" borderId="0" xfId="3" applyNumberFormat="1" applyFont="1" applyAlignment="1">
      <alignment horizontal="center" vertical="center" wrapText="1"/>
    </xf>
    <xf numFmtId="166" fontId="13" fillId="5" borderId="2" xfId="3" applyNumberFormat="1" applyFont="1" applyFill="1" applyBorder="1" applyAlignment="1">
      <alignment readingOrder="2"/>
    </xf>
    <xf numFmtId="0" fontId="13" fillId="0" borderId="0" xfId="0" applyFont="1" applyAlignment="1">
      <alignment horizontal="right" readingOrder="1"/>
    </xf>
    <xf numFmtId="0" fontId="32" fillId="0" borderId="64" xfId="0" applyFont="1" applyBorder="1" applyAlignment="1">
      <alignment horizontal="right" vertical="center"/>
    </xf>
    <xf numFmtId="3" fontId="32" fillId="0" borderId="64" xfId="0" applyNumberFormat="1" applyFont="1" applyBorder="1" applyAlignment="1">
      <alignment horizontal="right" vertical="center"/>
    </xf>
    <xf numFmtId="0" fontId="42" fillId="0" borderId="65" xfId="0" applyFont="1" applyBorder="1" applyAlignment="1">
      <alignment vertical="center"/>
    </xf>
    <xf numFmtId="0" fontId="42" fillId="0" borderId="66" xfId="0" applyFont="1" applyBorder="1" applyAlignment="1">
      <alignment vertical="center"/>
    </xf>
    <xf numFmtId="0" fontId="32" fillId="0" borderId="66" xfId="0" applyFont="1" applyBorder="1" applyAlignment="1">
      <alignment horizontal="right" vertical="center"/>
    </xf>
    <xf numFmtId="0" fontId="32" fillId="0" borderId="66" xfId="0" applyFont="1" applyBorder="1" applyAlignment="1">
      <alignment horizontal="right" vertical="center" wrapText="1"/>
    </xf>
    <xf numFmtId="0" fontId="25" fillId="0" borderId="64" xfId="0" applyFont="1" applyBorder="1" applyAlignment="1">
      <alignment horizontal="right" vertical="center"/>
    </xf>
    <xf numFmtId="166" fontId="24" fillId="0" borderId="64" xfId="3" applyNumberFormat="1" applyFont="1" applyBorder="1" applyAlignment="1">
      <alignment horizontal="right" vertical="center"/>
    </xf>
    <xf numFmtId="0" fontId="32" fillId="0" borderId="0" xfId="0" applyFont="1" applyAlignment="1">
      <alignment horizontal="center" vertical="center"/>
    </xf>
    <xf numFmtId="167" fontId="27" fillId="0" borderId="3" xfId="0" applyNumberFormat="1" applyFont="1" applyBorder="1" applyAlignment="1">
      <alignment horizontal="right" vertical="center"/>
    </xf>
    <xf numFmtId="0" fontId="32" fillId="12" borderId="66" xfId="0" applyFont="1" applyFill="1" applyBorder="1" applyAlignment="1">
      <alignment horizontal="right" vertical="center" wrapText="1"/>
    </xf>
    <xf numFmtId="3" fontId="32" fillId="12" borderId="64" xfId="0" applyNumberFormat="1" applyFont="1" applyFill="1" applyBorder="1" applyAlignment="1">
      <alignment horizontal="right" vertical="center"/>
    </xf>
    <xf numFmtId="0" fontId="32" fillId="0" borderId="65" xfId="0" applyFont="1" applyBorder="1" applyAlignment="1">
      <alignment vertical="center"/>
    </xf>
    <xf numFmtId="0" fontId="32" fillId="0" borderId="0" xfId="0" applyFont="1" applyAlignment="1">
      <alignment horizontal="center" vertical="center" wrapText="1"/>
    </xf>
    <xf numFmtId="0" fontId="32" fillId="0" borderId="64" xfId="3" applyNumberFormat="1" applyFont="1" applyBorder="1" applyAlignment="1">
      <alignment horizontal="right" vertical="center"/>
    </xf>
    <xf numFmtId="167" fontId="27" fillId="0" borderId="1" xfId="0" applyNumberFormat="1" applyFont="1" applyBorder="1" applyAlignment="1">
      <alignment horizontal="right" vertical="center"/>
    </xf>
    <xf numFmtId="166" fontId="24" fillId="13" borderId="64" xfId="3" applyNumberFormat="1" applyFont="1" applyFill="1" applyBorder="1" applyAlignment="1">
      <alignment horizontal="right" vertical="center"/>
    </xf>
    <xf numFmtId="0" fontId="23" fillId="0" borderId="3" xfId="3" applyNumberFormat="1" applyFont="1" applyBorder="1" applyAlignment="1">
      <alignment horizontal="right" vertical="center" wrapText="1"/>
    </xf>
    <xf numFmtId="166" fontId="27" fillId="0" borderId="13" xfId="3" applyNumberFormat="1" applyFont="1" applyBorder="1" applyAlignment="1">
      <alignment horizontal="center" vertical="center"/>
    </xf>
    <xf numFmtId="0" fontId="23" fillId="0" borderId="3" xfId="3" applyNumberFormat="1" applyFont="1" applyBorder="1" applyAlignment="1">
      <alignment horizontal="right" vertical="center" wrapText="1" readingOrder="1"/>
    </xf>
    <xf numFmtId="0" fontId="23" fillId="0" borderId="3" xfId="3" applyNumberFormat="1" applyFont="1" applyBorder="1" applyAlignment="1">
      <alignment horizontal="left" vertical="center" wrapText="1" readingOrder="1"/>
    </xf>
    <xf numFmtId="0" fontId="23" fillId="0" borderId="0" xfId="3" applyNumberFormat="1" applyFont="1" applyAlignment="1">
      <alignment horizontal="right" vertical="center" wrapText="1" readingOrder="1"/>
    </xf>
    <xf numFmtId="2" fontId="27" fillId="0" borderId="24" xfId="1" applyNumberFormat="1" applyFont="1" applyBorder="1" applyAlignment="1">
      <alignment horizontal="right" vertical="center"/>
    </xf>
    <xf numFmtId="2" fontId="27" fillId="0" borderId="2" xfId="1" applyNumberFormat="1" applyFont="1" applyBorder="1" applyAlignment="1">
      <alignment horizontal="right" vertical="center"/>
    </xf>
    <xf numFmtId="2" fontId="27" fillId="0" borderId="1" xfId="1" applyNumberFormat="1" applyFont="1" applyBorder="1" applyAlignment="1">
      <alignment horizontal="right" vertical="center"/>
    </xf>
    <xf numFmtId="9" fontId="13" fillId="0" borderId="20" xfId="1" applyFont="1" applyBorder="1" applyAlignment="1">
      <alignment horizontal="right" vertical="center"/>
    </xf>
    <xf numFmtId="165" fontId="28" fillId="5" borderId="2" xfId="1" applyNumberFormat="1" applyFont="1" applyFill="1" applyBorder="1" applyAlignment="1">
      <alignment horizontal="right" vertical="center"/>
    </xf>
    <xf numFmtId="0" fontId="24" fillId="5" borderId="0" xfId="7" applyFont="1" applyFill="1" applyAlignment="1">
      <alignment horizontal="center" vertical="center" wrapText="1" readingOrder="2"/>
    </xf>
    <xf numFmtId="0" fontId="13" fillId="5" borderId="0" xfId="0" applyFont="1" applyFill="1" applyAlignment="1">
      <alignment horizontal="center"/>
    </xf>
    <xf numFmtId="166" fontId="24" fillId="5" borderId="2" xfId="3" applyNumberFormat="1" applyFont="1" applyFill="1" applyBorder="1">
      <alignment vertical="center"/>
    </xf>
    <xf numFmtId="9" fontId="24" fillId="5" borderId="2" xfId="1" applyFont="1" applyFill="1" applyBorder="1">
      <alignment vertical="center"/>
    </xf>
    <xf numFmtId="166" fontId="24" fillId="0" borderId="3" xfId="3" applyNumberFormat="1" applyFont="1" applyBorder="1" applyAlignment="1">
      <alignment horizontal="right" vertical="center"/>
    </xf>
    <xf numFmtId="165" fontId="24" fillId="0" borderId="1" xfId="1" applyNumberFormat="1" applyFont="1" applyBorder="1" applyAlignment="1">
      <alignment horizontal="right" vertical="center"/>
    </xf>
    <xf numFmtId="166" fontId="24" fillId="0" borderId="1" xfId="3" applyNumberFormat="1" applyFont="1" applyBorder="1" applyAlignment="1">
      <alignment vertical="center" readingOrder="2"/>
    </xf>
    <xf numFmtId="0" fontId="13" fillId="5" borderId="3" xfId="0" applyFont="1" applyFill="1" applyBorder="1" applyAlignment="1">
      <alignment horizontal="center" vertical="center" wrapText="1" readingOrder="2"/>
    </xf>
    <xf numFmtId="0" fontId="13" fillId="5" borderId="2" xfId="0" applyFont="1" applyFill="1" applyBorder="1" applyAlignment="1">
      <alignment horizontal="center" vertical="center" wrapText="1" readingOrder="2"/>
    </xf>
    <xf numFmtId="0" fontId="13" fillId="3" borderId="5" xfId="0" applyFont="1" applyFill="1" applyBorder="1" applyAlignment="1">
      <alignment horizontal="center" vertical="center" wrapText="1"/>
    </xf>
    <xf numFmtId="0" fontId="27" fillId="3" borderId="32" xfId="0" applyFont="1" applyFill="1" applyBorder="1" applyAlignment="1">
      <alignment vertical="center" wrapText="1"/>
    </xf>
    <xf numFmtId="165" fontId="13" fillId="0" borderId="67" xfId="1" applyNumberFormat="1" applyFont="1" applyBorder="1" applyAlignment="1">
      <alignment horizontal="right" vertical="center"/>
    </xf>
    <xf numFmtId="9" fontId="13" fillId="0" borderId="34" xfId="0" applyNumberFormat="1" applyFont="1" applyBorder="1" applyAlignment="1">
      <alignment horizontal="right" vertical="center"/>
    </xf>
    <xf numFmtId="10" fontId="13" fillId="0" borderId="34" xfId="0" applyNumberFormat="1" applyFont="1" applyBorder="1" applyAlignment="1">
      <alignment horizontal="right" vertical="center"/>
    </xf>
    <xf numFmtId="0" fontId="0" fillId="0" borderId="32" xfId="0" applyBorder="1" applyAlignment="1">
      <alignment vertical="center"/>
    </xf>
    <xf numFmtId="0" fontId="27" fillId="4" borderId="32" xfId="0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horizontal="right" vertical="center"/>
    </xf>
    <xf numFmtId="10" fontId="13" fillId="5" borderId="68" xfId="1" applyNumberFormat="1" applyFont="1" applyFill="1" applyBorder="1" applyAlignment="1">
      <alignment horizontal="right" vertical="center"/>
    </xf>
    <xf numFmtId="0" fontId="13" fillId="5" borderId="67" xfId="0" applyFont="1" applyFill="1" applyBorder="1" applyAlignment="1">
      <alignment horizontal="right" vertical="center"/>
    </xf>
    <xf numFmtId="10" fontId="13" fillId="5" borderId="34" xfId="0" applyNumberFormat="1" applyFont="1" applyFill="1" applyBorder="1" applyAlignment="1">
      <alignment horizontal="right" vertical="center"/>
    </xf>
    <xf numFmtId="165" fontId="13" fillId="5" borderId="67" xfId="1" applyNumberFormat="1" applyFont="1" applyFill="1" applyBorder="1" applyAlignment="1">
      <alignment horizontal="right" vertical="center"/>
    </xf>
    <xf numFmtId="165" fontId="13" fillId="0" borderId="34" xfId="1" applyNumberFormat="1" applyFont="1" applyBorder="1" applyAlignment="1">
      <alignment horizontal="right" vertical="center"/>
    </xf>
    <xf numFmtId="1" fontId="0" fillId="14" borderId="69" xfId="0" applyNumberFormat="1" applyFill="1" applyBorder="1" applyAlignment="1">
      <alignment vertical="center"/>
    </xf>
    <xf numFmtId="0" fontId="0" fillId="14" borderId="69" xfId="0" applyFill="1" applyBorder="1" applyAlignment="1">
      <alignment vertical="center"/>
    </xf>
    <xf numFmtId="2" fontId="0" fillId="14" borderId="69" xfId="0" applyNumberFormat="1" applyFill="1" applyBorder="1" applyAlignment="1">
      <alignment vertical="center"/>
    </xf>
    <xf numFmtId="0" fontId="0" fillId="14" borderId="0" xfId="0" applyFill="1" applyAlignment="1">
      <alignment vertical="center"/>
    </xf>
    <xf numFmtId="165" fontId="0" fillId="14" borderId="70" xfId="1" applyNumberFormat="1" applyFont="1" applyFill="1" applyBorder="1">
      <alignment vertical="center"/>
    </xf>
    <xf numFmtId="0" fontId="0" fillId="0" borderId="64" xfId="0" applyBorder="1" applyAlignment="1">
      <alignment vertical="center"/>
    </xf>
    <xf numFmtId="9" fontId="0" fillId="0" borderId="64" xfId="0" applyNumberFormat="1" applyBorder="1" applyAlignment="1">
      <alignment vertical="center"/>
    </xf>
    <xf numFmtId="0" fontId="27" fillId="14" borderId="71" xfId="0" applyFont="1" applyFill="1" applyBorder="1" applyAlignment="1">
      <alignment horizontal="right" vertical="center" readingOrder="2"/>
    </xf>
    <xf numFmtId="0" fontId="27" fillId="3" borderId="72" xfId="0" applyFont="1" applyFill="1" applyBorder="1" applyAlignment="1">
      <alignment horizontal="right" vertical="center" readingOrder="2"/>
    </xf>
    <xf numFmtId="0" fontId="27" fillId="3" borderId="73" xfId="0" applyFont="1" applyFill="1" applyBorder="1" applyAlignment="1">
      <alignment vertical="center" wrapText="1"/>
    </xf>
    <xf numFmtId="0" fontId="13" fillId="0" borderId="74" xfId="0" applyFont="1" applyBorder="1" applyAlignment="1">
      <alignment horizontal="right" vertical="center" readingOrder="2"/>
    </xf>
    <xf numFmtId="165" fontId="13" fillId="0" borderId="75" xfId="1" applyNumberFormat="1" applyFont="1" applyBorder="1" applyAlignment="1">
      <alignment horizontal="right" vertical="center"/>
    </xf>
    <xf numFmtId="0" fontId="13" fillId="0" borderId="76" xfId="0" applyFont="1" applyBorder="1" applyAlignment="1">
      <alignment horizontal="right" vertical="center"/>
    </xf>
    <xf numFmtId="9" fontId="13" fillId="5" borderId="77" xfId="10" applyFont="1" applyFill="1" applyBorder="1" applyAlignment="1">
      <alignment horizontal="right" vertical="center"/>
    </xf>
    <xf numFmtId="0" fontId="0" fillId="14" borderId="78" xfId="0" applyFill="1" applyBorder="1" applyAlignment="1">
      <alignment vertical="center"/>
    </xf>
    <xf numFmtId="165" fontId="0" fillId="14" borderId="79" xfId="1" applyNumberFormat="1" applyFont="1" applyFill="1" applyBorder="1">
      <alignment vertical="center"/>
    </xf>
    <xf numFmtId="0" fontId="0" fillId="14" borderId="80" xfId="0" applyFill="1" applyBorder="1" applyAlignment="1">
      <alignment vertical="center"/>
    </xf>
    <xf numFmtId="1" fontId="0" fillId="14" borderId="81" xfId="0" applyNumberFormat="1" applyFill="1" applyBorder="1" applyAlignment="1">
      <alignment vertical="center"/>
    </xf>
    <xf numFmtId="165" fontId="0" fillId="14" borderId="82" xfId="1" applyNumberFormat="1" applyFont="1" applyFill="1" applyBorder="1">
      <alignment vertical="center"/>
    </xf>
    <xf numFmtId="10" fontId="13" fillId="5" borderId="83" xfId="1" applyNumberFormat="1" applyFont="1" applyFill="1" applyBorder="1" applyAlignment="1">
      <alignment horizontal="right" vertical="center"/>
    </xf>
    <xf numFmtId="9" fontId="13" fillId="0" borderId="77" xfId="0" applyNumberFormat="1" applyFont="1" applyBorder="1" applyAlignment="1">
      <alignment horizontal="right" vertical="center"/>
    </xf>
    <xf numFmtId="0" fontId="13" fillId="0" borderId="84" xfId="0" applyFont="1" applyBorder="1" applyAlignment="1">
      <alignment horizontal="right" vertical="center"/>
    </xf>
    <xf numFmtId="0" fontId="13" fillId="0" borderId="77" xfId="0" applyFont="1" applyBorder="1" applyAlignment="1">
      <alignment horizontal="right" vertical="center"/>
    </xf>
    <xf numFmtId="0" fontId="0" fillId="14" borderId="85" xfId="0" applyFill="1" applyBorder="1" applyAlignment="1">
      <alignment vertical="center"/>
    </xf>
    <xf numFmtId="0" fontId="0" fillId="14" borderId="81" xfId="0" applyFill="1" applyBorder="1" applyAlignment="1">
      <alignment vertical="center"/>
    </xf>
    <xf numFmtId="2" fontId="0" fillId="14" borderId="81" xfId="0" applyNumberFormat="1" applyFill="1" applyBorder="1" applyAlignment="1">
      <alignment vertical="center"/>
    </xf>
    <xf numFmtId="0" fontId="13" fillId="5" borderId="74" xfId="0" applyFont="1" applyFill="1" applyBorder="1" applyAlignment="1">
      <alignment horizontal="right" vertical="center" readingOrder="2"/>
    </xf>
    <xf numFmtId="10" fontId="13" fillId="0" borderId="77" xfId="0" applyNumberFormat="1" applyFont="1" applyBorder="1" applyAlignment="1">
      <alignment horizontal="right" vertical="center"/>
    </xf>
    <xf numFmtId="0" fontId="0" fillId="14" borderId="86" xfId="0" applyFill="1" applyBorder="1" applyAlignment="1">
      <alignment horizontal="right"/>
    </xf>
    <xf numFmtId="0" fontId="0" fillId="14" borderId="87" xfId="0" applyFill="1" applyBorder="1" applyAlignment="1">
      <alignment horizontal="right"/>
    </xf>
    <xf numFmtId="0" fontId="24" fillId="0" borderId="1" xfId="0" applyFont="1" applyBorder="1" applyAlignment="1">
      <alignment horizontal="center" vertical="center" wrapText="1" readingOrder="2"/>
    </xf>
    <xf numFmtId="0" fontId="27" fillId="0" borderId="3" xfId="3" applyNumberFormat="1" applyFont="1" applyBorder="1">
      <alignment vertical="center"/>
    </xf>
    <xf numFmtId="0" fontId="27" fillId="4" borderId="88" xfId="0" applyFont="1" applyFill="1" applyBorder="1" applyAlignment="1">
      <alignment vertical="center" wrapText="1"/>
    </xf>
    <xf numFmtId="165" fontId="13" fillId="5" borderId="89" xfId="1" applyNumberFormat="1" applyFont="1" applyFill="1" applyBorder="1">
      <alignment vertical="center"/>
    </xf>
    <xf numFmtId="10" fontId="13" fillId="5" borderId="0" xfId="0" applyNumberFormat="1" applyFont="1" applyFill="1" applyAlignment="1">
      <alignment horizontal="right" vertical="center" readingOrder="2"/>
    </xf>
    <xf numFmtId="10" fontId="13" fillId="5" borderId="0" xfId="0" applyNumberFormat="1" applyFont="1" applyFill="1" applyAlignment="1">
      <alignment vertical="center"/>
    </xf>
    <xf numFmtId="9" fontId="13" fillId="5" borderId="0" xfId="0" applyNumberFormat="1" applyFont="1" applyFill="1" applyAlignment="1">
      <alignment horizontal="right" vertical="center"/>
    </xf>
    <xf numFmtId="10" fontId="13" fillId="0" borderId="0" xfId="0" applyNumberFormat="1" applyFont="1" applyAlignment="1">
      <alignment horizontal="right" vertical="center"/>
    </xf>
    <xf numFmtId="10" fontId="13" fillId="5" borderId="90" xfId="0" applyNumberFormat="1" applyFont="1" applyFill="1" applyBorder="1" applyAlignment="1">
      <alignment vertical="center"/>
    </xf>
    <xf numFmtId="0" fontId="13" fillId="0" borderId="91" xfId="0" applyFont="1" applyBorder="1" applyAlignment="1">
      <alignment horizontal="right" vertical="center"/>
    </xf>
    <xf numFmtId="165" fontId="13" fillId="5" borderId="0" xfId="1" applyNumberFormat="1" applyFont="1" applyFill="1">
      <alignment vertical="center"/>
    </xf>
    <xf numFmtId="10" fontId="13" fillId="0" borderId="1" xfId="0" applyNumberFormat="1" applyFont="1" applyBorder="1" applyAlignment="1">
      <alignment horizontal="right" vertical="center" readingOrder="2"/>
    </xf>
    <xf numFmtId="165" fontId="13" fillId="5" borderId="88" xfId="1" applyNumberFormat="1" applyFont="1" applyFill="1" applyBorder="1">
      <alignment vertical="center"/>
    </xf>
    <xf numFmtId="165" fontId="13" fillId="5" borderId="0" xfId="0" applyNumberFormat="1" applyFont="1" applyFill="1" applyAlignment="1">
      <alignment horizontal="right" vertical="center"/>
    </xf>
    <xf numFmtId="0" fontId="23" fillId="5" borderId="1" xfId="0" applyFont="1" applyFill="1" applyBorder="1" applyAlignment="1">
      <alignment horizontal="right" vertical="center"/>
    </xf>
    <xf numFmtId="0" fontId="24" fillId="0" borderId="0" xfId="7" applyFont="1" applyAlignment="1">
      <alignment horizontal="right" vertical="center" wrapText="1" readingOrder="2"/>
    </xf>
    <xf numFmtId="0" fontId="0" fillId="5" borderId="0" xfId="0" applyFill="1" applyAlignment="1">
      <alignment horizontal="right"/>
    </xf>
    <xf numFmtId="0" fontId="0" fillId="0" borderId="0" xfId="0" applyAlignment="1">
      <alignment horizontal="right"/>
    </xf>
    <xf numFmtId="166" fontId="15" fillId="0" borderId="0" xfId="3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166" fontId="13" fillId="0" borderId="0" xfId="6" applyNumberFormat="1" applyFont="1">
      <alignment vertical="center"/>
    </xf>
    <xf numFmtId="10" fontId="15" fillId="0" borderId="0" xfId="0" applyNumberFormat="1" applyFont="1" applyAlignment="1">
      <alignment vertical="center" wrapText="1"/>
    </xf>
    <xf numFmtId="0" fontId="18" fillId="4" borderId="88" xfId="0" applyFont="1" applyFill="1" applyBorder="1" applyAlignment="1">
      <alignment vertical="center" wrapText="1" readingOrder="2"/>
    </xf>
    <xf numFmtId="0" fontId="13" fillId="5" borderId="88" xfId="0" applyFont="1" applyFill="1" applyBorder="1" applyAlignment="1">
      <alignment vertical="center"/>
    </xf>
    <xf numFmtId="3" fontId="13" fillId="5" borderId="88" xfId="0" applyNumberFormat="1" applyFont="1" applyFill="1" applyBorder="1" applyAlignment="1">
      <alignment vertical="center"/>
    </xf>
    <xf numFmtId="166" fontId="15" fillId="0" borderId="0" xfId="6" applyNumberFormat="1" applyFont="1" applyAlignment="1">
      <alignment vertical="center" wrapText="1"/>
    </xf>
    <xf numFmtId="0" fontId="13" fillId="0" borderId="0" xfId="7" applyFont="1" applyAlignment="1">
      <alignment vertical="center"/>
    </xf>
    <xf numFmtId="43" fontId="15" fillId="0" borderId="0" xfId="3" applyFont="1" applyAlignment="1">
      <alignment vertical="center" wrapText="1"/>
    </xf>
    <xf numFmtId="166" fontId="7" fillId="0" borderId="0" xfId="3" applyNumberFormat="1">
      <alignment vertical="center"/>
    </xf>
    <xf numFmtId="0" fontId="15" fillId="0" borderId="0" xfId="0" applyFont="1" applyAlignment="1">
      <alignment horizontal="right" vertical="center" wrapText="1"/>
    </xf>
    <xf numFmtId="166" fontId="15" fillId="5" borderId="88" xfId="6" applyNumberFormat="1" applyFont="1" applyFill="1" applyBorder="1" applyAlignment="1">
      <alignment vertical="center" wrapText="1"/>
    </xf>
    <xf numFmtId="0" fontId="13" fillId="5" borderId="88" xfId="7" applyFont="1" applyFill="1" applyBorder="1" applyAlignment="1">
      <alignment vertical="center"/>
    </xf>
    <xf numFmtId="166" fontId="13" fillId="5" borderId="88" xfId="6" applyNumberFormat="1" applyFont="1" applyFill="1" applyBorder="1">
      <alignment vertical="center"/>
    </xf>
    <xf numFmtId="10" fontId="13" fillId="5" borderId="88" xfId="7" applyNumberFormat="1" applyFont="1" applyFill="1" applyBorder="1" applyAlignment="1">
      <alignment vertical="center"/>
    </xf>
    <xf numFmtId="10" fontId="13" fillId="0" borderId="0" xfId="7" applyNumberFormat="1" applyFont="1" applyAlignment="1">
      <alignment vertical="center"/>
    </xf>
    <xf numFmtId="166" fontId="15" fillId="5" borderId="89" xfId="6" applyNumberFormat="1" applyFont="1" applyFill="1" applyBorder="1" applyAlignment="1">
      <alignment vertical="center" wrapText="1"/>
    </xf>
    <xf numFmtId="0" fontId="13" fillId="5" borderId="90" xfId="7" applyFont="1" applyFill="1" applyBorder="1" applyAlignment="1">
      <alignment vertical="center"/>
    </xf>
    <xf numFmtId="166" fontId="13" fillId="5" borderId="90" xfId="6" applyNumberFormat="1" applyFont="1" applyFill="1" applyBorder="1">
      <alignment vertical="center"/>
    </xf>
    <xf numFmtId="10" fontId="13" fillId="5" borderId="91" xfId="7" applyNumberFormat="1" applyFont="1" applyFill="1" applyBorder="1" applyAlignment="1">
      <alignment vertical="center"/>
    </xf>
    <xf numFmtId="3" fontId="13" fillId="0" borderId="1" xfId="3" applyNumberFormat="1" applyFont="1" applyBorder="1" applyAlignment="1">
      <alignment horizontal="left" vertical="center" readingOrder="2"/>
    </xf>
    <xf numFmtId="165" fontId="13" fillId="0" borderId="1" xfId="1" applyNumberFormat="1" applyFont="1" applyBorder="1" applyAlignment="1">
      <alignment horizontal="center" vertical="center" readingOrder="2"/>
    </xf>
    <xf numFmtId="166" fontId="13" fillId="5" borderId="1" xfId="3" applyNumberFormat="1" applyFont="1" applyFill="1" applyBorder="1" applyAlignment="1">
      <alignment horizontal="left" vertical="center" indent="2" readingOrder="2"/>
    </xf>
    <xf numFmtId="3" fontId="13" fillId="5" borderId="1" xfId="3" applyNumberFormat="1" applyFont="1" applyFill="1" applyBorder="1" applyAlignment="1">
      <alignment horizontal="left" vertical="center" indent="2" readingOrder="2"/>
    </xf>
    <xf numFmtId="166" fontId="24" fillId="5" borderId="1" xfId="3" applyNumberFormat="1" applyFont="1" applyFill="1" applyBorder="1" applyAlignment="1">
      <alignment horizontal="left" vertical="center" indent="2" readingOrder="2"/>
    </xf>
    <xf numFmtId="166" fontId="13" fillId="5" borderId="2" xfId="3" applyNumberFormat="1" applyFont="1" applyFill="1" applyBorder="1" applyAlignment="1">
      <alignment horizontal="left" vertical="center" indent="2" readingOrder="2"/>
    </xf>
    <xf numFmtId="0" fontId="0" fillId="5" borderId="0" xfId="3" applyNumberFormat="1" applyFont="1" applyFill="1">
      <alignment vertical="center"/>
    </xf>
    <xf numFmtId="166" fontId="13" fillId="5" borderId="2" xfId="3" applyNumberFormat="1" applyFont="1" applyFill="1" applyBorder="1" applyAlignment="1">
      <alignment horizontal="right" vertical="center"/>
    </xf>
    <xf numFmtId="0" fontId="23" fillId="0" borderId="1" xfId="3" applyNumberFormat="1" applyFont="1" applyBorder="1" applyAlignment="1">
      <alignment horizontal="center" vertical="center" wrapText="1"/>
    </xf>
    <xf numFmtId="0" fontId="23" fillId="0" borderId="2" xfId="3" applyNumberFormat="1" applyFont="1" applyBorder="1" applyAlignment="1">
      <alignment horizontal="center" vertical="center" wrapText="1"/>
    </xf>
    <xf numFmtId="0" fontId="23" fillId="0" borderId="2" xfId="3" applyNumberFormat="1" applyFont="1" applyBorder="1" applyAlignment="1">
      <alignment horizontal="center" vertical="center" wrapText="1" readingOrder="1"/>
    </xf>
    <xf numFmtId="0" fontId="27" fillId="0" borderId="92" xfId="0" applyFont="1" applyBorder="1" applyAlignment="1">
      <alignment horizontal="right" vertical="center" readingOrder="2"/>
    </xf>
    <xf numFmtId="0" fontId="13" fillId="5" borderId="0" xfId="0" applyFont="1" applyFill="1" applyAlignment="1">
      <alignment horizontal="right" vertical="center"/>
    </xf>
    <xf numFmtId="0" fontId="15" fillId="0" borderId="93" xfId="0" applyFont="1" applyBorder="1" applyAlignment="1">
      <alignment horizontal="right" vertical="center" wrapText="1" readingOrder="2"/>
    </xf>
    <xf numFmtId="0" fontId="56" fillId="0" borderId="36" xfId="0" applyFont="1" applyBorder="1" applyAlignment="1">
      <alignment vertical="center"/>
    </xf>
    <xf numFmtId="0" fontId="56" fillId="0" borderId="37" xfId="0" applyFont="1" applyBorder="1" applyAlignment="1">
      <alignment vertical="center"/>
    </xf>
    <xf numFmtId="0" fontId="56" fillId="0" borderId="37" xfId="0" applyFont="1" applyBorder="1" applyAlignment="1">
      <alignment readingOrder="2"/>
    </xf>
    <xf numFmtId="0" fontId="53" fillId="0" borderId="3" xfId="0" applyFont="1" applyBorder="1" applyAlignment="1">
      <alignment horizontal="right" vertical="center" readingOrder="2"/>
    </xf>
    <xf numFmtId="43" fontId="13" fillId="5" borderId="3" xfId="0" applyNumberFormat="1" applyFont="1" applyFill="1" applyBorder="1" applyAlignment="1">
      <alignment horizontal="right" vertical="center"/>
    </xf>
    <xf numFmtId="2" fontId="13" fillId="5" borderId="1" xfId="0" applyNumberFormat="1" applyFont="1" applyFill="1" applyBorder="1" applyAlignment="1">
      <alignment horizontal="right" vertical="center"/>
    </xf>
    <xf numFmtId="43" fontId="13" fillId="5" borderId="1" xfId="0" applyNumberFormat="1" applyFont="1" applyFill="1" applyBorder="1" applyAlignment="1">
      <alignment horizontal="right" vertical="center"/>
    </xf>
    <xf numFmtId="166" fontId="15" fillId="5" borderId="2" xfId="3" applyNumberFormat="1" applyFont="1" applyFill="1" applyBorder="1" applyAlignment="1">
      <alignment horizontal="right" vertical="center"/>
    </xf>
    <xf numFmtId="0" fontId="13" fillId="5" borderId="3" xfId="0" applyFont="1" applyFill="1" applyBorder="1" applyAlignment="1" applyProtection="1">
      <alignment vertical="center"/>
      <protection locked="0"/>
    </xf>
    <xf numFmtId="0" fontId="13" fillId="5" borderId="24" xfId="0" applyFont="1" applyFill="1" applyBorder="1" applyAlignment="1" applyProtection="1">
      <alignment horizontal="right" vertical="center"/>
      <protection locked="0"/>
    </xf>
    <xf numFmtId="0" fontId="13" fillId="5" borderId="2" xfId="0" applyFont="1" applyFill="1" applyBorder="1" applyAlignment="1" applyProtection="1">
      <alignment horizontal="right" vertical="center"/>
      <protection locked="0"/>
    </xf>
    <xf numFmtId="3" fontId="13" fillId="5" borderId="1" xfId="0" applyNumberFormat="1" applyFont="1" applyFill="1" applyBorder="1" applyAlignment="1" applyProtection="1">
      <alignment horizontal="center" vertical="center" readingOrder="2"/>
      <protection locked="0"/>
    </xf>
    <xf numFmtId="3" fontId="13" fillId="5" borderId="1" xfId="0" applyNumberFormat="1" applyFont="1" applyFill="1" applyBorder="1" applyAlignment="1">
      <alignment horizontal="center" vertical="center" readingOrder="2"/>
    </xf>
    <xf numFmtId="3" fontId="13" fillId="5" borderId="3" xfId="0" applyNumberFormat="1" applyFont="1" applyFill="1" applyBorder="1" applyAlignment="1" applyProtection="1">
      <alignment horizontal="center" vertical="center" readingOrder="2"/>
      <protection locked="0"/>
    </xf>
    <xf numFmtId="3" fontId="13" fillId="5" borderId="3" xfId="0" applyNumberFormat="1" applyFont="1" applyFill="1" applyBorder="1" applyAlignment="1">
      <alignment horizontal="center" vertical="center" readingOrder="2"/>
    </xf>
    <xf numFmtId="3" fontId="13" fillId="5" borderId="3" xfId="0" applyNumberFormat="1" applyFont="1" applyFill="1" applyBorder="1" applyAlignment="1">
      <alignment horizontal="center" vertical="center"/>
    </xf>
    <xf numFmtId="3" fontId="13" fillId="5" borderId="2" xfId="0" applyNumberFormat="1" applyFont="1" applyFill="1" applyBorder="1" applyAlignment="1">
      <alignment horizontal="center" vertical="center" readingOrder="2"/>
    </xf>
    <xf numFmtId="0" fontId="27" fillId="5" borderId="0" xfId="0" applyFont="1" applyFill="1" applyAlignment="1">
      <alignment horizontal="right" vertical="center" readingOrder="2"/>
    </xf>
    <xf numFmtId="9" fontId="0" fillId="5" borderId="0" xfId="0" applyNumberFormat="1" applyFill="1" applyAlignment="1">
      <alignment vertical="center"/>
    </xf>
    <xf numFmtId="0" fontId="27" fillId="4" borderId="94" xfId="0" applyFont="1" applyFill="1" applyBorder="1" applyAlignment="1">
      <alignment horizontal="right" vertical="center" readingOrder="2"/>
    </xf>
    <xf numFmtId="0" fontId="0" fillId="5" borderId="94" xfId="0" applyFill="1" applyBorder="1" applyAlignment="1">
      <alignment vertical="center"/>
    </xf>
    <xf numFmtId="0" fontId="15" fillId="5" borderId="95" xfId="0" applyFont="1" applyFill="1" applyBorder="1" applyAlignment="1" applyProtection="1">
      <alignment vertical="center" wrapText="1" readingOrder="2"/>
      <protection locked="0"/>
    </xf>
    <xf numFmtId="0" fontId="13" fillId="5" borderId="56" xfId="0" applyFont="1" applyFill="1" applyBorder="1" applyAlignment="1">
      <alignment horizontal="right" vertical="center" wrapText="1" readingOrder="2"/>
    </xf>
    <xf numFmtId="0" fontId="23" fillId="5" borderId="54" xfId="0" applyFont="1" applyFill="1" applyBorder="1" applyAlignment="1">
      <alignment horizontal="right" vertical="center" wrapText="1" readingOrder="2"/>
    </xf>
    <xf numFmtId="0" fontId="24" fillId="5" borderId="54" xfId="0" applyFont="1" applyFill="1" applyBorder="1" applyAlignment="1">
      <alignment horizontal="right" vertical="center" wrapText="1" readingOrder="2"/>
    </xf>
    <xf numFmtId="0" fontId="23" fillId="5" borderId="55" xfId="0" applyFont="1" applyFill="1" applyBorder="1" applyAlignment="1">
      <alignment horizontal="right" vertical="center" wrapText="1" readingOrder="2"/>
    </xf>
    <xf numFmtId="0" fontId="24" fillId="5" borderId="55" xfId="0" applyFont="1" applyFill="1" applyBorder="1" applyAlignment="1">
      <alignment horizontal="right" vertical="center" wrapText="1" readingOrder="2"/>
    </xf>
    <xf numFmtId="0" fontId="23" fillId="5" borderId="56" xfId="0" applyFont="1" applyFill="1" applyBorder="1" applyAlignment="1">
      <alignment horizontal="right" vertical="center" wrapText="1" readingOrder="2"/>
    </xf>
    <xf numFmtId="0" fontId="13" fillId="5" borderId="1" xfId="0" applyFont="1" applyFill="1" applyBorder="1" applyAlignment="1">
      <alignment horizontal="right" vertical="center" readingOrder="2"/>
    </xf>
    <xf numFmtId="0" fontId="27" fillId="5" borderId="22" xfId="0" applyFont="1" applyFill="1" applyBorder="1" applyAlignment="1">
      <alignment horizontal="right" vertical="center" wrapText="1" readingOrder="2"/>
    </xf>
    <xf numFmtId="0" fontId="27" fillId="5" borderId="23" xfId="0" applyFont="1" applyFill="1" applyBorder="1" applyAlignment="1">
      <alignment horizontal="right" vertical="center" wrapText="1" readingOrder="2"/>
    </xf>
    <xf numFmtId="0" fontId="30" fillId="5" borderId="2" xfId="5" applyFont="1" applyFill="1" applyBorder="1" applyAlignment="1">
      <alignment horizontal="right" vertical="center" wrapText="1" readingOrder="2"/>
    </xf>
    <xf numFmtId="0" fontId="6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9" fontId="28" fillId="0" borderId="0" xfId="0" applyNumberFormat="1" applyFont="1" applyAlignment="1">
      <alignment vertical="center"/>
    </xf>
    <xf numFmtId="1" fontId="28" fillId="0" borderId="0" xfId="0" applyNumberFormat="1" applyFont="1" applyAlignment="1">
      <alignment vertical="center"/>
    </xf>
    <xf numFmtId="0" fontId="28" fillId="0" borderId="0" xfId="0" applyFont="1" applyAlignment="1">
      <alignment horizontal="right" vertical="center"/>
    </xf>
    <xf numFmtId="166" fontId="13" fillId="5" borderId="2" xfId="3" applyNumberFormat="1" applyFont="1" applyFill="1" applyBorder="1" applyAlignment="1">
      <alignment vertical="center" readingOrder="2"/>
    </xf>
    <xf numFmtId="0" fontId="18" fillId="0" borderId="0" xfId="0" applyFont="1" applyAlignment="1">
      <alignment horizontal="right" vertical="center" wrapText="1" readingOrder="2"/>
    </xf>
    <xf numFmtId="0" fontId="18" fillId="4" borderId="0" xfId="0" applyFont="1" applyFill="1" applyAlignment="1">
      <alignment horizontal="center" vertical="center" wrapText="1" readingOrder="2"/>
    </xf>
    <xf numFmtId="0" fontId="18" fillId="4" borderId="96" xfId="0" applyFont="1" applyFill="1" applyBorder="1" applyAlignment="1">
      <alignment horizontal="center" vertical="center" wrapText="1" readingOrder="2"/>
    </xf>
    <xf numFmtId="0" fontId="18" fillId="4" borderId="97" xfId="0" applyFont="1" applyFill="1" applyBorder="1" applyAlignment="1">
      <alignment horizontal="center" vertical="center" wrapText="1" readingOrder="2"/>
    </xf>
    <xf numFmtId="0" fontId="18" fillId="4" borderId="48" xfId="0" applyFont="1" applyFill="1" applyBorder="1" applyAlignment="1">
      <alignment horizontal="center" vertical="center" wrapText="1" readingOrder="2"/>
    </xf>
    <xf numFmtId="1" fontId="28" fillId="5" borderId="54" xfId="0" applyNumberFormat="1" applyFont="1" applyFill="1" applyBorder="1" applyAlignment="1" applyProtection="1">
      <alignment horizontal="right" vertical="center"/>
      <protection locked="0"/>
    </xf>
    <xf numFmtId="1" fontId="28" fillId="5" borderId="55" xfId="0" applyNumberFormat="1" applyFont="1" applyFill="1" applyBorder="1" applyAlignment="1" applyProtection="1">
      <alignment horizontal="right" vertical="center"/>
      <protection locked="0"/>
    </xf>
    <xf numFmtId="9" fontId="13" fillId="0" borderId="2" xfId="0" applyNumberFormat="1" applyFont="1" applyBorder="1" applyAlignment="1">
      <alignment horizontal="center" vertical="center"/>
    </xf>
    <xf numFmtId="0" fontId="63" fillId="5" borderId="0" xfId="0" applyFont="1" applyFill="1" applyAlignment="1">
      <alignment horizontal="center" vertical="center"/>
    </xf>
    <xf numFmtId="0" fontId="61" fillId="5" borderId="0" xfId="0" applyFont="1" applyFill="1" applyAlignment="1">
      <alignment vertical="center"/>
    </xf>
    <xf numFmtId="0" fontId="63" fillId="5" borderId="0" xfId="0" applyFont="1" applyFill="1" applyAlignment="1">
      <alignment vertical="center"/>
    </xf>
    <xf numFmtId="9" fontId="63" fillId="5" borderId="0" xfId="1" applyFont="1" applyFill="1">
      <alignment vertical="center"/>
    </xf>
    <xf numFmtId="0" fontId="61" fillId="5" borderId="0" xfId="0" applyFont="1" applyFill="1" applyAlignment="1">
      <alignment vertical="center" wrapText="1"/>
    </xf>
    <xf numFmtId="9" fontId="61" fillId="5" borderId="0" xfId="1" applyFont="1" applyFill="1">
      <alignment vertical="center"/>
    </xf>
    <xf numFmtId="2" fontId="24" fillId="0" borderId="3" xfId="7" applyNumberFormat="1" applyFont="1" applyBorder="1" applyAlignment="1">
      <alignment horizontal="center" vertical="center" wrapText="1" readingOrder="2"/>
    </xf>
    <xf numFmtId="9" fontId="15" fillId="0" borderId="0" xfId="3" applyNumberFormat="1" applyFont="1" applyAlignment="1">
      <alignment horizontal="center" vertical="center" wrapText="1"/>
    </xf>
    <xf numFmtId="1" fontId="15" fillId="0" borderId="0" xfId="3" applyNumberFormat="1" applyFont="1" applyAlignment="1">
      <alignment horizontal="center" vertical="center" wrapText="1"/>
    </xf>
    <xf numFmtId="1" fontId="13" fillId="0" borderId="0" xfId="6" applyNumberFormat="1" applyFont="1" applyAlignment="1">
      <alignment horizontal="center" vertical="center"/>
    </xf>
    <xf numFmtId="1" fontId="13" fillId="0" borderId="0" xfId="6" applyNumberFormat="1" applyFont="1" applyAlignment="1">
      <alignment horizontal="left" vertical="center"/>
    </xf>
    <xf numFmtId="9" fontId="13" fillId="0" borderId="0" xfId="6" applyNumberFormat="1" applyFont="1" applyAlignment="1">
      <alignment horizontal="center" vertical="center"/>
    </xf>
    <xf numFmtId="9" fontId="13" fillId="0" borderId="0" xfId="6" applyNumberFormat="1" applyFont="1" applyAlignment="1">
      <alignment horizontal="left" vertical="center"/>
    </xf>
    <xf numFmtId="1" fontId="15" fillId="0" borderId="0" xfId="3" applyNumberFormat="1" applyFont="1" applyAlignment="1">
      <alignment horizontal="left" vertical="center" wrapText="1"/>
    </xf>
    <xf numFmtId="1" fontId="13" fillId="5" borderId="0" xfId="7" applyNumberFormat="1" applyFont="1" applyFill="1" applyAlignment="1">
      <alignment horizontal="center" vertical="center"/>
    </xf>
    <xf numFmtId="1" fontId="13" fillId="0" borderId="0" xfId="3" applyNumberFormat="1" applyFont="1" applyAlignment="1">
      <alignment horizontal="center" vertical="center"/>
    </xf>
    <xf numFmtId="1" fontId="13" fillId="5" borderId="0" xfId="6" applyNumberFormat="1" applyFont="1" applyFill="1" applyAlignment="1">
      <alignment horizontal="center" vertical="center"/>
    </xf>
    <xf numFmtId="9" fontId="13" fillId="0" borderId="0" xfId="3" applyNumberFormat="1" applyFont="1" applyAlignment="1">
      <alignment horizontal="center" vertical="center"/>
    </xf>
    <xf numFmtId="9" fontId="13" fillId="5" borderId="0" xfId="6" applyNumberFormat="1" applyFont="1" applyFill="1" applyAlignment="1">
      <alignment horizontal="center" vertical="center"/>
    </xf>
    <xf numFmtId="1" fontId="13" fillId="5" borderId="0" xfId="6" applyNumberFormat="1" applyFont="1" applyFill="1" applyAlignment="1">
      <alignment horizontal="left" vertical="center"/>
    </xf>
    <xf numFmtId="166" fontId="24" fillId="5" borderId="0" xfId="3" applyNumberFormat="1" applyFont="1" applyFill="1" applyAlignment="1">
      <alignment horizontal="center" vertical="center" readingOrder="2"/>
    </xf>
    <xf numFmtId="0" fontId="22" fillId="2" borderId="1" xfId="3" applyNumberFormat="1" applyFont="1" applyFill="1" applyBorder="1" applyAlignment="1">
      <alignment horizontal="center" vertical="top" wrapText="1" readingOrder="2"/>
    </xf>
    <xf numFmtId="1" fontId="13" fillId="0" borderId="3" xfId="3" applyNumberFormat="1" applyFont="1" applyBorder="1" applyAlignment="1">
      <alignment horizontal="center" vertical="center" readingOrder="2"/>
    </xf>
    <xf numFmtId="1" fontId="13" fillId="0" borderId="2" xfId="3" applyNumberFormat="1" applyFont="1" applyBorder="1" applyAlignment="1">
      <alignment horizontal="center" vertical="center" readingOrder="2"/>
    </xf>
    <xf numFmtId="1" fontId="24" fillId="5" borderId="0" xfId="3" applyNumberFormat="1" applyFont="1" applyFill="1" applyAlignment="1">
      <alignment horizontal="center" vertical="center" readingOrder="2"/>
    </xf>
    <xf numFmtId="0" fontId="24" fillId="3" borderId="0" xfId="3" applyNumberFormat="1" applyFont="1" applyFill="1" applyAlignment="1">
      <alignment vertical="center" wrapText="1" readingOrder="2"/>
    </xf>
    <xf numFmtId="166" fontId="24" fillId="5" borderId="145" xfId="3" applyNumberFormat="1" applyFont="1" applyFill="1" applyBorder="1" applyAlignment="1">
      <alignment vertical="center" readingOrder="2"/>
    </xf>
    <xf numFmtId="166" fontId="24" fillId="5" borderId="0" xfId="3" applyNumberFormat="1" applyFont="1" applyFill="1" applyBorder="1" applyAlignment="1">
      <alignment vertical="center" readingOrder="2"/>
    </xf>
    <xf numFmtId="166" fontId="13" fillId="5" borderId="0" xfId="3" applyNumberFormat="1" applyFont="1" applyFill="1" applyBorder="1" applyAlignment="1">
      <alignment horizontal="right" vertical="center"/>
    </xf>
    <xf numFmtId="9" fontId="24" fillId="5" borderId="3" xfId="7" applyNumberFormat="1" applyFont="1" applyFill="1" applyBorder="1" applyAlignment="1">
      <alignment vertical="center" wrapText="1" readingOrder="2"/>
    </xf>
    <xf numFmtId="9" fontId="24" fillId="5" borderId="3" xfId="0" applyNumberFormat="1" applyFont="1" applyFill="1" applyBorder="1" applyAlignment="1">
      <alignment horizontal="left" vertical="center" wrapText="1" readingOrder="2"/>
    </xf>
    <xf numFmtId="0" fontId="8" fillId="0" borderId="0" xfId="0" applyFont="1" applyAlignment="1">
      <alignment vertical="top" wrapText="1" readingOrder="2"/>
    </xf>
    <xf numFmtId="0" fontId="15" fillId="0" borderId="3" xfId="0" applyFont="1" applyBorder="1" applyAlignment="1">
      <alignment horizontal="right" vertical="center" wrapText="1" readingOrder="2"/>
    </xf>
    <xf numFmtId="0" fontId="56" fillId="0" borderId="38" xfId="0" applyFont="1" applyBorder="1" applyAlignment="1">
      <alignment horizontal="right" wrapText="1"/>
    </xf>
    <xf numFmtId="0" fontId="2" fillId="0" borderId="38" xfId="0" applyFont="1" applyBorder="1" applyAlignment="1">
      <alignment horizontal="right" wrapText="1"/>
    </xf>
    <xf numFmtId="0" fontId="22" fillId="5" borderId="50" xfId="0" applyFont="1" applyFill="1" applyBorder="1" applyAlignment="1">
      <alignment horizontal="center" vertical="center" readingOrder="2"/>
    </xf>
    <xf numFmtId="0" fontId="22" fillId="5" borderId="8" xfId="0" applyFont="1" applyFill="1" applyBorder="1" applyAlignment="1">
      <alignment horizontal="center" vertical="center" readingOrder="2"/>
    </xf>
    <xf numFmtId="0" fontId="24" fillId="3" borderId="50" xfId="3" applyNumberFormat="1" applyFont="1" applyFill="1" applyBorder="1" applyAlignment="1">
      <alignment horizontal="center" vertical="center" wrapText="1" readingOrder="2"/>
    </xf>
    <xf numFmtId="9" fontId="24" fillId="5" borderId="3" xfId="1" applyFont="1" applyFill="1" applyBorder="1" applyAlignment="1">
      <alignment horizontal="right" vertical="center"/>
    </xf>
    <xf numFmtId="9" fontId="24" fillId="5" borderId="1" xfId="1" applyFont="1" applyFill="1" applyBorder="1" applyAlignment="1">
      <alignment horizontal="right" vertical="center"/>
    </xf>
    <xf numFmtId="9" fontId="13" fillId="0" borderId="1" xfId="1" applyFont="1" applyBorder="1" applyAlignment="1">
      <alignment horizontal="right" vertical="center"/>
    </xf>
    <xf numFmtId="9" fontId="13" fillId="0" borderId="2" xfId="1" applyFont="1" applyBorder="1" applyAlignment="1">
      <alignment horizontal="right" vertical="center"/>
    </xf>
    <xf numFmtId="0" fontId="22" fillId="2" borderId="0" xfId="0" applyFont="1" applyFill="1" applyAlignment="1">
      <alignment horizontal="right" vertical="center" wrapText="1"/>
    </xf>
    <xf numFmtId="166" fontId="13" fillId="0" borderId="0" xfId="3" applyNumberFormat="1" applyFont="1" applyAlignment="1">
      <alignment horizontal="center" vertical="center"/>
    </xf>
    <xf numFmtId="0" fontId="27" fillId="4" borderId="0" xfId="3" applyNumberFormat="1" applyFont="1" applyFill="1" applyAlignment="1">
      <alignment horizontal="center" vertical="center"/>
    </xf>
    <xf numFmtId="0" fontId="22" fillId="2" borderId="98" xfId="0" applyFont="1" applyFill="1" applyBorder="1" applyAlignment="1">
      <alignment horizontal="center" vertical="center" wrapText="1"/>
    </xf>
    <xf numFmtId="0" fontId="22" fillId="2" borderId="99" xfId="0" applyFont="1" applyFill="1" applyBorder="1" applyAlignment="1">
      <alignment horizontal="center" vertical="center" wrapText="1"/>
    </xf>
    <xf numFmtId="0" fontId="22" fillId="2" borderId="100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7" fillId="4" borderId="101" xfId="3" applyNumberFormat="1" applyFont="1" applyFill="1" applyBorder="1" applyAlignment="1">
      <alignment horizontal="center" vertical="center"/>
    </xf>
    <xf numFmtId="0" fontId="27" fillId="4" borderId="29" xfId="3" applyNumberFormat="1" applyFont="1" applyFill="1" applyBorder="1" applyAlignment="1">
      <alignment horizontal="center" vertical="center"/>
    </xf>
    <xf numFmtId="166" fontId="13" fillId="5" borderId="0" xfId="3" applyNumberFormat="1" applyFont="1" applyFill="1" applyAlignment="1">
      <alignment horizontal="center" vertical="center"/>
    </xf>
    <xf numFmtId="166" fontId="13" fillId="5" borderId="1" xfId="3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 readingOrder="2"/>
    </xf>
    <xf numFmtId="0" fontId="22" fillId="2" borderId="50" xfId="0" applyFont="1" applyFill="1" applyBorder="1" applyAlignment="1">
      <alignment horizontal="center" vertical="center" readingOrder="2"/>
    </xf>
    <xf numFmtId="0" fontId="22" fillId="2" borderId="8" xfId="0" applyFont="1" applyFill="1" applyBorder="1" applyAlignment="1">
      <alignment horizontal="center" vertical="center" readingOrder="2"/>
    </xf>
    <xf numFmtId="0" fontId="20" fillId="6" borderId="0" xfId="3" applyNumberFormat="1" applyFont="1" applyFill="1" applyAlignment="1">
      <alignment horizontal="center" vertical="center" wrapText="1" readingOrder="2"/>
    </xf>
    <xf numFmtId="166" fontId="13" fillId="5" borderId="2" xfId="3" applyNumberFormat="1" applyFont="1" applyFill="1" applyBorder="1" applyAlignment="1">
      <alignment horizontal="center" vertical="center"/>
    </xf>
    <xf numFmtId="0" fontId="24" fillId="3" borderId="0" xfId="3" applyNumberFormat="1" applyFont="1" applyFill="1" applyAlignment="1">
      <alignment horizontal="center" vertical="center" wrapText="1" readingOrder="2"/>
    </xf>
    <xf numFmtId="0" fontId="24" fillId="3" borderId="102" xfId="3" applyNumberFormat="1" applyFont="1" applyFill="1" applyBorder="1" applyAlignment="1">
      <alignment horizontal="center" vertical="center" wrapText="1" readingOrder="2"/>
    </xf>
    <xf numFmtId="0" fontId="24" fillId="3" borderId="103" xfId="3" applyNumberFormat="1" applyFont="1" applyFill="1" applyBorder="1" applyAlignment="1">
      <alignment horizontal="center" vertical="center" wrapText="1" readingOrder="2"/>
    </xf>
    <xf numFmtId="0" fontId="24" fillId="3" borderId="104" xfId="3" applyNumberFormat="1" applyFont="1" applyFill="1" applyBorder="1" applyAlignment="1">
      <alignment horizontal="center" vertical="center" wrapText="1" readingOrder="2"/>
    </xf>
    <xf numFmtId="0" fontId="22" fillId="2" borderId="0" xfId="0" applyFont="1" applyFill="1" applyAlignment="1">
      <alignment horizontal="center" vertical="center" wrapText="1" readingOrder="2"/>
    </xf>
    <xf numFmtId="9" fontId="13" fillId="0" borderId="105" xfId="1" applyFont="1" applyBorder="1" applyAlignment="1">
      <alignment horizontal="right" vertical="center"/>
    </xf>
    <xf numFmtId="0" fontId="22" fillId="2" borderId="8" xfId="0" applyFont="1" applyFill="1" applyBorder="1" applyAlignment="1">
      <alignment horizontal="right" vertical="center" wrapText="1"/>
    </xf>
    <xf numFmtId="9" fontId="13" fillId="0" borderId="47" xfId="1" applyFont="1" applyBorder="1" applyAlignment="1">
      <alignment horizontal="right" vertical="center"/>
    </xf>
    <xf numFmtId="165" fontId="13" fillId="0" borderId="106" xfId="0" applyNumberFormat="1" applyFont="1" applyBorder="1" applyAlignment="1">
      <alignment horizontal="center"/>
    </xf>
    <xf numFmtId="0" fontId="13" fillId="0" borderId="106" xfId="0" applyFont="1" applyBorder="1" applyAlignment="1">
      <alignment horizontal="center"/>
    </xf>
    <xf numFmtId="0" fontId="13" fillId="0" borderId="107" xfId="0" applyFont="1" applyBorder="1" applyAlignment="1">
      <alignment horizontal="center"/>
    </xf>
    <xf numFmtId="10" fontId="27" fillId="0" borderId="2" xfId="1" applyNumberFormat="1" applyFont="1" applyBorder="1" applyAlignment="1">
      <alignment horizontal="center" vertical="center"/>
    </xf>
    <xf numFmtId="10" fontId="27" fillId="0" borderId="0" xfId="1" applyNumberFormat="1" applyFont="1" applyAlignment="1">
      <alignment horizontal="center" vertical="center"/>
    </xf>
    <xf numFmtId="10" fontId="27" fillId="0" borderId="1" xfId="1" applyNumberFormat="1" applyFont="1" applyBorder="1" applyAlignment="1">
      <alignment horizontal="center" vertical="center"/>
    </xf>
    <xf numFmtId="10" fontId="13" fillId="0" borderId="2" xfId="1" applyNumberFormat="1" applyFont="1" applyBorder="1" applyAlignment="1">
      <alignment horizontal="center" vertical="center"/>
    </xf>
    <xf numFmtId="10" fontId="13" fillId="0" borderId="0" xfId="1" applyNumberFormat="1" applyFont="1" applyAlignment="1">
      <alignment horizontal="center" vertical="center"/>
    </xf>
    <xf numFmtId="10" fontId="13" fillId="0" borderId="1" xfId="1" applyNumberFormat="1" applyFont="1" applyBorder="1" applyAlignment="1">
      <alignment horizontal="center" vertical="center"/>
    </xf>
    <xf numFmtId="0" fontId="20" fillId="0" borderId="0" xfId="3" applyNumberFormat="1" applyFont="1" applyAlignment="1">
      <alignment horizontal="right" vertical="center" wrapText="1" readingOrder="2"/>
    </xf>
    <xf numFmtId="0" fontId="27" fillId="0" borderId="2" xfId="3" applyNumberFormat="1" applyFont="1" applyBorder="1" applyAlignment="1">
      <alignment horizontal="right" vertical="center"/>
    </xf>
    <xf numFmtId="0" fontId="27" fillId="0" borderId="0" xfId="3" applyNumberFormat="1" applyFont="1" applyAlignment="1">
      <alignment horizontal="right" vertical="center"/>
    </xf>
    <xf numFmtId="0" fontId="27" fillId="0" borderId="1" xfId="3" applyNumberFormat="1" applyFont="1" applyBorder="1" applyAlignment="1">
      <alignment horizontal="right" vertical="center"/>
    </xf>
    <xf numFmtId="0" fontId="27" fillId="0" borderId="3" xfId="3" applyNumberFormat="1" applyFont="1" applyBorder="1" applyAlignment="1">
      <alignment horizontal="right" vertical="center"/>
    </xf>
    <xf numFmtId="166" fontId="13" fillId="0" borderId="2" xfId="0" applyNumberFormat="1" applyFont="1" applyBorder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166" fontId="13" fillId="0" borderId="3" xfId="0" applyNumberFormat="1" applyFont="1" applyBorder="1" applyAlignment="1">
      <alignment horizontal="right" vertical="center"/>
    </xf>
    <xf numFmtId="166" fontId="13" fillId="0" borderId="1" xfId="0" applyNumberFormat="1" applyFont="1" applyBorder="1" applyAlignment="1">
      <alignment horizontal="right" vertical="center"/>
    </xf>
    <xf numFmtId="0" fontId="64" fillId="0" borderId="0" xfId="3" applyNumberFormat="1" applyFont="1" applyFill="1" applyAlignment="1">
      <alignment horizontal="center" vertical="center" wrapText="1" readingOrder="2"/>
    </xf>
    <xf numFmtId="0" fontId="36" fillId="0" borderId="0" xfId="3" applyNumberFormat="1" applyFont="1" applyAlignment="1">
      <alignment horizontal="center" vertical="center" wrapText="1" readingOrder="2"/>
    </xf>
    <xf numFmtId="0" fontId="64" fillId="0" borderId="0" xfId="3" applyNumberFormat="1" applyFont="1" applyFill="1" applyAlignment="1">
      <alignment horizontal="right" vertical="center" wrapText="1" readingOrder="2"/>
    </xf>
    <xf numFmtId="0" fontId="24" fillId="3" borderId="5" xfId="3" applyNumberFormat="1" applyFont="1" applyFill="1" applyBorder="1" applyAlignment="1">
      <alignment horizontal="center" vertical="center" wrapText="1" readingOrder="2"/>
    </xf>
    <xf numFmtId="0" fontId="0" fillId="15" borderId="0" xfId="1" applyNumberFormat="1" applyFont="1" applyFill="1" applyAlignment="1">
      <alignment horizontal="center" vertical="center"/>
    </xf>
    <xf numFmtId="0" fontId="32" fillId="0" borderId="108" xfId="0" applyFont="1" applyBorder="1" applyAlignment="1">
      <alignment horizontal="center" vertical="center"/>
    </xf>
    <xf numFmtId="0" fontId="32" fillId="0" borderId="65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22" fillId="2" borderId="0" xfId="3" applyNumberFormat="1" applyFont="1" applyFill="1" applyAlignment="1">
      <alignment horizontal="center" vertical="center" wrapText="1"/>
    </xf>
    <xf numFmtId="0" fontId="13" fillId="15" borderId="109" xfId="1" applyNumberFormat="1" applyFont="1" applyFill="1" applyBorder="1" applyAlignment="1">
      <alignment horizontal="center" vertical="center"/>
    </xf>
    <xf numFmtId="0" fontId="13" fillId="15" borderId="0" xfId="1" applyNumberFormat="1" applyFont="1" applyFill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43" fillId="0" borderId="108" xfId="0" applyFont="1" applyBorder="1" applyAlignment="1">
      <alignment horizontal="center" vertical="center"/>
    </xf>
    <xf numFmtId="0" fontId="43" fillId="0" borderId="65" xfId="0" applyFont="1" applyBorder="1" applyAlignment="1">
      <alignment horizontal="center" vertical="center"/>
    </xf>
    <xf numFmtId="0" fontId="43" fillId="0" borderId="66" xfId="0" applyFont="1" applyBorder="1" applyAlignment="1">
      <alignment horizontal="center" vertical="center"/>
    </xf>
    <xf numFmtId="0" fontId="35" fillId="0" borderId="0" xfId="3" applyNumberFormat="1" applyFont="1" applyAlignment="1">
      <alignment horizontal="right" vertical="center" wrapText="1" readingOrder="2"/>
    </xf>
    <xf numFmtId="0" fontId="22" fillId="2" borderId="0" xfId="3" applyNumberFormat="1" applyFont="1" applyFill="1" applyAlignment="1">
      <alignment horizontal="center" vertical="center"/>
    </xf>
    <xf numFmtId="0" fontId="22" fillId="2" borderId="8" xfId="3" applyNumberFormat="1" applyFont="1" applyFill="1" applyBorder="1" applyAlignment="1">
      <alignment horizontal="center" vertical="center"/>
    </xf>
    <xf numFmtId="0" fontId="22" fillId="2" borderId="50" xfId="3" applyNumberFormat="1" applyFont="1" applyFill="1" applyBorder="1" applyAlignment="1">
      <alignment horizontal="center" vertical="center"/>
    </xf>
    <xf numFmtId="0" fontId="22" fillId="2" borderId="12" xfId="3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6" fontId="28" fillId="5" borderId="1" xfId="3" applyNumberFormat="1" applyFont="1" applyFill="1" applyBorder="1" applyAlignment="1">
      <alignment horizontal="center" vertical="center" wrapText="1"/>
    </xf>
    <xf numFmtId="166" fontId="13" fillId="5" borderId="1" xfId="3" applyNumberFormat="1" applyFont="1" applyFill="1" applyBorder="1" applyAlignment="1">
      <alignment horizontal="center" vertical="center" wrapText="1"/>
    </xf>
    <xf numFmtId="0" fontId="60" fillId="0" borderId="0" xfId="0" applyFont="1" applyAlignment="1">
      <alignment horizontal="right" vertical="top" wrapText="1"/>
    </xf>
    <xf numFmtId="0" fontId="52" fillId="0" borderId="0" xfId="3" applyNumberFormat="1" applyFont="1" applyAlignment="1">
      <alignment horizontal="right" vertical="center" wrapText="1" readingOrder="2"/>
    </xf>
    <xf numFmtId="0" fontId="13" fillId="3" borderId="5" xfId="0" applyFont="1" applyFill="1" applyBorder="1" applyAlignment="1">
      <alignment horizontal="center" vertical="center" wrapText="1"/>
    </xf>
    <xf numFmtId="166" fontId="13" fillId="0" borderId="2" xfId="3" applyNumberFormat="1" applyFont="1" applyBorder="1" applyAlignment="1">
      <alignment horizontal="center" vertical="center"/>
    </xf>
    <xf numFmtId="166" fontId="13" fillId="0" borderId="1" xfId="3" applyNumberFormat="1" applyFont="1" applyBorder="1" applyAlignment="1">
      <alignment horizontal="center" vertical="center"/>
    </xf>
    <xf numFmtId="166" fontId="13" fillId="0" borderId="14" xfId="3" applyNumberFormat="1" applyFont="1" applyBorder="1" applyAlignment="1">
      <alignment horizontal="center" vertical="center"/>
    </xf>
    <xf numFmtId="166" fontId="13" fillId="0" borderId="17" xfId="3" applyNumberFormat="1" applyFont="1" applyBorder="1" applyAlignment="1">
      <alignment horizontal="center" vertical="center"/>
    </xf>
    <xf numFmtId="166" fontId="13" fillId="0" borderId="2" xfId="3" applyNumberFormat="1" applyFont="1" applyBorder="1" applyAlignment="1">
      <alignment horizontal="center" vertical="center" readingOrder="2"/>
    </xf>
    <xf numFmtId="166" fontId="13" fillId="0" borderId="0" xfId="3" applyNumberFormat="1" applyFont="1" applyAlignment="1">
      <alignment horizontal="center" vertical="center" readingOrder="2"/>
    </xf>
    <xf numFmtId="166" fontId="13" fillId="5" borderId="0" xfId="3" applyNumberFormat="1" applyFont="1" applyFill="1" applyAlignment="1">
      <alignment horizontal="center" vertical="center" readingOrder="2"/>
    </xf>
    <xf numFmtId="0" fontId="22" fillId="2" borderId="1" xfId="3" applyNumberFormat="1" applyFont="1" applyFill="1" applyBorder="1" applyAlignment="1">
      <alignment horizontal="right" vertical="top" wrapText="1" readingOrder="2"/>
    </xf>
    <xf numFmtId="166" fontId="13" fillId="0" borderId="1" xfId="3" applyNumberFormat="1" applyFont="1" applyBorder="1" applyAlignment="1">
      <alignment horizontal="center" vertical="center" readingOrder="2"/>
    </xf>
    <xf numFmtId="0" fontId="23" fillId="0" borderId="2" xfId="3" applyNumberFormat="1" applyFont="1" applyBorder="1" applyAlignment="1">
      <alignment horizontal="right" vertical="center" wrapText="1" readingOrder="2"/>
    </xf>
    <xf numFmtId="0" fontId="23" fillId="0" borderId="1" xfId="3" applyNumberFormat="1" applyFont="1" applyBorder="1" applyAlignment="1">
      <alignment horizontal="right" vertical="center" wrapText="1" readingOrder="2"/>
    </xf>
    <xf numFmtId="0" fontId="23" fillId="0" borderId="0" xfId="3" applyNumberFormat="1" applyFont="1" applyAlignment="1">
      <alignment horizontal="right" vertical="center" wrapText="1" readingOrder="2"/>
    </xf>
    <xf numFmtId="0" fontId="22" fillId="2" borderId="0" xfId="0" applyFont="1" applyFill="1" applyAlignment="1">
      <alignment horizontal="center" vertical="center"/>
    </xf>
    <xf numFmtId="49" fontId="13" fillId="3" borderId="5" xfId="0" applyNumberFormat="1" applyFont="1" applyFill="1" applyBorder="1" applyAlignment="1">
      <alignment horizontal="center" vertical="center" wrapText="1" readingOrder="2"/>
    </xf>
    <xf numFmtId="3" fontId="13" fillId="0" borderId="14" xfId="0" applyNumberFormat="1" applyFont="1" applyBorder="1" applyAlignment="1">
      <alignment horizontal="center" vertical="center" readingOrder="2"/>
    </xf>
    <xf numFmtId="3" fontId="13" fillId="0" borderId="13" xfId="0" applyNumberFormat="1" applyFont="1" applyBorder="1" applyAlignment="1">
      <alignment horizontal="center" vertical="center" readingOrder="2"/>
    </xf>
    <xf numFmtId="3" fontId="13" fillId="0" borderId="2" xfId="0" applyNumberFormat="1" applyFont="1" applyBorder="1" applyAlignment="1">
      <alignment horizontal="center" vertical="center" readingOrder="2"/>
    </xf>
    <xf numFmtId="3" fontId="13" fillId="0" borderId="0" xfId="0" applyNumberFormat="1" applyFont="1" applyAlignment="1">
      <alignment horizontal="center" vertical="center" readingOrder="2"/>
    </xf>
    <xf numFmtId="0" fontId="26" fillId="2" borderId="0" xfId="0" applyFont="1" applyFill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50" xfId="0" applyFont="1" applyFill="1" applyBorder="1" applyAlignment="1">
      <alignment horizontal="center" vertical="center"/>
    </xf>
    <xf numFmtId="49" fontId="25" fillId="3" borderId="5" xfId="0" applyNumberFormat="1" applyFont="1" applyFill="1" applyBorder="1" applyAlignment="1">
      <alignment horizontal="center" vertical="center" wrapText="1" readingOrder="2"/>
    </xf>
    <xf numFmtId="0" fontId="13" fillId="5" borderId="1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168" fontId="13" fillId="0" borderId="14" xfId="0" applyNumberFormat="1" applyFont="1" applyBorder="1" applyAlignment="1">
      <alignment horizontal="center" vertical="center" readingOrder="2"/>
    </xf>
    <xf numFmtId="168" fontId="13" fillId="0" borderId="13" xfId="0" applyNumberFormat="1" applyFont="1" applyBorder="1" applyAlignment="1">
      <alignment horizontal="center" vertical="center" readingOrder="2"/>
    </xf>
    <xf numFmtId="168" fontId="13" fillId="0" borderId="2" xfId="0" applyNumberFormat="1" applyFont="1" applyBorder="1" applyAlignment="1">
      <alignment horizontal="center" vertical="center" readingOrder="2"/>
    </xf>
    <xf numFmtId="168" fontId="13" fillId="0" borderId="0" xfId="0" applyNumberFormat="1" applyFont="1" applyAlignment="1">
      <alignment horizontal="center" vertical="center" readingOrder="2"/>
    </xf>
    <xf numFmtId="0" fontId="13" fillId="0" borderId="10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13" fillId="0" borderId="20" xfId="0" applyFont="1" applyBorder="1" applyAlignment="1">
      <alignment horizontal="right" vertical="center"/>
    </xf>
    <xf numFmtId="0" fontId="13" fillId="5" borderId="13" xfId="0" applyFont="1" applyFill="1" applyBorder="1" applyAlignment="1">
      <alignment horizontal="right" vertical="center"/>
    </xf>
    <xf numFmtId="0" fontId="13" fillId="5" borderId="13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right" vertical="center"/>
    </xf>
    <xf numFmtId="0" fontId="13" fillId="0" borderId="19" xfId="0" applyFont="1" applyBorder="1" applyAlignment="1">
      <alignment horizontal="right" vertical="center"/>
    </xf>
    <xf numFmtId="0" fontId="13" fillId="0" borderId="14" xfId="0" applyFont="1" applyBorder="1" applyAlignment="1">
      <alignment horizontal="right" vertical="center"/>
    </xf>
    <xf numFmtId="0" fontId="22" fillId="2" borderId="50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49" fontId="13" fillId="3" borderId="110" xfId="0" applyNumberFormat="1" applyFont="1" applyFill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4" fontId="13" fillId="0" borderId="10" xfId="0" applyNumberFormat="1" applyFont="1" applyBorder="1" applyAlignment="1">
      <alignment horizontal="right" vertical="center"/>
    </xf>
    <xf numFmtId="164" fontId="13" fillId="0" borderId="9" xfId="0" applyNumberFormat="1" applyFont="1" applyBorder="1" applyAlignment="1">
      <alignment horizontal="right" vertical="center"/>
    </xf>
    <xf numFmtId="164" fontId="13" fillId="0" borderId="20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22" fillId="2" borderId="12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horizontal="center" vertical="center" wrapText="1"/>
    </xf>
    <xf numFmtId="166" fontId="27" fillId="0" borderId="24" xfId="3" applyNumberFormat="1" applyFont="1" applyBorder="1" applyAlignment="1">
      <alignment horizontal="center" vertical="center" readingOrder="2"/>
    </xf>
    <xf numFmtId="166" fontId="27" fillId="0" borderId="2" xfId="3" applyNumberFormat="1" applyFont="1" applyBorder="1" applyAlignment="1">
      <alignment horizontal="center" vertical="center" readingOrder="2"/>
    </xf>
    <xf numFmtId="49" fontId="13" fillId="3" borderId="111" xfId="0" applyNumberFormat="1" applyFont="1" applyFill="1" applyBorder="1" applyAlignment="1">
      <alignment horizontal="center" vertical="center" wrapText="1" readingOrder="2"/>
    </xf>
    <xf numFmtId="49" fontId="13" fillId="3" borderId="112" xfId="0" applyNumberFormat="1" applyFont="1" applyFill="1" applyBorder="1" applyAlignment="1">
      <alignment horizontal="center" vertical="center" wrapText="1" readingOrder="2"/>
    </xf>
    <xf numFmtId="0" fontId="22" fillId="2" borderId="47" xfId="0" applyFont="1" applyFill="1" applyBorder="1" applyAlignment="1">
      <alignment horizontal="center" vertical="center"/>
    </xf>
    <xf numFmtId="0" fontId="22" fillId="2" borderId="113" xfId="0" applyFont="1" applyFill="1" applyBorder="1" applyAlignment="1">
      <alignment horizontal="center" vertical="center"/>
    </xf>
    <xf numFmtId="0" fontId="22" fillId="2" borderId="114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 wrapText="1"/>
    </xf>
    <xf numFmtId="166" fontId="27" fillId="0" borderId="20" xfId="3" applyNumberFormat="1" applyFont="1" applyBorder="1" applyAlignment="1">
      <alignment horizontal="center" vertical="center" readingOrder="2"/>
    </xf>
    <xf numFmtId="166" fontId="27" fillId="0" borderId="115" xfId="3" applyNumberFormat="1" applyFont="1" applyBorder="1" applyAlignment="1">
      <alignment horizontal="center" vertical="center" readingOrder="2"/>
    </xf>
    <xf numFmtId="0" fontId="22" fillId="2" borderId="15" xfId="0" applyFont="1" applyFill="1" applyBorder="1" applyAlignment="1">
      <alignment horizontal="center" vertical="center" wrapText="1" readingOrder="2"/>
    </xf>
    <xf numFmtId="0" fontId="22" fillId="2" borderId="116" xfId="0" applyFont="1" applyFill="1" applyBorder="1" applyAlignment="1">
      <alignment horizontal="center" vertical="center" wrapText="1" readingOrder="2"/>
    </xf>
    <xf numFmtId="166" fontId="13" fillId="3" borderId="5" xfId="3" applyNumberFormat="1" applyFont="1" applyFill="1" applyBorder="1" applyAlignment="1">
      <alignment horizontal="center" vertical="center" wrapText="1" readingOrder="2"/>
    </xf>
    <xf numFmtId="0" fontId="22" fillId="2" borderId="5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 readingOrder="2"/>
    </xf>
    <xf numFmtId="166" fontId="13" fillId="0" borderId="27" xfId="0" applyNumberFormat="1" applyFont="1" applyBorder="1" applyAlignment="1">
      <alignment horizontal="center" vertical="center"/>
    </xf>
    <xf numFmtId="166" fontId="13" fillId="0" borderId="117" xfId="0" applyNumberFormat="1" applyFont="1" applyBorder="1" applyAlignment="1">
      <alignment horizontal="center" vertical="center"/>
    </xf>
    <xf numFmtId="9" fontId="13" fillId="0" borderId="118" xfId="1" applyFont="1" applyBorder="1" applyAlignment="1">
      <alignment horizontal="center"/>
    </xf>
    <xf numFmtId="9" fontId="13" fillId="0" borderId="37" xfId="1" applyFont="1" applyBorder="1" applyAlignment="1">
      <alignment horizontal="center"/>
    </xf>
    <xf numFmtId="9" fontId="13" fillId="0" borderId="119" xfId="1" applyFont="1" applyBorder="1" applyAlignment="1">
      <alignment horizontal="center"/>
    </xf>
    <xf numFmtId="0" fontId="22" fillId="2" borderId="42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 readingOrder="2"/>
    </xf>
    <xf numFmtId="0" fontId="22" fillId="2" borderId="50" xfId="0" applyFont="1" applyFill="1" applyBorder="1" applyAlignment="1">
      <alignment horizontal="center" vertical="center" wrapText="1" readingOrder="2"/>
    </xf>
    <xf numFmtId="166" fontId="13" fillId="0" borderId="3" xfId="3" applyNumberFormat="1" applyFont="1" applyBorder="1" applyAlignment="1">
      <alignment horizontal="center" vertical="center" wrapText="1"/>
    </xf>
    <xf numFmtId="166" fontId="13" fillId="0" borderId="46" xfId="3" applyNumberFormat="1" applyFont="1" applyBorder="1" applyAlignment="1">
      <alignment horizontal="center" vertical="center" wrapText="1"/>
    </xf>
    <xf numFmtId="166" fontId="13" fillId="0" borderId="120" xfId="0" applyNumberFormat="1" applyFont="1" applyBorder="1" applyAlignment="1">
      <alignment horizontal="center" vertical="center"/>
    </xf>
    <xf numFmtId="166" fontId="13" fillId="0" borderId="93" xfId="0" applyNumberFormat="1" applyFont="1" applyBorder="1" applyAlignment="1">
      <alignment horizontal="center" vertical="center"/>
    </xf>
    <xf numFmtId="166" fontId="13" fillId="0" borderId="121" xfId="0" applyNumberFormat="1" applyFont="1" applyBorder="1" applyAlignment="1">
      <alignment horizontal="center" vertical="center"/>
    </xf>
    <xf numFmtId="166" fontId="13" fillId="0" borderId="122" xfId="0" applyNumberFormat="1" applyFont="1" applyBorder="1" applyAlignment="1">
      <alignment horizontal="center" vertical="center"/>
    </xf>
    <xf numFmtId="9" fontId="13" fillId="0" borderId="0" xfId="1" applyFont="1" applyAlignment="1">
      <alignment horizontal="center"/>
    </xf>
    <xf numFmtId="9" fontId="13" fillId="0" borderId="123" xfId="1" applyFont="1" applyBorder="1" applyAlignment="1">
      <alignment horizontal="center"/>
    </xf>
    <xf numFmtId="9" fontId="13" fillId="0" borderId="42" xfId="1" applyFont="1" applyBorder="1" applyAlignment="1">
      <alignment horizontal="center"/>
    </xf>
    <xf numFmtId="9" fontId="13" fillId="0" borderId="124" xfId="1" applyFont="1" applyBorder="1" applyAlignment="1">
      <alignment horizontal="center"/>
    </xf>
    <xf numFmtId="166" fontId="13" fillId="3" borderId="5" xfId="3" applyNumberFormat="1" applyFont="1" applyFill="1" applyBorder="1" applyAlignment="1">
      <alignment horizontal="center" vertical="center" readingOrder="2"/>
    </xf>
    <xf numFmtId="166" fontId="13" fillId="5" borderId="5" xfId="3" applyNumberFormat="1" applyFont="1" applyFill="1" applyBorder="1" applyAlignment="1">
      <alignment horizontal="center" vertical="center" wrapText="1" readingOrder="2"/>
    </xf>
    <xf numFmtId="0" fontId="22" fillId="5" borderId="5" xfId="0" applyFont="1" applyFill="1" applyBorder="1" applyAlignment="1">
      <alignment horizontal="center" vertical="center" wrapText="1"/>
    </xf>
    <xf numFmtId="166" fontId="13" fillId="16" borderId="5" xfId="3" applyNumberFormat="1" applyFont="1" applyFill="1" applyBorder="1" applyAlignment="1">
      <alignment horizontal="center" vertical="center" wrapText="1" readingOrder="2"/>
    </xf>
    <xf numFmtId="166" fontId="13" fillId="16" borderId="125" xfId="3" applyNumberFormat="1" applyFont="1" applyFill="1" applyBorder="1" applyAlignment="1">
      <alignment horizontal="center" vertical="center" wrapText="1" readingOrder="2"/>
    </xf>
    <xf numFmtId="0" fontId="22" fillId="2" borderId="5" xfId="0" applyFont="1" applyFill="1" applyBorder="1" applyAlignment="1">
      <alignment horizontal="center" vertical="center" wrapText="1" readingOrder="2"/>
    </xf>
    <xf numFmtId="0" fontId="13" fillId="5" borderId="0" xfId="0" applyFont="1" applyFill="1" applyAlignment="1">
      <alignment horizontal="center" vertical="center"/>
    </xf>
    <xf numFmtId="164" fontId="13" fillId="0" borderId="17" xfId="0" applyNumberFormat="1" applyFont="1" applyBorder="1" applyAlignment="1" applyProtection="1">
      <alignment vertical="center" readingOrder="2"/>
      <protection locked="0"/>
    </xf>
    <xf numFmtId="164" fontId="13" fillId="0" borderId="19" xfId="0" applyNumberFormat="1" applyFont="1" applyBorder="1" applyAlignment="1" applyProtection="1">
      <alignment vertical="center" readingOrder="2"/>
      <protection locked="0"/>
    </xf>
    <xf numFmtId="164" fontId="13" fillId="0" borderId="14" xfId="0" applyNumberFormat="1" applyFont="1" applyBorder="1" applyAlignment="1" applyProtection="1">
      <alignment vertical="center" readingOrder="2"/>
      <protection locked="0"/>
    </xf>
    <xf numFmtId="164" fontId="13" fillId="0" borderId="1" xfId="0" applyNumberFormat="1" applyFont="1" applyBorder="1" applyAlignment="1" applyProtection="1">
      <alignment horizontal="right" vertical="center" readingOrder="2"/>
      <protection locked="0"/>
    </xf>
    <xf numFmtId="164" fontId="13" fillId="0" borderId="3" xfId="0" applyNumberFormat="1" applyFont="1" applyBorder="1" applyAlignment="1" applyProtection="1">
      <alignment horizontal="right" vertical="center" readingOrder="2"/>
      <protection locked="0"/>
    </xf>
    <xf numFmtId="164" fontId="13" fillId="0" borderId="2" xfId="0" applyNumberFormat="1" applyFont="1" applyBorder="1" applyAlignment="1" applyProtection="1">
      <alignment horizontal="right" vertical="center" readingOrder="2"/>
      <protection locked="0"/>
    </xf>
    <xf numFmtId="0" fontId="22" fillId="2" borderId="123" xfId="0" applyFont="1" applyFill="1" applyBorder="1" applyAlignment="1">
      <alignment horizontal="center" vertical="center" readingOrder="2"/>
    </xf>
    <xf numFmtId="0" fontId="22" fillId="2" borderId="13" xfId="0" applyFont="1" applyFill="1" applyBorder="1" applyAlignment="1">
      <alignment horizontal="center" vertical="center" readingOrder="2"/>
    </xf>
    <xf numFmtId="1" fontId="13" fillId="0" borderId="10" xfId="0" applyNumberFormat="1" applyFont="1" applyBorder="1" applyAlignment="1" applyProtection="1">
      <alignment horizontal="right" vertical="center" readingOrder="2"/>
      <protection locked="0"/>
    </xf>
    <xf numFmtId="1" fontId="13" fillId="0" borderId="9" xfId="0" applyNumberFormat="1" applyFont="1" applyBorder="1" applyAlignment="1" applyProtection="1">
      <alignment horizontal="right" vertical="center" readingOrder="2"/>
      <protection locked="0"/>
    </xf>
    <xf numFmtId="1" fontId="13" fillId="0" borderId="20" xfId="0" applyNumberFormat="1" applyFont="1" applyBorder="1" applyAlignment="1" applyProtection="1">
      <alignment horizontal="right" vertical="center" readingOrder="2"/>
      <protection locked="0"/>
    </xf>
    <xf numFmtId="0" fontId="13" fillId="5" borderId="0" xfId="0" applyFont="1" applyFill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 readingOrder="2"/>
    </xf>
    <xf numFmtId="1" fontId="13" fillId="0" borderId="44" xfId="0" applyNumberFormat="1" applyFont="1" applyBorder="1" applyAlignment="1" applyProtection="1">
      <alignment horizontal="right" vertical="center" readingOrder="2"/>
      <protection locked="0"/>
    </xf>
    <xf numFmtId="1" fontId="13" fillId="0" borderId="46" xfId="0" applyNumberFormat="1" applyFont="1" applyBorder="1" applyAlignment="1" applyProtection="1">
      <alignment horizontal="right" vertical="center" readingOrder="2"/>
      <protection locked="0"/>
    </xf>
    <xf numFmtId="1" fontId="13" fillId="0" borderId="45" xfId="0" applyNumberFormat="1" applyFont="1" applyBorder="1" applyAlignment="1" applyProtection="1">
      <alignment horizontal="right" vertical="center" readingOrder="2"/>
      <protection locked="0"/>
    </xf>
    <xf numFmtId="164" fontId="13" fillId="0" borderId="44" xfId="0" applyNumberFormat="1" applyFont="1" applyBorder="1" applyAlignment="1" applyProtection="1">
      <alignment horizontal="right" vertical="center" readingOrder="2"/>
      <protection locked="0"/>
    </xf>
    <xf numFmtId="164" fontId="13" fillId="0" borderId="46" xfId="0" applyNumberFormat="1" applyFont="1" applyBorder="1" applyAlignment="1" applyProtection="1">
      <alignment horizontal="right" vertical="center" readingOrder="2"/>
      <protection locked="0"/>
    </xf>
    <xf numFmtId="164" fontId="13" fillId="0" borderId="45" xfId="0" applyNumberFormat="1" applyFont="1" applyBorder="1" applyAlignment="1" applyProtection="1">
      <alignment horizontal="right" vertical="center" readingOrder="2"/>
      <protection locked="0"/>
    </xf>
    <xf numFmtId="164" fontId="13" fillId="5" borderId="42" xfId="0" applyNumberFormat="1" applyFont="1" applyFill="1" applyBorder="1" applyAlignment="1" applyProtection="1">
      <alignment horizontal="center" vertical="center"/>
      <protection locked="0"/>
    </xf>
    <xf numFmtId="0" fontId="13" fillId="5" borderId="4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" fontId="13" fillId="0" borderId="1" xfId="0" applyNumberFormat="1" applyFont="1" applyBorder="1" applyAlignment="1" applyProtection="1">
      <alignment horizontal="right" vertical="center" readingOrder="2"/>
      <protection locked="0"/>
    </xf>
    <xf numFmtId="1" fontId="13" fillId="0" borderId="3" xfId="0" applyNumberFormat="1" applyFont="1" applyBorder="1" applyAlignment="1" applyProtection="1">
      <alignment horizontal="right" vertical="center" readingOrder="2"/>
      <protection locked="0"/>
    </xf>
    <xf numFmtId="1" fontId="13" fillId="0" borderId="2" xfId="0" applyNumberFormat="1" applyFont="1" applyBorder="1" applyAlignment="1" applyProtection="1">
      <alignment horizontal="right" vertical="center" readingOrder="2"/>
      <protection locked="0"/>
    </xf>
    <xf numFmtId="164" fontId="13" fillId="5" borderId="126" xfId="0" applyNumberFormat="1" applyFont="1" applyFill="1" applyBorder="1" applyAlignment="1" applyProtection="1">
      <alignment vertical="center" readingOrder="2"/>
      <protection locked="0"/>
    </xf>
    <xf numFmtId="164" fontId="13" fillId="5" borderId="127" xfId="0" applyNumberFormat="1" applyFont="1" applyFill="1" applyBorder="1" applyAlignment="1" applyProtection="1">
      <alignment vertical="center" readingOrder="2"/>
      <protection locked="0"/>
    </xf>
    <xf numFmtId="164" fontId="13" fillId="5" borderId="128" xfId="0" applyNumberFormat="1" applyFont="1" applyFill="1" applyBorder="1" applyAlignment="1" applyProtection="1">
      <alignment vertical="center" readingOrder="2"/>
      <protection locked="0"/>
    </xf>
    <xf numFmtId="0" fontId="22" fillId="2" borderId="94" xfId="0" applyFont="1" applyFill="1" applyBorder="1" applyAlignment="1">
      <alignment horizontal="center" vertical="center" readingOrder="2"/>
    </xf>
    <xf numFmtId="164" fontId="13" fillId="0" borderId="44" xfId="0" applyNumberFormat="1" applyFont="1" applyBorder="1" applyAlignment="1" applyProtection="1">
      <alignment vertical="center" readingOrder="2"/>
      <protection locked="0"/>
    </xf>
    <xf numFmtId="164" fontId="13" fillId="0" borderId="46" xfId="0" applyNumberFormat="1" applyFont="1" applyBorder="1" applyAlignment="1" applyProtection="1">
      <alignment vertical="center" readingOrder="2"/>
      <protection locked="0"/>
    </xf>
    <xf numFmtId="164" fontId="13" fillId="0" borderId="45" xfId="0" applyNumberFormat="1" applyFont="1" applyBorder="1" applyAlignment="1" applyProtection="1">
      <alignment vertical="center" readingOrder="2"/>
      <protection locked="0"/>
    </xf>
    <xf numFmtId="0" fontId="13" fillId="0" borderId="10" xfId="0" applyFont="1" applyBorder="1" applyAlignment="1">
      <alignment horizontal="right" vertical="center" wrapText="1" readingOrder="2"/>
    </xf>
    <xf numFmtId="0" fontId="13" fillId="0" borderId="9" xfId="0" applyFont="1" applyBorder="1" applyAlignment="1">
      <alignment horizontal="right" vertical="center" wrapText="1" readingOrder="2"/>
    </xf>
    <xf numFmtId="0" fontId="13" fillId="0" borderId="20" xfId="0" applyFont="1" applyBorder="1" applyAlignment="1">
      <alignment horizontal="right" vertical="center" wrapText="1" readingOrder="2"/>
    </xf>
    <xf numFmtId="164" fontId="13" fillId="0" borderId="10" xfId="0" applyNumberFormat="1" applyFont="1" applyBorder="1" applyAlignment="1" applyProtection="1">
      <alignment vertical="center" readingOrder="2"/>
      <protection locked="0"/>
    </xf>
    <xf numFmtId="164" fontId="13" fillId="0" borderId="9" xfId="0" applyNumberFormat="1" applyFont="1" applyBorder="1" applyAlignment="1" applyProtection="1">
      <alignment vertical="center" readingOrder="2"/>
      <protection locked="0"/>
    </xf>
    <xf numFmtId="164" fontId="13" fillId="0" borderId="20" xfId="0" applyNumberFormat="1" applyFont="1" applyBorder="1" applyAlignment="1" applyProtection="1">
      <alignment vertical="center" readingOrder="2"/>
      <protection locked="0"/>
    </xf>
    <xf numFmtId="164" fontId="13" fillId="0" borderId="10" xfId="0" applyNumberFormat="1" applyFont="1" applyBorder="1" applyAlignment="1" applyProtection="1">
      <alignment horizontal="right" vertical="center" readingOrder="2"/>
      <protection locked="0"/>
    </xf>
    <xf numFmtId="164" fontId="13" fillId="0" borderId="9" xfId="0" applyNumberFormat="1" applyFont="1" applyBorder="1" applyAlignment="1" applyProtection="1">
      <alignment horizontal="right" vertical="center" readingOrder="2"/>
      <protection locked="0"/>
    </xf>
    <xf numFmtId="164" fontId="13" fillId="0" borderId="20" xfId="0" applyNumberFormat="1" applyFont="1" applyBorder="1" applyAlignment="1" applyProtection="1">
      <alignment horizontal="right" vertical="center" readingOrder="2"/>
      <protection locked="0"/>
    </xf>
    <xf numFmtId="49" fontId="13" fillId="16" borderId="129" xfId="0" applyNumberFormat="1" applyFont="1" applyFill="1" applyBorder="1" applyAlignment="1">
      <alignment horizontal="center" vertical="center" wrapText="1" readingOrder="2"/>
    </xf>
    <xf numFmtId="49" fontId="13" fillId="16" borderId="130" xfId="0" applyNumberFormat="1" applyFont="1" applyFill="1" applyBorder="1" applyAlignment="1">
      <alignment horizontal="center" vertical="center" wrapText="1" readingOrder="2"/>
    </xf>
    <xf numFmtId="10" fontId="13" fillId="5" borderId="13" xfId="0" applyNumberFormat="1" applyFont="1" applyFill="1" applyBorder="1" applyAlignment="1">
      <alignment horizontal="center" vertical="center"/>
    </xf>
    <xf numFmtId="10" fontId="13" fillId="5" borderId="131" xfId="0" applyNumberFormat="1" applyFont="1" applyFill="1" applyBorder="1" applyAlignment="1">
      <alignment horizontal="center" vertical="center"/>
    </xf>
    <xf numFmtId="10" fontId="13" fillId="5" borderId="132" xfId="0" applyNumberFormat="1" applyFont="1" applyFill="1" applyBorder="1" applyAlignment="1">
      <alignment horizontal="center" vertical="center"/>
    </xf>
    <xf numFmtId="165" fontId="13" fillId="0" borderId="13" xfId="1" applyNumberFormat="1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center" vertical="center" readingOrder="2"/>
    </xf>
    <xf numFmtId="165" fontId="13" fillId="0" borderId="1" xfId="0" applyNumberFormat="1" applyFont="1" applyBorder="1" applyAlignment="1">
      <alignment horizontal="center" vertical="center" readingOrder="2"/>
    </xf>
    <xf numFmtId="10" fontId="13" fillId="0" borderId="13" xfId="0" applyNumberFormat="1" applyFont="1" applyBorder="1" applyAlignment="1">
      <alignment horizontal="center" vertical="center"/>
    </xf>
    <xf numFmtId="165" fontId="13" fillId="0" borderId="6" xfId="1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right" vertical="center" wrapText="1"/>
    </xf>
    <xf numFmtId="0" fontId="27" fillId="0" borderId="10" xfId="0" applyFont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 wrapText="1"/>
    </xf>
    <xf numFmtId="0" fontId="27" fillId="0" borderId="20" xfId="0" applyFont="1" applyBorder="1" applyAlignment="1">
      <alignment horizontal="right" vertical="center" wrapText="1"/>
    </xf>
    <xf numFmtId="0" fontId="27" fillId="0" borderId="11" xfId="0" applyFont="1" applyBorder="1" applyAlignment="1">
      <alignment horizontal="right" vertical="center" wrapText="1"/>
    </xf>
    <xf numFmtId="0" fontId="27" fillId="0" borderId="133" xfId="0" applyFont="1" applyBorder="1" applyAlignment="1">
      <alignment horizontal="right" vertical="center" wrapText="1"/>
    </xf>
    <xf numFmtId="0" fontId="27" fillId="0" borderId="3" xfId="0" applyFont="1" applyBorder="1" applyAlignment="1">
      <alignment horizontal="right" vertical="center" wrapText="1"/>
    </xf>
    <xf numFmtId="0" fontId="27" fillId="0" borderId="9" xfId="0" applyFont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 vertical="center" wrapText="1"/>
    </xf>
    <xf numFmtId="0" fontId="27" fillId="3" borderId="3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49" fontId="25" fillId="3" borderId="110" xfId="0" applyNumberFormat="1" applyFont="1" applyFill="1" applyBorder="1" applyAlignment="1">
      <alignment horizontal="center" vertical="center" wrapText="1" readingOrder="2"/>
    </xf>
    <xf numFmtId="49" fontId="13" fillId="0" borderId="6" xfId="1" applyNumberFormat="1" applyFont="1" applyBorder="1" applyAlignment="1">
      <alignment horizontal="center" vertical="center"/>
    </xf>
    <xf numFmtId="0" fontId="27" fillId="0" borderId="2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0" fontId="27" fillId="0" borderId="134" xfId="0" applyFont="1" applyBorder="1" applyAlignment="1">
      <alignment vertical="center" wrapText="1"/>
    </xf>
    <xf numFmtId="0" fontId="27" fillId="0" borderId="135" xfId="0" applyFont="1" applyBorder="1" applyAlignment="1">
      <alignment vertical="center" wrapText="1"/>
    </xf>
    <xf numFmtId="0" fontId="27" fillId="0" borderId="3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165" fontId="13" fillId="0" borderId="13" xfId="0" applyNumberFormat="1" applyFont="1" applyBorder="1" applyAlignment="1">
      <alignment horizontal="center" vertical="center" readingOrder="2"/>
    </xf>
    <xf numFmtId="165" fontId="13" fillId="5" borderId="13" xfId="1" applyNumberFormat="1" applyFont="1" applyFill="1" applyBorder="1" applyAlignment="1">
      <alignment horizontal="center" vertical="center"/>
    </xf>
    <xf numFmtId="9" fontId="15" fillId="5" borderId="136" xfId="0" applyNumberFormat="1" applyFont="1" applyFill="1" applyBorder="1" applyAlignment="1" applyProtection="1">
      <alignment horizontal="center" vertical="center" wrapText="1" readingOrder="2"/>
      <protection locked="0"/>
    </xf>
    <xf numFmtId="9" fontId="15" fillId="5" borderId="137" xfId="0" applyNumberFormat="1" applyFont="1" applyFill="1" applyBorder="1" applyAlignment="1" applyProtection="1">
      <alignment horizontal="center" vertical="center" wrapText="1" readingOrder="2"/>
      <protection locked="0"/>
    </xf>
    <xf numFmtId="0" fontId="22" fillId="2" borderId="42" xfId="0" applyFont="1" applyFill="1" applyBorder="1" applyAlignment="1">
      <alignment horizontal="right" vertical="center" wrapText="1"/>
    </xf>
    <xf numFmtId="10" fontId="13" fillId="0" borderId="45" xfId="0" applyNumberFormat="1" applyFont="1" applyBorder="1" applyAlignment="1">
      <alignment horizontal="center" vertical="center"/>
    </xf>
    <xf numFmtId="10" fontId="13" fillId="0" borderId="42" xfId="0" applyNumberFormat="1" applyFont="1" applyBorder="1" applyAlignment="1">
      <alignment horizontal="center" vertical="center"/>
    </xf>
    <xf numFmtId="10" fontId="13" fillId="0" borderId="44" xfId="0" applyNumberFormat="1" applyFont="1" applyBorder="1" applyAlignment="1">
      <alignment horizontal="center" vertical="center"/>
    </xf>
    <xf numFmtId="10" fontId="13" fillId="0" borderId="17" xfId="0" applyNumberFormat="1" applyFont="1" applyBorder="1" applyAlignment="1">
      <alignment horizontal="center" vertical="center"/>
    </xf>
    <xf numFmtId="0" fontId="27" fillId="4" borderId="0" xfId="0" applyFont="1" applyFill="1" applyAlignment="1">
      <alignment horizontal="center" vertical="center" wrapText="1"/>
    </xf>
    <xf numFmtId="0" fontId="27" fillId="4" borderId="32" xfId="0" applyFont="1" applyFill="1" applyBorder="1" applyAlignment="1">
      <alignment horizontal="center" vertical="center" wrapText="1"/>
    </xf>
    <xf numFmtId="0" fontId="22" fillId="2" borderId="138" xfId="0" applyFont="1" applyFill="1" applyBorder="1" applyAlignment="1">
      <alignment horizontal="center" vertical="center" wrapText="1"/>
    </xf>
    <xf numFmtId="49" fontId="13" fillId="3" borderId="0" xfId="0" applyNumberFormat="1" applyFont="1" applyFill="1" applyAlignment="1">
      <alignment horizontal="center" vertical="center" wrapText="1" readingOrder="2"/>
    </xf>
    <xf numFmtId="0" fontId="27" fillId="4" borderId="139" xfId="0" applyFont="1" applyFill="1" applyBorder="1" applyAlignment="1">
      <alignment horizontal="center" vertical="center" wrapText="1"/>
    </xf>
    <xf numFmtId="0" fontId="27" fillId="4" borderId="140" xfId="0" applyFont="1" applyFill="1" applyBorder="1" applyAlignment="1">
      <alignment horizontal="center" vertical="center" wrapText="1"/>
    </xf>
    <xf numFmtId="0" fontId="27" fillId="4" borderId="141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7" fillId="4" borderId="142" xfId="0" applyFont="1" applyFill="1" applyBorder="1" applyAlignment="1">
      <alignment horizontal="center" vertical="center" wrapText="1"/>
    </xf>
    <xf numFmtId="0" fontId="27" fillId="4" borderId="143" xfId="0" applyFont="1" applyFill="1" applyBorder="1" applyAlignment="1">
      <alignment horizontal="center" vertical="center" wrapText="1"/>
    </xf>
    <xf numFmtId="0" fontId="20" fillId="0" borderId="0" xfId="3" applyNumberFormat="1" applyFont="1" applyAlignment="1">
      <alignment horizontal="center" vertical="center" wrapText="1" readingOrder="2"/>
    </xf>
    <xf numFmtId="9" fontId="62" fillId="0" borderId="0" xfId="0" applyNumberFormat="1" applyFont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22" fillId="2" borderId="63" xfId="0" applyFont="1" applyFill="1" applyBorder="1" applyAlignment="1">
      <alignment horizontal="center" vertical="center" wrapText="1"/>
    </xf>
    <xf numFmtId="0" fontId="13" fillId="16" borderId="63" xfId="0" applyFont="1" applyFill="1" applyBorder="1" applyAlignment="1">
      <alignment horizontal="center" vertical="center"/>
    </xf>
    <xf numFmtId="9" fontId="13" fillId="5" borderId="55" xfId="0" applyNumberFormat="1" applyFont="1" applyFill="1" applyBorder="1" applyAlignment="1" applyProtection="1">
      <alignment horizontal="center" vertical="center"/>
      <protection locked="0"/>
    </xf>
    <xf numFmtId="9" fontId="13" fillId="5" borderId="144" xfId="0" applyNumberFormat="1" applyFont="1" applyFill="1" applyBorder="1" applyAlignment="1" applyProtection="1">
      <alignment horizontal="center" vertical="center"/>
      <protection locked="0"/>
    </xf>
    <xf numFmtId="0" fontId="13" fillId="3" borderId="63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right" vertical="center" wrapText="1"/>
    </xf>
    <xf numFmtId="0" fontId="27" fillId="5" borderId="3" xfId="0" applyFont="1" applyFill="1" applyBorder="1" applyAlignment="1">
      <alignment horizontal="right" vertical="center" wrapText="1"/>
    </xf>
    <xf numFmtId="0" fontId="27" fillId="5" borderId="2" xfId="0" applyFont="1" applyFill="1" applyBorder="1" applyAlignment="1">
      <alignment horizontal="right" vertical="center" wrapText="1"/>
    </xf>
    <xf numFmtId="9" fontId="13" fillId="5" borderId="3" xfId="0" applyNumberFormat="1" applyFont="1" applyFill="1" applyBorder="1" applyAlignment="1" applyProtection="1">
      <alignment horizontal="right" vertical="center"/>
      <protection locked="0"/>
    </xf>
    <xf numFmtId="9" fontId="13" fillId="5" borderId="9" xfId="0" applyNumberFormat="1" applyFont="1" applyFill="1" applyBorder="1" applyAlignment="1" applyProtection="1">
      <alignment horizontal="right" vertical="center"/>
      <protection locked="0"/>
    </xf>
    <xf numFmtId="0" fontId="23" fillId="5" borderId="56" xfId="0" applyFont="1" applyFill="1" applyBorder="1" applyAlignment="1">
      <alignment horizontal="right" vertical="center" wrapText="1" readingOrder="2"/>
    </xf>
    <xf numFmtId="0" fontId="27" fillId="5" borderId="54" xfId="0" applyFont="1" applyFill="1" applyBorder="1" applyAlignment="1">
      <alignment horizontal="right" vertical="center" wrapText="1"/>
    </xf>
    <xf numFmtId="0" fontId="27" fillId="5" borderId="55" xfId="0" applyFont="1" applyFill="1" applyBorder="1" applyAlignment="1">
      <alignment horizontal="right" vertical="center" wrapText="1"/>
    </xf>
    <xf numFmtId="0" fontId="27" fillId="5" borderId="56" xfId="0" applyFont="1" applyFill="1" applyBorder="1" applyAlignment="1">
      <alignment horizontal="right" vertical="center" wrapText="1"/>
    </xf>
    <xf numFmtId="9" fontId="13" fillId="0" borderId="0" xfId="0" applyNumberFormat="1" applyFont="1" applyAlignment="1">
      <alignment horizontal="center" vertical="center"/>
    </xf>
    <xf numFmtId="0" fontId="22" fillId="2" borderId="42" xfId="0" applyFont="1" applyFill="1" applyBorder="1" applyAlignment="1">
      <alignment horizontal="center" vertical="center"/>
    </xf>
    <xf numFmtId="0" fontId="22" fillId="2" borderId="88" xfId="0" applyFont="1" applyFill="1" applyBorder="1" applyAlignment="1">
      <alignment horizontal="center" vertical="center" wrapText="1" readingOrder="2"/>
    </xf>
    <xf numFmtId="0" fontId="23" fillId="0" borderId="3" xfId="0" applyFont="1" applyBorder="1" applyAlignment="1">
      <alignment horizontal="right" vertical="center" wrapText="1" readingOrder="2"/>
    </xf>
    <xf numFmtId="0" fontId="24" fillId="0" borderId="1" xfId="7" applyFont="1" applyBorder="1" applyAlignment="1">
      <alignment horizontal="right" vertical="center" wrapText="1" readingOrder="2"/>
    </xf>
    <xf numFmtId="0" fontId="24" fillId="0" borderId="3" xfId="7" applyFont="1" applyBorder="1" applyAlignment="1">
      <alignment horizontal="right" vertical="center" wrapText="1" readingOrder="2"/>
    </xf>
    <xf numFmtId="49" fontId="13" fillId="3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right" vertical="top" wrapText="1" readingOrder="2"/>
    </xf>
    <xf numFmtId="0" fontId="22" fillId="2" borderId="0" xfId="0" applyFont="1" applyFill="1" applyAlignment="1">
      <alignment horizontal="center" vertical="top" wrapText="1" readingOrder="2"/>
    </xf>
    <xf numFmtId="0" fontId="33" fillId="0" borderId="0" xfId="0" applyFont="1" applyAlignment="1">
      <alignment horizontal="right" vertical="center"/>
    </xf>
    <xf numFmtId="0" fontId="0" fillId="15" borderId="0" xfId="0" applyFill="1" applyAlignment="1">
      <alignment horizontal="center" vertical="center" wrapText="1"/>
    </xf>
    <xf numFmtId="0" fontId="15" fillId="0" borderId="0" xfId="0" applyFont="1" applyAlignment="1">
      <alignment horizontal="right" vertical="top" wrapText="1" readingOrder="2"/>
    </xf>
    <xf numFmtId="0" fontId="15" fillId="0" borderId="0" xfId="0" applyFont="1" applyAlignment="1">
      <alignment horizontal="center" vertical="top" wrapText="1" readingOrder="2"/>
    </xf>
  </cellXfs>
  <cellStyles count="14">
    <cellStyle name="Comma" xfId="3" builtinId="3"/>
    <cellStyle name="Comma [0]" xfId="4" xr:uid="{00000000-0005-0000-0000-000007000000}"/>
    <cellStyle name="Comma 2" xfId="6" xr:uid="{00000000-0005-0000-0000-000009000000}"/>
    <cellStyle name="Comma 3" xfId="9" xr:uid="{00000000-0005-0000-0000-00000C000000}"/>
    <cellStyle name="Comma 4" xfId="11" xr:uid="{00000000-0005-0000-0000-00000E000000}"/>
    <cellStyle name="Comma 5" xfId="13" xr:uid="{00000000-0005-0000-0000-000010000000}"/>
    <cellStyle name="Comma 6" xfId="12" xr:uid="{00000000-0005-0000-0000-00000F000000}"/>
    <cellStyle name="Currency [0]" xfId="2" xr:uid="{00000000-0005-0000-0000-000006000000}"/>
    <cellStyle name="Normal" xfId="0" builtinId="0"/>
    <cellStyle name="Normal 2" xfId="7" xr:uid="{00000000-0005-0000-0000-00000A000000}"/>
    <cellStyle name="Normal 3" xfId="8" xr:uid="{00000000-0005-0000-0000-00000B000000}"/>
    <cellStyle name="Percent" xfId="1" builtinId="5"/>
    <cellStyle name="Percent 2" xfId="10" xr:uid="{00000000-0005-0000-0000-00000D000000}"/>
    <cellStyle name="היפר-קישור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</xdr:rowOff>
    </xdr:from>
    <xdr:to>
      <xdr:col>17</xdr:col>
      <xdr:colOff>177720</xdr:colOff>
      <xdr:row>33</xdr:row>
      <xdr:rowOff>84667</xdr:rowOff>
    </xdr:to>
    <xdr:sp macro="" textlink="" fLocksText="0">
      <xdr:nvSpPr>
        <xdr:cNvPr id="2" name="מלבן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570529696" y="7620"/>
          <a:ext cx="11152637" cy="6014297"/>
        </a:xfrm>
        <a:prstGeom prst="rect">
          <a:avLst/>
        </a:prstGeom>
        <a:solidFill>
          <a:srgbClr val="1229C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222249</xdr:colOff>
      <xdr:row>33</xdr:row>
      <xdr:rowOff>34714</xdr:rowOff>
    </xdr:to>
    <xdr:pic>
      <xdr:nvPicPr>
        <xdr:cNvPr id="8" name="תמונה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alphaModFix amt="70000"/>
        </a:blip>
        <a:stretch>
          <a:fillRect/>
        </a:stretch>
      </xdr:blipFill>
      <xdr:spPr>
        <a:xfrm>
          <a:off x="10570485167" y="0"/>
          <a:ext cx="11197166" cy="5971964"/>
        </a:xfrm>
        <a:prstGeom prst="rect">
          <a:avLst/>
        </a:prstGeom>
      </xdr:spPr>
    </xdr:pic>
    <xdr:clientData/>
  </xdr:twoCellAnchor>
  <xdr:twoCellAnchor>
    <xdr:from>
      <xdr:col>9</xdr:col>
      <xdr:colOff>240702</xdr:colOff>
      <xdr:row>8</xdr:row>
      <xdr:rowOff>130788</xdr:rowOff>
    </xdr:from>
    <xdr:to>
      <xdr:col>16</xdr:col>
      <xdr:colOff>448683</xdr:colOff>
      <xdr:row>19</xdr:row>
      <xdr:rowOff>153376</xdr:rowOff>
    </xdr:to>
    <xdr:sp macro="" textlink="">
      <xdr:nvSpPr>
        <xdr:cNvPr id="4" name="תיבת טקסט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810250" y="1657350"/>
          <a:ext cx="4543425" cy="211455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1" anchor="t"/>
        <a:lstStyle/>
        <a:p>
          <a:pPr rtl="0"/>
          <a:r>
            <a:rPr lang="en-US" sz="6000" b="1" i="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+mn-cs"/>
            </a:rPr>
            <a:t>ESG</a:t>
          </a:r>
        </a:p>
        <a:p>
          <a:pPr rtl="0"/>
          <a:r>
            <a:rPr lang="en-US" sz="6000" b="1" i="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+mn-cs"/>
            </a:rPr>
            <a:t>Metrics</a:t>
          </a:r>
        </a:p>
      </xdr:txBody>
    </xdr:sp>
    <xdr:clientData/>
  </xdr:twoCellAnchor>
  <xdr:twoCellAnchor editAs="oneCell">
    <xdr:from>
      <xdr:col>9</xdr:col>
      <xdr:colOff>589054</xdr:colOff>
      <xdr:row>30</xdr:row>
      <xdr:rowOff>123820</xdr:rowOff>
    </xdr:from>
    <xdr:to>
      <xdr:col>16</xdr:col>
      <xdr:colOff>343890</xdr:colOff>
      <xdr:row>32</xdr:row>
      <xdr:rowOff>67228</xdr:rowOff>
    </xdr:to>
    <xdr:pic>
      <xdr:nvPicPr>
        <xdr:cNvPr id="5" name="גרפיקה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0571009110" y="5521320"/>
          <a:ext cx="4273919" cy="303241"/>
        </a:xfrm>
        <a:prstGeom prst="rect">
          <a:avLst/>
        </a:prstGeom>
        <a:effectLst>
          <a:outerShdw blurRad="228600" dir="5400000" algn="ctr" rotWithShape="0">
            <a:srgbClr val="000000">
              <a:alpha val="66000"/>
            </a:srgbClr>
          </a:outerShdw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178200</xdr:colOff>
      <xdr:row>39</xdr:row>
      <xdr:rowOff>69300</xdr:rowOff>
    </xdr:to>
    <xdr:grpSp>
      <xdr:nvGrpSpPr>
        <xdr:cNvPr id="2" name="קבוצה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>
          <a:grpSpLocks/>
        </xdr:cNvGrpSpPr>
      </xdr:nvGrpSpPr>
      <xdr:grpSpPr>
        <a:xfrm>
          <a:off x="10637409035" y="0"/>
          <a:ext cx="11227200" cy="7353124"/>
          <a:chOff x="2142464505" y="0"/>
          <a:chExt cx="10465200" cy="7498800"/>
        </a:xfrm>
      </xdr:grpSpPr>
      <xdr:pic>
        <xdr:nvPicPr>
          <xdr:cNvPr id="3" name="תמונה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3416" r="3416"/>
          <a:stretch>
            <a:fillRect/>
          </a:stretch>
        </xdr:blipFill>
        <xdr:spPr>
          <a:xfrm>
            <a:off x="2142464506" y="0"/>
            <a:ext cx="10465199" cy="7498800"/>
          </a:xfrm>
          <a:prstGeom prst="rect">
            <a:avLst/>
          </a:prstGeom>
        </xdr:spPr>
      </xdr:pic>
      <xdr:sp macro="" textlink="" fLocksText="0">
        <xdr:nvSpPr>
          <xdr:cNvPr id="4" name="מלבן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2142464505" y="2545800"/>
            <a:ext cx="10465200" cy="4953000"/>
          </a:xfrm>
          <a:prstGeom prst="rect">
            <a:avLst/>
          </a:prstGeom>
          <a:gradFill rotWithShape="1">
            <a:gsLst>
              <a:gs pos="0">
                <a:srgbClr val="1229C6">
                  <a:alpha val="0"/>
                </a:srgbClr>
              </a:gs>
              <a:gs pos="100000">
                <a:srgbClr val="1229C6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</xdr:grpSp>
    <xdr:clientData/>
  </xdr:twoCellAnchor>
  <xdr:twoCellAnchor>
    <xdr:from>
      <xdr:col>9</xdr:col>
      <xdr:colOff>11206</xdr:colOff>
      <xdr:row>30</xdr:row>
      <xdr:rowOff>134470</xdr:rowOff>
    </xdr:from>
    <xdr:to>
      <xdr:col>16</xdr:col>
      <xdr:colOff>199465</xdr:colOff>
      <xdr:row>38</xdr:row>
      <xdr:rowOff>97346</xdr:rowOff>
    </xdr:to>
    <xdr:sp macro="" textlink="">
      <xdr:nvSpPr>
        <xdr:cNvPr id="5" name="תיבת טקסט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5581650" y="5848350"/>
          <a:ext cx="4524375" cy="148590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1" anchor="ctr" anchorCtr="0"/>
        <a:lstStyle/>
        <a:p>
          <a:pPr rtl="0"/>
          <a:r>
            <a:rPr lang="he-IL" sz="6000" b="0" i="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+mn-cs"/>
            </a:rPr>
            <a:t>חברה</a:t>
          </a:r>
          <a:endParaRPr lang="en-US" sz="6000" b="0" i="0" baseline="0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313765</xdr:colOff>
      <xdr:row>1</xdr:row>
      <xdr:rowOff>0</xdr:rowOff>
    </xdr:from>
    <xdr:to>
      <xdr:col>5</xdr:col>
      <xdr:colOff>104215</xdr:colOff>
      <xdr:row>2</xdr:row>
      <xdr:rowOff>28575</xdr:rowOff>
    </xdr:to>
    <xdr:pic>
      <xdr:nvPicPr>
        <xdr:cNvPr id="6" name="גרפיקה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4325" y="190500"/>
          <a:ext cx="2886075" cy="219075"/>
        </a:xfrm>
        <a:prstGeom prst="rect">
          <a:avLst/>
        </a:prstGeom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324245</xdr:colOff>
      <xdr:row>2</xdr:row>
      <xdr:rowOff>21674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71775" cy="2095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17864</xdr:rowOff>
    </xdr:to>
    <xdr:pic>
      <xdr:nvPicPr>
        <xdr:cNvPr id="3" name="גרפיקה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800350" cy="2095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285929</xdr:colOff>
      <xdr:row>2</xdr:row>
      <xdr:rowOff>21674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52725" cy="2095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225437</xdr:colOff>
      <xdr:row>2</xdr:row>
      <xdr:rowOff>35009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71775" cy="2286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322604</xdr:colOff>
      <xdr:row>2</xdr:row>
      <xdr:rowOff>35009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33675" cy="2286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399079</xdr:colOff>
      <xdr:row>2</xdr:row>
      <xdr:rowOff>17864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52725" cy="2095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164071</xdr:colOff>
      <xdr:row>2</xdr:row>
      <xdr:rowOff>35009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52725" cy="2286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178200</xdr:colOff>
      <xdr:row>39</xdr:row>
      <xdr:rowOff>69300</xdr:rowOff>
    </xdr:to>
    <xdr:grpSp>
      <xdr:nvGrpSpPr>
        <xdr:cNvPr id="2" name="קבוצה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>
          <a:grpSpLocks/>
        </xdr:cNvGrpSpPr>
      </xdr:nvGrpSpPr>
      <xdr:grpSpPr>
        <a:xfrm>
          <a:off x="10637409035" y="0"/>
          <a:ext cx="11227200" cy="7353124"/>
          <a:chOff x="2142464505" y="0"/>
          <a:chExt cx="10465200" cy="7498800"/>
        </a:xfrm>
      </xdr:grpSpPr>
      <xdr:pic>
        <xdr:nvPicPr>
          <xdr:cNvPr id="3" name="תמונה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13096" t="9996" r="3088"/>
          <a:stretch>
            <a:fillRect/>
          </a:stretch>
        </xdr:blipFill>
        <xdr:spPr>
          <a:xfrm>
            <a:off x="2142464506" y="0"/>
            <a:ext cx="10465199" cy="7498800"/>
          </a:xfrm>
          <a:prstGeom prst="rect">
            <a:avLst/>
          </a:prstGeom>
        </xdr:spPr>
      </xdr:pic>
      <xdr:sp macro="" textlink="" fLocksText="0">
        <xdr:nvSpPr>
          <xdr:cNvPr id="4" name="מלבן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/>
        </xdr:nvSpPr>
        <xdr:spPr>
          <a:xfrm>
            <a:off x="2142464505" y="2545800"/>
            <a:ext cx="10465200" cy="4953000"/>
          </a:xfrm>
          <a:prstGeom prst="rect">
            <a:avLst/>
          </a:prstGeom>
          <a:gradFill rotWithShape="1">
            <a:gsLst>
              <a:gs pos="0">
                <a:srgbClr val="1229C6">
                  <a:alpha val="0"/>
                </a:srgbClr>
              </a:gs>
              <a:gs pos="100000">
                <a:srgbClr val="1229C6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</xdr:grpSp>
    <xdr:clientData/>
  </xdr:twoCellAnchor>
  <xdr:twoCellAnchor>
    <xdr:from>
      <xdr:col>9</xdr:col>
      <xdr:colOff>11206</xdr:colOff>
      <xdr:row>30</xdr:row>
      <xdr:rowOff>134470</xdr:rowOff>
    </xdr:from>
    <xdr:to>
      <xdr:col>16</xdr:col>
      <xdr:colOff>199465</xdr:colOff>
      <xdr:row>38</xdr:row>
      <xdr:rowOff>97346</xdr:rowOff>
    </xdr:to>
    <xdr:sp macro="" textlink="">
      <xdr:nvSpPr>
        <xdr:cNvPr id="5" name="תיבת טקסט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 txBox="1"/>
      </xdr:nvSpPr>
      <xdr:spPr>
        <a:xfrm>
          <a:off x="5581650" y="5848350"/>
          <a:ext cx="4524375" cy="148590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1" anchor="ctr" anchorCtr="0"/>
        <a:lstStyle/>
        <a:p>
          <a:pPr rtl="0"/>
          <a:r>
            <a:rPr lang="he-IL" sz="6000" b="0" i="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+mn-cs"/>
            </a:rPr>
            <a:t>ממשל תאגידי</a:t>
          </a:r>
        </a:p>
      </xdr:txBody>
    </xdr:sp>
    <xdr:clientData/>
  </xdr:twoCellAnchor>
  <xdr:twoCellAnchor editAs="oneCell">
    <xdr:from>
      <xdr:col>0</xdr:col>
      <xdr:colOff>313765</xdr:colOff>
      <xdr:row>1</xdr:row>
      <xdr:rowOff>0</xdr:rowOff>
    </xdr:from>
    <xdr:to>
      <xdr:col>5</xdr:col>
      <xdr:colOff>104215</xdr:colOff>
      <xdr:row>2</xdr:row>
      <xdr:rowOff>28575</xdr:rowOff>
    </xdr:to>
    <xdr:pic>
      <xdr:nvPicPr>
        <xdr:cNvPr id="9" name="גרפיקה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4325" y="190500"/>
          <a:ext cx="2886075" cy="219075"/>
        </a:xfrm>
        <a:prstGeom prst="rect">
          <a:avLst/>
        </a:prstGeom>
        <a:effectLst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612834</xdr:colOff>
      <xdr:row>2</xdr:row>
      <xdr:rowOff>29294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52725" cy="2190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14</xdr:col>
      <xdr:colOff>95586</xdr:colOff>
      <xdr:row>18</xdr:row>
      <xdr:rowOff>76355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319F8EAF-EA49-9A51-1665-3B8BAB007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05150" y="1600200"/>
          <a:ext cx="6238875" cy="3009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-185812584</xdr:colOff>
      <xdr:row>0</xdr:row>
      <xdr:rowOff>181155</xdr:rowOff>
    </xdr:from>
    <xdr:to>
      <xdr:col>0</xdr:col>
      <xdr:colOff>-183226217</xdr:colOff>
      <xdr:row>2</xdr:row>
      <xdr:rowOff>3921</xdr:rowOff>
    </xdr:to>
    <xdr:pic>
      <xdr:nvPicPr>
        <xdr:cNvPr id="3" name="גרפיקה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80975"/>
          <a:ext cx="2590800" cy="209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2853690</xdr:colOff>
      <xdr:row>2</xdr:row>
      <xdr:rowOff>34111</xdr:rowOff>
    </xdr:to>
    <xdr:pic>
      <xdr:nvPicPr>
        <xdr:cNvPr id="5" name="גרפיקה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857500" cy="23812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664593</xdr:colOff>
      <xdr:row>2</xdr:row>
      <xdr:rowOff>25484</xdr:rowOff>
    </xdr:to>
    <xdr:pic>
      <xdr:nvPicPr>
        <xdr:cNvPr id="4" name="גרפיקה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62250" cy="2190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1236812</xdr:colOff>
      <xdr:row>2</xdr:row>
      <xdr:rowOff>29294</xdr:rowOff>
    </xdr:to>
    <xdr:pic>
      <xdr:nvPicPr>
        <xdr:cNvPr id="4" name="גרפיקה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81300" cy="21907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160020</xdr:colOff>
      <xdr:row>2</xdr:row>
      <xdr:rowOff>29294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62250" cy="21907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281436</xdr:colOff>
      <xdr:row>2</xdr:row>
      <xdr:rowOff>29294</xdr:rowOff>
    </xdr:to>
    <xdr:pic>
      <xdr:nvPicPr>
        <xdr:cNvPr id="3" name="גרפיקה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71775" cy="2190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142876</xdr:rowOff>
    </xdr:from>
    <xdr:to>
      <xdr:col>9</xdr:col>
      <xdr:colOff>523875</xdr:colOff>
      <xdr:row>38</xdr:row>
      <xdr:rowOff>95852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216CA9DB-9B94-4CB2-B59B-8B06EAD79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19200"/>
          <a:ext cx="11068050" cy="6238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2756499</xdr:colOff>
      <xdr:row>2</xdr:row>
      <xdr:rowOff>35009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52725" cy="228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178200</xdr:colOff>
      <xdr:row>39</xdr:row>
      <xdr:rowOff>69300</xdr:rowOff>
    </xdr:to>
    <xdr:grpSp>
      <xdr:nvGrpSpPr>
        <xdr:cNvPr id="2" name="קבוצה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>
        <a:xfrm>
          <a:off x="10637409035" y="0"/>
          <a:ext cx="11227200" cy="7353124"/>
          <a:chOff x="2142464505" y="0"/>
          <a:chExt cx="10465200" cy="7498800"/>
        </a:xfrm>
      </xdr:grpSpPr>
      <xdr:pic>
        <xdr:nvPicPr>
          <xdr:cNvPr id="4" name="תמונה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 t="2049" b="2049"/>
          <a:stretch>
            <a:fillRect/>
          </a:stretch>
        </xdr:blipFill>
        <xdr:spPr>
          <a:xfrm>
            <a:off x="2142464506" y="0"/>
            <a:ext cx="10465199" cy="7498800"/>
          </a:xfrm>
          <a:prstGeom prst="rect">
            <a:avLst/>
          </a:prstGeom>
        </xdr:spPr>
      </xdr:pic>
      <xdr:sp macro="" textlink="" fLocksText="0">
        <xdr:nvSpPr>
          <xdr:cNvPr id="3" name="מלבן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142464505" y="2545800"/>
            <a:ext cx="10465200" cy="4953000"/>
          </a:xfrm>
          <a:prstGeom prst="rect">
            <a:avLst/>
          </a:prstGeom>
          <a:gradFill rotWithShape="1">
            <a:gsLst>
              <a:gs pos="0">
                <a:srgbClr val="1229C6">
                  <a:alpha val="0"/>
                </a:srgbClr>
              </a:gs>
              <a:gs pos="100000">
                <a:srgbClr val="1229C6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</xdr:grpSp>
    <xdr:clientData/>
  </xdr:twoCellAnchor>
  <xdr:twoCellAnchor>
    <xdr:from>
      <xdr:col>9</xdr:col>
      <xdr:colOff>11206</xdr:colOff>
      <xdr:row>30</xdr:row>
      <xdr:rowOff>134470</xdr:rowOff>
    </xdr:from>
    <xdr:to>
      <xdr:col>16</xdr:col>
      <xdr:colOff>199465</xdr:colOff>
      <xdr:row>38</xdr:row>
      <xdr:rowOff>97346</xdr:rowOff>
    </xdr:to>
    <xdr:sp macro="" textlink="">
      <xdr:nvSpPr>
        <xdr:cNvPr id="5" name="תיבת טקסט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581650" y="5848350"/>
          <a:ext cx="4524375" cy="148590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1" anchor="ctr" anchorCtr="0"/>
        <a:lstStyle/>
        <a:p>
          <a:pPr rtl="0"/>
          <a:r>
            <a:rPr lang="he-IL" sz="6000" b="0" i="0" baseline="0">
              <a:solidFill>
                <a:schemeClr val="bg1"/>
              </a:solidFill>
              <a:effectLst/>
              <a:latin typeface="Arial" panose="020B0604020202020204" pitchFamily="34" charset="0"/>
              <a:ea typeface="+mn-ea"/>
              <a:cs typeface="+mn-cs"/>
            </a:rPr>
            <a:t>סביבה</a:t>
          </a:r>
          <a:endParaRPr lang="en-US" sz="6000" b="0" i="0" baseline="0">
            <a:solidFill>
              <a:schemeClr val="bg1"/>
            </a:solidFill>
            <a:effectLst/>
            <a:latin typeface="Arial" panose="020B0604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313765</xdr:colOff>
      <xdr:row>1</xdr:row>
      <xdr:rowOff>0</xdr:rowOff>
    </xdr:from>
    <xdr:to>
      <xdr:col>5</xdr:col>
      <xdr:colOff>104215</xdr:colOff>
      <xdr:row>2</xdr:row>
      <xdr:rowOff>28575</xdr:rowOff>
    </xdr:to>
    <xdr:pic>
      <xdr:nvPicPr>
        <xdr:cNvPr id="6" name="גרפיקה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4325" y="190500"/>
          <a:ext cx="2886075" cy="219075"/>
        </a:xfrm>
        <a:prstGeom prst="rect">
          <a:avLst/>
        </a:prstGeom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338694</xdr:colOff>
      <xdr:row>2</xdr:row>
      <xdr:rowOff>35009</xdr:rowOff>
    </xdr:to>
    <xdr:pic>
      <xdr:nvPicPr>
        <xdr:cNvPr id="3" name="גרפיקה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52725" cy="228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345416</xdr:colOff>
      <xdr:row>2</xdr:row>
      <xdr:rowOff>35009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43200" cy="228600"/>
        </a:xfrm>
        <a:prstGeom prst="rect">
          <a:avLst/>
        </a:prstGeom>
      </xdr:spPr>
    </xdr:pic>
    <xdr:clientData/>
  </xdr:twoCellAnchor>
  <xdr:twoCellAnchor>
    <xdr:from>
      <xdr:col>19</xdr:col>
      <xdr:colOff>38100</xdr:colOff>
      <xdr:row>3</xdr:row>
      <xdr:rowOff>76200</xdr:rowOff>
    </xdr:from>
    <xdr:to>
      <xdr:col>32</xdr:col>
      <xdr:colOff>866775</xdr:colOff>
      <xdr:row>25</xdr:row>
      <xdr:rowOff>47625</xdr:rowOff>
    </xdr:to>
    <xdr:sp macro="" textlink="">
      <xdr:nvSpPr>
        <xdr:cNvPr id="4" name="מלבן 3">
          <a:extLst>
            <a:ext uri="{FF2B5EF4-FFF2-40B4-BE49-F238E27FC236}">
              <a16:creationId xmlns:a16="http://schemas.microsoft.com/office/drawing/2014/main" id="{E2BF8399-5B70-4C30-9466-6F63DED3FFF8}"/>
            </a:ext>
          </a:extLst>
        </xdr:cNvPr>
        <xdr:cNvSpPr/>
      </xdr:nvSpPr>
      <xdr:spPr>
        <a:xfrm>
          <a:off x="13401675" y="647700"/>
          <a:ext cx="12353925" cy="5876925"/>
        </a:xfrm>
        <a:prstGeom prst="rect">
          <a:avLst/>
        </a:prstGeom>
        <a:ln>
          <a:noFill/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802616</xdr:colOff>
      <xdr:row>2</xdr:row>
      <xdr:rowOff>35009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62250" cy="228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399474</xdr:colOff>
      <xdr:row>2</xdr:row>
      <xdr:rowOff>25484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62250" cy="2190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612834</xdr:colOff>
      <xdr:row>2</xdr:row>
      <xdr:rowOff>35009</xdr:rowOff>
    </xdr:to>
    <xdr:pic>
      <xdr:nvPicPr>
        <xdr:cNvPr id="2" name="גרפיקה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650" y="190500"/>
          <a:ext cx="2752725" cy="228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0210485\AppData\Local\Microsoft\Windows\INetCache\Content.Outlook\WZOMNFKQ\&#1502;&#1513;&#1488;&#1489;&#1497;%20&#1488;&#1504;&#1493;&#1513;\&#1504;&#1514;&#1493;&#1504;&#1497;&#1501;%20&#1502;&#1499;&#1493;&#1499;&#1497;\&#1492;&#1513;&#1500;&#1502;&#1493;&#1514;%2018.6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count"/>
      <sheetName val="משוב והערכה"/>
      <sheetName val="כוח אדם"/>
      <sheetName val=" הנהלה"/>
    </sheetNames>
    <sheetDataSet>
      <sheetData sheetId="0" refreshError="1"/>
      <sheetData sheetId="1" refreshError="1"/>
      <sheetData sheetId="2" refreshError="1">
        <row r="15">
          <cell r="C15">
            <v>564</v>
          </cell>
          <cell r="D15">
            <v>707</v>
          </cell>
          <cell r="G15">
            <v>535</v>
          </cell>
          <cell r="H15">
            <v>803</v>
          </cell>
          <cell r="K15">
            <v>578</v>
          </cell>
          <cell r="L15">
            <v>786</v>
          </cell>
        </row>
        <row r="16">
          <cell r="C16">
            <v>993</v>
          </cell>
          <cell r="D16">
            <v>1668</v>
          </cell>
          <cell r="G16">
            <v>965</v>
          </cell>
          <cell r="H16">
            <v>1672</v>
          </cell>
          <cell r="K16">
            <v>949</v>
          </cell>
          <cell r="L16">
            <v>1656</v>
          </cell>
        </row>
        <row r="17">
          <cell r="C17">
            <v>367</v>
          </cell>
          <cell r="D17">
            <v>1109</v>
          </cell>
          <cell r="G17">
            <v>384</v>
          </cell>
          <cell r="H17">
            <v>1116</v>
          </cell>
          <cell r="K17">
            <v>435</v>
          </cell>
          <cell r="L17">
            <v>1194</v>
          </cell>
        </row>
        <row r="21">
          <cell r="B21" t="str">
            <v>מספר עובדים חיצוניים (שמחזיקים במשרות מקצועיות)</v>
          </cell>
          <cell r="L21" t="str">
            <v>2-7, 2-8</v>
          </cell>
        </row>
        <row r="23">
          <cell r="B23" t="str">
            <v>מספר עובדים חיצוניים שנקלטו</v>
          </cell>
        </row>
        <row r="25">
          <cell r="B25" t="str">
            <v>מספר העובדים במשרה מלאה</v>
          </cell>
        </row>
        <row r="27">
          <cell r="B27" t="str">
            <v>מספר העובדים במשרה חלקית</v>
          </cell>
        </row>
        <row r="29">
          <cell r="B29" t="str">
            <v>סה"כ מספר (מלאה+חלקית)</v>
          </cell>
        </row>
        <row r="31">
          <cell r="B31" t="str">
            <v>מספר עובדים שעליהם חלים הסכמים קיבוציים</v>
          </cell>
        </row>
        <row r="32">
          <cell r="B32" t="str">
            <v>אחוז עובדים שעליהם חלים הסכמים קיבוציים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5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"/>
  <sheetViews>
    <sheetView showGridLines="0" rightToLeft="1" tabSelected="1" zoomScale="60" zoomScaleNormal="60" workbookViewId="0">
      <selection activeCell="R20" sqref="R19:R20"/>
    </sheetView>
  </sheetViews>
  <sheetFormatPr defaultColWidth="9.26953125" defaultRowHeight="14.5" x14ac:dyDescent="0.35"/>
  <cols>
    <col min="1" max="7" width="9.26953125" style="410" customWidth="1"/>
    <col min="8" max="17" width="9.26953125" style="410"/>
    <col min="18" max="18" width="72.81640625" style="410" customWidth="1"/>
    <col min="19" max="16384" width="9.26953125" style="410"/>
  </cols>
  <sheetData/>
  <pageMargins left="0.7" right="0.7" top="0.75" bottom="0.75" header="0.3" footer="0.3"/>
  <pageSetup paperSize="9" orientation="landscape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A1"/>
  <sheetViews>
    <sheetView showGridLines="0" rightToLeft="1" zoomScale="85" zoomScaleNormal="85" workbookViewId="0">
      <selection activeCell="D26" sqref="D26"/>
    </sheetView>
  </sheetViews>
  <sheetFormatPr defaultColWidth="9.26953125" defaultRowHeight="14.5" x14ac:dyDescent="0.35"/>
  <cols>
    <col min="1" max="6" width="9.26953125" style="417" customWidth="1"/>
    <col min="7" max="16384" width="9.26953125" style="417"/>
  </cols>
  <sheetData/>
  <pageMargins left="0.7" right="0.7" top="0.75" bottom="0.75" header="0.3" footer="0.3"/>
  <pageSetup paperSize="9" orientation="portrait" r:id="rId1"/>
  <headerFooter scaleWithDoc="0"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01"/>
  <sheetViews>
    <sheetView showGridLines="0" rightToLeft="1" topLeftCell="A74" zoomScale="110" zoomScaleNormal="110" workbookViewId="0">
      <selection activeCell="B3" sqref="B3"/>
    </sheetView>
  </sheetViews>
  <sheetFormatPr defaultColWidth="9.26953125" defaultRowHeight="14.5" x14ac:dyDescent="0.35"/>
  <cols>
    <col min="1" max="1" width="3.7265625" customWidth="1"/>
    <col min="2" max="2" width="15.26953125" customWidth="1"/>
    <col min="3" max="15" width="10.7265625" customWidth="1"/>
    <col min="16" max="16" width="11" customWidth="1"/>
    <col min="17" max="17" width="11.26953125" customWidth="1"/>
    <col min="18" max="18" width="12" customWidth="1"/>
    <col min="22" max="22" width="15.26953125" customWidth="1"/>
    <col min="23" max="23" width="14.7265625" customWidth="1"/>
  </cols>
  <sheetData>
    <row r="1" spans="1:19" ht="15" customHeight="1" x14ac:dyDescent="0.35"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9" ht="15" customHeight="1" x14ac:dyDescent="0.35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9" ht="15" customHeight="1" x14ac:dyDescent="0.35"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9" ht="15" customHeight="1" x14ac:dyDescent="0.35"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9" ht="24" customHeight="1" thickBot="1" x14ac:dyDescent="0.4">
      <c r="B5" s="39" t="s">
        <v>501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19" ht="15" customHeight="1" thickTop="1" x14ac:dyDescent="0.35"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9" ht="25.15" customHeight="1" x14ac:dyDescent="0.35">
      <c r="B7" s="367" t="s">
        <v>194</v>
      </c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67"/>
      <c r="Q7" s="367"/>
      <c r="R7" s="367"/>
      <c r="S7" s="367"/>
    </row>
    <row r="8" spans="1:19" ht="25.15" customHeight="1" x14ac:dyDescent="0.35">
      <c r="A8" s="51"/>
      <c r="B8" s="64" t="s">
        <v>195</v>
      </c>
      <c r="C8" s="64"/>
      <c r="D8" s="64"/>
      <c r="E8" s="64"/>
      <c r="H8" s="51"/>
      <c r="I8" s="51"/>
      <c r="J8" s="51"/>
      <c r="K8" s="51"/>
      <c r="L8" s="51"/>
      <c r="M8" s="51"/>
      <c r="N8" s="51"/>
      <c r="O8" s="51"/>
    </row>
    <row r="9" spans="1:19" ht="30.4" customHeight="1" x14ac:dyDescent="0.35">
      <c r="A9" s="51"/>
      <c r="B9" s="603"/>
      <c r="C9" s="165">
        <v>2020</v>
      </c>
      <c r="D9" s="165">
        <v>2021</v>
      </c>
      <c r="E9" s="165">
        <v>2022</v>
      </c>
      <c r="F9" s="602">
        <v>2023</v>
      </c>
      <c r="G9" s="129">
        <v>2024</v>
      </c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7" t="s">
        <v>41</v>
      </c>
    </row>
    <row r="10" spans="1:19" ht="31.5" customHeight="1" x14ac:dyDescent="0.35">
      <c r="A10" s="51"/>
      <c r="B10" s="152" t="s">
        <v>44</v>
      </c>
      <c r="C10" s="188">
        <v>5408</v>
      </c>
      <c r="D10" s="188">
        <v>5475</v>
      </c>
      <c r="E10" s="188">
        <v>5598</v>
      </c>
      <c r="F10" s="188">
        <v>5432</v>
      </c>
      <c r="G10" s="188">
        <v>5425</v>
      </c>
      <c r="H10" s="188"/>
      <c r="I10" s="188"/>
      <c r="J10" s="116"/>
      <c r="K10" s="116"/>
      <c r="L10" s="116"/>
      <c r="M10" s="116"/>
      <c r="N10" s="116"/>
      <c r="O10" s="116"/>
      <c r="P10" s="116"/>
      <c r="Q10" s="116"/>
      <c r="R10" s="116"/>
      <c r="S10" s="1065" t="s">
        <v>196</v>
      </c>
    </row>
    <row r="11" spans="1:19" ht="21.4" customHeight="1" x14ac:dyDescent="0.35">
      <c r="A11" s="51"/>
      <c r="B11" s="153" t="s">
        <v>46</v>
      </c>
      <c r="C11" s="189">
        <v>1229</v>
      </c>
      <c r="D11" s="189">
        <v>1094</v>
      </c>
      <c r="E11" s="189">
        <v>1065</v>
      </c>
      <c r="F11" s="189">
        <v>1155</v>
      </c>
      <c r="G11" s="504" t="s">
        <v>197</v>
      </c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079"/>
    </row>
    <row r="12" spans="1:19" ht="21.4" customHeight="1" x14ac:dyDescent="0.35">
      <c r="A12" s="51"/>
      <c r="B12" s="153" t="s">
        <v>47</v>
      </c>
      <c r="C12" s="189">
        <v>1900</v>
      </c>
      <c r="D12" s="189">
        <v>1768</v>
      </c>
      <c r="E12" s="189">
        <v>1704</v>
      </c>
      <c r="F12" s="189">
        <v>1684</v>
      </c>
      <c r="G12" s="504" t="s">
        <v>198</v>
      </c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079"/>
    </row>
    <row r="13" spans="1:19" ht="21.4" customHeight="1" x14ac:dyDescent="0.35">
      <c r="A13" s="51"/>
      <c r="B13" s="153" t="s">
        <v>109</v>
      </c>
      <c r="C13" s="189">
        <v>1311</v>
      </c>
      <c r="D13" s="189">
        <v>1121</v>
      </c>
      <c r="E13" s="189">
        <v>950</v>
      </c>
      <c r="F13" s="189">
        <v>703</v>
      </c>
      <c r="G13" s="504" t="s">
        <v>199</v>
      </c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079"/>
    </row>
    <row r="14" spans="1:19" ht="21.4" customHeight="1" x14ac:dyDescent="0.35">
      <c r="A14" s="51"/>
      <c r="B14" s="9" t="s">
        <v>78</v>
      </c>
      <c r="C14" s="512">
        <f t="shared" ref="C14" si="0">SUM(C10:C13)</f>
        <v>9848</v>
      </c>
      <c r="D14" s="512">
        <f>SUM(D10:D13)</f>
        <v>9458</v>
      </c>
      <c r="E14" s="512">
        <f>SUM(E10:E13)</f>
        <v>9317</v>
      </c>
      <c r="F14" s="512">
        <f>SUM(F10:F13)</f>
        <v>8974</v>
      </c>
      <c r="G14" s="505" t="s">
        <v>200</v>
      </c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080"/>
    </row>
    <row r="15" spans="1:19" ht="21.4" customHeight="1" x14ac:dyDescent="0.35">
      <c r="A15" s="51"/>
      <c r="B15" s="65"/>
      <c r="C15" s="80"/>
      <c r="D15" s="80"/>
      <c r="E15" s="80"/>
      <c r="F15" s="80"/>
      <c r="G15" s="81"/>
      <c r="H15" s="51"/>
      <c r="I15" s="51"/>
      <c r="J15" s="51"/>
      <c r="K15" s="51"/>
      <c r="L15" s="51"/>
      <c r="M15" s="51"/>
      <c r="N15" s="51"/>
      <c r="O15" s="51"/>
    </row>
    <row r="16" spans="1:19" ht="25.15" customHeight="1" x14ac:dyDescent="0.35">
      <c r="A16" s="51"/>
      <c r="B16" s="64" t="s">
        <v>201</v>
      </c>
      <c r="C16" s="64"/>
      <c r="D16" s="64"/>
      <c r="E16" s="64"/>
      <c r="F16" s="64"/>
      <c r="G16" s="51"/>
      <c r="H16" s="51"/>
      <c r="I16" s="51"/>
      <c r="J16" s="51"/>
      <c r="K16" s="51"/>
      <c r="L16" s="51"/>
      <c r="M16" s="51"/>
      <c r="N16" s="51"/>
      <c r="O16" s="51"/>
    </row>
    <row r="17" spans="1:21" ht="30.4" customHeight="1" x14ac:dyDescent="0.35">
      <c r="A17" s="51"/>
      <c r="B17" s="190"/>
      <c r="C17" s="1084">
        <v>2021</v>
      </c>
      <c r="D17" s="1075"/>
      <c r="E17" s="1075">
        <v>2022</v>
      </c>
      <c r="F17" s="1076"/>
      <c r="G17" s="1075">
        <v>2023</v>
      </c>
      <c r="H17" s="1076"/>
      <c r="I17" s="1075">
        <v>2024</v>
      </c>
      <c r="J17" s="1076"/>
      <c r="K17" s="190"/>
      <c r="L17" s="190"/>
      <c r="M17" s="190"/>
      <c r="N17" s="190"/>
      <c r="O17" s="109"/>
      <c r="P17" s="109"/>
      <c r="Q17" s="109"/>
      <c r="R17" s="109"/>
      <c r="S17" s="187" t="s">
        <v>41</v>
      </c>
    </row>
    <row r="18" spans="1:21" ht="40.9" customHeight="1" x14ac:dyDescent="0.35">
      <c r="A18" s="51"/>
      <c r="B18" s="191"/>
      <c r="C18" s="111" t="s">
        <v>202</v>
      </c>
      <c r="D18" s="126" t="s">
        <v>203</v>
      </c>
      <c r="E18" s="192" t="s">
        <v>202</v>
      </c>
      <c r="F18" s="114" t="s">
        <v>203</v>
      </c>
      <c r="G18" s="192" t="s">
        <v>202</v>
      </c>
      <c r="H18" s="114" t="s">
        <v>203</v>
      </c>
      <c r="I18" s="192" t="s">
        <v>202</v>
      </c>
      <c r="J18" s="114" t="s">
        <v>203</v>
      </c>
      <c r="K18" s="111"/>
      <c r="L18" s="111"/>
      <c r="M18" s="111"/>
      <c r="N18" s="111"/>
      <c r="O18" s="220"/>
      <c r="P18" s="220"/>
      <c r="Q18" s="220"/>
      <c r="R18" s="220"/>
      <c r="S18" s="1038" t="s">
        <v>204</v>
      </c>
      <c r="U18">
        <v>8</v>
      </c>
    </row>
    <row r="19" spans="1:21" ht="21.4" customHeight="1" x14ac:dyDescent="0.35">
      <c r="A19" s="51"/>
      <c r="B19" s="193" t="s">
        <v>44</v>
      </c>
      <c r="C19" s="194">
        <f>5556*0.92</f>
        <v>5111.5200000000004</v>
      </c>
      <c r="D19" s="195">
        <v>0.92</v>
      </c>
      <c r="E19" s="196">
        <f>5610*0.93</f>
        <v>5217.3</v>
      </c>
      <c r="F19" s="197">
        <v>0.93</v>
      </c>
      <c r="G19" s="196">
        <f>5432*0.93</f>
        <v>5051.76</v>
      </c>
      <c r="H19" s="574">
        <v>0.93</v>
      </c>
      <c r="I19" s="671">
        <v>5034</v>
      </c>
      <c r="J19" s="672">
        <v>0.92792626728110594</v>
      </c>
      <c r="K19" s="116"/>
      <c r="L19" s="116"/>
      <c r="M19" s="116"/>
      <c r="N19" s="198"/>
      <c r="O19" s="227"/>
      <c r="P19" s="227"/>
      <c r="Q19" s="227"/>
      <c r="R19" s="227"/>
      <c r="S19" s="1038"/>
    </row>
    <row r="20" spans="1:21" ht="21.4" customHeight="1" x14ac:dyDescent="0.35">
      <c r="A20" s="51"/>
      <c r="B20" s="199" t="s">
        <v>46</v>
      </c>
      <c r="C20" s="119">
        <v>905</v>
      </c>
      <c r="D20" s="200">
        <v>0.79500000000000004</v>
      </c>
      <c r="E20" s="201">
        <v>882</v>
      </c>
      <c r="F20" s="200">
        <v>0.79100000000000004</v>
      </c>
      <c r="G20" s="201">
        <v>904</v>
      </c>
      <c r="H20" s="574">
        <v>0.83299999999999996</v>
      </c>
      <c r="I20" s="646">
        <v>873</v>
      </c>
      <c r="J20" s="647">
        <v>0.83299999999999996</v>
      </c>
      <c r="K20" s="118"/>
      <c r="L20" s="118"/>
      <c r="M20" s="118"/>
      <c r="N20" s="202"/>
      <c r="O20" s="227"/>
      <c r="P20" s="227"/>
      <c r="Q20" s="227"/>
      <c r="R20" s="227"/>
      <c r="S20" s="1038"/>
    </row>
    <row r="21" spans="1:21" ht="21.4" customHeight="1" x14ac:dyDescent="0.35">
      <c r="A21" s="51"/>
      <c r="B21" s="199" t="s">
        <v>47</v>
      </c>
      <c r="C21" s="203">
        <v>1658</v>
      </c>
      <c r="D21" s="204">
        <v>0.93700000000000006</v>
      </c>
      <c r="E21" s="205">
        <v>1572</v>
      </c>
      <c r="F21" s="204">
        <v>0.93500000000000005</v>
      </c>
      <c r="G21" s="205">
        <v>1579</v>
      </c>
      <c r="H21" s="575">
        <v>0.93700000000000006</v>
      </c>
      <c r="I21" s="196">
        <v>1565</v>
      </c>
      <c r="J21" s="643">
        <v>0.93600000000000005</v>
      </c>
      <c r="K21" s="118"/>
      <c r="L21" s="118"/>
      <c r="M21" s="118"/>
      <c r="N21" s="202"/>
      <c r="O21" s="227"/>
      <c r="P21" s="227"/>
      <c r="Q21" s="227"/>
      <c r="R21" s="227"/>
      <c r="S21" s="1038"/>
    </row>
    <row r="22" spans="1:21" ht="21.4" customHeight="1" x14ac:dyDescent="0.35">
      <c r="A22" s="51"/>
      <c r="B22" s="199" t="s">
        <v>52</v>
      </c>
      <c r="C22" s="203">
        <v>1065</v>
      </c>
      <c r="D22" s="206">
        <v>0.95</v>
      </c>
      <c r="E22" s="201">
        <v>893</v>
      </c>
      <c r="F22" s="207">
        <v>0.94</v>
      </c>
      <c r="G22" s="205">
        <v>663</v>
      </c>
      <c r="H22" s="575">
        <v>0.94</v>
      </c>
      <c r="I22" s="196">
        <v>560</v>
      </c>
      <c r="J22" s="372">
        <v>0.94</v>
      </c>
      <c r="K22" s="118"/>
      <c r="L22" s="118"/>
      <c r="M22" s="118"/>
      <c r="N22" s="202"/>
      <c r="O22" s="227"/>
      <c r="P22" s="227"/>
      <c r="Q22" s="227"/>
      <c r="R22" s="227"/>
      <c r="S22" s="1038"/>
    </row>
    <row r="23" spans="1:21" ht="21.4" customHeight="1" x14ac:dyDescent="0.35">
      <c r="A23" s="51"/>
      <c r="B23" s="208" t="s">
        <v>205</v>
      </c>
      <c r="C23" s="1085">
        <f>C19+C20+C21+C22</f>
        <v>8739.52</v>
      </c>
      <c r="D23" s="1086"/>
      <c r="E23" s="1086">
        <f>SUM(E19:E22)</f>
        <v>8564.2999999999993</v>
      </c>
      <c r="F23" s="1077"/>
      <c r="G23" s="1077">
        <f>SUM(G19:G22)</f>
        <v>8197.76</v>
      </c>
      <c r="H23" s="1078"/>
      <c r="I23" s="1077">
        <f>SUM(I19:I22)</f>
        <v>8032</v>
      </c>
      <c r="J23" s="1078"/>
      <c r="K23" s="121"/>
      <c r="L23" s="121"/>
      <c r="M23" s="121"/>
      <c r="N23" s="209"/>
      <c r="S23" s="1065"/>
    </row>
    <row r="24" spans="1:21" ht="21.4" customHeight="1" x14ac:dyDescent="0.35">
      <c r="A24" s="51"/>
      <c r="B24" s="82"/>
      <c r="C24" s="83"/>
      <c r="D24" s="83"/>
      <c r="E24" s="83"/>
      <c r="F24" s="83"/>
      <c r="G24" s="81"/>
      <c r="H24" s="530"/>
      <c r="K24" s="51"/>
      <c r="L24" s="51"/>
      <c r="M24" s="51"/>
      <c r="N24" s="51"/>
      <c r="O24" s="51"/>
    </row>
    <row r="25" spans="1:21" ht="25.15" customHeight="1" x14ac:dyDescent="0.35">
      <c r="A25" s="51"/>
      <c r="B25" s="64" t="s">
        <v>206</v>
      </c>
      <c r="C25" s="64"/>
      <c r="D25" s="64"/>
      <c r="E25" s="64"/>
      <c r="F25" s="64"/>
      <c r="G25" s="64"/>
      <c r="H25" s="64"/>
      <c r="I25" s="64"/>
      <c r="J25" s="64"/>
      <c r="K25" s="64"/>
      <c r="L25" s="51"/>
      <c r="M25" s="51"/>
      <c r="N25" s="51"/>
      <c r="O25" s="51"/>
    </row>
    <row r="26" spans="1:21" ht="21.4" customHeight="1" x14ac:dyDescent="0.35">
      <c r="A26" s="51"/>
      <c r="B26" s="210"/>
      <c r="C26" s="1081" t="s">
        <v>44</v>
      </c>
      <c r="D26" s="1082"/>
      <c r="E26" s="1082" t="s">
        <v>46</v>
      </c>
      <c r="F26" s="1082"/>
      <c r="G26" s="1082" t="s">
        <v>47</v>
      </c>
      <c r="H26" s="1082"/>
      <c r="I26" s="1082" t="s">
        <v>48</v>
      </c>
      <c r="J26" s="1083"/>
      <c r="K26" s="211"/>
      <c r="L26" s="211"/>
      <c r="M26" s="211"/>
      <c r="N26" s="211"/>
      <c r="O26" s="109"/>
      <c r="P26" s="109"/>
      <c r="Q26" s="109"/>
      <c r="R26" s="109"/>
      <c r="S26" s="1087" t="s">
        <v>41</v>
      </c>
    </row>
    <row r="27" spans="1:21" ht="21.4" customHeight="1" x14ac:dyDescent="0.35">
      <c r="A27" s="51"/>
      <c r="B27" s="212"/>
      <c r="C27" s="212" t="s">
        <v>207</v>
      </c>
      <c r="D27" s="213" t="s">
        <v>208</v>
      </c>
      <c r="E27" s="214" t="s">
        <v>207</v>
      </c>
      <c r="F27" s="213" t="s">
        <v>208</v>
      </c>
      <c r="G27" s="214" t="s">
        <v>207</v>
      </c>
      <c r="H27" s="213" t="s">
        <v>208</v>
      </c>
      <c r="I27" s="214" t="s">
        <v>207</v>
      </c>
      <c r="J27" s="212" t="s">
        <v>208</v>
      </c>
      <c r="K27" s="215"/>
      <c r="L27" s="215"/>
      <c r="M27" s="215"/>
      <c r="N27" s="215"/>
      <c r="O27" s="220"/>
      <c r="P27" s="220"/>
      <c r="Q27" s="220"/>
      <c r="R27" s="220"/>
      <c r="S27" s="1088"/>
    </row>
    <row r="28" spans="1:21" ht="26" x14ac:dyDescent="0.35">
      <c r="A28" s="51"/>
      <c r="B28" s="216" t="s">
        <v>209</v>
      </c>
      <c r="C28" s="677">
        <v>120</v>
      </c>
      <c r="D28" s="678">
        <v>1</v>
      </c>
      <c r="E28" s="639">
        <v>35</v>
      </c>
      <c r="F28" s="640">
        <v>2</v>
      </c>
      <c r="G28" s="639">
        <v>76</v>
      </c>
      <c r="H28" s="640">
        <v>3</v>
      </c>
      <c r="I28" s="639">
        <v>14</v>
      </c>
      <c r="J28" s="876">
        <v>1</v>
      </c>
      <c r="K28" s="118"/>
      <c r="L28" s="118"/>
      <c r="M28" s="118"/>
      <c r="N28" s="118"/>
      <c r="O28" s="227"/>
      <c r="P28" s="227"/>
      <c r="Q28" s="227"/>
      <c r="R28" s="227"/>
      <c r="S28" s="1065" t="s">
        <v>210</v>
      </c>
    </row>
    <row r="29" spans="1:21" ht="26" x14ac:dyDescent="0.35">
      <c r="A29" s="51"/>
      <c r="B29" s="216" t="s">
        <v>211</v>
      </c>
      <c r="C29" s="677">
        <v>67</v>
      </c>
      <c r="D29" s="678">
        <v>1</v>
      </c>
      <c r="E29" s="639">
        <v>27</v>
      </c>
      <c r="F29" s="640">
        <v>1</v>
      </c>
      <c r="G29" s="639">
        <v>31</v>
      </c>
      <c r="H29" s="640">
        <v>1</v>
      </c>
      <c r="I29" s="639">
        <v>12</v>
      </c>
      <c r="J29" s="876">
        <v>1</v>
      </c>
      <c r="K29" s="118"/>
      <c r="L29" s="118"/>
      <c r="M29" s="118"/>
      <c r="N29" s="118"/>
      <c r="O29" s="227"/>
      <c r="P29" s="227"/>
      <c r="Q29" s="227"/>
      <c r="R29" s="227"/>
      <c r="S29" s="1079"/>
    </row>
    <row r="30" spans="1:21" ht="39" x14ac:dyDescent="0.35">
      <c r="A30" s="51"/>
      <c r="B30" s="219" t="s">
        <v>212</v>
      </c>
      <c r="C30" s="679">
        <v>47</v>
      </c>
      <c r="D30" s="680">
        <v>3</v>
      </c>
      <c r="E30" s="641">
        <v>5</v>
      </c>
      <c r="F30" s="648">
        <v>0</v>
      </c>
      <c r="G30" s="641">
        <v>5</v>
      </c>
      <c r="H30" s="642">
        <v>1</v>
      </c>
      <c r="I30" s="877"/>
      <c r="J30" s="878">
        <v>1</v>
      </c>
      <c r="K30" s="121"/>
      <c r="L30" s="121"/>
      <c r="M30" s="121"/>
      <c r="N30" s="121"/>
      <c r="S30" s="1079"/>
    </row>
    <row r="31" spans="1:21" ht="21.4" customHeight="1" x14ac:dyDescent="0.35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</row>
    <row r="32" spans="1:21" ht="25.15" customHeight="1" x14ac:dyDescent="0.35">
      <c r="A32" s="51"/>
      <c r="B32" s="367" t="s">
        <v>213</v>
      </c>
      <c r="C32" s="367"/>
      <c r="D32" s="367"/>
      <c r="E32" s="367"/>
      <c r="F32" s="367"/>
      <c r="G32" s="367"/>
      <c r="H32" s="367"/>
      <c r="I32" s="367"/>
      <c r="J32" s="367"/>
      <c r="K32" s="367"/>
      <c r="L32" s="367"/>
      <c r="M32" s="367"/>
      <c r="N32" s="367"/>
      <c r="O32" s="367"/>
      <c r="P32" s="367"/>
      <c r="Q32" s="367"/>
      <c r="R32" s="367"/>
      <c r="S32" s="367"/>
    </row>
    <row r="33" spans="1:18" ht="25.15" customHeight="1" x14ac:dyDescent="0.35">
      <c r="A33" s="51"/>
      <c r="B33" s="64" t="s">
        <v>214</v>
      </c>
      <c r="C33" s="64"/>
      <c r="D33" s="64"/>
      <c r="E33" s="64"/>
      <c r="F33" s="64"/>
      <c r="G33" s="64"/>
      <c r="H33" s="64"/>
      <c r="I33" s="64"/>
      <c r="J33" s="64"/>
      <c r="K33" s="64"/>
      <c r="M33" s="51"/>
      <c r="N33" s="51"/>
      <c r="O33" s="51"/>
    </row>
    <row r="34" spans="1:18" s="94" customFormat="1" ht="30.4" customHeight="1" x14ac:dyDescent="0.35">
      <c r="A34" s="93"/>
      <c r="B34" s="1"/>
      <c r="C34" s="1037">
        <v>2020</v>
      </c>
      <c r="D34" s="1037"/>
      <c r="E34" s="1063"/>
      <c r="F34" s="1062">
        <v>2021</v>
      </c>
      <c r="G34" s="1037"/>
      <c r="H34" s="1063"/>
      <c r="I34" s="1037">
        <v>2022</v>
      </c>
      <c r="J34" s="1037"/>
      <c r="K34" s="1037"/>
      <c r="L34" s="1037">
        <v>2023</v>
      </c>
      <c r="M34" s="1037"/>
      <c r="N34" s="1037"/>
      <c r="O34" s="1037">
        <v>2024</v>
      </c>
      <c r="P34" s="1037"/>
      <c r="Q34" s="1037"/>
      <c r="R34" s="43" t="s">
        <v>41</v>
      </c>
    </row>
    <row r="35" spans="1:18" ht="21.4" customHeight="1" x14ac:dyDescent="0.35">
      <c r="A35" s="51"/>
      <c r="B35" s="220"/>
      <c r="C35" s="220" t="s">
        <v>207</v>
      </c>
      <c r="D35" s="220" t="s">
        <v>208</v>
      </c>
      <c r="E35" s="221" t="s">
        <v>78</v>
      </c>
      <c r="F35" s="220" t="s">
        <v>207</v>
      </c>
      <c r="G35" s="220" t="s">
        <v>208</v>
      </c>
      <c r="H35" s="221" t="s">
        <v>78</v>
      </c>
      <c r="I35" s="220" t="s">
        <v>207</v>
      </c>
      <c r="J35" s="220" t="s">
        <v>208</v>
      </c>
      <c r="K35" s="220" t="s">
        <v>78</v>
      </c>
      <c r="L35" s="220" t="s">
        <v>207</v>
      </c>
      <c r="M35" s="220" t="s">
        <v>208</v>
      </c>
      <c r="N35" s="220" t="s">
        <v>78</v>
      </c>
      <c r="O35" s="220" t="s">
        <v>207</v>
      </c>
      <c r="P35" s="220" t="s">
        <v>208</v>
      </c>
      <c r="Q35" s="220" t="s">
        <v>78</v>
      </c>
      <c r="R35" s="1038" t="s">
        <v>215</v>
      </c>
    </row>
    <row r="36" spans="1:18" ht="21.4" customHeight="1" x14ac:dyDescent="0.35">
      <c r="A36" s="51"/>
      <c r="B36" s="223" t="s">
        <v>216</v>
      </c>
      <c r="C36" s="224">
        <v>282</v>
      </c>
      <c r="D36" s="224">
        <v>566</v>
      </c>
      <c r="E36" s="225">
        <v>848</v>
      </c>
      <c r="F36" s="226">
        <v>291</v>
      </c>
      <c r="G36" s="226">
        <v>591</v>
      </c>
      <c r="H36" s="225">
        <v>882</v>
      </c>
      <c r="I36" s="226">
        <v>299</v>
      </c>
      <c r="J36" s="226">
        <v>578</v>
      </c>
      <c r="K36" s="227">
        <v>877</v>
      </c>
      <c r="L36" s="484">
        <v>353</v>
      </c>
      <c r="M36" s="484">
        <v>605</v>
      </c>
      <c r="N36" s="227">
        <f>SUM(L36:M36)</f>
        <v>958</v>
      </c>
      <c r="O36" s="673">
        <v>370</v>
      </c>
      <c r="P36" s="673">
        <v>637</v>
      </c>
      <c r="Q36" s="674">
        <f>SUM(O36:P36)</f>
        <v>1007</v>
      </c>
      <c r="R36" s="1038"/>
    </row>
    <row r="37" spans="1:18" ht="21.4" customHeight="1" x14ac:dyDescent="0.35">
      <c r="A37" s="51"/>
      <c r="B37" s="228" t="s">
        <v>217</v>
      </c>
      <c r="C37" s="229">
        <v>1642</v>
      </c>
      <c r="D37" s="229">
        <v>2918</v>
      </c>
      <c r="E37" s="230">
        <v>4560</v>
      </c>
      <c r="F37" s="231">
        <v>1593</v>
      </c>
      <c r="G37" s="231">
        <v>3000</v>
      </c>
      <c r="H37" s="230">
        <v>4593</v>
      </c>
      <c r="I37" s="231">
        <v>1663</v>
      </c>
      <c r="J37" s="231">
        <v>3058</v>
      </c>
      <c r="K37" s="232">
        <v>4721</v>
      </c>
      <c r="L37" s="485">
        <v>3001</v>
      </c>
      <c r="M37" s="485">
        <v>1473</v>
      </c>
      <c r="N37" s="227">
        <f t="shared" ref="N37:N39" si="1">SUM(L37:M37)</f>
        <v>4474</v>
      </c>
      <c r="O37" s="675">
        <v>1442</v>
      </c>
      <c r="P37" s="675">
        <v>2976</v>
      </c>
      <c r="Q37" s="674">
        <f t="shared" ref="Q37:Q39" si="2">SUM(O37:P37)</f>
        <v>4418</v>
      </c>
      <c r="R37" s="1038"/>
    </row>
    <row r="38" spans="1:18" ht="21.4" customHeight="1" x14ac:dyDescent="0.35">
      <c r="A38" s="51"/>
      <c r="B38" s="228" t="s">
        <v>218</v>
      </c>
      <c r="C38" s="229">
        <v>1924</v>
      </c>
      <c r="D38" s="229">
        <v>3484</v>
      </c>
      <c r="E38" s="230">
        <v>5408</v>
      </c>
      <c r="F38" s="231">
        <v>1884</v>
      </c>
      <c r="G38" s="231">
        <v>3591</v>
      </c>
      <c r="H38" s="230">
        <v>5475</v>
      </c>
      <c r="I38" s="231">
        <v>1962</v>
      </c>
      <c r="J38" s="231">
        <v>3636</v>
      </c>
      <c r="K38" s="232">
        <v>5598</v>
      </c>
      <c r="L38" s="485">
        <v>3606</v>
      </c>
      <c r="M38" s="485">
        <v>1826</v>
      </c>
      <c r="N38" s="227">
        <f t="shared" si="1"/>
        <v>5432</v>
      </c>
      <c r="O38" s="675">
        <v>1812</v>
      </c>
      <c r="P38" s="675">
        <v>3613</v>
      </c>
      <c r="Q38" s="674">
        <f t="shared" si="2"/>
        <v>5425</v>
      </c>
      <c r="R38" s="1038"/>
    </row>
    <row r="39" spans="1:18" ht="21.4" customHeight="1" x14ac:dyDescent="0.35">
      <c r="A39" s="51"/>
      <c r="B39" s="233" t="s">
        <v>78</v>
      </c>
      <c r="C39" s="234">
        <v>1924</v>
      </c>
      <c r="D39" s="234">
        <v>3484</v>
      </c>
      <c r="E39" s="235">
        <v>5408</v>
      </c>
      <c r="F39" s="234">
        <v>1884</v>
      </c>
      <c r="G39" s="234">
        <v>3591</v>
      </c>
      <c r="H39" s="235">
        <v>5475</v>
      </c>
      <c r="I39" s="234">
        <v>1962</v>
      </c>
      <c r="J39" s="234">
        <v>3636</v>
      </c>
      <c r="K39" s="234">
        <v>5598</v>
      </c>
      <c r="L39" s="485">
        <v>3606</v>
      </c>
      <c r="M39" s="486">
        <v>1826</v>
      </c>
      <c r="N39" s="227">
        <f t="shared" si="1"/>
        <v>5432</v>
      </c>
      <c r="O39" s="676">
        <v>1812</v>
      </c>
      <c r="P39" s="676">
        <v>3613</v>
      </c>
      <c r="Q39" s="674">
        <f t="shared" si="2"/>
        <v>5425</v>
      </c>
      <c r="R39" s="1065"/>
    </row>
    <row r="40" spans="1:18" x14ac:dyDescent="0.35">
      <c r="A40" s="51"/>
      <c r="B40" s="87"/>
      <c r="C40" s="88"/>
      <c r="D40" s="88"/>
      <c r="E40" s="88"/>
      <c r="F40" s="88"/>
      <c r="G40" s="88"/>
      <c r="H40" s="88"/>
      <c r="I40" s="88"/>
      <c r="J40" s="88"/>
      <c r="K40" s="88"/>
      <c r="L40" s="86"/>
      <c r="M40" s="51"/>
      <c r="N40" s="51"/>
      <c r="O40" s="86"/>
    </row>
    <row r="41" spans="1:18" ht="25.15" customHeight="1" x14ac:dyDescent="0.35">
      <c r="A41" s="51"/>
      <c r="B41" s="64" t="s">
        <v>219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</row>
    <row r="42" spans="1:18" ht="30.4" customHeight="1" x14ac:dyDescent="0.35">
      <c r="A42" s="51"/>
      <c r="B42" s="1"/>
      <c r="C42" s="1037">
        <v>2020</v>
      </c>
      <c r="D42" s="1037"/>
      <c r="E42" s="1063"/>
      <c r="F42" s="1062">
        <v>2021</v>
      </c>
      <c r="G42" s="1037"/>
      <c r="H42" s="1063"/>
      <c r="I42" s="1062">
        <v>2022</v>
      </c>
      <c r="J42" s="1037"/>
      <c r="K42" s="1063"/>
      <c r="L42" s="1062">
        <v>2023</v>
      </c>
      <c r="M42" s="1037"/>
      <c r="N42" s="1063"/>
      <c r="O42" s="1062">
        <v>2024</v>
      </c>
      <c r="P42" s="1037"/>
      <c r="Q42" s="1064"/>
      <c r="R42" s="43" t="s">
        <v>41</v>
      </c>
    </row>
    <row r="43" spans="1:18" ht="21.4" customHeight="1" x14ac:dyDescent="0.35">
      <c r="A43" s="51"/>
      <c r="B43" s="220"/>
      <c r="C43" s="220" t="s">
        <v>207</v>
      </c>
      <c r="D43" s="220" t="s">
        <v>208</v>
      </c>
      <c r="E43" s="220" t="s">
        <v>78</v>
      </c>
      <c r="F43" s="220" t="s">
        <v>207</v>
      </c>
      <c r="G43" s="220" t="s">
        <v>208</v>
      </c>
      <c r="H43" s="220" t="s">
        <v>78</v>
      </c>
      <c r="I43" s="220" t="s">
        <v>207</v>
      </c>
      <c r="J43" s="220" t="s">
        <v>208</v>
      </c>
      <c r="K43" s="220" t="s">
        <v>78</v>
      </c>
      <c r="L43" s="220" t="s">
        <v>207</v>
      </c>
      <c r="M43" s="220" t="s">
        <v>208</v>
      </c>
      <c r="N43" s="220" t="s">
        <v>78</v>
      </c>
      <c r="O43" s="220" t="s">
        <v>207</v>
      </c>
      <c r="P43" s="220" t="s">
        <v>208</v>
      </c>
      <c r="Q43" s="220" t="s">
        <v>78</v>
      </c>
      <c r="R43" s="1038" t="s">
        <v>215</v>
      </c>
    </row>
    <row r="44" spans="1:18" ht="21.4" customHeight="1" x14ac:dyDescent="0.35">
      <c r="A44" s="51"/>
      <c r="B44" s="223" t="s">
        <v>220</v>
      </c>
      <c r="C44" s="236">
        <f>'[1]כוח אדם'!C15</f>
        <v>564</v>
      </c>
      <c r="D44" s="236">
        <f>'[1]כוח אדם'!D15</f>
        <v>707</v>
      </c>
      <c r="E44" s="227">
        <f>D44+C44</f>
        <v>1271</v>
      </c>
      <c r="F44" s="226">
        <f>'[1]כוח אדם'!G15</f>
        <v>535</v>
      </c>
      <c r="G44" s="226">
        <f>'[1]כוח אדם'!H15</f>
        <v>803</v>
      </c>
      <c r="H44" s="227">
        <f>G44+F44</f>
        <v>1338</v>
      </c>
      <c r="I44" s="226">
        <f>'[1]כוח אדם'!K15</f>
        <v>578</v>
      </c>
      <c r="J44" s="226">
        <f>'[1]כוח אדם'!L15</f>
        <v>786</v>
      </c>
      <c r="K44" s="227">
        <f>J44+I44</f>
        <v>1364</v>
      </c>
      <c r="L44" s="487">
        <v>498</v>
      </c>
      <c r="M44" s="487">
        <v>773</v>
      </c>
      <c r="N44" s="227">
        <f>M44+L44</f>
        <v>1271</v>
      </c>
      <c r="O44" s="681">
        <v>477</v>
      </c>
      <c r="P44" s="681">
        <v>734</v>
      </c>
      <c r="Q44" s="682">
        <f>P44+O44</f>
        <v>1211</v>
      </c>
      <c r="R44" s="1038"/>
    </row>
    <row r="45" spans="1:18" ht="21.4" customHeight="1" x14ac:dyDescent="0.35">
      <c r="A45" s="51"/>
      <c r="B45" s="199" t="s">
        <v>221</v>
      </c>
      <c r="C45" s="237">
        <f>'[1]כוח אדם'!C16</f>
        <v>993</v>
      </c>
      <c r="D45" s="237">
        <f>'[1]כוח אדם'!D16</f>
        <v>1668</v>
      </c>
      <c r="E45" s="232">
        <f>D45+C45</f>
        <v>2661</v>
      </c>
      <c r="F45" s="231">
        <f>'[1]כוח אדם'!G16</f>
        <v>965</v>
      </c>
      <c r="G45" s="231">
        <f>'[1]כוח אדם'!H16</f>
        <v>1672</v>
      </c>
      <c r="H45" s="232">
        <f>G45+F45</f>
        <v>2637</v>
      </c>
      <c r="I45" s="231">
        <f>'[1]כוח אדם'!K16</f>
        <v>949</v>
      </c>
      <c r="J45" s="231">
        <f>'[1]כוח אדם'!L16</f>
        <v>1656</v>
      </c>
      <c r="K45" s="232">
        <f>J45+I45</f>
        <v>2605</v>
      </c>
      <c r="L45" s="487">
        <v>906</v>
      </c>
      <c r="M45" s="487">
        <v>1650</v>
      </c>
      <c r="N45" s="232">
        <f>M45+L45</f>
        <v>2556</v>
      </c>
      <c r="O45" s="683">
        <v>884</v>
      </c>
      <c r="P45" s="683">
        <v>1671</v>
      </c>
      <c r="Q45" s="684">
        <f>P45+O45</f>
        <v>2555</v>
      </c>
      <c r="R45" s="1038"/>
    </row>
    <row r="46" spans="1:18" ht="21.4" customHeight="1" x14ac:dyDescent="0.35">
      <c r="A46" s="51"/>
      <c r="B46" s="228" t="s">
        <v>222</v>
      </c>
      <c r="C46" s="237">
        <f>'[1]כוח אדם'!C17</f>
        <v>367</v>
      </c>
      <c r="D46" s="237">
        <f>'[1]כוח אדם'!D17</f>
        <v>1109</v>
      </c>
      <c r="E46" s="237">
        <f>C46+D46</f>
        <v>1476</v>
      </c>
      <c r="F46" s="231">
        <f>'[1]כוח אדם'!G17</f>
        <v>384</v>
      </c>
      <c r="G46" s="231">
        <f>'[1]כוח אדם'!H17</f>
        <v>1116</v>
      </c>
      <c r="H46" s="237">
        <f>F46+G46</f>
        <v>1500</v>
      </c>
      <c r="I46" s="231">
        <f>'[1]כוח אדם'!K17</f>
        <v>435</v>
      </c>
      <c r="J46" s="231">
        <f>'[1]כוח אדם'!L17</f>
        <v>1194</v>
      </c>
      <c r="K46" s="237">
        <f>I46+J46</f>
        <v>1629</v>
      </c>
      <c r="L46" s="487">
        <v>422</v>
      </c>
      <c r="M46" s="487">
        <v>1183</v>
      </c>
      <c r="N46" s="237">
        <f>L46+M46</f>
        <v>1605</v>
      </c>
      <c r="O46" s="683">
        <v>451</v>
      </c>
      <c r="P46" s="683">
        <v>1208</v>
      </c>
      <c r="Q46" s="685">
        <f>O46+P46</f>
        <v>1659</v>
      </c>
      <c r="R46" s="1038"/>
    </row>
    <row r="47" spans="1:18" ht="21.4" customHeight="1" x14ac:dyDescent="0.35">
      <c r="A47" s="51"/>
      <c r="B47" s="233" t="s">
        <v>78</v>
      </c>
      <c r="C47" s="234">
        <f t="shared" ref="C47:J47" si="3">C44+C45+C46</f>
        <v>1924</v>
      </c>
      <c r="D47" s="234">
        <f t="shared" si="3"/>
        <v>3484</v>
      </c>
      <c r="E47" s="234">
        <f t="shared" si="3"/>
        <v>5408</v>
      </c>
      <c r="F47" s="234">
        <f t="shared" si="3"/>
        <v>1884</v>
      </c>
      <c r="G47" s="234">
        <f t="shared" si="3"/>
        <v>3591</v>
      </c>
      <c r="H47" s="234">
        <f t="shared" si="3"/>
        <v>5475</v>
      </c>
      <c r="I47" s="234">
        <f t="shared" si="3"/>
        <v>1962</v>
      </c>
      <c r="J47" s="234">
        <f t="shared" si="3"/>
        <v>3636</v>
      </c>
      <c r="K47" s="234">
        <f>J47+I47</f>
        <v>5598</v>
      </c>
      <c r="L47" s="487">
        <f>SUM(L44:L46)</f>
        <v>1826</v>
      </c>
      <c r="M47" s="487">
        <f>SUM(M44:M46)</f>
        <v>3606</v>
      </c>
      <c r="N47" s="234">
        <f>M47+L47</f>
        <v>5432</v>
      </c>
      <c r="O47" s="686">
        <f>O44+O45+O46</f>
        <v>1812</v>
      </c>
      <c r="P47" s="686">
        <f>P44+P45+P46</f>
        <v>3613</v>
      </c>
      <c r="Q47" s="686">
        <f>P47+O47</f>
        <v>5425</v>
      </c>
      <c r="R47" s="1065"/>
    </row>
    <row r="48" spans="1:18" ht="21.4" customHeight="1" x14ac:dyDescent="0.3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</row>
    <row r="49" spans="1:23" ht="25.15" customHeight="1" x14ac:dyDescent="0.35">
      <c r="A49" s="51"/>
      <c r="B49" s="367" t="s">
        <v>223</v>
      </c>
      <c r="C49" s="367"/>
      <c r="D49" s="367"/>
      <c r="E49" s="367"/>
      <c r="F49" s="367"/>
      <c r="G49" s="367"/>
      <c r="H49" s="367"/>
      <c r="I49" s="367"/>
      <c r="J49" s="367"/>
      <c r="K49" s="367"/>
      <c r="L49" s="367"/>
      <c r="M49" s="367"/>
      <c r="N49" s="367"/>
      <c r="O49" s="367"/>
      <c r="P49" s="367"/>
      <c r="Q49" s="367"/>
      <c r="R49" s="367"/>
      <c r="S49" s="367"/>
    </row>
    <row r="50" spans="1:23" ht="25.15" customHeight="1" x14ac:dyDescent="0.35">
      <c r="A50" s="51"/>
      <c r="B50" s="64" t="s">
        <v>224</v>
      </c>
      <c r="C50" s="64"/>
      <c r="D50" s="64"/>
      <c r="E50" s="64"/>
      <c r="F50" s="64"/>
      <c r="G50" s="64"/>
      <c r="H50" s="64"/>
      <c r="I50" s="64"/>
      <c r="J50" s="64"/>
      <c r="K50" s="64"/>
      <c r="N50" s="51"/>
      <c r="O50" s="51"/>
    </row>
    <row r="51" spans="1:23" ht="30.4" customHeight="1" x14ac:dyDescent="0.35">
      <c r="A51" s="51"/>
      <c r="B51" s="238"/>
      <c r="C51" s="1037">
        <v>2020</v>
      </c>
      <c r="D51" s="1037"/>
      <c r="E51" s="1063"/>
      <c r="F51" s="1037">
        <v>2021</v>
      </c>
      <c r="G51" s="1037"/>
      <c r="H51" s="1063"/>
      <c r="I51" s="1037">
        <v>2022</v>
      </c>
      <c r="J51" s="1037"/>
      <c r="K51" s="1063"/>
      <c r="L51" s="1037">
        <v>2023</v>
      </c>
      <c r="M51" s="1037"/>
      <c r="N51" s="1063"/>
      <c r="O51" s="1037">
        <v>2024</v>
      </c>
      <c r="P51" s="1037"/>
      <c r="Q51" s="1063"/>
      <c r="R51" s="112" t="s">
        <v>164</v>
      </c>
      <c r="S51" s="112"/>
      <c r="T51" s="112"/>
      <c r="U51" s="112"/>
      <c r="V51" s="43" t="s">
        <v>41</v>
      </c>
    </row>
    <row r="52" spans="1:23" ht="21.4" customHeight="1" x14ac:dyDescent="0.35">
      <c r="A52" s="51"/>
      <c r="B52" s="239"/>
      <c r="C52" s="240" t="s">
        <v>207</v>
      </c>
      <c r="D52" s="240" t="s">
        <v>208</v>
      </c>
      <c r="E52" s="241" t="s">
        <v>78</v>
      </c>
      <c r="F52" s="240" t="s">
        <v>207</v>
      </c>
      <c r="G52" s="240" t="s">
        <v>208</v>
      </c>
      <c r="H52" s="241" t="s">
        <v>78</v>
      </c>
      <c r="I52" s="240" t="s">
        <v>207</v>
      </c>
      <c r="J52" s="240" t="s">
        <v>208</v>
      </c>
      <c r="K52" s="241" t="s">
        <v>78</v>
      </c>
      <c r="L52" s="240" t="s">
        <v>207</v>
      </c>
      <c r="M52" s="240" t="s">
        <v>208</v>
      </c>
      <c r="N52" s="241" t="s">
        <v>78</v>
      </c>
      <c r="O52" s="240" t="s">
        <v>207</v>
      </c>
      <c r="P52" s="240" t="s">
        <v>208</v>
      </c>
      <c r="Q52" s="241" t="s">
        <v>78</v>
      </c>
      <c r="R52" s="242"/>
      <c r="S52" s="243"/>
      <c r="T52" s="243"/>
      <c r="U52" s="243"/>
      <c r="V52" s="1038" t="s">
        <v>215</v>
      </c>
    </row>
    <row r="53" spans="1:23" ht="21.4" customHeight="1" x14ac:dyDescent="0.35">
      <c r="A53" s="51"/>
      <c r="B53" s="223" t="s">
        <v>216</v>
      </c>
      <c r="C53" s="226">
        <v>90</v>
      </c>
      <c r="D53" s="226">
        <v>93</v>
      </c>
      <c r="E53" s="225">
        <f>D53+C53</f>
        <v>183</v>
      </c>
      <c r="F53" s="226">
        <v>81</v>
      </c>
      <c r="G53" s="226">
        <v>93</v>
      </c>
      <c r="H53" s="225">
        <f>G53+F53</f>
        <v>174</v>
      </c>
      <c r="I53" s="226">
        <v>78</v>
      </c>
      <c r="J53" s="226">
        <v>89</v>
      </c>
      <c r="K53" s="225">
        <f>J53+I53</f>
        <v>167</v>
      </c>
      <c r="L53" s="226">
        <v>78</v>
      </c>
      <c r="M53" s="226">
        <v>91</v>
      </c>
      <c r="N53" s="225">
        <v>169</v>
      </c>
      <c r="O53" s="649">
        <v>79</v>
      </c>
      <c r="P53" s="649">
        <v>100</v>
      </c>
      <c r="Q53" s="650">
        <v>179</v>
      </c>
      <c r="R53" s="1066" t="s">
        <v>225</v>
      </c>
      <c r="S53" s="110"/>
      <c r="T53" s="110"/>
      <c r="U53" s="110"/>
      <c r="V53" s="1038"/>
    </row>
    <row r="54" spans="1:23" ht="21.4" customHeight="1" x14ac:dyDescent="0.35">
      <c r="A54" s="51"/>
      <c r="B54" s="228" t="s">
        <v>217</v>
      </c>
      <c r="C54" s="231">
        <v>546</v>
      </c>
      <c r="D54" s="231">
        <v>561</v>
      </c>
      <c r="E54" s="230">
        <f>D54+C54</f>
        <v>1107</v>
      </c>
      <c r="F54" s="231">
        <v>474</v>
      </c>
      <c r="G54" s="231">
        <v>490</v>
      </c>
      <c r="H54" s="230">
        <f>G54+F54</f>
        <v>964</v>
      </c>
      <c r="I54" s="231">
        <v>448</v>
      </c>
      <c r="J54" s="231">
        <v>500</v>
      </c>
      <c r="K54" s="230">
        <f>J54+I54</f>
        <v>948</v>
      </c>
      <c r="L54" s="231">
        <v>455</v>
      </c>
      <c r="M54" s="231">
        <v>531</v>
      </c>
      <c r="N54" s="230">
        <v>986</v>
      </c>
      <c r="O54" s="651">
        <v>431</v>
      </c>
      <c r="P54" s="651">
        <v>496</v>
      </c>
      <c r="Q54" s="652">
        <v>927</v>
      </c>
      <c r="R54" s="1067"/>
      <c r="S54" s="110"/>
      <c r="T54" s="110"/>
      <c r="U54" s="110"/>
      <c r="V54" s="1038"/>
    </row>
    <row r="55" spans="1:23" ht="21.4" customHeight="1" x14ac:dyDescent="0.35">
      <c r="A55" s="51"/>
      <c r="B55" s="233" t="s">
        <v>78</v>
      </c>
      <c r="C55" s="234">
        <f t="shared" ref="C55:K55" si="4">C53+C54</f>
        <v>636</v>
      </c>
      <c r="D55" s="234">
        <f t="shared" si="4"/>
        <v>654</v>
      </c>
      <c r="E55" s="235">
        <f t="shared" si="4"/>
        <v>1290</v>
      </c>
      <c r="F55" s="234">
        <f t="shared" si="4"/>
        <v>555</v>
      </c>
      <c r="G55" s="234">
        <f t="shared" si="4"/>
        <v>583</v>
      </c>
      <c r="H55" s="235">
        <f t="shared" si="4"/>
        <v>1138</v>
      </c>
      <c r="I55" s="234">
        <f t="shared" si="4"/>
        <v>526</v>
      </c>
      <c r="J55" s="234">
        <f t="shared" si="4"/>
        <v>589</v>
      </c>
      <c r="K55" s="235">
        <f t="shared" si="4"/>
        <v>1115</v>
      </c>
      <c r="L55" s="234">
        <v>533</v>
      </c>
      <c r="M55" s="234">
        <v>622</v>
      </c>
      <c r="N55" s="235">
        <v>1155</v>
      </c>
      <c r="O55" s="653">
        <v>510</v>
      </c>
      <c r="P55" s="653">
        <v>596</v>
      </c>
      <c r="Q55" s="653">
        <v>1106</v>
      </c>
      <c r="R55" s="1068"/>
      <c r="S55" s="110"/>
      <c r="T55" s="110"/>
      <c r="U55" s="110"/>
      <c r="V55" s="1038"/>
    </row>
    <row r="56" spans="1:23" ht="21.4" customHeight="1" x14ac:dyDescent="0.35">
      <c r="A56" s="51"/>
      <c r="B56" s="89"/>
      <c r="C56" s="95"/>
      <c r="D56" s="95"/>
      <c r="E56" s="95"/>
      <c r="F56" s="95"/>
      <c r="G56" s="95"/>
      <c r="H56" s="95"/>
      <c r="I56" s="95"/>
      <c r="J56" s="95"/>
      <c r="K56" s="95"/>
      <c r="L56" s="58"/>
      <c r="M56" s="58"/>
      <c r="N56" s="51"/>
      <c r="O56" s="51"/>
    </row>
    <row r="57" spans="1:23" s="97" customFormat="1" ht="25.15" customHeight="1" x14ac:dyDescent="0.35">
      <c r="A57" s="57"/>
      <c r="B57" s="64" t="s">
        <v>226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</row>
    <row r="58" spans="1:23" s="97" customFormat="1" ht="30.4" customHeight="1" x14ac:dyDescent="0.35">
      <c r="A58" s="57"/>
      <c r="B58" s="1"/>
      <c r="C58" s="1037">
        <v>2020</v>
      </c>
      <c r="D58" s="1037"/>
      <c r="E58" s="1037"/>
      <c r="F58" s="1063"/>
      <c r="G58" s="1037">
        <v>2021</v>
      </c>
      <c r="H58" s="1037"/>
      <c r="I58" s="1037"/>
      <c r="J58" s="1063"/>
      <c r="K58" s="1037">
        <v>2022</v>
      </c>
      <c r="L58" s="1037"/>
      <c r="M58" s="1037"/>
      <c r="N58" s="1037"/>
      <c r="O58" s="1037">
        <v>2023</v>
      </c>
      <c r="P58" s="1037"/>
      <c r="Q58" s="1037"/>
      <c r="R58" s="1037"/>
      <c r="S58" s="1037">
        <v>2024</v>
      </c>
      <c r="T58" s="1037"/>
      <c r="U58" s="1037"/>
      <c r="V58" s="1037"/>
      <c r="W58" s="43" t="s">
        <v>41</v>
      </c>
    </row>
    <row r="59" spans="1:23" s="97" customFormat="1" ht="21.4" customHeight="1" x14ac:dyDescent="0.35">
      <c r="A59" s="57"/>
      <c r="B59" s="220"/>
      <c r="C59" s="220" t="s">
        <v>207</v>
      </c>
      <c r="D59" s="220" t="s">
        <v>208</v>
      </c>
      <c r="E59" s="220" t="s">
        <v>78</v>
      </c>
      <c r="F59" s="221" t="s">
        <v>227</v>
      </c>
      <c r="G59" s="220" t="s">
        <v>207</v>
      </c>
      <c r="H59" s="220" t="s">
        <v>208</v>
      </c>
      <c r="I59" s="220" t="s">
        <v>78</v>
      </c>
      <c r="J59" s="221" t="s">
        <v>227</v>
      </c>
      <c r="K59" s="220" t="s">
        <v>207</v>
      </c>
      <c r="L59" s="220" t="s">
        <v>208</v>
      </c>
      <c r="M59" s="220" t="s">
        <v>78</v>
      </c>
      <c r="N59" s="220" t="s">
        <v>227</v>
      </c>
      <c r="O59" s="220" t="s">
        <v>207</v>
      </c>
      <c r="P59" s="220" t="s">
        <v>208</v>
      </c>
      <c r="Q59" s="220" t="s">
        <v>78</v>
      </c>
      <c r="R59" s="220" t="s">
        <v>227</v>
      </c>
      <c r="S59" s="220" t="s">
        <v>207</v>
      </c>
      <c r="T59" s="220" t="s">
        <v>208</v>
      </c>
      <c r="U59" s="220" t="s">
        <v>78</v>
      </c>
      <c r="V59" s="220" t="s">
        <v>227</v>
      </c>
      <c r="W59" s="1038" t="s">
        <v>45</v>
      </c>
    </row>
    <row r="60" spans="1:23" s="97" customFormat="1" ht="21.4" customHeight="1" x14ac:dyDescent="0.35">
      <c r="A60" s="57"/>
      <c r="B60" s="193" t="s">
        <v>220</v>
      </c>
      <c r="C60" s="244">
        <v>288</v>
      </c>
      <c r="D60" s="244">
        <v>230</v>
      </c>
      <c r="E60" s="194">
        <f>D60+C60</f>
        <v>518</v>
      </c>
      <c r="F60" s="1069">
        <v>34.83</v>
      </c>
      <c r="G60" s="244">
        <v>223</v>
      </c>
      <c r="H60" s="244">
        <v>184</v>
      </c>
      <c r="I60" s="194">
        <f>H60+G60</f>
        <v>407</v>
      </c>
      <c r="J60" s="1054">
        <v>38.5</v>
      </c>
      <c r="K60" s="244">
        <v>192</v>
      </c>
      <c r="L60" s="244">
        <v>189</v>
      </c>
      <c r="M60" s="194">
        <f>L60+K60</f>
        <v>381</v>
      </c>
      <c r="N60" s="1072">
        <v>36.5</v>
      </c>
      <c r="O60" s="244">
        <v>183</v>
      </c>
      <c r="P60" s="244">
        <v>196</v>
      </c>
      <c r="Q60" s="194">
        <f>P60+O60</f>
        <v>379</v>
      </c>
      <c r="R60" s="1059">
        <v>35.96</v>
      </c>
      <c r="S60" s="654">
        <v>187</v>
      </c>
      <c r="T60" s="654">
        <v>181</v>
      </c>
      <c r="U60" s="655">
        <v>368</v>
      </c>
      <c r="V60" s="1057">
        <v>36.9</v>
      </c>
      <c r="W60" s="1038"/>
    </row>
    <row r="61" spans="1:23" s="97" customFormat="1" ht="21.4" customHeight="1" x14ac:dyDescent="0.35">
      <c r="A61" s="57"/>
      <c r="B61" s="199" t="s">
        <v>221</v>
      </c>
      <c r="C61" s="245">
        <v>311</v>
      </c>
      <c r="D61" s="245">
        <v>364</v>
      </c>
      <c r="E61" s="203">
        <f>D61+C61</f>
        <v>675</v>
      </c>
      <c r="F61" s="1070"/>
      <c r="G61" s="245">
        <v>290</v>
      </c>
      <c r="H61" s="245">
        <v>337</v>
      </c>
      <c r="I61" s="203">
        <f>H61+G61</f>
        <v>627</v>
      </c>
      <c r="J61" s="1055"/>
      <c r="K61" s="245">
        <v>284</v>
      </c>
      <c r="L61" s="245">
        <v>333</v>
      </c>
      <c r="M61" s="203">
        <f>L61+K61</f>
        <v>617</v>
      </c>
      <c r="N61" s="1073"/>
      <c r="O61" s="245">
        <v>295</v>
      </c>
      <c r="P61" s="245">
        <v>340</v>
      </c>
      <c r="Q61" s="203">
        <f>O61+P61</f>
        <v>635</v>
      </c>
      <c r="R61" s="1060"/>
      <c r="S61" s="656">
        <v>269</v>
      </c>
      <c r="T61" s="656">
        <v>330</v>
      </c>
      <c r="U61" s="655">
        <v>599</v>
      </c>
      <c r="V61" s="1057"/>
      <c r="W61" s="1038"/>
    </row>
    <row r="62" spans="1:23" s="97" customFormat="1" ht="21.4" customHeight="1" x14ac:dyDescent="0.35">
      <c r="A62" s="57"/>
      <c r="B62" s="199" t="s">
        <v>222</v>
      </c>
      <c r="C62" s="245">
        <v>37</v>
      </c>
      <c r="D62" s="245">
        <v>60</v>
      </c>
      <c r="E62" s="246">
        <f>C62+D62</f>
        <v>97</v>
      </c>
      <c r="F62" s="1070"/>
      <c r="G62" s="245">
        <v>42</v>
      </c>
      <c r="H62" s="245">
        <v>62</v>
      </c>
      <c r="I62" s="246">
        <f>G62+H62</f>
        <v>104</v>
      </c>
      <c r="J62" s="1055"/>
      <c r="K62" s="245">
        <v>50</v>
      </c>
      <c r="L62" s="245">
        <v>67</v>
      </c>
      <c r="M62" s="246">
        <f>K62+L62</f>
        <v>117</v>
      </c>
      <c r="N62" s="1073"/>
      <c r="O62" s="245">
        <v>55</v>
      </c>
      <c r="P62" s="245">
        <v>86</v>
      </c>
      <c r="Q62" s="246">
        <f>O62+P62</f>
        <v>141</v>
      </c>
      <c r="R62" s="1060"/>
      <c r="S62" s="656">
        <v>54</v>
      </c>
      <c r="T62" s="656">
        <v>85</v>
      </c>
      <c r="U62" s="655">
        <v>139</v>
      </c>
      <c r="V62" s="1057"/>
      <c r="W62" s="1038"/>
    </row>
    <row r="63" spans="1:23" s="97" customFormat="1" ht="21.4" customHeight="1" x14ac:dyDescent="0.35">
      <c r="A63" s="57"/>
      <c r="B63" s="208" t="s">
        <v>78</v>
      </c>
      <c r="C63" s="247">
        <f>C60+C61+C62</f>
        <v>636</v>
      </c>
      <c r="D63" s="247">
        <f>D60+D61+D62</f>
        <v>654</v>
      </c>
      <c r="E63" s="247">
        <f>E60+E61+E62</f>
        <v>1290</v>
      </c>
      <c r="F63" s="1071"/>
      <c r="G63" s="247">
        <f>G60+G61+G62</f>
        <v>555</v>
      </c>
      <c r="H63" s="247">
        <f>H60+H61+H62</f>
        <v>583</v>
      </c>
      <c r="I63" s="247">
        <f>I60+I61+I62</f>
        <v>1138</v>
      </c>
      <c r="J63" s="1056"/>
      <c r="K63" s="247">
        <f>K60+K61+K62</f>
        <v>526</v>
      </c>
      <c r="L63" s="247">
        <f>L60+L61+L62</f>
        <v>589</v>
      </c>
      <c r="M63" s="247">
        <f>M60+M61+M62</f>
        <v>1115</v>
      </c>
      <c r="N63" s="1074"/>
      <c r="O63" s="247">
        <f>O62+O61+O60</f>
        <v>533</v>
      </c>
      <c r="P63" s="247">
        <f t="shared" ref="P63" si="5">P62+P61+P60</f>
        <v>622</v>
      </c>
      <c r="Q63" s="234">
        <v>1155</v>
      </c>
      <c r="R63" s="1061"/>
      <c r="S63" s="657">
        <v>510</v>
      </c>
      <c r="T63" s="657">
        <v>596</v>
      </c>
      <c r="U63" s="655">
        <v>1106</v>
      </c>
      <c r="V63" s="1057"/>
      <c r="W63" s="1038"/>
    </row>
    <row r="64" spans="1:23" s="97" customFormat="1" ht="21.4" customHeight="1" x14ac:dyDescent="0.3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</row>
    <row r="65" spans="1:23" ht="25.15" customHeight="1" x14ac:dyDescent="0.35">
      <c r="A65" s="51"/>
      <c r="B65" s="367" t="s">
        <v>228</v>
      </c>
      <c r="C65" s="367"/>
      <c r="D65" s="367"/>
      <c r="E65" s="367"/>
      <c r="F65" s="367"/>
      <c r="G65" s="367"/>
      <c r="H65" s="367"/>
      <c r="I65" s="367"/>
      <c r="J65" s="367"/>
      <c r="K65" s="367"/>
      <c r="L65" s="367"/>
      <c r="M65" s="367"/>
      <c r="N65" s="367"/>
      <c r="O65" s="367"/>
      <c r="P65" s="367"/>
      <c r="Q65" s="367"/>
      <c r="R65" s="367"/>
      <c r="S65" s="367"/>
    </row>
    <row r="66" spans="1:23" ht="25.15" customHeight="1" x14ac:dyDescent="0.35">
      <c r="A66" s="51"/>
      <c r="B66" s="64" t="s">
        <v>229</v>
      </c>
      <c r="C66" s="64"/>
      <c r="D66" s="64"/>
      <c r="E66" s="64"/>
      <c r="F66" s="64"/>
      <c r="G66" s="64"/>
      <c r="H66" s="64"/>
      <c r="I66" s="64"/>
      <c r="J66" s="64"/>
      <c r="K66" s="64"/>
      <c r="M66" s="51"/>
      <c r="N66" s="51"/>
      <c r="O66" s="51"/>
    </row>
    <row r="67" spans="1:23" ht="30.4" customHeight="1" x14ac:dyDescent="0.35">
      <c r="A67" s="51"/>
      <c r="B67" s="1"/>
      <c r="C67" s="1037">
        <v>2020</v>
      </c>
      <c r="D67" s="1037"/>
      <c r="E67" s="1063"/>
      <c r="F67" s="1037">
        <v>2021</v>
      </c>
      <c r="G67" s="1037"/>
      <c r="H67" s="1063"/>
      <c r="I67" s="1037">
        <v>2022</v>
      </c>
      <c r="J67" s="1037"/>
      <c r="K67" s="1037"/>
      <c r="L67" s="1037">
        <v>2023</v>
      </c>
      <c r="M67" s="1037"/>
      <c r="N67" s="1037"/>
      <c r="O67" s="1037">
        <v>2024</v>
      </c>
      <c r="P67" s="1037"/>
      <c r="Q67" s="1037"/>
      <c r="R67" s="43" t="s">
        <v>41</v>
      </c>
    </row>
    <row r="68" spans="1:23" ht="21.4" customHeight="1" x14ac:dyDescent="0.35">
      <c r="A68" s="51"/>
      <c r="B68" s="240"/>
      <c r="C68" s="220" t="s">
        <v>207</v>
      </c>
      <c r="D68" s="220" t="s">
        <v>208</v>
      </c>
      <c r="E68" s="220" t="s">
        <v>78</v>
      </c>
      <c r="F68" s="220" t="s">
        <v>207</v>
      </c>
      <c r="G68" s="220" t="s">
        <v>208</v>
      </c>
      <c r="H68" s="220" t="s">
        <v>78</v>
      </c>
      <c r="I68" s="220" t="s">
        <v>207</v>
      </c>
      <c r="J68" s="220" t="s">
        <v>208</v>
      </c>
      <c r="K68" s="220" t="s">
        <v>78</v>
      </c>
      <c r="L68" s="220" t="s">
        <v>207</v>
      </c>
      <c r="M68" s="220" t="s">
        <v>208</v>
      </c>
      <c r="N68" s="220" t="s">
        <v>78</v>
      </c>
      <c r="O68" s="220" t="s">
        <v>207</v>
      </c>
      <c r="P68" s="220" t="s">
        <v>208</v>
      </c>
      <c r="Q68" s="220" t="s">
        <v>78</v>
      </c>
      <c r="R68" s="1038" t="s">
        <v>215</v>
      </c>
    </row>
    <row r="69" spans="1:23" ht="21.4" customHeight="1" x14ac:dyDescent="0.35">
      <c r="A69" s="51"/>
      <c r="B69" s="223" t="s">
        <v>216</v>
      </c>
      <c r="C69" s="226">
        <v>161</v>
      </c>
      <c r="D69" s="226">
        <v>214</v>
      </c>
      <c r="E69" s="225">
        <f>D69+C69</f>
        <v>375</v>
      </c>
      <c r="F69" s="226">
        <v>154</v>
      </c>
      <c r="G69" s="226">
        <v>212</v>
      </c>
      <c r="H69" s="225">
        <f>G69+F69</f>
        <v>366</v>
      </c>
      <c r="I69" s="226">
        <v>148</v>
      </c>
      <c r="J69" s="226">
        <v>208</v>
      </c>
      <c r="K69" s="225">
        <f>J69+I69</f>
        <v>356</v>
      </c>
      <c r="L69" s="226">
        <v>150</v>
      </c>
      <c r="M69" s="226">
        <v>204</v>
      </c>
      <c r="N69" s="227">
        <v>354</v>
      </c>
      <c r="O69" s="305">
        <v>156</v>
      </c>
      <c r="P69" s="305">
        <v>201</v>
      </c>
      <c r="Q69" s="305">
        <f>P69+O69</f>
        <v>357</v>
      </c>
      <c r="R69" s="1038"/>
    </row>
    <row r="70" spans="1:23" ht="21.4" customHeight="1" x14ac:dyDescent="0.35">
      <c r="A70" s="51"/>
      <c r="B70" s="228" t="s">
        <v>217</v>
      </c>
      <c r="C70" s="231">
        <v>768</v>
      </c>
      <c r="D70" s="231">
        <v>757</v>
      </c>
      <c r="E70" s="230">
        <f>D70+C70</f>
        <v>1525</v>
      </c>
      <c r="F70" s="231">
        <v>704</v>
      </c>
      <c r="G70" s="231">
        <v>699</v>
      </c>
      <c r="H70" s="230">
        <f>G70+F70</f>
        <v>1403</v>
      </c>
      <c r="I70" s="231">
        <v>671</v>
      </c>
      <c r="J70" s="231">
        <v>654</v>
      </c>
      <c r="K70" s="230">
        <f>J70+I70</f>
        <v>1325</v>
      </c>
      <c r="L70" s="231">
        <v>660</v>
      </c>
      <c r="M70" s="231">
        <v>672</v>
      </c>
      <c r="N70" s="232">
        <v>1332</v>
      </c>
      <c r="O70" s="644">
        <v>631</v>
      </c>
      <c r="P70" s="644">
        <v>684</v>
      </c>
      <c r="Q70" s="644">
        <f>P70+O70</f>
        <v>1315</v>
      </c>
      <c r="R70" s="1038"/>
    </row>
    <row r="71" spans="1:23" ht="21.4" customHeight="1" x14ac:dyDescent="0.35">
      <c r="A71" s="51"/>
      <c r="B71" s="233" t="s">
        <v>78</v>
      </c>
      <c r="C71" s="234">
        <f t="shared" ref="C71:K71" si="6">C69+C70</f>
        <v>929</v>
      </c>
      <c r="D71" s="234">
        <f t="shared" si="6"/>
        <v>971</v>
      </c>
      <c r="E71" s="235">
        <f t="shared" si="6"/>
        <v>1900</v>
      </c>
      <c r="F71" s="234">
        <f t="shared" si="6"/>
        <v>858</v>
      </c>
      <c r="G71" s="234">
        <f t="shared" si="6"/>
        <v>911</v>
      </c>
      <c r="H71" s="235">
        <f t="shared" si="6"/>
        <v>1769</v>
      </c>
      <c r="I71" s="234">
        <f t="shared" si="6"/>
        <v>819</v>
      </c>
      <c r="J71" s="234">
        <f t="shared" si="6"/>
        <v>862</v>
      </c>
      <c r="K71" s="235">
        <f t="shared" si="6"/>
        <v>1681</v>
      </c>
      <c r="L71" s="234">
        <v>810</v>
      </c>
      <c r="M71" s="234">
        <v>876</v>
      </c>
      <c r="N71" s="234">
        <v>1684</v>
      </c>
      <c r="O71" s="306">
        <f>SUM(O69:O70)</f>
        <v>787</v>
      </c>
      <c r="P71" s="306">
        <f t="shared" ref="P71:Q71" si="7">SUM(P69:P70)</f>
        <v>885</v>
      </c>
      <c r="Q71" s="306">
        <f t="shared" si="7"/>
        <v>1672</v>
      </c>
      <c r="R71" s="1038"/>
    </row>
    <row r="72" spans="1:23" ht="21.4" customHeight="1" x14ac:dyDescent="0.35">
      <c r="A72" s="51"/>
      <c r="B72" s="84"/>
      <c r="C72" s="85"/>
      <c r="D72" s="85"/>
      <c r="E72" s="85"/>
      <c r="F72" s="85"/>
      <c r="G72" s="85"/>
      <c r="H72" s="85"/>
      <c r="I72" s="85"/>
      <c r="J72" s="85"/>
      <c r="K72" s="85"/>
      <c r="L72" s="96"/>
      <c r="M72" s="51"/>
      <c r="N72" s="51"/>
      <c r="O72" s="51"/>
    </row>
    <row r="73" spans="1:23" ht="25.15" customHeight="1" x14ac:dyDescent="0.35">
      <c r="A73" s="51"/>
      <c r="B73" s="64" t="s">
        <v>230</v>
      </c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</row>
    <row r="74" spans="1:23" ht="30.4" customHeight="1" x14ac:dyDescent="0.35">
      <c r="A74" s="51"/>
      <c r="B74" s="90"/>
      <c r="C74" s="1043">
        <v>2020</v>
      </c>
      <c r="D74" s="1043"/>
      <c r="E74" s="1043"/>
      <c r="F74" s="1044"/>
      <c r="G74" s="1045">
        <v>2021</v>
      </c>
      <c r="H74" s="1043"/>
      <c r="I74" s="1043"/>
      <c r="J74" s="1044"/>
      <c r="K74" s="1043">
        <v>2022</v>
      </c>
      <c r="L74" s="1043"/>
      <c r="M74" s="1043"/>
      <c r="N74" s="1043"/>
      <c r="O74" s="1037">
        <v>2023</v>
      </c>
      <c r="P74" s="1037"/>
      <c r="Q74" s="1037"/>
      <c r="R74" s="1037"/>
      <c r="S74" s="1037">
        <v>2024</v>
      </c>
      <c r="T74" s="1037"/>
      <c r="U74" s="1037"/>
      <c r="V74" s="1037"/>
      <c r="W74" s="43" t="s">
        <v>41</v>
      </c>
    </row>
    <row r="75" spans="1:23" ht="21.4" customHeight="1" x14ac:dyDescent="0.35">
      <c r="A75" s="51"/>
      <c r="B75" s="92"/>
      <c r="C75" s="220" t="s">
        <v>207</v>
      </c>
      <c r="D75" s="220" t="s">
        <v>208</v>
      </c>
      <c r="E75" s="220" t="s">
        <v>78</v>
      </c>
      <c r="F75" s="220" t="s">
        <v>227</v>
      </c>
      <c r="G75" s="220" t="s">
        <v>207</v>
      </c>
      <c r="H75" s="220" t="s">
        <v>208</v>
      </c>
      <c r="I75" s="220" t="s">
        <v>78</v>
      </c>
      <c r="J75" s="220" t="s">
        <v>227</v>
      </c>
      <c r="K75" s="220" t="s">
        <v>207</v>
      </c>
      <c r="L75" s="220" t="s">
        <v>208</v>
      </c>
      <c r="M75" s="220" t="s">
        <v>78</v>
      </c>
      <c r="N75" s="220" t="s">
        <v>227</v>
      </c>
      <c r="O75" s="220" t="s">
        <v>207</v>
      </c>
      <c r="P75" s="220" t="s">
        <v>208</v>
      </c>
      <c r="Q75" s="220" t="s">
        <v>78</v>
      </c>
      <c r="R75" s="220" t="s">
        <v>227</v>
      </c>
      <c r="S75" s="220" t="s">
        <v>207</v>
      </c>
      <c r="T75" s="220" t="s">
        <v>208</v>
      </c>
      <c r="U75" s="220" t="s">
        <v>78</v>
      </c>
      <c r="V75" s="220" t="s">
        <v>227</v>
      </c>
      <c r="W75" s="1038" t="s">
        <v>45</v>
      </c>
    </row>
    <row r="76" spans="1:23" ht="21.4" customHeight="1" x14ac:dyDescent="0.35">
      <c r="A76" s="51"/>
      <c r="B76" s="193" t="s">
        <v>220</v>
      </c>
      <c r="C76" s="247">
        <v>295</v>
      </c>
      <c r="D76" s="247">
        <v>212</v>
      </c>
      <c r="E76" s="247">
        <f>D76+C76</f>
        <v>507</v>
      </c>
      <c r="F76" s="1052">
        <v>37.5</v>
      </c>
      <c r="G76" s="247">
        <v>270</v>
      </c>
      <c r="H76" s="247">
        <v>198</v>
      </c>
      <c r="I76" s="247">
        <f>H76+G76</f>
        <v>468</v>
      </c>
      <c r="J76" s="1052">
        <v>38.200000000000003</v>
      </c>
      <c r="K76" s="247">
        <v>229</v>
      </c>
      <c r="L76" s="247">
        <v>172</v>
      </c>
      <c r="M76" s="247">
        <f>L76+K76</f>
        <v>401</v>
      </c>
      <c r="N76" s="1041">
        <v>39</v>
      </c>
      <c r="O76" s="247">
        <v>208</v>
      </c>
      <c r="P76" s="247">
        <v>174</v>
      </c>
      <c r="Q76" s="247">
        <f>SUM(O76:P76)</f>
        <v>382</v>
      </c>
      <c r="R76" s="1050">
        <v>39.5</v>
      </c>
      <c r="S76" s="879">
        <v>201</v>
      </c>
      <c r="T76" s="879">
        <v>195</v>
      </c>
      <c r="U76" s="880">
        <f>SUM(S76:T76)</f>
        <v>396</v>
      </c>
      <c r="V76" s="1058">
        <v>40</v>
      </c>
      <c r="W76" s="1038"/>
    </row>
    <row r="77" spans="1:23" ht="21.4" customHeight="1" x14ac:dyDescent="0.35">
      <c r="A77" s="51"/>
      <c r="B77" s="193" t="s">
        <v>221</v>
      </c>
      <c r="C77" s="247">
        <v>583</v>
      </c>
      <c r="D77" s="247">
        <v>629</v>
      </c>
      <c r="E77" s="247">
        <f>D77+C77</f>
        <v>1212</v>
      </c>
      <c r="F77" s="1053"/>
      <c r="G77" s="247">
        <v>539</v>
      </c>
      <c r="H77" s="247">
        <v>567</v>
      </c>
      <c r="I77" s="247">
        <f>H77+G77</f>
        <v>1106</v>
      </c>
      <c r="J77" s="1053"/>
      <c r="K77" s="247">
        <v>540</v>
      </c>
      <c r="L77" s="247">
        <v>530</v>
      </c>
      <c r="M77" s="247">
        <f>L77+K77</f>
        <v>1070</v>
      </c>
      <c r="N77" s="1042"/>
      <c r="O77" s="247">
        <v>530</v>
      </c>
      <c r="P77" s="247">
        <v>507</v>
      </c>
      <c r="Q77" s="247">
        <f t="shared" ref="Q77:Q78" si="8">SUM(O77:P77)</f>
        <v>1037</v>
      </c>
      <c r="R77" s="1051"/>
      <c r="S77" s="881">
        <v>497</v>
      </c>
      <c r="T77" s="881">
        <v>474</v>
      </c>
      <c r="U77" s="882">
        <f>SUM(S77:T77)</f>
        <v>971</v>
      </c>
      <c r="V77" s="1058"/>
      <c r="W77" s="1038"/>
    </row>
    <row r="78" spans="1:23" ht="21.4" customHeight="1" x14ac:dyDescent="0.35">
      <c r="A78" s="51"/>
      <c r="B78" s="193" t="s">
        <v>222</v>
      </c>
      <c r="C78" s="247">
        <v>51</v>
      </c>
      <c r="D78" s="247">
        <v>130</v>
      </c>
      <c r="E78" s="247">
        <f>C78+D78</f>
        <v>181</v>
      </c>
      <c r="F78" s="1053"/>
      <c r="G78" s="247">
        <v>48</v>
      </c>
      <c r="H78" s="247">
        <v>146</v>
      </c>
      <c r="I78" s="247">
        <f>G78+H78</f>
        <v>194</v>
      </c>
      <c r="J78" s="1053"/>
      <c r="K78" s="247">
        <v>63</v>
      </c>
      <c r="L78" s="247">
        <v>170</v>
      </c>
      <c r="M78" s="247">
        <f>K78+L78</f>
        <v>233</v>
      </c>
      <c r="N78" s="1042"/>
      <c r="O78" s="247">
        <v>70</v>
      </c>
      <c r="P78" s="247">
        <v>195</v>
      </c>
      <c r="Q78" s="247">
        <f t="shared" si="8"/>
        <v>265</v>
      </c>
      <c r="R78" s="1051"/>
      <c r="S78" s="881">
        <v>89</v>
      </c>
      <c r="T78" s="881">
        <v>216</v>
      </c>
      <c r="U78" s="883">
        <f>SUM(S78:T78)</f>
        <v>305</v>
      </c>
      <c r="V78" s="1058"/>
      <c r="W78" s="1038"/>
    </row>
    <row r="79" spans="1:23" ht="21.4" customHeight="1" x14ac:dyDescent="0.35">
      <c r="A79" s="51"/>
      <c r="B79" s="193" t="s">
        <v>78</v>
      </c>
      <c r="C79" s="247">
        <f>C76+C77+C78</f>
        <v>929</v>
      </c>
      <c r="D79" s="247">
        <f>D76+D77+D78</f>
        <v>971</v>
      </c>
      <c r="E79" s="247">
        <f>E76+E77+E78</f>
        <v>1900</v>
      </c>
      <c r="F79" s="1053"/>
      <c r="G79" s="247">
        <f>G76+G77+G78</f>
        <v>857</v>
      </c>
      <c r="H79" s="247">
        <f>H76+H77+H78</f>
        <v>911</v>
      </c>
      <c r="I79" s="247">
        <f>I76+I77+I78</f>
        <v>1768</v>
      </c>
      <c r="J79" s="1053"/>
      <c r="K79" s="247">
        <f>K76+K77+K78</f>
        <v>832</v>
      </c>
      <c r="L79" s="247">
        <f>L76+L77+L78</f>
        <v>872</v>
      </c>
      <c r="M79" s="247">
        <f>SUM(M76:M78)</f>
        <v>1704</v>
      </c>
      <c r="N79" s="1042"/>
      <c r="O79" s="247">
        <f>SUM(O76:O78)</f>
        <v>808</v>
      </c>
      <c r="P79" s="247">
        <f>SUM(P76:P78)</f>
        <v>876</v>
      </c>
      <c r="Q79" s="247">
        <f>SUM(Q76:Q78)</f>
        <v>1684</v>
      </c>
      <c r="R79" s="1051"/>
      <c r="S79" s="884">
        <f>SUM(S76:S78)</f>
        <v>787</v>
      </c>
      <c r="T79" s="884">
        <f>SUM(T76:T78)</f>
        <v>885</v>
      </c>
      <c r="U79" s="884">
        <f>SUM(U76:U78)</f>
        <v>1672</v>
      </c>
      <c r="V79" s="1058"/>
      <c r="W79" s="1038"/>
    </row>
    <row r="80" spans="1:23" ht="21.4" customHeight="1" x14ac:dyDescent="0.35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</row>
    <row r="81" spans="1:23" ht="25.15" customHeight="1" x14ac:dyDescent="0.35">
      <c r="A81" s="51"/>
      <c r="B81" s="367" t="s">
        <v>231</v>
      </c>
      <c r="C81" s="367"/>
      <c r="D81" s="367"/>
      <c r="E81" s="367"/>
      <c r="F81" s="367"/>
      <c r="G81" s="367"/>
      <c r="H81" s="367"/>
      <c r="I81" s="367"/>
      <c r="J81" s="367"/>
      <c r="K81" s="367"/>
      <c r="L81" s="367"/>
      <c r="M81" s="367"/>
      <c r="N81" s="367"/>
      <c r="O81" s="367"/>
      <c r="P81" s="367"/>
      <c r="Q81" s="367"/>
      <c r="R81" s="367"/>
      <c r="S81" s="367"/>
    </row>
    <row r="82" spans="1:23" ht="25.15" customHeight="1" x14ac:dyDescent="0.35">
      <c r="A82" s="51"/>
      <c r="B82" s="64" t="s">
        <v>232</v>
      </c>
      <c r="C82" s="64"/>
      <c r="D82" s="64"/>
      <c r="E82" s="64"/>
      <c r="F82" s="64"/>
      <c r="G82" s="64"/>
      <c r="H82" s="64"/>
      <c r="I82" s="64"/>
      <c r="J82" s="64"/>
      <c r="K82" s="64"/>
      <c r="M82" s="51"/>
      <c r="N82" s="51"/>
      <c r="O82" s="51"/>
    </row>
    <row r="83" spans="1:23" ht="30.4" customHeight="1" x14ac:dyDescent="0.35">
      <c r="A83" s="51"/>
      <c r="B83" s="99"/>
      <c r="C83" s="1043">
        <v>2020</v>
      </c>
      <c r="D83" s="1043"/>
      <c r="E83" s="1044"/>
      <c r="F83" s="1045">
        <v>2021</v>
      </c>
      <c r="G83" s="1043"/>
      <c r="H83" s="1044"/>
      <c r="I83" s="1043">
        <v>2022</v>
      </c>
      <c r="J83" s="1043"/>
      <c r="K83" s="1043"/>
      <c r="L83" s="1037">
        <v>2023</v>
      </c>
      <c r="M83" s="1037"/>
      <c r="N83" s="1037"/>
      <c r="O83" s="1037">
        <v>2024</v>
      </c>
      <c r="P83" s="1037"/>
      <c r="Q83" s="1037"/>
      <c r="R83" s="70" t="s">
        <v>41</v>
      </c>
    </row>
    <row r="84" spans="1:23" ht="21.4" customHeight="1" x14ac:dyDescent="0.35">
      <c r="A84" s="51"/>
      <c r="B84" s="92"/>
      <c r="C84" s="220" t="s">
        <v>207</v>
      </c>
      <c r="D84" s="220" t="s">
        <v>208</v>
      </c>
      <c r="E84" s="220" t="s">
        <v>78</v>
      </c>
      <c r="F84" s="220" t="s">
        <v>207</v>
      </c>
      <c r="G84" s="220" t="s">
        <v>208</v>
      </c>
      <c r="H84" s="220" t="s">
        <v>78</v>
      </c>
      <c r="I84" s="220" t="s">
        <v>207</v>
      </c>
      <c r="J84" s="220" t="s">
        <v>208</v>
      </c>
      <c r="K84" s="220" t="s">
        <v>78</v>
      </c>
      <c r="L84" s="220" t="s">
        <v>207</v>
      </c>
      <c r="M84" s="220" t="s">
        <v>208</v>
      </c>
      <c r="N84" s="220" t="s">
        <v>78</v>
      </c>
      <c r="O84" s="220" t="s">
        <v>207</v>
      </c>
      <c r="P84" s="220" t="s">
        <v>208</v>
      </c>
      <c r="Q84" s="220" t="s">
        <v>78</v>
      </c>
      <c r="R84" s="1046" t="s">
        <v>215</v>
      </c>
    </row>
    <row r="85" spans="1:23" ht="21.4" customHeight="1" x14ac:dyDescent="0.35">
      <c r="A85" s="51"/>
      <c r="B85" s="193" t="s">
        <v>216</v>
      </c>
      <c r="C85" s="247">
        <v>71</v>
      </c>
      <c r="D85" s="247">
        <v>103</v>
      </c>
      <c r="E85" s="247">
        <f>D85+C85</f>
        <v>174</v>
      </c>
      <c r="F85" s="247">
        <v>67</v>
      </c>
      <c r="G85" s="247">
        <v>91</v>
      </c>
      <c r="H85" s="247">
        <f>G85+F85</f>
        <v>158</v>
      </c>
      <c r="I85" s="247">
        <v>61</v>
      </c>
      <c r="J85" s="247">
        <v>85</v>
      </c>
      <c r="K85" s="247">
        <f>J85+I85</f>
        <v>146</v>
      </c>
      <c r="L85" s="247">
        <v>44</v>
      </c>
      <c r="M85" s="247">
        <v>73</v>
      </c>
      <c r="N85" s="247">
        <v>117</v>
      </c>
      <c r="O85" s="723">
        <v>42</v>
      </c>
      <c r="P85" s="723">
        <v>67</v>
      </c>
      <c r="Q85" s="722">
        <v>109</v>
      </c>
      <c r="R85" s="1046"/>
    </row>
    <row r="86" spans="1:23" ht="21.4" customHeight="1" x14ac:dyDescent="0.35">
      <c r="A86" s="51"/>
      <c r="B86" s="193" t="s">
        <v>217</v>
      </c>
      <c r="C86" s="247">
        <v>483</v>
      </c>
      <c r="D86" s="247">
        <v>654</v>
      </c>
      <c r="E86" s="247">
        <f>D86+C86</f>
        <v>1137</v>
      </c>
      <c r="F86" s="247">
        <v>411</v>
      </c>
      <c r="G86" s="247">
        <v>552</v>
      </c>
      <c r="H86" s="247">
        <f>G86+F86</f>
        <v>963</v>
      </c>
      <c r="I86" s="247">
        <v>326</v>
      </c>
      <c r="J86" s="247">
        <v>478</v>
      </c>
      <c r="K86" s="247">
        <f>J86+I86</f>
        <v>804</v>
      </c>
      <c r="L86" s="247">
        <v>213</v>
      </c>
      <c r="M86" s="247">
        <v>373</v>
      </c>
      <c r="N86" s="247">
        <v>586</v>
      </c>
      <c r="O86" s="724">
        <v>178</v>
      </c>
      <c r="P86" s="724">
        <v>310</v>
      </c>
      <c r="Q86" s="723">
        <v>488</v>
      </c>
      <c r="R86" s="1046"/>
    </row>
    <row r="87" spans="1:23" ht="21.4" customHeight="1" x14ac:dyDescent="0.35">
      <c r="A87" s="51"/>
      <c r="B87" s="193" t="s">
        <v>78</v>
      </c>
      <c r="C87" s="247">
        <f t="shared" ref="C87:K87" si="9">C85+C86</f>
        <v>554</v>
      </c>
      <c r="D87" s="247">
        <f t="shared" si="9"/>
        <v>757</v>
      </c>
      <c r="E87" s="247">
        <f t="shared" si="9"/>
        <v>1311</v>
      </c>
      <c r="F87" s="247">
        <f t="shared" si="9"/>
        <v>478</v>
      </c>
      <c r="G87" s="247">
        <f t="shared" si="9"/>
        <v>643</v>
      </c>
      <c r="H87" s="247">
        <f t="shared" si="9"/>
        <v>1121</v>
      </c>
      <c r="I87" s="247">
        <f>I86+I85</f>
        <v>387</v>
      </c>
      <c r="J87" s="247">
        <f>J86+J85</f>
        <v>563</v>
      </c>
      <c r="K87" s="247">
        <f t="shared" si="9"/>
        <v>950</v>
      </c>
      <c r="L87" s="247">
        <v>257</v>
      </c>
      <c r="M87" s="247">
        <v>446</v>
      </c>
      <c r="N87" s="247">
        <v>703</v>
      </c>
      <c r="O87" s="725">
        <v>220</v>
      </c>
      <c r="P87" s="725">
        <v>377</v>
      </c>
      <c r="Q87" s="718">
        <v>597</v>
      </c>
      <c r="R87" s="1046"/>
      <c r="T87" s="14"/>
    </row>
    <row r="88" spans="1:23" ht="21.4" customHeight="1" x14ac:dyDescent="0.35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</row>
    <row r="89" spans="1:23" ht="25.15" customHeight="1" x14ac:dyDescent="0.35">
      <c r="A89" s="51"/>
      <c r="B89" s="64" t="s">
        <v>233</v>
      </c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</row>
    <row r="90" spans="1:23" ht="30.4" customHeight="1" x14ac:dyDescent="0.35">
      <c r="A90" s="51"/>
      <c r="B90" s="98"/>
      <c r="C90" s="1043">
        <v>2020</v>
      </c>
      <c r="D90" s="1043"/>
      <c r="E90" s="1043"/>
      <c r="F90" s="1044"/>
      <c r="G90" s="1043">
        <v>2021</v>
      </c>
      <c r="H90" s="1043"/>
      <c r="I90" s="1043"/>
      <c r="J90" s="1044"/>
      <c r="K90" s="1043">
        <v>2022</v>
      </c>
      <c r="L90" s="1043"/>
      <c r="M90" s="1043"/>
      <c r="N90" s="1043"/>
      <c r="O90" s="1037">
        <v>2023</v>
      </c>
      <c r="P90" s="1037"/>
      <c r="Q90" s="1037"/>
      <c r="R90" s="1037"/>
      <c r="S90" s="1037">
        <v>2024</v>
      </c>
      <c r="T90" s="1037"/>
      <c r="U90" s="1037"/>
      <c r="V90" s="1037"/>
      <c r="W90" s="43" t="s">
        <v>41</v>
      </c>
    </row>
    <row r="91" spans="1:23" ht="21.4" customHeight="1" x14ac:dyDescent="0.35">
      <c r="A91" s="51"/>
      <c r="B91" s="91"/>
      <c r="C91" s="220" t="s">
        <v>207</v>
      </c>
      <c r="D91" s="220" t="s">
        <v>208</v>
      </c>
      <c r="E91" s="220" t="s">
        <v>78</v>
      </c>
      <c r="F91" s="220" t="s">
        <v>227</v>
      </c>
      <c r="G91" s="220" t="s">
        <v>207</v>
      </c>
      <c r="H91" s="220" t="s">
        <v>208</v>
      </c>
      <c r="I91" s="220" t="s">
        <v>78</v>
      </c>
      <c r="J91" s="220" t="s">
        <v>227</v>
      </c>
      <c r="K91" s="220" t="s">
        <v>207</v>
      </c>
      <c r="L91" s="220" t="s">
        <v>208</v>
      </c>
      <c r="M91" s="220" t="s">
        <v>78</v>
      </c>
      <c r="N91" s="220" t="s">
        <v>227</v>
      </c>
      <c r="O91" s="220" t="s">
        <v>207</v>
      </c>
      <c r="P91" s="220" t="s">
        <v>208</v>
      </c>
      <c r="Q91" s="220" t="s">
        <v>78</v>
      </c>
      <c r="R91" s="220" t="s">
        <v>227</v>
      </c>
      <c r="S91" s="220" t="s">
        <v>207</v>
      </c>
      <c r="T91" s="220" t="s">
        <v>208</v>
      </c>
      <c r="U91" s="220" t="s">
        <v>78</v>
      </c>
      <c r="V91" s="220" t="s">
        <v>227</v>
      </c>
      <c r="W91" s="1038" t="s">
        <v>45</v>
      </c>
    </row>
    <row r="92" spans="1:23" ht="21.4" customHeight="1" x14ac:dyDescent="0.35">
      <c r="A92" s="51"/>
      <c r="B92" s="193" t="s">
        <v>220</v>
      </c>
      <c r="C92" s="247">
        <v>243</v>
      </c>
      <c r="D92" s="247">
        <v>240</v>
      </c>
      <c r="E92" s="247">
        <f>D92+C92</f>
        <v>483</v>
      </c>
      <c r="F92" s="1041">
        <v>35</v>
      </c>
      <c r="G92" s="247">
        <v>176</v>
      </c>
      <c r="H92" s="247">
        <v>153</v>
      </c>
      <c r="I92" s="247">
        <f>H92+G92</f>
        <v>329</v>
      </c>
      <c r="J92" s="1041">
        <v>37</v>
      </c>
      <c r="K92" s="247">
        <v>101</v>
      </c>
      <c r="L92" s="247">
        <v>108</v>
      </c>
      <c r="M92" s="247">
        <f>L92+K92</f>
        <v>209</v>
      </c>
      <c r="N92" s="1039">
        <v>39</v>
      </c>
      <c r="O92" s="247">
        <v>42</v>
      </c>
      <c r="P92" s="247">
        <v>73</v>
      </c>
      <c r="Q92" s="247">
        <v>115</v>
      </c>
      <c r="R92" s="1039">
        <v>41</v>
      </c>
      <c r="S92" s="879">
        <v>28</v>
      </c>
      <c r="T92" s="879">
        <v>47</v>
      </c>
      <c r="U92" s="880">
        <f>SUM(S92:T92)</f>
        <v>75</v>
      </c>
      <c r="V92" s="1047">
        <v>42</v>
      </c>
      <c r="W92" s="1038"/>
    </row>
    <row r="93" spans="1:23" ht="21.4" customHeight="1" x14ac:dyDescent="0.35">
      <c r="A93" s="51"/>
      <c r="B93" s="193" t="s">
        <v>221</v>
      </c>
      <c r="C93" s="247">
        <v>284</v>
      </c>
      <c r="D93" s="247">
        <v>439</v>
      </c>
      <c r="E93" s="247">
        <f>D93+C93</f>
        <v>723</v>
      </c>
      <c r="F93" s="1042"/>
      <c r="G93" s="247">
        <v>271</v>
      </c>
      <c r="H93" s="247">
        <v>412</v>
      </c>
      <c r="I93" s="247">
        <f>H93+G93</f>
        <v>683</v>
      </c>
      <c r="J93" s="1042"/>
      <c r="K93" s="247">
        <v>251</v>
      </c>
      <c r="L93" s="247">
        <v>370</v>
      </c>
      <c r="M93" s="247">
        <f t="shared" ref="M93:M94" si="10">L93+K93</f>
        <v>621</v>
      </c>
      <c r="N93" s="1040"/>
      <c r="O93" s="247">
        <v>184</v>
      </c>
      <c r="P93" s="247">
        <v>277</v>
      </c>
      <c r="Q93" s="247">
        <v>461</v>
      </c>
      <c r="R93" s="1040"/>
      <c r="S93" s="881">
        <v>158</v>
      </c>
      <c r="T93" s="881">
        <v>227</v>
      </c>
      <c r="U93" s="880">
        <f t="shared" ref="U93:U94" si="11">SUM(S93:T93)</f>
        <v>385</v>
      </c>
      <c r="V93" s="1048"/>
      <c r="W93" s="1038"/>
    </row>
    <row r="94" spans="1:23" ht="21.4" customHeight="1" x14ac:dyDescent="0.35">
      <c r="A94" s="51"/>
      <c r="B94" s="193" t="s">
        <v>222</v>
      </c>
      <c r="C94" s="247">
        <v>27</v>
      </c>
      <c r="D94" s="247">
        <v>78</v>
      </c>
      <c r="E94" s="247">
        <f>C94+D94</f>
        <v>105</v>
      </c>
      <c r="F94" s="1042"/>
      <c r="G94" s="247">
        <v>31</v>
      </c>
      <c r="H94" s="247">
        <v>78</v>
      </c>
      <c r="I94" s="247">
        <f>G94+H94</f>
        <v>109</v>
      </c>
      <c r="J94" s="1042"/>
      <c r="K94" s="247">
        <v>35</v>
      </c>
      <c r="L94" s="247">
        <v>85</v>
      </c>
      <c r="M94" s="247">
        <f t="shared" si="10"/>
        <v>120</v>
      </c>
      <c r="N94" s="1040"/>
      <c r="O94" s="247">
        <v>31</v>
      </c>
      <c r="P94" s="247">
        <v>96</v>
      </c>
      <c r="Q94" s="247">
        <v>127</v>
      </c>
      <c r="R94" s="1040"/>
      <c r="S94" s="881">
        <v>34</v>
      </c>
      <c r="T94" s="881">
        <v>103</v>
      </c>
      <c r="U94" s="880">
        <f t="shared" si="11"/>
        <v>137</v>
      </c>
      <c r="V94" s="1048"/>
      <c r="W94" s="1038"/>
    </row>
    <row r="95" spans="1:23" ht="21.4" customHeight="1" x14ac:dyDescent="0.35">
      <c r="A95" s="51"/>
      <c r="B95" s="193" t="s">
        <v>78</v>
      </c>
      <c r="C95" s="247">
        <f>C92+C93+C94</f>
        <v>554</v>
      </c>
      <c r="D95" s="247">
        <f>D92+D93+D94</f>
        <v>757</v>
      </c>
      <c r="E95" s="247">
        <f>E92+E93+E94</f>
        <v>1311</v>
      </c>
      <c r="F95" s="1042"/>
      <c r="G95" s="247">
        <f>G92+G93+G94</f>
        <v>478</v>
      </c>
      <c r="H95" s="247">
        <f>H92+H93+H94</f>
        <v>643</v>
      </c>
      <c r="I95" s="247">
        <f>I92+I93+I94</f>
        <v>1121</v>
      </c>
      <c r="J95" s="1042"/>
      <c r="K95" s="247">
        <f>SUM(K92:K94)</f>
        <v>387</v>
      </c>
      <c r="L95" s="247">
        <f t="shared" ref="L95:M95" si="12">SUM(L92:L94)</f>
        <v>563</v>
      </c>
      <c r="M95" s="247">
        <f t="shared" si="12"/>
        <v>950</v>
      </c>
      <c r="N95" s="1040"/>
      <c r="O95" s="247">
        <v>257</v>
      </c>
      <c r="P95" s="247">
        <v>446</v>
      </c>
      <c r="Q95" s="247">
        <v>703</v>
      </c>
      <c r="R95" s="1040"/>
      <c r="S95" s="884">
        <f>SUM(S92:S94)</f>
        <v>220</v>
      </c>
      <c r="T95" s="884">
        <f>SUM(T92:T94)</f>
        <v>377</v>
      </c>
      <c r="U95" s="884">
        <f t="shared" ref="U95" si="13">SUM(U92:U94)</f>
        <v>597</v>
      </c>
      <c r="V95" s="1049"/>
      <c r="W95" s="1038"/>
    </row>
    <row r="101" ht="28.5" customHeight="1" x14ac:dyDescent="0.35"/>
  </sheetData>
  <mergeCells count="80">
    <mergeCell ref="C83:E83"/>
    <mergeCell ref="S10:S14"/>
    <mergeCell ref="C26:D26"/>
    <mergeCell ref="E26:F26"/>
    <mergeCell ref="G26:H26"/>
    <mergeCell ref="I26:J26"/>
    <mergeCell ref="S18:S23"/>
    <mergeCell ref="G17:H17"/>
    <mergeCell ref="G23:H23"/>
    <mergeCell ref="C17:D17"/>
    <mergeCell ref="C23:D23"/>
    <mergeCell ref="S26:S27"/>
    <mergeCell ref="E23:F23"/>
    <mergeCell ref="S28:S30"/>
    <mergeCell ref="R35:R39"/>
    <mergeCell ref="E17:F17"/>
    <mergeCell ref="C34:E34"/>
    <mergeCell ref="L34:N34"/>
    <mergeCell ref="I17:J17"/>
    <mergeCell ref="F76:F79"/>
    <mergeCell ref="O34:Q34"/>
    <mergeCell ref="I23:J23"/>
    <mergeCell ref="C58:F58"/>
    <mergeCell ref="G58:J58"/>
    <mergeCell ref="F42:H42"/>
    <mergeCell ref="I42:K42"/>
    <mergeCell ref="C42:E42"/>
    <mergeCell ref="O58:R58"/>
    <mergeCell ref="C51:E51"/>
    <mergeCell ref="F51:H51"/>
    <mergeCell ref="I34:K34"/>
    <mergeCell ref="F34:H34"/>
    <mergeCell ref="F60:F63"/>
    <mergeCell ref="F67:H67"/>
    <mergeCell ref="N60:N63"/>
    <mergeCell ref="K74:N74"/>
    <mergeCell ref="C74:F74"/>
    <mergeCell ref="G74:J74"/>
    <mergeCell ref="C67:E67"/>
    <mergeCell ref="S58:V58"/>
    <mergeCell ref="L42:N42"/>
    <mergeCell ref="O42:Q42"/>
    <mergeCell ref="K58:N58"/>
    <mergeCell ref="R43:R47"/>
    <mergeCell ref="V52:V55"/>
    <mergeCell ref="R53:R55"/>
    <mergeCell ref="L51:N51"/>
    <mergeCell ref="I51:K51"/>
    <mergeCell ref="O51:Q51"/>
    <mergeCell ref="W75:W79"/>
    <mergeCell ref="R76:R79"/>
    <mergeCell ref="W59:W63"/>
    <mergeCell ref="N76:N79"/>
    <mergeCell ref="J76:J79"/>
    <mergeCell ref="J60:J63"/>
    <mergeCell ref="I67:K67"/>
    <mergeCell ref="R68:R71"/>
    <mergeCell ref="L67:N67"/>
    <mergeCell ref="O74:R74"/>
    <mergeCell ref="V60:V63"/>
    <mergeCell ref="O67:Q67"/>
    <mergeCell ref="S74:V74"/>
    <mergeCell ref="V76:V79"/>
    <mergeCell ref="R60:R63"/>
    <mergeCell ref="O90:R90"/>
    <mergeCell ref="W91:W95"/>
    <mergeCell ref="R92:R95"/>
    <mergeCell ref="L83:N83"/>
    <mergeCell ref="F92:F95"/>
    <mergeCell ref="J92:J95"/>
    <mergeCell ref="N92:N95"/>
    <mergeCell ref="C90:F90"/>
    <mergeCell ref="G90:J90"/>
    <mergeCell ref="K90:N90"/>
    <mergeCell ref="F83:H83"/>
    <mergeCell ref="I83:K83"/>
    <mergeCell ref="R84:R87"/>
    <mergeCell ref="O83:Q83"/>
    <mergeCell ref="S90:V90"/>
    <mergeCell ref="V92:V95"/>
  </mergeCells>
  <pageMargins left="0.7" right="0.7" top="0.75" bottom="0.75" header="0.3" footer="0.3"/>
  <pageSetup paperSize="9" orientation="portrait" r:id="rId1"/>
  <headerFooter scaleWithDoc="0"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T59"/>
  <sheetViews>
    <sheetView showGridLines="0" rightToLeft="1" workbookViewId="0">
      <selection activeCell="Q43" sqref="Q43"/>
    </sheetView>
  </sheetViews>
  <sheetFormatPr defaultColWidth="9.26953125" defaultRowHeight="14.5" x14ac:dyDescent="0.35"/>
  <cols>
    <col min="1" max="1" width="3.7265625" customWidth="1"/>
    <col min="2" max="2" width="42" customWidth="1"/>
    <col min="3" max="15" width="10.7265625" customWidth="1"/>
  </cols>
  <sheetData>
    <row r="1" spans="2:17" ht="15" customHeight="1" x14ac:dyDescent="0.35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2:17" ht="15" customHeight="1" x14ac:dyDescent="0.3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2:17" ht="15" customHeight="1" x14ac:dyDescent="0.3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2:17" ht="15" customHeight="1" x14ac:dyDescent="0.35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P4" s="17"/>
      <c r="Q4" s="17"/>
    </row>
    <row r="5" spans="2:17" ht="24" customHeight="1" thickBot="1" x14ac:dyDescent="0.4">
      <c r="B5" s="39" t="s">
        <v>234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17"/>
      <c r="Q5" s="17"/>
    </row>
    <row r="6" spans="2:17" ht="15" customHeight="1" thickTop="1" x14ac:dyDescent="0.35">
      <c r="B6" s="100"/>
      <c r="C6" s="100"/>
      <c r="D6" s="100"/>
      <c r="E6" s="100"/>
      <c r="F6" s="100"/>
      <c r="G6" s="100"/>
      <c r="H6" s="100"/>
      <c r="I6" s="488"/>
      <c r="J6" s="100"/>
      <c r="K6" s="100"/>
      <c r="L6" s="100"/>
      <c r="M6" s="100"/>
      <c r="N6" s="56"/>
      <c r="O6" s="56"/>
      <c r="P6" s="17"/>
      <c r="Q6" s="17"/>
    </row>
    <row r="7" spans="2:17" ht="25.15" customHeight="1" x14ac:dyDescent="0.35">
      <c r="B7" s="64" t="s">
        <v>235</v>
      </c>
      <c r="C7" s="489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56"/>
    </row>
    <row r="8" spans="2:17" ht="21.4" customHeight="1" x14ac:dyDescent="0.35">
      <c r="B8" s="165"/>
      <c r="C8" s="962">
        <v>2020</v>
      </c>
      <c r="D8" s="962"/>
      <c r="E8" s="1098"/>
      <c r="F8" s="962">
        <v>2021</v>
      </c>
      <c r="G8" s="962"/>
      <c r="H8" s="1098"/>
      <c r="I8" s="962">
        <v>2022</v>
      </c>
      <c r="J8" s="962"/>
      <c r="K8" s="1098"/>
      <c r="L8" s="962">
        <v>2023</v>
      </c>
      <c r="M8" s="962"/>
      <c r="N8" s="1091"/>
      <c r="O8" s="1090" t="s">
        <v>41</v>
      </c>
    </row>
    <row r="9" spans="2:17" ht="21.4" customHeight="1" x14ac:dyDescent="0.35">
      <c r="B9" s="248"/>
      <c r="C9" s="249" t="s">
        <v>208</v>
      </c>
      <c r="D9" s="249" t="s">
        <v>236</v>
      </c>
      <c r="E9" s="604" t="s">
        <v>78</v>
      </c>
      <c r="F9" s="249" t="s">
        <v>208</v>
      </c>
      <c r="G9" s="249" t="s">
        <v>236</v>
      </c>
      <c r="H9" s="604" t="s">
        <v>78</v>
      </c>
      <c r="I9" s="249" t="s">
        <v>208</v>
      </c>
      <c r="J9" s="249" t="s">
        <v>207</v>
      </c>
      <c r="K9" s="604" t="s">
        <v>78</v>
      </c>
      <c r="L9" s="249" t="s">
        <v>208</v>
      </c>
      <c r="M9" s="249" t="s">
        <v>207</v>
      </c>
      <c r="N9" s="249" t="s">
        <v>78</v>
      </c>
      <c r="O9" s="1090"/>
    </row>
    <row r="10" spans="2:17" ht="21.4" customHeight="1" x14ac:dyDescent="0.35">
      <c r="B10" s="251" t="str">
        <f>'[1]כוח אדם'!B21</f>
        <v>מספר עובדים חיצוניים (שמחזיקים במשרות מקצועיות)</v>
      </c>
      <c r="C10" s="188">
        <v>455</v>
      </c>
      <c r="D10" s="188">
        <v>350</v>
      </c>
      <c r="E10" s="605">
        <v>805</v>
      </c>
      <c r="F10" s="188">
        <v>520</v>
      </c>
      <c r="G10" s="188">
        <v>445</v>
      </c>
      <c r="H10" s="605">
        <v>965</v>
      </c>
      <c r="I10" s="188">
        <v>331</v>
      </c>
      <c r="J10" s="188">
        <v>354</v>
      </c>
      <c r="K10" s="605">
        <v>685</v>
      </c>
      <c r="L10" s="188">
        <v>266</v>
      </c>
      <c r="M10" s="490">
        <v>278</v>
      </c>
      <c r="N10" s="491">
        <f>SUM(L10:M10)</f>
        <v>544</v>
      </c>
      <c r="O10" s="1089" t="str">
        <f>'[1]כוח אדם'!L21</f>
        <v>2-7, 2-8</v>
      </c>
    </row>
    <row r="11" spans="2:17" ht="21.4" customHeight="1" x14ac:dyDescent="0.35">
      <c r="B11" s="254" t="str">
        <f>'[1]כוח אדם'!B23</f>
        <v>מספר עובדים חיצוניים שנקלטו</v>
      </c>
      <c r="C11" s="189">
        <v>345</v>
      </c>
      <c r="D11" s="189">
        <v>233</v>
      </c>
      <c r="E11" s="605">
        <v>578</v>
      </c>
      <c r="F11" s="188">
        <v>477</v>
      </c>
      <c r="G11" s="189">
        <v>327</v>
      </c>
      <c r="H11" s="606">
        <v>804</v>
      </c>
      <c r="I11" s="189">
        <v>345</v>
      </c>
      <c r="J11" s="189">
        <v>201</v>
      </c>
      <c r="K11" s="605">
        <v>546</v>
      </c>
      <c r="L11" s="188">
        <v>162</v>
      </c>
      <c r="M11" s="492">
        <v>242</v>
      </c>
      <c r="N11" s="491">
        <f t="shared" ref="N11:N14" si="0">SUM(L11:M11)</f>
        <v>404</v>
      </c>
      <c r="O11" s="1089"/>
    </row>
    <row r="12" spans="2:17" ht="21.4" customHeight="1" x14ac:dyDescent="0.35">
      <c r="B12" s="254" t="str">
        <f>'[1]כוח אדם'!B25</f>
        <v>מספר העובדים במשרה מלאה</v>
      </c>
      <c r="C12" s="189">
        <v>1522</v>
      </c>
      <c r="D12" s="189">
        <v>3273</v>
      </c>
      <c r="E12" s="605">
        <v>4795</v>
      </c>
      <c r="F12" s="188">
        <v>1474</v>
      </c>
      <c r="G12" s="189">
        <v>3406</v>
      </c>
      <c r="H12" s="606">
        <v>4880</v>
      </c>
      <c r="I12" s="189">
        <v>1494</v>
      </c>
      <c r="J12" s="189">
        <v>3430</v>
      </c>
      <c r="K12" s="605">
        <v>4924</v>
      </c>
      <c r="L12" s="188">
        <v>3446</v>
      </c>
      <c r="M12" s="492">
        <v>1435</v>
      </c>
      <c r="N12" s="491">
        <f t="shared" si="0"/>
        <v>4881</v>
      </c>
      <c r="O12" s="1089"/>
    </row>
    <row r="13" spans="2:17" ht="21.4" customHeight="1" x14ac:dyDescent="0.35">
      <c r="B13" s="254" t="str">
        <f>'[1]כוח אדם'!B27</f>
        <v>מספר העובדים במשרה חלקית</v>
      </c>
      <c r="C13" s="189">
        <v>402</v>
      </c>
      <c r="D13" s="189">
        <v>211</v>
      </c>
      <c r="E13" s="605">
        <v>613</v>
      </c>
      <c r="F13" s="188">
        <v>410</v>
      </c>
      <c r="G13" s="189">
        <v>185</v>
      </c>
      <c r="H13" s="606">
        <v>595</v>
      </c>
      <c r="I13" s="189">
        <v>468</v>
      </c>
      <c r="J13" s="189">
        <v>206</v>
      </c>
      <c r="K13" s="605">
        <v>674</v>
      </c>
      <c r="L13" s="188">
        <v>160</v>
      </c>
      <c r="M13" s="492">
        <v>391</v>
      </c>
      <c r="N13" s="491">
        <f t="shared" si="0"/>
        <v>551</v>
      </c>
      <c r="O13" s="1089"/>
    </row>
    <row r="14" spans="2:17" ht="21.4" customHeight="1" x14ac:dyDescent="0.35">
      <c r="B14" s="254" t="str">
        <f>'[1]כוח אדם'!B29</f>
        <v>סה"כ מספר (מלאה+חלקית)</v>
      </c>
      <c r="C14" s="189">
        <v>1924</v>
      </c>
      <c r="D14" s="189">
        <v>3484</v>
      </c>
      <c r="E14" s="605">
        <v>5408</v>
      </c>
      <c r="F14" s="188">
        <v>1884</v>
      </c>
      <c r="G14" s="189">
        <v>3591</v>
      </c>
      <c r="H14" s="606">
        <v>5475</v>
      </c>
      <c r="I14" s="189">
        <v>1962</v>
      </c>
      <c r="J14" s="189">
        <v>3636</v>
      </c>
      <c r="K14" s="605">
        <v>5598</v>
      </c>
      <c r="L14" s="188">
        <f>L13+L12</f>
        <v>3606</v>
      </c>
      <c r="M14" s="492">
        <f>M13+M12</f>
        <v>1826</v>
      </c>
      <c r="N14" s="491">
        <f t="shared" si="0"/>
        <v>5432</v>
      </c>
      <c r="O14" s="1089"/>
    </row>
    <row r="15" spans="2:17" ht="21.4" customHeight="1" x14ac:dyDescent="0.35">
      <c r="B15" s="254" t="str">
        <f>'[1]כוח אדם'!B31</f>
        <v>מספר עובדים שעליהם חלים הסכמים קיבוציים</v>
      </c>
      <c r="C15" s="1101">
        <v>4978</v>
      </c>
      <c r="D15" s="1101"/>
      <c r="E15" s="1102"/>
      <c r="F15" s="1103">
        <v>5112</v>
      </c>
      <c r="G15" s="1104"/>
      <c r="H15" s="1105"/>
      <c r="I15" s="1093">
        <v>5217</v>
      </c>
      <c r="J15" s="1093"/>
      <c r="K15" s="1106"/>
      <c r="L15" s="1093">
        <v>5049</v>
      </c>
      <c r="M15" s="1093"/>
      <c r="N15" s="1094"/>
      <c r="O15" s="1089" t="s">
        <v>237</v>
      </c>
    </row>
    <row r="16" spans="2:17" s="17" customFormat="1" ht="21.4" customHeight="1" x14ac:dyDescent="0.3">
      <c r="B16" s="255" t="str">
        <f>'[1]כוח אדם'!B32</f>
        <v>אחוז עובדים שעליהם חלים הסכמים קיבוציים</v>
      </c>
      <c r="C16" s="1107">
        <v>0.9092237442922374</v>
      </c>
      <c r="D16" s="1107"/>
      <c r="E16" s="1107"/>
      <c r="F16" s="1108">
        <v>0.93369863013698629</v>
      </c>
      <c r="G16" s="1107"/>
      <c r="H16" s="1109"/>
      <c r="I16" s="1095">
        <v>0.93193997856377275</v>
      </c>
      <c r="J16" s="1096"/>
      <c r="K16" s="1110"/>
      <c r="L16" s="1095">
        <f>L15/N14</f>
        <v>0.92949189985272462</v>
      </c>
      <c r="M16" s="1096"/>
      <c r="N16" s="1097"/>
      <c r="O16" s="1089"/>
    </row>
    <row r="17" spans="2:18" ht="21.4" customHeight="1" x14ac:dyDescent="0.35">
      <c r="B17" s="56"/>
      <c r="C17" s="188"/>
      <c r="D17" s="607"/>
      <c r="E17" s="607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2:18" ht="25.15" customHeight="1" x14ac:dyDescent="0.35">
      <c r="B18" s="64" t="s">
        <v>238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spans="2:18" ht="21.4" customHeight="1" x14ac:dyDescent="0.35">
      <c r="B19" s="6"/>
      <c r="C19" s="976">
        <v>2020</v>
      </c>
      <c r="D19" s="976"/>
      <c r="E19" s="1099"/>
      <c r="F19" s="976">
        <v>2021</v>
      </c>
      <c r="G19" s="976"/>
      <c r="H19" s="1099"/>
      <c r="I19" s="1100">
        <v>2022</v>
      </c>
      <c r="J19" s="976"/>
      <c r="K19" s="1099"/>
      <c r="L19" s="976">
        <v>2023</v>
      </c>
      <c r="M19" s="976"/>
      <c r="N19" s="1092"/>
      <c r="O19" s="976">
        <v>2024</v>
      </c>
      <c r="P19" s="976"/>
      <c r="Q19" s="1092"/>
      <c r="R19" s="430" t="s">
        <v>41</v>
      </c>
    </row>
    <row r="20" spans="2:18" ht="21.4" customHeight="1" x14ac:dyDescent="0.35">
      <c r="B20" s="256"/>
      <c r="C20" s="257" t="s">
        <v>207</v>
      </c>
      <c r="D20" s="257" t="s">
        <v>208</v>
      </c>
      <c r="E20" s="258" t="s">
        <v>78</v>
      </c>
      <c r="F20" s="257" t="s">
        <v>207</v>
      </c>
      <c r="G20" s="257" t="s">
        <v>208</v>
      </c>
      <c r="H20" s="258" t="s">
        <v>78</v>
      </c>
      <c r="I20" s="249" t="s">
        <v>207</v>
      </c>
      <c r="J20" s="249" t="s">
        <v>208</v>
      </c>
      <c r="K20" s="259" t="s">
        <v>78</v>
      </c>
      <c r="L20" s="256" t="s">
        <v>207</v>
      </c>
      <c r="M20" s="256" t="s">
        <v>208</v>
      </c>
      <c r="N20" s="256" t="s">
        <v>78</v>
      </c>
      <c r="O20" s="256" t="s">
        <v>207</v>
      </c>
      <c r="P20" s="256" t="s">
        <v>208</v>
      </c>
      <c r="Q20" s="256" t="s">
        <v>78</v>
      </c>
      <c r="R20" s="430"/>
    </row>
    <row r="21" spans="2:18" ht="54" customHeight="1" x14ac:dyDescent="0.35">
      <c r="B21" s="260" t="s">
        <v>239</v>
      </c>
      <c r="C21" s="261">
        <v>20</v>
      </c>
      <c r="D21" s="261">
        <v>26</v>
      </c>
      <c r="E21" s="262">
        <v>46</v>
      </c>
      <c r="F21" s="263">
        <v>23</v>
      </c>
      <c r="G21" s="263">
        <v>22</v>
      </c>
      <c r="H21" s="264">
        <v>45</v>
      </c>
      <c r="I21" s="265">
        <v>25</v>
      </c>
      <c r="J21" s="265">
        <v>25</v>
      </c>
      <c r="K21" s="264">
        <v>50</v>
      </c>
      <c r="L21" s="265">
        <v>30</v>
      </c>
      <c r="M21" s="265">
        <v>29</v>
      </c>
      <c r="N21" s="264">
        <v>59</v>
      </c>
      <c r="O21" s="658">
        <v>27</v>
      </c>
      <c r="P21" s="658">
        <v>28</v>
      </c>
      <c r="Q21" s="659">
        <v>55</v>
      </c>
      <c r="R21" s="1111" t="s">
        <v>240</v>
      </c>
    </row>
    <row r="22" spans="2:18" ht="21.4" customHeight="1" x14ac:dyDescent="0.35">
      <c r="B22" s="266" t="s">
        <v>241</v>
      </c>
      <c r="C22" s="267">
        <v>3.1399999999999997E-2</v>
      </c>
      <c r="D22" s="267">
        <v>3.9699999999999999E-2</v>
      </c>
      <c r="E22" s="268">
        <v>3.56E-2</v>
      </c>
      <c r="F22" s="207">
        <v>4.1441441441441441E-2</v>
      </c>
      <c r="G22" s="207">
        <v>3.7735849056603772E-2</v>
      </c>
      <c r="H22" s="269">
        <v>3.9543057996485061E-2</v>
      </c>
      <c r="I22" s="252">
        <v>4.7528517110266157E-2</v>
      </c>
      <c r="J22" s="252">
        <v>4.2444821731748725E-2</v>
      </c>
      <c r="K22" s="253">
        <v>4.4843049327354258E-2</v>
      </c>
      <c r="L22" s="252">
        <v>5.6285178236397747E-2</v>
      </c>
      <c r="M22" s="252">
        <v>4.6623794212218649E-2</v>
      </c>
      <c r="N22" s="253">
        <v>5.1082251082251083E-2</v>
      </c>
      <c r="O22" s="660">
        <v>5.2941176470588235E-2</v>
      </c>
      <c r="P22" s="660">
        <v>4.6979865771812082E-2</v>
      </c>
      <c r="Q22" s="660">
        <v>4.9728752260397829E-2</v>
      </c>
      <c r="R22" s="1111"/>
    </row>
    <row r="23" spans="2:18" ht="21.4" customHeight="1" x14ac:dyDescent="0.35">
      <c r="B23" s="266" t="s">
        <v>242</v>
      </c>
      <c r="C23" s="217">
        <v>16</v>
      </c>
      <c r="D23" s="217">
        <v>14</v>
      </c>
      <c r="E23" s="218">
        <v>30</v>
      </c>
      <c r="F23" s="270">
        <v>23</v>
      </c>
      <c r="G23" s="270">
        <v>2</v>
      </c>
      <c r="H23" s="271">
        <v>0</v>
      </c>
      <c r="I23" s="272">
        <v>12</v>
      </c>
      <c r="J23" s="272">
        <v>11</v>
      </c>
      <c r="K23" s="271">
        <v>23</v>
      </c>
      <c r="L23" s="272">
        <v>11</v>
      </c>
      <c r="M23" s="272">
        <v>13</v>
      </c>
      <c r="N23" s="271">
        <v>24</v>
      </c>
      <c r="O23" s="661">
        <v>3</v>
      </c>
      <c r="P23" s="661">
        <v>6</v>
      </c>
      <c r="Q23" s="662">
        <v>9</v>
      </c>
      <c r="R23" s="1111"/>
    </row>
    <row r="24" spans="2:18" ht="21.4" customHeight="1" x14ac:dyDescent="0.35">
      <c r="B24" s="266" t="s">
        <v>243</v>
      </c>
      <c r="C24" s="252">
        <v>0.8</v>
      </c>
      <c r="D24" s="252">
        <v>0.53846153846153844</v>
      </c>
      <c r="E24" s="253">
        <v>0.65217391304347827</v>
      </c>
      <c r="F24" s="252">
        <v>1</v>
      </c>
      <c r="G24" s="252">
        <v>9.0909090909090912E-2</v>
      </c>
      <c r="H24" s="253">
        <v>0</v>
      </c>
      <c r="I24" s="252">
        <v>0.48</v>
      </c>
      <c r="J24" s="252">
        <v>0.44</v>
      </c>
      <c r="K24" s="253">
        <v>0.46</v>
      </c>
      <c r="L24" s="252">
        <v>0.36666666666666664</v>
      </c>
      <c r="M24" s="252">
        <v>0.44827586206896552</v>
      </c>
      <c r="N24" s="253">
        <v>0.40677966101694918</v>
      </c>
      <c r="O24" s="660">
        <v>0.1111111111111111</v>
      </c>
      <c r="P24" s="660">
        <v>0.21428571428571427</v>
      </c>
      <c r="Q24" s="660">
        <v>0.16363636363636364</v>
      </c>
      <c r="R24" s="1111"/>
    </row>
    <row r="25" spans="2:18" ht="21.4" customHeight="1" x14ac:dyDescent="0.35">
      <c r="B25" s="266" t="s">
        <v>244</v>
      </c>
      <c r="C25" s="272">
        <v>636</v>
      </c>
      <c r="D25" s="272">
        <v>654</v>
      </c>
      <c r="E25" s="271">
        <v>1290</v>
      </c>
      <c r="F25" s="270">
        <v>555</v>
      </c>
      <c r="G25" s="270">
        <v>583</v>
      </c>
      <c r="H25" s="271">
        <v>1138</v>
      </c>
      <c r="I25" s="272">
        <v>526</v>
      </c>
      <c r="J25" s="272">
        <v>589</v>
      </c>
      <c r="K25" s="271">
        <v>1115</v>
      </c>
      <c r="L25" s="272">
        <v>533</v>
      </c>
      <c r="M25" s="272">
        <v>622</v>
      </c>
      <c r="N25" s="271">
        <v>1155</v>
      </c>
      <c r="O25" s="661">
        <v>510</v>
      </c>
      <c r="P25" s="661">
        <v>596</v>
      </c>
      <c r="Q25" s="663">
        <v>1106</v>
      </c>
      <c r="R25" s="1111"/>
    </row>
    <row r="26" spans="2:18" ht="21.4" customHeight="1" x14ac:dyDescent="0.35">
      <c r="B26" s="266" t="s">
        <v>245</v>
      </c>
      <c r="C26" s="207">
        <v>1</v>
      </c>
      <c r="D26" s="207">
        <v>1</v>
      </c>
      <c r="E26" s="269">
        <v>1</v>
      </c>
      <c r="F26" s="207">
        <v>1</v>
      </c>
      <c r="G26" s="207">
        <v>1</v>
      </c>
      <c r="H26" s="269">
        <v>1</v>
      </c>
      <c r="I26" s="252">
        <v>1</v>
      </c>
      <c r="J26" s="252">
        <v>1</v>
      </c>
      <c r="K26" s="253">
        <v>1</v>
      </c>
      <c r="L26" s="252">
        <v>1</v>
      </c>
      <c r="M26" s="252">
        <v>1</v>
      </c>
      <c r="N26" s="253">
        <v>1</v>
      </c>
      <c r="O26" s="660">
        <v>1</v>
      </c>
      <c r="P26" s="660">
        <v>1</v>
      </c>
      <c r="Q26" s="660">
        <v>1</v>
      </c>
      <c r="R26" s="1111"/>
    </row>
    <row r="27" spans="2:18" ht="81" customHeight="1" x14ac:dyDescent="0.35">
      <c r="B27" s="266" t="s">
        <v>246</v>
      </c>
      <c r="C27" s="270">
        <v>0</v>
      </c>
      <c r="D27" s="270">
        <v>0</v>
      </c>
      <c r="E27" s="273">
        <v>0</v>
      </c>
      <c r="F27" s="270">
        <v>0</v>
      </c>
      <c r="G27" s="270">
        <v>0</v>
      </c>
      <c r="H27" s="271">
        <v>0</v>
      </c>
      <c r="I27" s="272">
        <v>0</v>
      </c>
      <c r="J27" s="272">
        <v>0</v>
      </c>
      <c r="K27" s="271">
        <v>0</v>
      </c>
      <c r="L27" s="272">
        <v>0</v>
      </c>
      <c r="M27" s="272">
        <v>0</v>
      </c>
      <c r="N27" s="271">
        <v>0</v>
      </c>
      <c r="O27" s="661">
        <v>0</v>
      </c>
      <c r="P27" s="661">
        <v>0</v>
      </c>
      <c r="Q27" s="664">
        <v>0</v>
      </c>
      <c r="R27" s="1111"/>
    </row>
    <row r="28" spans="2:18" ht="21.4" customHeight="1" x14ac:dyDescent="0.35">
      <c r="B28" s="266" t="s">
        <v>247</v>
      </c>
      <c r="C28" s="207">
        <v>0</v>
      </c>
      <c r="D28" s="207">
        <v>0</v>
      </c>
      <c r="E28" s="269">
        <v>0</v>
      </c>
      <c r="F28" s="207">
        <v>0</v>
      </c>
      <c r="G28" s="207">
        <v>0</v>
      </c>
      <c r="H28" s="269">
        <v>0</v>
      </c>
      <c r="I28" s="252">
        <v>0</v>
      </c>
      <c r="J28" s="252">
        <v>0</v>
      </c>
      <c r="K28" s="253">
        <v>0</v>
      </c>
      <c r="L28" s="252">
        <v>0</v>
      </c>
      <c r="M28" s="252">
        <v>0</v>
      </c>
      <c r="N28" s="253">
        <v>0</v>
      </c>
      <c r="O28" s="660">
        <v>0</v>
      </c>
      <c r="P28" s="660">
        <v>0</v>
      </c>
      <c r="Q28" s="663">
        <v>0</v>
      </c>
      <c r="R28" s="1111"/>
    </row>
    <row r="29" spans="2:18" ht="21.4" customHeight="1" x14ac:dyDescent="0.35">
      <c r="B29" s="266" t="s">
        <v>248</v>
      </c>
      <c r="C29" s="272">
        <v>636</v>
      </c>
      <c r="D29" s="272">
        <v>654</v>
      </c>
      <c r="E29" s="271">
        <v>1290</v>
      </c>
      <c r="F29" s="270">
        <v>555</v>
      </c>
      <c r="G29" s="270">
        <v>583</v>
      </c>
      <c r="H29" s="273">
        <v>1138</v>
      </c>
      <c r="I29" s="272">
        <v>526</v>
      </c>
      <c r="J29" s="272">
        <v>589</v>
      </c>
      <c r="K29" s="271">
        <v>1115</v>
      </c>
      <c r="L29" s="272">
        <v>533</v>
      </c>
      <c r="M29" s="272">
        <v>622</v>
      </c>
      <c r="N29" s="271">
        <v>1155</v>
      </c>
      <c r="O29" s="661">
        <v>510</v>
      </c>
      <c r="P29" s="661">
        <v>596</v>
      </c>
      <c r="Q29" s="663">
        <v>1106</v>
      </c>
      <c r="R29" s="1111"/>
    </row>
    <row r="30" spans="2:18" ht="21.4" customHeight="1" x14ac:dyDescent="0.35">
      <c r="B30" s="274" t="s">
        <v>249</v>
      </c>
      <c r="C30" s="275">
        <v>1</v>
      </c>
      <c r="D30" s="275">
        <v>1</v>
      </c>
      <c r="E30" s="276">
        <v>1</v>
      </c>
      <c r="F30" s="277">
        <v>1</v>
      </c>
      <c r="G30" s="277">
        <v>1</v>
      </c>
      <c r="H30" s="278">
        <v>1</v>
      </c>
      <c r="I30" s="279">
        <v>1</v>
      </c>
      <c r="J30" s="279">
        <v>1</v>
      </c>
      <c r="K30" s="280">
        <v>1</v>
      </c>
      <c r="L30" s="279">
        <v>1</v>
      </c>
      <c r="M30" s="279">
        <v>1</v>
      </c>
      <c r="N30" s="280">
        <v>1</v>
      </c>
      <c r="O30" s="665">
        <v>1</v>
      </c>
      <c r="P30" s="665">
        <v>1</v>
      </c>
      <c r="Q30" s="666">
        <v>1</v>
      </c>
      <c r="R30" s="1111"/>
    </row>
    <row r="31" spans="2:18" ht="21.4" customHeight="1" x14ac:dyDescent="0.35">
      <c r="B31" s="100"/>
      <c r="C31" s="101"/>
      <c r="D31" s="101"/>
      <c r="E31" s="101"/>
      <c r="F31" s="102"/>
      <c r="G31" s="102"/>
      <c r="H31" s="102"/>
      <c r="I31" s="103"/>
      <c r="J31" s="103"/>
      <c r="K31" s="103"/>
      <c r="L31" s="103"/>
      <c r="M31" s="103"/>
      <c r="N31" s="104"/>
      <c r="O31" s="100"/>
    </row>
    <row r="32" spans="2:18" ht="25.15" customHeight="1" x14ac:dyDescent="0.35">
      <c r="B32" s="64" t="s">
        <v>250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O32" s="56"/>
    </row>
    <row r="33" spans="2:20" ht="21.4" customHeight="1" x14ac:dyDescent="0.35">
      <c r="B33" s="6"/>
      <c r="C33" s="976">
        <v>2020</v>
      </c>
      <c r="D33" s="976"/>
      <c r="E33" s="1099"/>
      <c r="F33" s="1100">
        <v>2021</v>
      </c>
      <c r="G33" s="976"/>
      <c r="H33" s="1099"/>
      <c r="I33" s="976">
        <v>2022</v>
      </c>
      <c r="J33" s="976"/>
      <c r="K33" s="976"/>
      <c r="L33" s="976">
        <v>2023</v>
      </c>
      <c r="M33" s="976"/>
      <c r="N33" s="1092"/>
      <c r="O33" s="976">
        <v>2024</v>
      </c>
      <c r="P33" s="976"/>
      <c r="Q33" s="1092"/>
      <c r="R33" s="1090" t="s">
        <v>41</v>
      </c>
    </row>
    <row r="34" spans="2:20" ht="21.4" customHeight="1" x14ac:dyDescent="0.35">
      <c r="B34" s="256"/>
      <c r="C34" s="281" t="s">
        <v>207</v>
      </c>
      <c r="D34" s="281" t="s">
        <v>208</v>
      </c>
      <c r="E34" s="282" t="s">
        <v>78</v>
      </c>
      <c r="F34" s="281" t="s">
        <v>207</v>
      </c>
      <c r="G34" s="281" t="s">
        <v>208</v>
      </c>
      <c r="H34" s="282" t="s">
        <v>78</v>
      </c>
      <c r="I34" s="256" t="s">
        <v>207</v>
      </c>
      <c r="J34" s="256" t="s">
        <v>208</v>
      </c>
      <c r="K34" s="256" t="s">
        <v>78</v>
      </c>
      <c r="L34" s="256" t="s">
        <v>207</v>
      </c>
      <c r="M34" s="256" t="s">
        <v>208</v>
      </c>
      <c r="N34" s="256" t="s">
        <v>78</v>
      </c>
      <c r="O34" s="256" t="s">
        <v>207</v>
      </c>
      <c r="P34" s="256" t="s">
        <v>208</v>
      </c>
      <c r="Q34" s="256" t="s">
        <v>78</v>
      </c>
      <c r="R34" s="1090"/>
    </row>
    <row r="35" spans="2:20" ht="21.4" customHeight="1" x14ac:dyDescent="0.35">
      <c r="B35" s="283" t="s">
        <v>239</v>
      </c>
      <c r="C35" s="284">
        <v>17</v>
      </c>
      <c r="D35" s="284">
        <v>40</v>
      </c>
      <c r="E35" s="285">
        <v>57</v>
      </c>
      <c r="F35" s="284">
        <v>17</v>
      </c>
      <c r="G35" s="284">
        <v>36</v>
      </c>
      <c r="H35" s="285">
        <v>53</v>
      </c>
      <c r="I35" s="284">
        <v>23</v>
      </c>
      <c r="J35" s="284">
        <v>27</v>
      </c>
      <c r="K35" s="285">
        <v>50</v>
      </c>
      <c r="L35" s="284">
        <v>17</v>
      </c>
      <c r="M35" s="284">
        <v>30</v>
      </c>
      <c r="N35" s="285">
        <v>47</v>
      </c>
      <c r="O35" s="667">
        <v>20</v>
      </c>
      <c r="P35" s="667">
        <v>32</v>
      </c>
      <c r="Q35" s="667">
        <v>52</v>
      </c>
      <c r="R35" s="1089" t="s">
        <v>240</v>
      </c>
    </row>
    <row r="36" spans="2:20" ht="21.4" customHeight="1" x14ac:dyDescent="0.35">
      <c r="B36" s="286" t="s">
        <v>251</v>
      </c>
      <c r="C36" s="287">
        <v>1.829924650161464E-2</v>
      </c>
      <c r="D36" s="287">
        <v>4.1194644696189497E-2</v>
      </c>
      <c r="E36" s="288">
        <v>0.03</v>
      </c>
      <c r="F36" s="287">
        <v>1.9813519813519812E-2</v>
      </c>
      <c r="G36" s="287">
        <v>3.951701427003293E-2</v>
      </c>
      <c r="H36" s="288">
        <v>2.9960429621254947E-2</v>
      </c>
      <c r="I36" s="287">
        <v>2.8083028083028084E-2</v>
      </c>
      <c r="J36" s="287">
        <v>3.1322505800464036E-2</v>
      </c>
      <c r="K36" s="288">
        <v>2.9744199881023201E-2</v>
      </c>
      <c r="L36" s="287">
        <v>2.0987654320987655E-2</v>
      </c>
      <c r="M36" s="287">
        <v>3.4246575342465752E-2</v>
      </c>
      <c r="N36" s="288">
        <v>2.7876631079478055E-2</v>
      </c>
      <c r="O36" s="668">
        <v>2.5412960609911054E-2</v>
      </c>
      <c r="P36" s="668">
        <v>3.6158192090395481E-2</v>
      </c>
      <c r="Q36" s="668">
        <v>3.1100478468899521E-2</v>
      </c>
      <c r="R36" s="1089"/>
    </row>
    <row r="37" spans="2:20" ht="21.4" customHeight="1" x14ac:dyDescent="0.35">
      <c r="B37" s="286" t="s">
        <v>242</v>
      </c>
      <c r="C37" s="290">
        <v>0</v>
      </c>
      <c r="D37" s="290">
        <v>0</v>
      </c>
      <c r="E37" s="291">
        <v>0</v>
      </c>
      <c r="F37" s="290">
        <v>0</v>
      </c>
      <c r="G37" s="290">
        <v>0</v>
      </c>
      <c r="H37" s="292">
        <v>0</v>
      </c>
      <c r="I37" s="290">
        <v>0</v>
      </c>
      <c r="J37" s="290">
        <v>0</v>
      </c>
      <c r="K37" s="292">
        <v>0</v>
      </c>
      <c r="L37" s="290">
        <v>1</v>
      </c>
      <c r="M37" s="290">
        <v>4</v>
      </c>
      <c r="N37" s="292">
        <v>5</v>
      </c>
      <c r="O37" s="396">
        <v>7</v>
      </c>
      <c r="P37" s="396">
        <v>9</v>
      </c>
      <c r="Q37" s="396">
        <v>16</v>
      </c>
      <c r="R37" s="1089"/>
    </row>
    <row r="38" spans="2:20" ht="21.4" customHeight="1" x14ac:dyDescent="0.35">
      <c r="B38" s="286" t="s">
        <v>243</v>
      </c>
      <c r="C38" s="293">
        <v>0</v>
      </c>
      <c r="D38" s="293">
        <v>0</v>
      </c>
      <c r="E38" s="294">
        <v>0</v>
      </c>
      <c r="F38" s="293">
        <v>0</v>
      </c>
      <c r="G38" s="293">
        <v>0</v>
      </c>
      <c r="H38" s="294">
        <v>0</v>
      </c>
      <c r="I38" s="293">
        <v>0</v>
      </c>
      <c r="J38" s="293">
        <v>0</v>
      </c>
      <c r="K38" s="294">
        <v>0</v>
      </c>
      <c r="L38" s="293">
        <v>5.8823529411764705E-2</v>
      </c>
      <c r="M38" s="293">
        <v>0.13333333333333333</v>
      </c>
      <c r="N38" s="294">
        <v>0.10638297872340426</v>
      </c>
      <c r="O38" s="668">
        <v>0.35</v>
      </c>
      <c r="P38" s="668">
        <v>0.28125</v>
      </c>
      <c r="Q38" s="668">
        <v>0.30769230769230771</v>
      </c>
      <c r="R38" s="1089"/>
    </row>
    <row r="39" spans="2:20" ht="21.4" customHeight="1" x14ac:dyDescent="0.35">
      <c r="B39" s="286" t="s">
        <v>244</v>
      </c>
      <c r="C39" s="290">
        <v>476</v>
      </c>
      <c r="D39" s="290">
        <v>710</v>
      </c>
      <c r="E39" s="292">
        <v>1186</v>
      </c>
      <c r="F39" s="290">
        <v>450</v>
      </c>
      <c r="G39" s="290">
        <v>685</v>
      </c>
      <c r="H39" s="292">
        <f>G39+F39</f>
        <v>1135</v>
      </c>
      <c r="I39" s="290">
        <v>453</v>
      </c>
      <c r="J39" s="290">
        <v>664</v>
      </c>
      <c r="K39" s="292">
        <f>J39+I39</f>
        <v>1117</v>
      </c>
      <c r="L39" s="290">
        <v>455</v>
      </c>
      <c r="M39" s="290">
        <v>641</v>
      </c>
      <c r="N39" s="292">
        <f>M39+L39</f>
        <v>1096</v>
      </c>
      <c r="O39" s="669">
        <v>463</v>
      </c>
      <c r="P39" s="669">
        <v>629</v>
      </c>
      <c r="Q39" s="396">
        <v>1092</v>
      </c>
      <c r="R39" s="1089"/>
    </row>
    <row r="40" spans="2:20" ht="21.4" customHeight="1" x14ac:dyDescent="0.35">
      <c r="B40" s="286" t="s">
        <v>245</v>
      </c>
      <c r="C40" s="287">
        <v>0.51237890204520986</v>
      </c>
      <c r="D40" s="287">
        <v>0.73120494335736352</v>
      </c>
      <c r="E40" s="288">
        <v>0.62421052631578944</v>
      </c>
      <c r="F40" s="287">
        <v>0.52447552447552448</v>
      </c>
      <c r="G40" s="287">
        <v>0.75192096597145996</v>
      </c>
      <c r="H40" s="288">
        <v>0.64160542679479937</v>
      </c>
      <c r="I40" s="287">
        <f t="shared" ref="I40:N40" si="1">I39/I43</f>
        <v>0.54447115384615385</v>
      </c>
      <c r="J40" s="287">
        <f t="shared" si="1"/>
        <v>0.76146788990825687</v>
      </c>
      <c r="K40" s="288">
        <f t="shared" si="1"/>
        <v>0.65551643192488263</v>
      </c>
      <c r="L40" s="287">
        <f t="shared" si="1"/>
        <v>0.56311881188118806</v>
      </c>
      <c r="M40" s="287">
        <f t="shared" si="1"/>
        <v>0.7317351598173516</v>
      </c>
      <c r="N40" s="288">
        <f t="shared" si="1"/>
        <v>0.65083135391923985</v>
      </c>
      <c r="O40" s="668">
        <v>0.58831003811944094</v>
      </c>
      <c r="P40" s="668">
        <v>0.7107344632768362</v>
      </c>
      <c r="Q40" s="668">
        <v>0.65311004784688997</v>
      </c>
      <c r="R40" s="1089"/>
    </row>
    <row r="41" spans="2:20" ht="21.4" customHeight="1" x14ac:dyDescent="0.35">
      <c r="B41" s="286" t="s">
        <v>246</v>
      </c>
      <c r="C41" s="290">
        <v>453</v>
      </c>
      <c r="D41" s="290">
        <v>261</v>
      </c>
      <c r="E41" s="292">
        <v>714</v>
      </c>
      <c r="F41" s="290">
        <v>408</v>
      </c>
      <c r="G41" s="290">
        <v>225</v>
      </c>
      <c r="H41" s="292">
        <f>G41+F41</f>
        <v>633</v>
      </c>
      <c r="I41" s="290">
        <v>379</v>
      </c>
      <c r="J41" s="290">
        <v>208</v>
      </c>
      <c r="K41" s="292">
        <f>J41+I41</f>
        <v>587</v>
      </c>
      <c r="L41" s="290">
        <v>353</v>
      </c>
      <c r="M41" s="290">
        <v>235</v>
      </c>
      <c r="N41" s="292">
        <f>M41+L41</f>
        <v>588</v>
      </c>
      <c r="O41" s="669">
        <v>324</v>
      </c>
      <c r="P41" s="669">
        <v>256</v>
      </c>
      <c r="Q41" s="669">
        <v>580</v>
      </c>
      <c r="R41" s="1089"/>
    </row>
    <row r="42" spans="2:20" ht="21.4" customHeight="1" x14ac:dyDescent="0.35">
      <c r="B42" s="286" t="s">
        <v>252</v>
      </c>
      <c r="C42" s="287">
        <v>0.48762109795479008</v>
      </c>
      <c r="D42" s="287">
        <v>0.26879505664263648</v>
      </c>
      <c r="E42" s="288">
        <v>0.37578947368421051</v>
      </c>
      <c r="F42" s="287">
        <v>0.4766899766899767</v>
      </c>
      <c r="G42" s="287">
        <v>0.24698133918770582</v>
      </c>
      <c r="H42" s="288">
        <v>0.35839457320520068</v>
      </c>
      <c r="I42" s="287">
        <f t="shared" ref="I42:N42" si="2">I41/I43</f>
        <v>0.45552884615384615</v>
      </c>
      <c r="J42" s="287">
        <f t="shared" si="2"/>
        <v>0.23853211009174313</v>
      </c>
      <c r="K42" s="288">
        <f t="shared" si="2"/>
        <v>0.34448356807511737</v>
      </c>
      <c r="L42" s="287">
        <f t="shared" si="2"/>
        <v>0.43688118811881188</v>
      </c>
      <c r="M42" s="287">
        <f t="shared" si="2"/>
        <v>0.2682648401826484</v>
      </c>
      <c r="N42" s="288">
        <f t="shared" si="2"/>
        <v>0.34916864608076009</v>
      </c>
      <c r="O42" s="668">
        <v>0.41168996188055906</v>
      </c>
      <c r="P42" s="668">
        <v>0.28926553672316385</v>
      </c>
      <c r="Q42" s="668">
        <v>0.34688995215311003</v>
      </c>
      <c r="R42" s="1089"/>
    </row>
    <row r="43" spans="2:20" ht="21.4" customHeight="1" x14ac:dyDescent="0.35">
      <c r="B43" s="286" t="s">
        <v>248</v>
      </c>
      <c r="C43" s="290">
        <v>929</v>
      </c>
      <c r="D43" s="290">
        <v>971</v>
      </c>
      <c r="E43" s="291">
        <v>1900</v>
      </c>
      <c r="F43" s="290">
        <f t="shared" ref="F43:N43" si="3">F41+F39</f>
        <v>858</v>
      </c>
      <c r="G43" s="290">
        <f t="shared" si="3"/>
        <v>910</v>
      </c>
      <c r="H43" s="291">
        <f t="shared" si="3"/>
        <v>1768</v>
      </c>
      <c r="I43" s="290">
        <f t="shared" si="3"/>
        <v>832</v>
      </c>
      <c r="J43" s="290">
        <f t="shared" si="3"/>
        <v>872</v>
      </c>
      <c r="K43" s="291">
        <f t="shared" si="3"/>
        <v>1704</v>
      </c>
      <c r="L43" s="290">
        <f t="shared" si="3"/>
        <v>808</v>
      </c>
      <c r="M43" s="290">
        <f t="shared" si="3"/>
        <v>876</v>
      </c>
      <c r="N43" s="291">
        <f t="shared" si="3"/>
        <v>1684</v>
      </c>
      <c r="O43" s="302">
        <v>787</v>
      </c>
      <c r="P43" s="302">
        <v>885</v>
      </c>
      <c r="Q43" s="669">
        <v>1672</v>
      </c>
      <c r="R43" s="1089"/>
    </row>
    <row r="44" spans="2:20" ht="21.4" customHeight="1" x14ac:dyDescent="0.35">
      <c r="B44" s="295" t="s">
        <v>253</v>
      </c>
      <c r="C44" s="296">
        <v>1</v>
      </c>
      <c r="D44" s="296">
        <v>1</v>
      </c>
      <c r="E44" s="297">
        <v>1</v>
      </c>
      <c r="F44" s="296">
        <v>1.0011655011655012</v>
      </c>
      <c r="G44" s="296">
        <v>0.99890230515916578</v>
      </c>
      <c r="H44" s="297">
        <v>1</v>
      </c>
      <c r="I44" s="296">
        <f>(I41+I39)/I43</f>
        <v>1</v>
      </c>
      <c r="J44" s="296">
        <f>(J41+J39)/J43</f>
        <v>1</v>
      </c>
      <c r="K44" s="296">
        <f t="shared" ref="K44:M44" si="4">(K41+K39)/K43</f>
        <v>1</v>
      </c>
      <c r="L44" s="296">
        <f t="shared" si="4"/>
        <v>1</v>
      </c>
      <c r="M44" s="296">
        <f t="shared" si="4"/>
        <v>1</v>
      </c>
      <c r="N44" s="296">
        <f>(N41+N39)/N43</f>
        <v>1</v>
      </c>
      <c r="O44" s="670">
        <v>1</v>
      </c>
      <c r="P44" s="670">
        <v>1</v>
      </c>
      <c r="Q44" s="670">
        <v>1</v>
      </c>
      <c r="R44" s="1089"/>
    </row>
    <row r="45" spans="2:20" ht="21.4" customHeight="1" x14ac:dyDescent="0.35">
      <c r="B45" s="106"/>
      <c r="C45" s="105"/>
      <c r="D45" s="105"/>
      <c r="E45" s="105"/>
      <c r="F45" s="105"/>
      <c r="G45" s="105"/>
      <c r="H45" s="105"/>
      <c r="I45" s="107"/>
      <c r="J45" s="107"/>
      <c r="K45" s="107"/>
      <c r="L45" s="107"/>
      <c r="M45" s="107"/>
      <c r="N45" s="86"/>
      <c r="O45" s="58"/>
    </row>
    <row r="46" spans="2:20" ht="25.15" customHeight="1" x14ac:dyDescent="0.35">
      <c r="B46" s="64" t="s">
        <v>254</v>
      </c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O46" s="58"/>
    </row>
    <row r="47" spans="2:20" ht="21.4" customHeight="1" x14ac:dyDescent="0.35">
      <c r="B47" s="299"/>
      <c r="C47" s="976">
        <v>2020</v>
      </c>
      <c r="D47" s="976"/>
      <c r="E47" s="1099"/>
      <c r="F47" s="976">
        <v>2021</v>
      </c>
      <c r="G47" s="976"/>
      <c r="H47" s="976"/>
      <c r="I47" s="1100">
        <v>2022</v>
      </c>
      <c r="J47" s="976"/>
      <c r="K47" s="1099"/>
      <c r="L47" s="976">
        <v>2023</v>
      </c>
      <c r="M47" s="976"/>
      <c r="N47" s="1092"/>
      <c r="O47" s="962">
        <v>2024</v>
      </c>
      <c r="P47" s="962"/>
      <c r="Q47" s="1091"/>
      <c r="R47" s="1090" t="s">
        <v>41</v>
      </c>
      <c r="T47" s="617"/>
    </row>
    <row r="48" spans="2:20" ht="21.4" customHeight="1" x14ac:dyDescent="0.35">
      <c r="B48" s="256"/>
      <c r="C48" s="281" t="s">
        <v>207</v>
      </c>
      <c r="D48" s="281" t="s">
        <v>208</v>
      </c>
      <c r="E48" s="282" t="s">
        <v>78</v>
      </c>
      <c r="F48" s="281" t="s">
        <v>207</v>
      </c>
      <c r="G48" s="281" t="s">
        <v>208</v>
      </c>
      <c r="H48" s="282" t="s">
        <v>78</v>
      </c>
      <c r="I48" s="256" t="s">
        <v>207</v>
      </c>
      <c r="J48" s="256" t="s">
        <v>208</v>
      </c>
      <c r="K48" s="540" t="s">
        <v>78</v>
      </c>
      <c r="L48" s="256" t="s">
        <v>207</v>
      </c>
      <c r="M48" s="256" t="s">
        <v>208</v>
      </c>
      <c r="N48" s="256" t="s">
        <v>78</v>
      </c>
      <c r="O48" s="249" t="s">
        <v>208</v>
      </c>
      <c r="P48" s="249" t="s">
        <v>207</v>
      </c>
      <c r="Q48" s="249" t="s">
        <v>78</v>
      </c>
      <c r="R48" s="1090"/>
      <c r="T48" s="1113"/>
    </row>
    <row r="49" spans="2:20" ht="21.4" customHeight="1" x14ac:dyDescent="0.35">
      <c r="B49" s="260" t="s">
        <v>239</v>
      </c>
      <c r="C49" s="27">
        <v>0</v>
      </c>
      <c r="D49" s="27">
        <v>0</v>
      </c>
      <c r="E49" s="300">
        <v>0</v>
      </c>
      <c r="F49" s="27">
        <v>0</v>
      </c>
      <c r="G49" s="27">
        <v>0</v>
      </c>
      <c r="H49" s="300">
        <v>0</v>
      </c>
      <c r="I49" s="27">
        <v>0</v>
      </c>
      <c r="J49" s="27">
        <v>0</v>
      </c>
      <c r="K49" s="541">
        <v>0</v>
      </c>
      <c r="L49" s="27">
        <v>0</v>
      </c>
      <c r="M49" s="27">
        <v>0</v>
      </c>
      <c r="N49" s="300">
        <v>0</v>
      </c>
      <c r="O49" s="687">
        <v>267</v>
      </c>
      <c r="P49" s="687">
        <v>288</v>
      </c>
      <c r="Q49" s="688">
        <v>555</v>
      </c>
      <c r="R49" s="1114" t="s">
        <v>240</v>
      </c>
      <c r="T49" s="1113"/>
    </row>
    <row r="50" spans="2:20" ht="21.4" customHeight="1" x14ac:dyDescent="0.35">
      <c r="B50" s="266" t="s">
        <v>251</v>
      </c>
      <c r="C50" s="30">
        <v>0</v>
      </c>
      <c r="D50" s="30">
        <v>0</v>
      </c>
      <c r="E50" s="301">
        <v>0</v>
      </c>
      <c r="F50" s="30">
        <v>0</v>
      </c>
      <c r="G50" s="30">
        <v>0</v>
      </c>
      <c r="H50" s="301">
        <v>0</v>
      </c>
      <c r="I50" s="30">
        <v>0</v>
      </c>
      <c r="J50" s="30">
        <v>0</v>
      </c>
      <c r="K50" s="542">
        <v>0</v>
      </c>
      <c r="L50" s="30">
        <v>0</v>
      </c>
      <c r="M50" s="30">
        <v>0</v>
      </c>
      <c r="N50" s="301">
        <v>0</v>
      </c>
      <c r="O50" s="689"/>
      <c r="P50" s="689"/>
      <c r="Q50" s="689"/>
      <c r="R50" s="1114"/>
      <c r="T50" s="1112"/>
    </row>
    <row r="51" spans="2:20" ht="21.4" customHeight="1" x14ac:dyDescent="0.35">
      <c r="B51" s="266" t="s">
        <v>242</v>
      </c>
      <c r="C51" s="30">
        <v>0</v>
      </c>
      <c r="D51" s="30">
        <v>0</v>
      </c>
      <c r="E51" s="301">
        <v>0</v>
      </c>
      <c r="F51" s="30">
        <v>0</v>
      </c>
      <c r="G51" s="30">
        <v>0</v>
      </c>
      <c r="H51" s="301">
        <v>0</v>
      </c>
      <c r="I51" s="30">
        <v>0</v>
      </c>
      <c r="J51" s="30">
        <v>0</v>
      </c>
      <c r="K51" s="542">
        <v>0</v>
      </c>
      <c r="L51" s="30">
        <v>0</v>
      </c>
      <c r="M51" s="30">
        <v>0</v>
      </c>
      <c r="N51" s="301">
        <v>0</v>
      </c>
      <c r="O51" s="690">
        <v>193</v>
      </c>
      <c r="P51" s="690">
        <v>289</v>
      </c>
      <c r="Q51" s="691">
        <f>SUM(O51:P51)</f>
        <v>482</v>
      </c>
      <c r="R51" s="1114"/>
      <c r="T51" s="1112"/>
    </row>
    <row r="52" spans="2:20" ht="21.4" customHeight="1" x14ac:dyDescent="0.35">
      <c r="B52" s="266" t="s">
        <v>243</v>
      </c>
      <c r="C52" s="30">
        <v>0</v>
      </c>
      <c r="D52" s="30">
        <v>0</v>
      </c>
      <c r="E52" s="301">
        <v>0</v>
      </c>
      <c r="F52" s="30">
        <v>0</v>
      </c>
      <c r="G52" s="30">
        <v>0</v>
      </c>
      <c r="H52" s="301">
        <v>0</v>
      </c>
      <c r="I52" s="30">
        <v>0</v>
      </c>
      <c r="J52" s="30">
        <v>0</v>
      </c>
      <c r="K52" s="542">
        <v>0</v>
      </c>
      <c r="L52" s="30">
        <v>0</v>
      </c>
      <c r="M52" s="30">
        <v>0</v>
      </c>
      <c r="N52" s="301">
        <v>0</v>
      </c>
      <c r="O52" s="692"/>
      <c r="P52" s="692"/>
      <c r="Q52" s="689"/>
      <c r="R52" s="1114"/>
      <c r="T52" s="1112"/>
    </row>
    <row r="53" spans="2:20" ht="21.4" customHeight="1" x14ac:dyDescent="0.35">
      <c r="B53" s="266" t="s">
        <v>244</v>
      </c>
      <c r="C53" s="302">
        <v>306</v>
      </c>
      <c r="D53" s="302">
        <v>498</v>
      </c>
      <c r="E53" s="303">
        <f>D53+C53</f>
        <v>804</v>
      </c>
      <c r="F53" s="302">
        <v>286</v>
      </c>
      <c r="G53" s="302">
        <v>445</v>
      </c>
      <c r="H53" s="303">
        <f>G53+F53</f>
        <v>731</v>
      </c>
      <c r="I53" s="290">
        <v>266</v>
      </c>
      <c r="J53" s="290">
        <v>427</v>
      </c>
      <c r="K53" s="543">
        <f>SUM(I53:J53)</f>
        <v>693</v>
      </c>
      <c r="L53" s="290">
        <v>273</v>
      </c>
      <c r="M53" s="290">
        <v>441</v>
      </c>
      <c r="N53" s="289">
        <v>714</v>
      </c>
      <c r="O53" s="690">
        <v>3499</v>
      </c>
      <c r="P53" s="690">
        <v>1543</v>
      </c>
      <c r="Q53" s="693">
        <v>5042</v>
      </c>
      <c r="R53" s="1114"/>
      <c r="T53" s="1112"/>
    </row>
    <row r="54" spans="2:20" ht="21.4" customHeight="1" x14ac:dyDescent="0.35">
      <c r="B54" s="266" t="s">
        <v>245</v>
      </c>
      <c r="C54" s="293">
        <f>C53/E57</f>
        <v>0.23340961098398169</v>
      </c>
      <c r="D54" s="293">
        <f>D53/E57</f>
        <v>0.37986270022883295</v>
      </c>
      <c r="E54" s="294">
        <f>E53/E57</f>
        <v>0.61327231121281467</v>
      </c>
      <c r="F54" s="293">
        <f>F53/H57</f>
        <v>0.25512934879571814</v>
      </c>
      <c r="G54" s="293">
        <f>G53/H57</f>
        <v>0.39696699375557537</v>
      </c>
      <c r="H54" s="294">
        <f>H53/H57</f>
        <v>0.65209634255129345</v>
      </c>
      <c r="I54" s="293">
        <f>I53/K57</f>
        <v>0.28000000000000003</v>
      </c>
      <c r="J54" s="293">
        <f>J53/K57</f>
        <v>0.4494736842105263</v>
      </c>
      <c r="K54" s="544">
        <f>K53/K57</f>
        <v>0.72947368421052627</v>
      </c>
      <c r="L54" s="293">
        <v>0.8</v>
      </c>
      <c r="M54" s="293">
        <v>0.8</v>
      </c>
      <c r="N54" s="293">
        <v>0.8</v>
      </c>
      <c r="O54" s="692">
        <f>O53/Q53</f>
        <v>0.6939706465688219</v>
      </c>
      <c r="P54" s="692">
        <f>P53/Q53</f>
        <v>0.3060293534311781</v>
      </c>
      <c r="Q54" s="689"/>
      <c r="R54" s="1114"/>
      <c r="T54" s="1112"/>
    </row>
    <row r="55" spans="2:20" ht="21.4" customHeight="1" x14ac:dyDescent="0.35">
      <c r="B55" s="266" t="s">
        <v>246</v>
      </c>
      <c r="C55" s="302">
        <v>248</v>
      </c>
      <c r="D55" s="302">
        <v>259</v>
      </c>
      <c r="E55" s="303">
        <f>D55+C55</f>
        <v>507</v>
      </c>
      <c r="F55" s="302">
        <v>192</v>
      </c>
      <c r="G55" s="302">
        <v>198</v>
      </c>
      <c r="H55" s="303">
        <f>G55+F55</f>
        <v>390</v>
      </c>
      <c r="I55" s="290">
        <v>121</v>
      </c>
      <c r="J55" s="290">
        <v>136</v>
      </c>
      <c r="K55" s="543">
        <f>SUM(I55:J55)</f>
        <v>257</v>
      </c>
      <c r="L55" s="290">
        <v>80</v>
      </c>
      <c r="M55" s="290">
        <v>113</v>
      </c>
      <c r="N55" s="289">
        <v>193</v>
      </c>
      <c r="O55" s="690">
        <v>114</v>
      </c>
      <c r="P55" s="690">
        <v>269</v>
      </c>
      <c r="Q55" s="693">
        <v>383</v>
      </c>
      <c r="R55" s="1114"/>
      <c r="T55" s="1112"/>
    </row>
    <row r="56" spans="2:20" ht="21.4" customHeight="1" x14ac:dyDescent="0.35">
      <c r="B56" s="266" t="s">
        <v>252</v>
      </c>
      <c r="C56" s="293">
        <f>C55/E57</f>
        <v>0.18916857360793288</v>
      </c>
      <c r="D56" s="293">
        <f>D55/E57</f>
        <v>0.19755911517925248</v>
      </c>
      <c r="E56" s="294">
        <f>E55/E57</f>
        <v>0.38672768878718533</v>
      </c>
      <c r="F56" s="293">
        <f>F55/H57</f>
        <v>0.17127564674397858</v>
      </c>
      <c r="G56" s="293">
        <f>G55/H57</f>
        <v>0.17662801070472792</v>
      </c>
      <c r="H56" s="294">
        <f>H55/H57</f>
        <v>0.34790365744870649</v>
      </c>
      <c r="I56" s="293">
        <f>I55/K57</f>
        <v>0.12736842105263158</v>
      </c>
      <c r="J56" s="293">
        <f>J55/K57</f>
        <v>0.1431578947368421</v>
      </c>
      <c r="K56" s="544">
        <f>K55/K57</f>
        <v>0.27052631578947367</v>
      </c>
      <c r="L56" s="293">
        <v>0.2</v>
      </c>
      <c r="M56" s="293">
        <v>0.2</v>
      </c>
      <c r="N56" s="293">
        <v>0.2</v>
      </c>
      <c r="O56" s="692">
        <f>O55/Q55</f>
        <v>0.29765013054830286</v>
      </c>
      <c r="P56" s="692">
        <f>P55/Q55</f>
        <v>0.70234986945169708</v>
      </c>
      <c r="Q56" s="689"/>
      <c r="R56" s="1114"/>
      <c r="T56" s="1112"/>
    </row>
    <row r="57" spans="2:20" ht="21.4" customHeight="1" x14ac:dyDescent="0.35">
      <c r="B57" s="266" t="s">
        <v>248</v>
      </c>
      <c r="C57" s="302">
        <f t="shared" ref="C57:I57" si="5">SUM(C53,C55)</f>
        <v>554</v>
      </c>
      <c r="D57" s="302">
        <f t="shared" si="5"/>
        <v>757</v>
      </c>
      <c r="E57" s="304">
        <f t="shared" si="5"/>
        <v>1311</v>
      </c>
      <c r="F57" s="302">
        <f t="shared" si="5"/>
        <v>478</v>
      </c>
      <c r="G57" s="302">
        <f t="shared" si="5"/>
        <v>643</v>
      </c>
      <c r="H57" s="304">
        <f t="shared" si="5"/>
        <v>1121</v>
      </c>
      <c r="I57" s="290">
        <f t="shared" si="5"/>
        <v>387</v>
      </c>
      <c r="J57" s="290">
        <f>SUM(J53,J55)</f>
        <v>563</v>
      </c>
      <c r="K57" s="545">
        <f>SUM(K53,K55)</f>
        <v>950</v>
      </c>
      <c r="L57" s="290">
        <v>353</v>
      </c>
      <c r="M57" s="290">
        <v>554</v>
      </c>
      <c r="N57" s="290">
        <v>907</v>
      </c>
      <c r="O57" s="690">
        <v>3613</v>
      </c>
      <c r="P57" s="690">
        <v>1812</v>
      </c>
      <c r="Q57" s="691">
        <f>O57+P57</f>
        <v>5425</v>
      </c>
      <c r="R57" s="1114"/>
      <c r="T57" s="1112"/>
    </row>
    <row r="58" spans="2:20" ht="21.4" customHeight="1" x14ac:dyDescent="0.35">
      <c r="B58" s="274" t="s">
        <v>253</v>
      </c>
      <c r="C58" s="296">
        <v>1</v>
      </c>
      <c r="D58" s="296">
        <v>1</v>
      </c>
      <c r="E58" s="297">
        <v>1</v>
      </c>
      <c r="F58" s="296">
        <v>1.0011655011655012</v>
      </c>
      <c r="G58" s="296">
        <v>0.99890230515916578</v>
      </c>
      <c r="H58" s="297">
        <v>1</v>
      </c>
      <c r="I58" s="298">
        <v>0.99755799755799757</v>
      </c>
      <c r="J58" s="298">
        <v>1</v>
      </c>
      <c r="K58" s="546">
        <v>0.9952409280190363</v>
      </c>
      <c r="L58" s="298">
        <v>0.4</v>
      </c>
      <c r="M58" s="298">
        <v>0.6</v>
      </c>
      <c r="N58" s="298">
        <v>1</v>
      </c>
      <c r="O58" s="692">
        <f>O57/Q57</f>
        <v>0.66599078341013829</v>
      </c>
      <c r="P58" s="692">
        <f>P57/Q57</f>
        <v>0.33400921658986177</v>
      </c>
      <c r="Q58" s="689"/>
      <c r="R58" s="1115"/>
      <c r="T58" s="1112"/>
    </row>
    <row r="59" spans="2:20" x14ac:dyDescent="0.35">
      <c r="T59" s="1112"/>
    </row>
  </sheetData>
  <mergeCells count="37">
    <mergeCell ref="R21:R30"/>
    <mergeCell ref="T50:T59"/>
    <mergeCell ref="C33:E33"/>
    <mergeCell ref="F33:H33"/>
    <mergeCell ref="I33:K33"/>
    <mergeCell ref="R35:R44"/>
    <mergeCell ref="R33:R34"/>
    <mergeCell ref="T48:T49"/>
    <mergeCell ref="L47:N47"/>
    <mergeCell ref="L33:N33"/>
    <mergeCell ref="O33:Q33"/>
    <mergeCell ref="O47:Q47"/>
    <mergeCell ref="R47:R48"/>
    <mergeCell ref="R49:R58"/>
    <mergeCell ref="C8:E8"/>
    <mergeCell ref="C47:E47"/>
    <mergeCell ref="F47:H47"/>
    <mergeCell ref="I47:K47"/>
    <mergeCell ref="F8:H8"/>
    <mergeCell ref="F19:H19"/>
    <mergeCell ref="C19:E19"/>
    <mergeCell ref="C15:E15"/>
    <mergeCell ref="F15:H15"/>
    <mergeCell ref="I15:K15"/>
    <mergeCell ref="C16:E16"/>
    <mergeCell ref="F16:H16"/>
    <mergeCell ref="I16:K16"/>
    <mergeCell ref="I8:K8"/>
    <mergeCell ref="I19:K19"/>
    <mergeCell ref="O15:O16"/>
    <mergeCell ref="O8:O9"/>
    <mergeCell ref="O10:O14"/>
    <mergeCell ref="L8:N8"/>
    <mergeCell ref="L19:N19"/>
    <mergeCell ref="L15:N15"/>
    <mergeCell ref="L16:N16"/>
    <mergeCell ref="O19:Q19"/>
  </mergeCells>
  <pageMargins left="0.7" right="0.7" top="0.75" bottom="0.75" header="0.3" footer="0.3"/>
  <pageSetup paperSize="9" orientation="portrait" r:id="rId1"/>
  <headerFooter scaleWithDoc="0"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45"/>
  <sheetViews>
    <sheetView showGridLines="0" rightToLeft="1" topLeftCell="A34" workbookViewId="0">
      <selection activeCell="Q47" sqref="Q47"/>
    </sheetView>
  </sheetViews>
  <sheetFormatPr defaultColWidth="9.26953125" defaultRowHeight="14.5" x14ac:dyDescent="0.35"/>
  <cols>
    <col min="1" max="1" width="3.7265625" customWidth="1"/>
    <col min="2" max="2" width="15.54296875" style="110" customWidth="1"/>
    <col min="3" max="15" width="10.7265625" style="110" customWidth="1"/>
  </cols>
  <sheetData>
    <row r="1" spans="1:19" ht="15" customHeight="1" x14ac:dyDescent="0.35">
      <c r="B1" s="38"/>
      <c r="C1" s="38"/>
      <c r="D1" s="38"/>
      <c r="E1" s="38"/>
      <c r="F1" s="38"/>
      <c r="G1" s="38"/>
      <c r="H1" s="38"/>
      <c r="I1" s="38"/>
      <c r="J1" s="38"/>
      <c r="K1" s="38"/>
      <c r="L1"/>
      <c r="M1"/>
      <c r="N1"/>
      <c r="O1"/>
    </row>
    <row r="2" spans="1:19" ht="15" customHeight="1" x14ac:dyDescent="0.35">
      <c r="B2" s="38"/>
      <c r="C2" s="38"/>
      <c r="D2" s="38"/>
      <c r="E2" s="38"/>
      <c r="F2" s="38"/>
      <c r="G2" s="38"/>
      <c r="H2" s="38"/>
      <c r="I2" s="38"/>
      <c r="J2" s="38"/>
      <c r="K2" s="38"/>
      <c r="L2"/>
      <c r="M2"/>
      <c r="N2"/>
      <c r="O2"/>
    </row>
    <row r="3" spans="1:19" ht="15" customHeight="1" x14ac:dyDescent="0.35">
      <c r="B3" s="38"/>
      <c r="C3" s="38"/>
      <c r="D3" s="38"/>
      <c r="E3" s="38"/>
      <c r="F3" s="38"/>
      <c r="G3" s="38"/>
      <c r="H3" s="38"/>
      <c r="I3" s="38"/>
      <c r="J3" s="38"/>
      <c r="K3" s="38"/>
      <c r="L3"/>
      <c r="M3"/>
      <c r="N3"/>
      <c r="O3"/>
    </row>
    <row r="4" spans="1:19" ht="15" customHeight="1" x14ac:dyDescent="0.35">
      <c r="B4" s="38"/>
      <c r="C4" s="38"/>
      <c r="D4" s="38"/>
      <c r="E4" s="38"/>
      <c r="F4" s="38"/>
      <c r="G4" s="38"/>
      <c r="H4" s="38"/>
      <c r="I4" s="38"/>
      <c r="J4" s="38"/>
      <c r="K4" s="38"/>
      <c r="L4"/>
      <c r="M4"/>
      <c r="N4" s="17"/>
      <c r="O4" s="17"/>
    </row>
    <row r="5" spans="1:19" ht="25.15" customHeight="1" thickBot="1" x14ac:dyDescent="0.4">
      <c r="B5" s="39" t="s">
        <v>21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19" ht="15" customHeight="1" thickTop="1" x14ac:dyDescent="0.35">
      <c r="B6" s="41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9" ht="25.15" customHeight="1" x14ac:dyDescent="0.35">
      <c r="A7" s="97"/>
      <c r="B7" s="64" t="s">
        <v>255</v>
      </c>
      <c r="C7" s="64"/>
      <c r="D7" s="64"/>
      <c r="E7" s="64"/>
      <c r="F7" s="64"/>
      <c r="G7" s="64"/>
      <c r="H7" s="64"/>
      <c r="I7" s="64"/>
      <c r="J7" s="64"/>
      <c r="K7" s="64"/>
      <c r="L7" s="155"/>
      <c r="M7" s="155"/>
      <c r="N7" s="155"/>
      <c r="O7" s="155"/>
    </row>
    <row r="8" spans="1:19" ht="21.4" customHeight="1" x14ac:dyDescent="0.35">
      <c r="A8" s="97"/>
      <c r="B8" s="129"/>
      <c r="C8" s="967">
        <v>2019</v>
      </c>
      <c r="D8" s="969"/>
      <c r="E8" s="967">
        <v>2020</v>
      </c>
      <c r="F8" s="967"/>
      <c r="G8" s="968">
        <v>2021</v>
      </c>
      <c r="H8" s="969"/>
      <c r="I8" s="968">
        <v>2022</v>
      </c>
      <c r="J8" s="969"/>
      <c r="K8" s="967">
        <v>2023</v>
      </c>
      <c r="L8" s="967"/>
      <c r="M8" s="967">
        <v>2024</v>
      </c>
      <c r="N8" s="967"/>
      <c r="O8" s="186"/>
      <c r="P8" s="186"/>
      <c r="Q8" s="186"/>
      <c r="R8" s="186"/>
      <c r="S8" s="976" t="s">
        <v>41</v>
      </c>
    </row>
    <row r="9" spans="1:19" ht="21.4" customHeight="1" x14ac:dyDescent="0.35">
      <c r="A9" s="97"/>
      <c r="B9" s="318"/>
      <c r="C9" s="220" t="s">
        <v>78</v>
      </c>
      <c r="D9" s="221" t="s">
        <v>256</v>
      </c>
      <c r="E9" s="220" t="s">
        <v>78</v>
      </c>
      <c r="F9" s="221" t="s">
        <v>256</v>
      </c>
      <c r="G9" s="220" t="s">
        <v>78</v>
      </c>
      <c r="H9" s="221" t="s">
        <v>256</v>
      </c>
      <c r="I9" s="220" t="s">
        <v>78</v>
      </c>
      <c r="J9" s="221" t="s">
        <v>256</v>
      </c>
      <c r="K9" s="220" t="s">
        <v>78</v>
      </c>
      <c r="L9" s="220" t="s">
        <v>256</v>
      </c>
      <c r="M9" s="885" t="s">
        <v>78</v>
      </c>
      <c r="N9" s="885" t="s">
        <v>256</v>
      </c>
      <c r="O9" s="220"/>
      <c r="P9" s="220"/>
      <c r="Q9" s="220"/>
      <c r="R9" s="220"/>
      <c r="S9" s="976"/>
    </row>
    <row r="10" spans="1:19" ht="21.4" customHeight="1" x14ac:dyDescent="0.35">
      <c r="A10" s="97"/>
      <c r="B10" s="310" t="s">
        <v>257</v>
      </c>
      <c r="C10" s="313">
        <v>411</v>
      </c>
      <c r="D10" s="1129">
        <v>20.100000000000001</v>
      </c>
      <c r="E10" s="576">
        <v>1069</v>
      </c>
      <c r="F10" s="1138">
        <v>13.5</v>
      </c>
      <c r="G10" s="311">
        <v>1946</v>
      </c>
      <c r="H10" s="1137">
        <v>14.6</v>
      </c>
      <c r="I10" s="311">
        <v>1999</v>
      </c>
      <c r="J10" s="1137">
        <v>13.99</v>
      </c>
      <c r="K10" s="313">
        <v>1940</v>
      </c>
      <c r="L10" s="1139">
        <v>15.4</v>
      </c>
      <c r="M10" s="622">
        <v>1306</v>
      </c>
      <c r="N10" s="1117">
        <v>15.35</v>
      </c>
      <c r="O10" s="118"/>
      <c r="P10" s="118"/>
      <c r="Q10" s="118"/>
      <c r="R10" s="118"/>
      <c r="S10" s="1019" t="s">
        <v>258</v>
      </c>
    </row>
    <row r="11" spans="1:19" ht="21.4" customHeight="1" x14ac:dyDescent="0.35">
      <c r="A11" s="97"/>
      <c r="B11" s="312" t="s">
        <v>259</v>
      </c>
      <c r="C11" s="313">
        <v>374</v>
      </c>
      <c r="D11" s="1129"/>
      <c r="E11" s="577">
        <v>351</v>
      </c>
      <c r="F11" s="1138"/>
      <c r="G11" s="313">
        <v>476</v>
      </c>
      <c r="H11" s="1137"/>
      <c r="I11" s="313">
        <v>459</v>
      </c>
      <c r="J11" s="1137"/>
      <c r="K11" s="313">
        <v>434</v>
      </c>
      <c r="L11" s="1139"/>
      <c r="M11" s="622">
        <v>493</v>
      </c>
      <c r="N11" s="1117"/>
      <c r="O11" s="118"/>
      <c r="P11" s="118"/>
      <c r="Q11" s="118"/>
      <c r="R11" s="118"/>
      <c r="S11" s="1019"/>
    </row>
    <row r="12" spans="1:19" ht="21.4" customHeight="1" x14ac:dyDescent="0.35">
      <c r="A12" s="97"/>
      <c r="B12" s="312" t="s">
        <v>260</v>
      </c>
      <c r="C12" s="313">
        <v>1107</v>
      </c>
      <c r="D12" s="1129"/>
      <c r="E12" s="576">
        <v>856</v>
      </c>
      <c r="F12" s="1138"/>
      <c r="G12" s="313">
        <v>1031</v>
      </c>
      <c r="H12" s="1137"/>
      <c r="I12" s="313">
        <v>989</v>
      </c>
      <c r="J12" s="1137"/>
      <c r="K12" s="313">
        <v>943</v>
      </c>
      <c r="L12" s="1139"/>
      <c r="M12" s="622">
        <v>863</v>
      </c>
      <c r="N12" s="1117"/>
      <c r="O12" s="118"/>
      <c r="P12" s="118"/>
      <c r="Q12" s="118"/>
      <c r="R12" s="118"/>
      <c r="S12" s="1019"/>
    </row>
    <row r="13" spans="1:19" ht="21.4" customHeight="1" x14ac:dyDescent="0.35">
      <c r="A13" s="97"/>
      <c r="B13" s="314" t="s">
        <v>261</v>
      </c>
      <c r="C13" s="313">
        <v>1583</v>
      </c>
      <c r="D13" s="1129"/>
      <c r="E13" s="576">
        <v>1213</v>
      </c>
      <c r="F13" s="1138"/>
      <c r="G13" s="315">
        <v>2103</v>
      </c>
      <c r="H13" s="1137"/>
      <c r="I13" s="315">
        <v>2163</v>
      </c>
      <c r="J13" s="1137"/>
      <c r="K13" s="313">
        <v>2115</v>
      </c>
      <c r="L13" s="1139"/>
      <c r="M13" s="622">
        <v>2058</v>
      </c>
      <c r="N13" s="1117"/>
      <c r="O13" s="121"/>
      <c r="P13" s="121"/>
      <c r="Q13" s="121"/>
      <c r="R13" s="121"/>
      <c r="S13" s="1019"/>
    </row>
    <row r="14" spans="1:19" ht="21.4" customHeight="1" x14ac:dyDescent="0.35">
      <c r="A14" s="97"/>
      <c r="B14" s="312" t="s">
        <v>78</v>
      </c>
      <c r="C14" s="313">
        <f>SUM(C10:C13)</f>
        <v>3475</v>
      </c>
      <c r="D14" s="1129"/>
      <c r="E14" s="576">
        <f>SUM(E10:E13)</f>
        <v>3489</v>
      </c>
      <c r="F14" s="1138"/>
      <c r="G14" s="313">
        <f>SUM(G10:G13)</f>
        <v>5556</v>
      </c>
      <c r="H14" s="1137"/>
      <c r="I14" s="313">
        <f>SUM(I10:I13)</f>
        <v>5610</v>
      </c>
      <c r="J14" s="1137"/>
      <c r="K14" s="313">
        <f>SUM(K10:K13)</f>
        <v>5432</v>
      </c>
      <c r="L14" s="1139"/>
      <c r="M14" s="306">
        <f>(M10+M11+M12+M13+M15)</f>
        <v>4720</v>
      </c>
      <c r="N14" s="306"/>
      <c r="O14" s="121"/>
      <c r="P14" s="121"/>
      <c r="Q14" s="121"/>
      <c r="R14" s="121"/>
      <c r="S14" s="431"/>
    </row>
    <row r="15" spans="1:19" ht="21.4" customHeight="1" x14ac:dyDescent="0.35">
      <c r="A15" s="97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6"/>
      <c r="O15" s="155"/>
    </row>
    <row r="16" spans="1:19" ht="25.15" customHeight="1" x14ac:dyDescent="0.35">
      <c r="A16" s="97"/>
      <c r="B16" s="64" t="s">
        <v>262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spans="1:23" ht="21.4" customHeight="1" x14ac:dyDescent="0.35">
      <c r="A17" s="97"/>
      <c r="B17" s="129"/>
      <c r="C17" s="967">
        <v>2020</v>
      </c>
      <c r="D17" s="967"/>
      <c r="E17" s="967"/>
      <c r="F17" s="967"/>
      <c r="G17" s="1124">
        <v>2021</v>
      </c>
      <c r="H17" s="967"/>
      <c r="I17" s="967"/>
      <c r="J17" s="1130"/>
      <c r="K17" s="1124">
        <v>2022</v>
      </c>
      <c r="L17" s="967"/>
      <c r="M17" s="967"/>
      <c r="N17" s="1130"/>
      <c r="O17" s="1124">
        <v>2023</v>
      </c>
      <c r="P17" s="967"/>
      <c r="Q17" s="967"/>
      <c r="R17" s="1125"/>
      <c r="S17" s="967">
        <v>2024</v>
      </c>
      <c r="T17" s="967"/>
      <c r="U17" s="967"/>
      <c r="V17" s="1125"/>
      <c r="W17" s="1116" t="s">
        <v>41</v>
      </c>
    </row>
    <row r="18" spans="1:23" ht="21.4" customHeight="1" x14ac:dyDescent="0.35">
      <c r="A18" s="97"/>
      <c r="B18" s="318"/>
      <c r="C18" s="220" t="s">
        <v>207</v>
      </c>
      <c r="D18" s="220" t="s">
        <v>208</v>
      </c>
      <c r="E18" s="220" t="s">
        <v>78</v>
      </c>
      <c r="F18" s="221" t="s">
        <v>256</v>
      </c>
      <c r="G18" s="220" t="s">
        <v>207</v>
      </c>
      <c r="H18" s="220" t="s">
        <v>208</v>
      </c>
      <c r="I18" s="220" t="s">
        <v>78</v>
      </c>
      <c r="J18" s="221" t="s">
        <v>256</v>
      </c>
      <c r="K18" s="220" t="s">
        <v>207</v>
      </c>
      <c r="L18" s="220" t="s">
        <v>208</v>
      </c>
      <c r="M18" s="220" t="s">
        <v>78</v>
      </c>
      <c r="N18" s="578" t="s">
        <v>256</v>
      </c>
      <c r="O18" s="220" t="s">
        <v>207</v>
      </c>
      <c r="P18" s="220" t="s">
        <v>208</v>
      </c>
      <c r="Q18" s="220" t="s">
        <v>78</v>
      </c>
      <c r="R18" s="317" t="s">
        <v>256</v>
      </c>
      <c r="S18" s="220" t="s">
        <v>207</v>
      </c>
      <c r="T18" s="220" t="s">
        <v>208</v>
      </c>
      <c r="U18" s="220" t="s">
        <v>78</v>
      </c>
      <c r="V18" s="317" t="s">
        <v>256</v>
      </c>
      <c r="W18" s="1116"/>
    </row>
    <row r="19" spans="1:23" ht="21.4" customHeight="1" x14ac:dyDescent="0.35">
      <c r="A19" s="97"/>
      <c r="B19" s="260" t="s">
        <v>257</v>
      </c>
      <c r="C19" s="115">
        <v>307</v>
      </c>
      <c r="D19" s="115">
        <v>295</v>
      </c>
      <c r="E19" s="194">
        <v>602</v>
      </c>
      <c r="F19" s="1156">
        <v>8.59</v>
      </c>
      <c r="G19" s="115">
        <v>340</v>
      </c>
      <c r="H19" s="115">
        <v>304</v>
      </c>
      <c r="I19" s="194">
        <v>644</v>
      </c>
      <c r="J19" s="1156">
        <v>6.83</v>
      </c>
      <c r="K19" s="115">
        <v>306</v>
      </c>
      <c r="L19" s="115">
        <v>326</v>
      </c>
      <c r="M19" s="194">
        <v>632</v>
      </c>
      <c r="N19" s="1134">
        <v>7</v>
      </c>
      <c r="O19" s="115">
        <v>287</v>
      </c>
      <c r="P19" s="115">
        <v>322</v>
      </c>
      <c r="Q19" s="194">
        <f>P19+O19</f>
        <v>609</v>
      </c>
      <c r="R19" s="1121">
        <v>6.45</v>
      </c>
      <c r="S19" s="622">
        <v>280</v>
      </c>
      <c r="T19" s="622">
        <v>315</v>
      </c>
      <c r="U19" s="622">
        <v>595</v>
      </c>
      <c r="V19" s="617"/>
      <c r="W19" s="1019" t="s">
        <v>258</v>
      </c>
    </row>
    <row r="20" spans="1:23" ht="21.4" customHeight="1" x14ac:dyDescent="0.35">
      <c r="A20" s="97"/>
      <c r="B20" s="266" t="s">
        <v>259</v>
      </c>
      <c r="C20" s="117">
        <v>173</v>
      </c>
      <c r="D20" s="117">
        <v>142</v>
      </c>
      <c r="E20" s="203">
        <v>315</v>
      </c>
      <c r="F20" s="1157"/>
      <c r="G20" s="117">
        <v>115</v>
      </c>
      <c r="H20" s="117">
        <v>108</v>
      </c>
      <c r="I20" s="203">
        <v>223</v>
      </c>
      <c r="J20" s="1157"/>
      <c r="K20" s="117">
        <v>115</v>
      </c>
      <c r="L20" s="117">
        <v>89</v>
      </c>
      <c r="M20" s="203">
        <v>204</v>
      </c>
      <c r="N20" s="1135"/>
      <c r="O20" s="117">
        <v>121</v>
      </c>
      <c r="P20" s="117">
        <v>102</v>
      </c>
      <c r="Q20" s="203">
        <f>P20+O20</f>
        <v>223</v>
      </c>
      <c r="R20" s="1122"/>
      <c r="S20" s="622">
        <v>109</v>
      </c>
      <c r="T20" s="622">
        <v>89</v>
      </c>
      <c r="U20" s="622">
        <v>198</v>
      </c>
      <c r="V20" s="617"/>
      <c r="W20" s="1019"/>
    </row>
    <row r="21" spans="1:23" ht="21.4" customHeight="1" x14ac:dyDescent="0.35">
      <c r="A21" s="97"/>
      <c r="B21" s="266" t="s">
        <v>260</v>
      </c>
      <c r="C21" s="117">
        <v>121</v>
      </c>
      <c r="D21" s="117">
        <v>172</v>
      </c>
      <c r="E21" s="203">
        <v>293</v>
      </c>
      <c r="F21" s="1157"/>
      <c r="G21" s="117">
        <v>86</v>
      </c>
      <c r="H21" s="117">
        <v>157</v>
      </c>
      <c r="I21" s="203">
        <v>243</v>
      </c>
      <c r="J21" s="1157"/>
      <c r="K21" s="117">
        <v>80</v>
      </c>
      <c r="L21" s="117">
        <v>142</v>
      </c>
      <c r="M21" s="203">
        <v>222</v>
      </c>
      <c r="N21" s="1135"/>
      <c r="O21" s="117">
        <v>95</v>
      </c>
      <c r="P21" s="117">
        <v>154</v>
      </c>
      <c r="Q21" s="203">
        <f>P21+O21</f>
        <v>249</v>
      </c>
      <c r="R21" s="1122"/>
      <c r="S21" s="622">
        <v>91</v>
      </c>
      <c r="T21" s="622">
        <v>145</v>
      </c>
      <c r="U21" s="622">
        <v>236</v>
      </c>
      <c r="V21" s="622">
        <v>7.11</v>
      </c>
      <c r="W21" s="1019"/>
    </row>
    <row r="22" spans="1:23" ht="21.4" customHeight="1" x14ac:dyDescent="0.35">
      <c r="A22" s="97"/>
      <c r="B22" s="266" t="s">
        <v>263</v>
      </c>
      <c r="C22" s="117">
        <v>35</v>
      </c>
      <c r="D22" s="117">
        <v>45</v>
      </c>
      <c r="E22" s="203">
        <v>80</v>
      </c>
      <c r="F22" s="1157"/>
      <c r="G22" s="117">
        <v>14</v>
      </c>
      <c r="H22" s="117">
        <v>14</v>
      </c>
      <c r="I22" s="203">
        <v>28</v>
      </c>
      <c r="J22" s="1157"/>
      <c r="K22" s="117">
        <v>25</v>
      </c>
      <c r="L22" s="117">
        <v>32</v>
      </c>
      <c r="M22" s="203">
        <v>57</v>
      </c>
      <c r="N22" s="1135"/>
      <c r="O22" s="117">
        <v>30</v>
      </c>
      <c r="P22" s="117">
        <v>44</v>
      </c>
      <c r="Q22" s="203">
        <f>P22+O22</f>
        <v>74</v>
      </c>
      <c r="R22" s="1122"/>
      <c r="S22" s="622">
        <v>30</v>
      </c>
      <c r="T22" s="622">
        <v>47</v>
      </c>
      <c r="U22" s="622">
        <v>77</v>
      </c>
      <c r="V22" s="617"/>
      <c r="W22" s="1019"/>
    </row>
    <row r="23" spans="1:23" ht="21.4" customHeight="1" x14ac:dyDescent="0.35">
      <c r="A23" s="97"/>
      <c r="B23" s="274" t="s">
        <v>78</v>
      </c>
      <c r="C23" s="316">
        <v>636</v>
      </c>
      <c r="D23" s="316">
        <v>654</v>
      </c>
      <c r="E23" s="316">
        <v>1290</v>
      </c>
      <c r="F23" s="1158"/>
      <c r="G23" s="316">
        <f>SUM(G19:G22)</f>
        <v>555</v>
      </c>
      <c r="H23" s="316">
        <f>SUM(H19:H22)</f>
        <v>583</v>
      </c>
      <c r="I23" s="316">
        <f>SUM(I19:I22)</f>
        <v>1138</v>
      </c>
      <c r="J23" s="1158"/>
      <c r="K23" s="316">
        <f>SUM(K19:K22)</f>
        <v>526</v>
      </c>
      <c r="L23" s="316">
        <f>SUM(L19:L22)</f>
        <v>589</v>
      </c>
      <c r="M23" s="316">
        <f>SUM(M19:M22)</f>
        <v>1115</v>
      </c>
      <c r="N23" s="1136"/>
      <c r="O23" s="316">
        <f>SUM(O19:O22)</f>
        <v>533</v>
      </c>
      <c r="P23" s="316">
        <f>SUM(P19:P22)</f>
        <v>622</v>
      </c>
      <c r="Q23" s="316">
        <f>SUM(Q19:Q22)</f>
        <v>1155</v>
      </c>
      <c r="R23" s="1123"/>
      <c r="S23" s="622"/>
      <c r="T23" s="617"/>
      <c r="U23" s="617"/>
      <c r="V23" s="617"/>
      <c r="W23" s="431"/>
    </row>
    <row r="24" spans="1:23" ht="21.4" customHeight="1" x14ac:dyDescent="0.35">
      <c r="A24" s="97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</row>
    <row r="25" spans="1:23" ht="25.15" customHeight="1" x14ac:dyDescent="0.35">
      <c r="A25" s="97"/>
      <c r="B25" s="64" t="s">
        <v>264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1:23" ht="21.4" customHeight="1" x14ac:dyDescent="0.35">
      <c r="A26" s="97"/>
      <c r="B26" s="129"/>
      <c r="C26" s="967">
        <v>2020</v>
      </c>
      <c r="D26" s="967"/>
      <c r="E26" s="967"/>
      <c r="F26" s="969"/>
      <c r="G26" s="967">
        <v>2021</v>
      </c>
      <c r="H26" s="967"/>
      <c r="I26" s="967"/>
      <c r="J26" s="969"/>
      <c r="K26" s="967">
        <v>2022</v>
      </c>
      <c r="L26" s="967"/>
      <c r="M26" s="967"/>
      <c r="N26" s="1130"/>
      <c r="O26" s="967">
        <v>2023</v>
      </c>
      <c r="P26" s="967"/>
      <c r="Q26" s="967"/>
      <c r="R26" s="1125"/>
      <c r="S26" s="967">
        <v>2024</v>
      </c>
      <c r="T26" s="967"/>
      <c r="U26" s="967"/>
      <c r="V26" s="1125"/>
      <c r="W26" s="976" t="s">
        <v>41</v>
      </c>
    </row>
    <row r="27" spans="1:23" ht="21.4" customHeight="1" x14ac:dyDescent="0.35">
      <c r="A27" s="97"/>
      <c r="B27" s="318"/>
      <c r="C27" s="220" t="s">
        <v>207</v>
      </c>
      <c r="D27" s="220" t="s">
        <v>208</v>
      </c>
      <c r="E27" s="220" t="s">
        <v>78</v>
      </c>
      <c r="F27" s="221" t="s">
        <v>256</v>
      </c>
      <c r="G27" s="220" t="s">
        <v>207</v>
      </c>
      <c r="H27" s="220" t="s">
        <v>208</v>
      </c>
      <c r="I27" s="220" t="s">
        <v>78</v>
      </c>
      <c r="J27" s="221" t="s">
        <v>256</v>
      </c>
      <c r="K27" s="220" t="s">
        <v>207</v>
      </c>
      <c r="L27" s="220" t="s">
        <v>208</v>
      </c>
      <c r="M27" s="220" t="s">
        <v>78</v>
      </c>
      <c r="N27" s="578" t="s">
        <v>256</v>
      </c>
      <c r="O27" s="220" t="s">
        <v>207</v>
      </c>
      <c r="P27" s="220" t="s">
        <v>208</v>
      </c>
      <c r="Q27" s="220" t="s">
        <v>78</v>
      </c>
      <c r="R27" s="317" t="s">
        <v>256</v>
      </c>
      <c r="S27" s="220" t="s">
        <v>207</v>
      </c>
      <c r="T27" s="220" t="s">
        <v>208</v>
      </c>
      <c r="U27" s="220" t="s">
        <v>78</v>
      </c>
      <c r="V27" s="317" t="s">
        <v>256</v>
      </c>
      <c r="W27" s="976"/>
    </row>
    <row r="28" spans="1:23" ht="21.4" customHeight="1" x14ac:dyDescent="0.35">
      <c r="A28" s="97"/>
      <c r="B28" s="260" t="s">
        <v>257</v>
      </c>
      <c r="C28" s="27">
        <v>294</v>
      </c>
      <c r="D28" s="27">
        <v>318</v>
      </c>
      <c r="E28" s="27">
        <f>D28+C28</f>
        <v>612</v>
      </c>
      <c r="F28" s="1150">
        <v>10.4</v>
      </c>
      <c r="G28" s="518">
        <v>277</v>
      </c>
      <c r="H28" s="518">
        <v>290</v>
      </c>
      <c r="I28" s="227">
        <f>G28+H28</f>
        <v>567</v>
      </c>
      <c r="J28" s="1153">
        <v>11</v>
      </c>
      <c r="K28" s="518">
        <v>271</v>
      </c>
      <c r="L28" s="518">
        <v>279</v>
      </c>
      <c r="M28" s="227">
        <f>SUM(K28:L28)</f>
        <v>550</v>
      </c>
      <c r="N28" s="1147">
        <v>11.4</v>
      </c>
      <c r="O28" s="518">
        <v>265</v>
      </c>
      <c r="P28" s="518">
        <v>285</v>
      </c>
      <c r="Q28" s="227">
        <f>P28+O28</f>
        <v>550</v>
      </c>
      <c r="R28" s="1118">
        <v>11.6</v>
      </c>
      <c r="S28" s="622">
        <v>271</v>
      </c>
      <c r="T28" s="622">
        <v>307</v>
      </c>
      <c r="U28" s="622">
        <f>T28+S28</f>
        <v>578</v>
      </c>
      <c r="V28" s="1143">
        <v>11.9</v>
      </c>
      <c r="W28" s="1019" t="s">
        <v>258</v>
      </c>
    </row>
    <row r="29" spans="1:23" ht="21.4" customHeight="1" x14ac:dyDescent="0.35">
      <c r="A29" s="97"/>
      <c r="B29" s="266" t="s">
        <v>259</v>
      </c>
      <c r="C29" s="30">
        <v>227</v>
      </c>
      <c r="D29" s="30">
        <v>156</v>
      </c>
      <c r="E29" s="30">
        <f>D29+C29</f>
        <v>383</v>
      </c>
      <c r="F29" s="1151"/>
      <c r="G29" s="519">
        <v>194</v>
      </c>
      <c r="H29" s="519">
        <v>135</v>
      </c>
      <c r="I29" s="232">
        <f>G29+H29</f>
        <v>329</v>
      </c>
      <c r="J29" s="1154"/>
      <c r="K29" s="519">
        <v>168</v>
      </c>
      <c r="L29" s="519">
        <v>108</v>
      </c>
      <c r="M29" s="232">
        <f>SUM(K29:L29)</f>
        <v>276</v>
      </c>
      <c r="N29" s="1148"/>
      <c r="O29" s="519">
        <v>145</v>
      </c>
      <c r="P29" s="519">
        <v>115</v>
      </c>
      <c r="Q29" s="227">
        <f t="shared" ref="Q29:Q31" si="0">P29+O29</f>
        <v>260</v>
      </c>
      <c r="R29" s="1119"/>
      <c r="S29" s="622">
        <v>119</v>
      </c>
      <c r="T29" s="622">
        <v>105</v>
      </c>
      <c r="U29" s="622">
        <f>SUM(S29:T29)</f>
        <v>224</v>
      </c>
      <c r="V29" s="1144"/>
      <c r="W29" s="1019"/>
    </row>
    <row r="30" spans="1:23" ht="21.4" customHeight="1" x14ac:dyDescent="0.35">
      <c r="A30" s="97"/>
      <c r="B30" s="266" t="s">
        <v>260</v>
      </c>
      <c r="C30" s="30">
        <v>336</v>
      </c>
      <c r="D30" s="30">
        <v>382</v>
      </c>
      <c r="E30" s="30">
        <f>D30+C30</f>
        <v>718</v>
      </c>
      <c r="F30" s="1151"/>
      <c r="G30" s="519">
        <v>306</v>
      </c>
      <c r="H30" s="519">
        <v>357</v>
      </c>
      <c r="I30" s="232">
        <f>G30+H30</f>
        <v>663</v>
      </c>
      <c r="J30" s="1154"/>
      <c r="K30" s="519">
        <v>298</v>
      </c>
      <c r="L30" s="519">
        <v>333</v>
      </c>
      <c r="M30" s="232">
        <f>SUM(K30:L30)</f>
        <v>631</v>
      </c>
      <c r="N30" s="1148"/>
      <c r="O30" s="519">
        <v>284</v>
      </c>
      <c r="P30" s="519">
        <v>267</v>
      </c>
      <c r="Q30" s="227">
        <f t="shared" si="0"/>
        <v>551</v>
      </c>
      <c r="R30" s="1119"/>
      <c r="S30" s="622">
        <v>272</v>
      </c>
      <c r="T30" s="622">
        <v>250</v>
      </c>
      <c r="U30" s="622">
        <f>T30+S30</f>
        <v>522</v>
      </c>
      <c r="V30" s="1144"/>
      <c r="W30" s="1019"/>
    </row>
    <row r="31" spans="1:23" ht="21.4" customHeight="1" x14ac:dyDescent="0.35">
      <c r="A31" s="97"/>
      <c r="B31" s="266" t="s">
        <v>263</v>
      </c>
      <c r="C31" s="30">
        <v>72</v>
      </c>
      <c r="D31" s="30">
        <v>115</v>
      </c>
      <c r="E31" s="30">
        <f>D31+C31</f>
        <v>187</v>
      </c>
      <c r="F31" s="1151"/>
      <c r="G31" s="519">
        <v>80</v>
      </c>
      <c r="H31" s="519">
        <v>129</v>
      </c>
      <c r="I31" s="232">
        <f>G31+H31</f>
        <v>209</v>
      </c>
      <c r="J31" s="1154"/>
      <c r="K31" s="519">
        <v>95</v>
      </c>
      <c r="L31" s="519">
        <v>152</v>
      </c>
      <c r="M31" s="232">
        <f>SUM(K31:L31)</f>
        <v>247</v>
      </c>
      <c r="N31" s="1148"/>
      <c r="O31" s="519">
        <v>114</v>
      </c>
      <c r="P31" s="519">
        <v>209</v>
      </c>
      <c r="Q31" s="227">
        <f t="shared" si="0"/>
        <v>323</v>
      </c>
      <c r="R31" s="1119"/>
      <c r="S31" s="622">
        <v>125</v>
      </c>
      <c r="T31" s="622">
        <v>223</v>
      </c>
      <c r="U31" s="622">
        <f>T31+S31</f>
        <v>348</v>
      </c>
      <c r="V31" s="1144"/>
      <c r="W31" s="1019"/>
    </row>
    <row r="32" spans="1:23" ht="21.4" customHeight="1" x14ac:dyDescent="0.35">
      <c r="A32" s="97"/>
      <c r="B32" s="274" t="s">
        <v>78</v>
      </c>
      <c r="C32" s="32">
        <f>C28+C29+C30+C31</f>
        <v>929</v>
      </c>
      <c r="D32" s="32">
        <f>D28+D29+D30+D31</f>
        <v>971</v>
      </c>
      <c r="E32" s="513">
        <f>D32+C32</f>
        <v>1900</v>
      </c>
      <c r="F32" s="1152"/>
      <c r="G32" s="520">
        <f>SUM(G28:G31)</f>
        <v>857</v>
      </c>
      <c r="H32" s="520">
        <f>SUM(H28:H31)</f>
        <v>911</v>
      </c>
      <c r="I32" s="520">
        <f>SUM(I28:I31)</f>
        <v>1768</v>
      </c>
      <c r="J32" s="1155"/>
      <c r="K32" s="520">
        <f>SUM(K28:K31)</f>
        <v>832</v>
      </c>
      <c r="L32" s="520">
        <f>SUM(L28:L31)</f>
        <v>872</v>
      </c>
      <c r="M32" s="520">
        <f>SUM(M28:M31)</f>
        <v>1704</v>
      </c>
      <c r="N32" s="1149"/>
      <c r="O32" s="520">
        <f>SUM(O28:O31)</f>
        <v>808</v>
      </c>
      <c r="P32" s="520">
        <f>SUM(P28:P31)</f>
        <v>876</v>
      </c>
      <c r="Q32" s="227">
        <f>P32+O32</f>
        <v>1684</v>
      </c>
      <c r="R32" s="1120"/>
      <c r="S32" s="622">
        <f>SUM(S28:S31)</f>
        <v>787</v>
      </c>
      <c r="T32" s="622">
        <f>SUM(T28:T31)</f>
        <v>885</v>
      </c>
      <c r="U32" s="622">
        <f>SUM(U28:U31)</f>
        <v>1672</v>
      </c>
      <c r="V32" s="1145"/>
      <c r="W32" s="431"/>
    </row>
    <row r="33" spans="1:23" ht="21.4" customHeight="1" x14ac:dyDescent="0.35">
      <c r="A33" s="97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</row>
    <row r="34" spans="1:23" ht="25.15" customHeight="1" x14ac:dyDescent="0.35">
      <c r="A34" s="97"/>
      <c r="B34" s="64" t="s">
        <v>265</v>
      </c>
      <c r="C34" s="64"/>
      <c r="D34" s="64"/>
      <c r="E34" s="64"/>
      <c r="F34" s="503"/>
      <c r="G34" s="503"/>
      <c r="H34" s="503"/>
      <c r="I34" s="503"/>
      <c r="J34" s="503"/>
      <c r="K34" s="503"/>
      <c r="L34" s="503"/>
      <c r="M34" s="64"/>
      <c r="N34" s="503"/>
      <c r="O34"/>
    </row>
    <row r="35" spans="1:23" ht="21.4" customHeight="1" x14ac:dyDescent="0.35">
      <c r="A35" s="97"/>
      <c r="B35" s="129"/>
      <c r="C35" s="967">
        <v>2020</v>
      </c>
      <c r="D35" s="967"/>
      <c r="E35" s="967"/>
      <c r="F35" s="967"/>
      <c r="G35" s="968">
        <v>2021</v>
      </c>
      <c r="H35" s="967"/>
      <c r="I35" s="967"/>
      <c r="J35" s="969"/>
      <c r="K35" s="967">
        <v>2022</v>
      </c>
      <c r="L35" s="967"/>
      <c r="M35" s="967"/>
      <c r="N35" s="1130"/>
      <c r="O35" s="967">
        <v>2023</v>
      </c>
      <c r="P35" s="967"/>
      <c r="Q35" s="967"/>
      <c r="R35" s="967"/>
      <c r="S35" s="1146">
        <v>2024</v>
      </c>
      <c r="T35" s="967"/>
      <c r="U35" s="967"/>
      <c r="V35" s="1125"/>
      <c r="W35" s="976" t="s">
        <v>41</v>
      </c>
    </row>
    <row r="36" spans="1:23" ht="21.4" customHeight="1" x14ac:dyDescent="0.35">
      <c r="A36" s="97"/>
      <c r="B36" s="319"/>
      <c r="C36" s="220" t="s">
        <v>207</v>
      </c>
      <c r="D36" s="220" t="s">
        <v>208</v>
      </c>
      <c r="E36" s="220" t="s">
        <v>78</v>
      </c>
      <c r="F36" s="221" t="s">
        <v>256</v>
      </c>
      <c r="G36" s="220" t="s">
        <v>207</v>
      </c>
      <c r="H36" s="220" t="s">
        <v>208</v>
      </c>
      <c r="I36" s="220" t="s">
        <v>78</v>
      </c>
      <c r="J36" s="221" t="s">
        <v>256</v>
      </c>
      <c r="K36" s="220" t="s">
        <v>207</v>
      </c>
      <c r="L36" s="220" t="s">
        <v>208</v>
      </c>
      <c r="M36" s="220" t="s">
        <v>78</v>
      </c>
      <c r="N36" s="578" t="s">
        <v>256</v>
      </c>
      <c r="O36" s="220" t="s">
        <v>207</v>
      </c>
      <c r="P36" s="220" t="s">
        <v>208</v>
      </c>
      <c r="Q36" s="220" t="s">
        <v>78</v>
      </c>
      <c r="R36" s="220" t="s">
        <v>256</v>
      </c>
      <c r="S36" s="887" t="s">
        <v>207</v>
      </c>
      <c r="T36" s="220" t="s">
        <v>208</v>
      </c>
      <c r="U36" s="220" t="s">
        <v>78</v>
      </c>
      <c r="V36" s="317" t="s">
        <v>256</v>
      </c>
      <c r="W36" s="976"/>
    </row>
    <row r="37" spans="1:23" ht="21.4" customHeight="1" x14ac:dyDescent="0.35">
      <c r="A37" s="97"/>
      <c r="B37" s="260" t="s">
        <v>257</v>
      </c>
      <c r="C37" s="194" t="s">
        <v>64</v>
      </c>
      <c r="D37" s="194" t="s">
        <v>64</v>
      </c>
      <c r="E37" s="194" t="s">
        <v>64</v>
      </c>
      <c r="F37" s="1126" t="s">
        <v>64</v>
      </c>
      <c r="G37" s="194" t="s">
        <v>64</v>
      </c>
      <c r="H37" s="194" t="s">
        <v>64</v>
      </c>
      <c r="I37" s="194" t="s">
        <v>64</v>
      </c>
      <c r="J37" s="1126" t="s">
        <v>64</v>
      </c>
      <c r="K37" s="115">
        <v>142</v>
      </c>
      <c r="L37" s="115">
        <v>210</v>
      </c>
      <c r="M37" s="194">
        <v>352</v>
      </c>
      <c r="N37" s="1131" t="s">
        <v>64</v>
      </c>
      <c r="O37" s="115">
        <v>84</v>
      </c>
      <c r="P37" s="115">
        <v>164</v>
      </c>
      <c r="Q37" s="194">
        <v>248</v>
      </c>
      <c r="R37" s="1140">
        <v>10.5</v>
      </c>
      <c r="S37" s="888">
        <v>65</v>
      </c>
      <c r="T37" s="617">
        <v>109</v>
      </c>
      <c r="U37" s="617">
        <f>SUM(S37:T37)</f>
        <v>174</v>
      </c>
      <c r="V37" s="886">
        <f>U37/U41</f>
        <v>0.29145728643216079</v>
      </c>
      <c r="W37" s="1019" t="s">
        <v>258</v>
      </c>
    </row>
    <row r="38" spans="1:23" ht="21.4" customHeight="1" x14ac:dyDescent="0.35">
      <c r="A38" s="97"/>
      <c r="B38" s="266" t="s">
        <v>259</v>
      </c>
      <c r="C38" s="194" t="s">
        <v>64</v>
      </c>
      <c r="D38" s="194" t="s">
        <v>64</v>
      </c>
      <c r="E38" s="194" t="s">
        <v>64</v>
      </c>
      <c r="F38" s="1127"/>
      <c r="G38" s="194" t="s">
        <v>64</v>
      </c>
      <c r="H38" s="194" t="s">
        <v>64</v>
      </c>
      <c r="I38" s="194" t="s">
        <v>64</v>
      </c>
      <c r="J38" s="1127"/>
      <c r="K38" s="117">
        <v>95</v>
      </c>
      <c r="L38" s="117">
        <v>120</v>
      </c>
      <c r="M38" s="203">
        <v>215</v>
      </c>
      <c r="N38" s="1132"/>
      <c r="O38" s="117">
        <v>50</v>
      </c>
      <c r="P38" s="117">
        <v>101</v>
      </c>
      <c r="Q38" s="203">
        <v>151</v>
      </c>
      <c r="R38" s="1141"/>
      <c r="S38" s="888">
        <v>40</v>
      </c>
      <c r="T38" s="617">
        <v>56</v>
      </c>
      <c r="U38" s="617">
        <f t="shared" ref="U38:U40" si="1">SUM(S38:T38)</f>
        <v>96</v>
      </c>
      <c r="V38" s="886">
        <f>U38/U41</f>
        <v>0.16080402010050251</v>
      </c>
      <c r="W38" s="1019"/>
    </row>
    <row r="39" spans="1:23" ht="21.4" customHeight="1" x14ac:dyDescent="0.35">
      <c r="A39" s="97"/>
      <c r="B39" s="266" t="s">
        <v>260</v>
      </c>
      <c r="C39" s="194" t="s">
        <v>64</v>
      </c>
      <c r="D39" s="194" t="s">
        <v>64</v>
      </c>
      <c r="E39" s="194" t="s">
        <v>64</v>
      </c>
      <c r="F39" s="1127"/>
      <c r="G39" s="194" t="s">
        <v>64</v>
      </c>
      <c r="H39" s="194" t="s">
        <v>64</v>
      </c>
      <c r="I39" s="194" t="s">
        <v>64</v>
      </c>
      <c r="J39" s="1127"/>
      <c r="K39" s="117">
        <v>123</v>
      </c>
      <c r="L39" s="117">
        <v>173</v>
      </c>
      <c r="M39" s="203">
        <v>296</v>
      </c>
      <c r="N39" s="1132"/>
      <c r="O39" s="117">
        <v>93</v>
      </c>
      <c r="P39" s="117">
        <v>119</v>
      </c>
      <c r="Q39" s="203">
        <v>212</v>
      </c>
      <c r="R39" s="1141"/>
      <c r="S39" s="888">
        <v>32</v>
      </c>
      <c r="T39" s="617">
        <v>96</v>
      </c>
      <c r="U39" s="617">
        <f t="shared" si="1"/>
        <v>128</v>
      </c>
      <c r="V39" s="886">
        <f>U39/U41</f>
        <v>0.21440536013400335</v>
      </c>
      <c r="W39" s="1019"/>
    </row>
    <row r="40" spans="1:23" ht="21.4" customHeight="1" x14ac:dyDescent="0.35">
      <c r="A40" s="97"/>
      <c r="B40" s="266" t="s">
        <v>263</v>
      </c>
      <c r="C40" s="194" t="s">
        <v>64</v>
      </c>
      <c r="D40" s="194" t="s">
        <v>64</v>
      </c>
      <c r="E40" s="194" t="s">
        <v>64</v>
      </c>
      <c r="F40" s="1127"/>
      <c r="G40" s="194" t="s">
        <v>64</v>
      </c>
      <c r="H40" s="194" t="s">
        <v>64</v>
      </c>
      <c r="I40" s="194" t="s">
        <v>64</v>
      </c>
      <c r="J40" s="1127"/>
      <c r="K40" s="117">
        <v>29</v>
      </c>
      <c r="L40" s="117">
        <v>58</v>
      </c>
      <c r="M40" s="203">
        <v>87</v>
      </c>
      <c r="N40" s="1132"/>
      <c r="O40" s="117">
        <v>30</v>
      </c>
      <c r="P40" s="117">
        <v>62</v>
      </c>
      <c r="Q40" s="203">
        <v>92</v>
      </c>
      <c r="R40" s="1141"/>
      <c r="S40" s="888">
        <v>83</v>
      </c>
      <c r="T40" s="617">
        <v>116</v>
      </c>
      <c r="U40" s="617">
        <f t="shared" si="1"/>
        <v>199</v>
      </c>
      <c r="V40" s="886">
        <f>U40/U41</f>
        <v>0.33333333333333331</v>
      </c>
      <c r="W40" s="1019"/>
    </row>
    <row r="41" spans="1:23" ht="21.4" customHeight="1" x14ac:dyDescent="0.35">
      <c r="A41" s="97"/>
      <c r="B41" s="274" t="s">
        <v>78</v>
      </c>
      <c r="C41" s="194" t="s">
        <v>64</v>
      </c>
      <c r="D41" s="194" t="s">
        <v>64</v>
      </c>
      <c r="E41" s="194" t="s">
        <v>64</v>
      </c>
      <c r="F41" s="1128"/>
      <c r="G41" s="194" t="s">
        <v>64</v>
      </c>
      <c r="H41" s="194" t="s">
        <v>64</v>
      </c>
      <c r="I41" s="194" t="s">
        <v>64</v>
      </c>
      <c r="J41" s="1128"/>
      <c r="K41" s="316">
        <v>389</v>
      </c>
      <c r="L41" s="316">
        <v>561</v>
      </c>
      <c r="M41" s="316">
        <v>950</v>
      </c>
      <c r="N41" s="1133"/>
      <c r="O41" s="316">
        <v>257</v>
      </c>
      <c r="P41" s="316">
        <v>446</v>
      </c>
      <c r="Q41" s="316">
        <v>703</v>
      </c>
      <c r="R41" s="1142"/>
      <c r="S41" s="888">
        <f>SUM(S37:S40)</f>
        <v>220</v>
      </c>
      <c r="T41" s="617">
        <f>SUM(T37:T40)</f>
        <v>377</v>
      </c>
      <c r="U41" s="617">
        <f>SUM(U37:U40)</f>
        <v>597</v>
      </c>
      <c r="V41" s="886">
        <f>SUM(V37:V40)</f>
        <v>1</v>
      </c>
      <c r="W41" s="431"/>
    </row>
    <row r="42" spans="1:23" x14ac:dyDescent="0.35">
      <c r="C42" s="194" t="s">
        <v>64</v>
      </c>
      <c r="D42" s="194" t="s">
        <v>64</v>
      </c>
      <c r="E42" s="194" t="s">
        <v>64</v>
      </c>
      <c r="G42" s="194" t="s">
        <v>64</v>
      </c>
      <c r="H42" s="194" t="s">
        <v>64</v>
      </c>
      <c r="I42" s="194" t="s">
        <v>64</v>
      </c>
    </row>
    <row r="44" spans="1:23" x14ac:dyDescent="0.35">
      <c r="M44"/>
      <c r="N44"/>
      <c r="O44"/>
    </row>
    <row r="45" spans="1:23" x14ac:dyDescent="0.35">
      <c r="M45"/>
      <c r="N45"/>
      <c r="O45"/>
    </row>
  </sheetData>
  <mergeCells count="48">
    <mergeCell ref="E8:F8"/>
    <mergeCell ref="C8:D8"/>
    <mergeCell ref="C17:F17"/>
    <mergeCell ref="N28:N32"/>
    <mergeCell ref="C26:F26"/>
    <mergeCell ref="G26:J26"/>
    <mergeCell ref="F28:F32"/>
    <mergeCell ref="J28:J32"/>
    <mergeCell ref="G8:H8"/>
    <mergeCell ref="F19:F23"/>
    <mergeCell ref="K17:N17"/>
    <mergeCell ref="K26:N26"/>
    <mergeCell ref="J19:J23"/>
    <mergeCell ref="G17:J17"/>
    <mergeCell ref="R37:R41"/>
    <mergeCell ref="W35:W36"/>
    <mergeCell ref="W37:W40"/>
    <mergeCell ref="V28:V32"/>
    <mergeCell ref="O26:R26"/>
    <mergeCell ref="S26:V26"/>
    <mergeCell ref="S35:V35"/>
    <mergeCell ref="F37:F41"/>
    <mergeCell ref="G35:J35"/>
    <mergeCell ref="D10:D14"/>
    <mergeCell ref="K35:N35"/>
    <mergeCell ref="J37:J41"/>
    <mergeCell ref="N37:N41"/>
    <mergeCell ref="N19:N23"/>
    <mergeCell ref="H10:H14"/>
    <mergeCell ref="J10:J14"/>
    <mergeCell ref="F10:F14"/>
    <mergeCell ref="L10:L14"/>
    <mergeCell ref="W17:W18"/>
    <mergeCell ref="W19:W22"/>
    <mergeCell ref="M8:N8"/>
    <mergeCell ref="N10:N13"/>
    <mergeCell ref="C35:F35"/>
    <mergeCell ref="W28:W31"/>
    <mergeCell ref="O35:R35"/>
    <mergeCell ref="R28:R32"/>
    <mergeCell ref="W26:W27"/>
    <mergeCell ref="R19:R23"/>
    <mergeCell ref="O17:R17"/>
    <mergeCell ref="S17:V17"/>
    <mergeCell ref="S8:S9"/>
    <mergeCell ref="S10:S13"/>
    <mergeCell ref="I8:J8"/>
    <mergeCell ref="K8:L8"/>
  </mergeCells>
  <pageMargins left="0.7" right="0.7" top="0.75" bottom="0.75" header="0.3" footer="0.3"/>
  <pageSetup paperSize="9" orientation="portrait" r:id="rId1"/>
  <headerFooter scaleWithDoc="0"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Z65"/>
  <sheetViews>
    <sheetView showGridLines="0" rightToLeft="1" workbookViewId="0">
      <selection activeCell="A12" sqref="A12"/>
    </sheetView>
  </sheetViews>
  <sheetFormatPr defaultColWidth="9.26953125" defaultRowHeight="14.5" x14ac:dyDescent="0.35"/>
  <cols>
    <col min="1" max="1" width="3.7265625" customWidth="1"/>
    <col min="2" max="4" width="12.7265625" customWidth="1"/>
    <col min="5" max="5" width="18.26953125" customWidth="1"/>
    <col min="6" max="16" width="12.7265625" customWidth="1"/>
    <col min="18" max="18" width="11.7265625" customWidth="1"/>
    <col min="22" max="22" width="18.54296875" customWidth="1"/>
    <col min="24" max="24" width="12" customWidth="1"/>
    <col min="25" max="25" width="12.1796875" customWidth="1"/>
  </cols>
  <sheetData>
    <row r="1" spans="2:26" ht="15" customHeight="1" x14ac:dyDescent="0.35"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2:26" ht="15" customHeight="1" x14ac:dyDescent="0.35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26" ht="15" customHeight="1" x14ac:dyDescent="0.35"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2:26" ht="15" customHeight="1" x14ac:dyDescent="0.35">
      <c r="B4" s="38"/>
      <c r="C4" s="38"/>
      <c r="D4" s="38"/>
      <c r="E4" s="38"/>
      <c r="F4" s="38"/>
      <c r="G4" s="38"/>
      <c r="H4" s="38"/>
      <c r="I4" s="38"/>
      <c r="J4" s="38"/>
      <c r="K4" s="38"/>
      <c r="N4" s="17"/>
      <c r="O4" s="17"/>
    </row>
    <row r="5" spans="2:26" ht="25.15" customHeight="1" thickBot="1" x14ac:dyDescent="0.4">
      <c r="B5" s="39" t="s">
        <v>19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2:26" ht="15" customHeight="1" thickTop="1" x14ac:dyDescent="0.35">
      <c r="B6" s="41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2:26" ht="25.15" customHeight="1" x14ac:dyDescent="0.35">
      <c r="B7" s="64" t="s">
        <v>266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2:26" s="51" customFormat="1" ht="22.9" customHeight="1" x14ac:dyDescent="0.35">
      <c r="B8" s="138"/>
      <c r="C8" s="112">
        <v>2021</v>
      </c>
      <c r="D8" s="112"/>
      <c r="E8" s="507"/>
      <c r="F8" s="1193" t="s">
        <v>267</v>
      </c>
      <c r="G8" s="112">
        <v>2022</v>
      </c>
      <c r="H8" s="112"/>
      <c r="I8" s="507"/>
      <c r="J8" s="1193" t="s">
        <v>267</v>
      </c>
      <c r="K8" s="1037">
        <v>2023</v>
      </c>
      <c r="L8" s="1037"/>
      <c r="M8" s="1063"/>
      <c r="N8" s="956" t="s">
        <v>267</v>
      </c>
      <c r="O8" s="956"/>
      <c r="P8" s="1037">
        <v>2024</v>
      </c>
      <c r="Q8" s="1037"/>
      <c r="R8" s="1063"/>
      <c r="S8" s="956" t="s">
        <v>267</v>
      </c>
      <c r="T8" s="1090" t="s">
        <v>268</v>
      </c>
      <c r="V8" s="914" t="s">
        <v>498</v>
      </c>
      <c r="W8" s="914">
        <v>2023</v>
      </c>
      <c r="X8" s="914">
        <v>2024</v>
      </c>
      <c r="Y8" s="914" t="s">
        <v>495</v>
      </c>
      <c r="Z8"/>
    </row>
    <row r="9" spans="2:26" s="51" customFormat="1" ht="22.9" customHeight="1" x14ac:dyDescent="0.35">
      <c r="B9" s="138"/>
      <c r="C9" s="139" t="s">
        <v>208</v>
      </c>
      <c r="D9" s="139" t="s">
        <v>236</v>
      </c>
      <c r="E9" s="140" t="s">
        <v>78</v>
      </c>
      <c r="F9" s="1193"/>
      <c r="G9" s="139" t="s">
        <v>208</v>
      </c>
      <c r="H9" s="139" t="s">
        <v>207</v>
      </c>
      <c r="I9" s="140" t="s">
        <v>78</v>
      </c>
      <c r="J9" s="1193"/>
      <c r="K9" s="139" t="s">
        <v>208</v>
      </c>
      <c r="L9" s="139" t="s">
        <v>207</v>
      </c>
      <c r="M9" s="140" t="s">
        <v>78</v>
      </c>
      <c r="N9" s="956"/>
      <c r="O9" s="956"/>
      <c r="P9" s="139" t="s">
        <v>208</v>
      </c>
      <c r="Q9" s="139" t="s">
        <v>207</v>
      </c>
      <c r="R9" s="140" t="s">
        <v>78</v>
      </c>
      <c r="S9" s="956"/>
      <c r="T9" s="1090"/>
      <c r="V9" s="915" t="s">
        <v>493</v>
      </c>
      <c r="W9" s="915">
        <v>500</v>
      </c>
      <c r="X9" s="915">
        <v>600</v>
      </c>
      <c r="Y9" s="915">
        <f>AVERAGE(W9:X9)</f>
        <v>550</v>
      </c>
      <c r="Z9"/>
    </row>
    <row r="10" spans="2:26" ht="38.15" customHeight="1" x14ac:dyDescent="0.35">
      <c r="B10" s="516" t="s">
        <v>269</v>
      </c>
      <c r="C10" s="141">
        <v>857</v>
      </c>
      <c r="D10" s="141">
        <v>525</v>
      </c>
      <c r="E10" s="141">
        <f>SUM(C10:D10)</f>
        <v>1382</v>
      </c>
      <c r="F10" s="1195">
        <f>(E10)/(('כוח אדם'!H37+'כוח אדם'!E37)/2)</f>
        <v>0.30197749371790672</v>
      </c>
      <c r="G10" s="130">
        <v>773</v>
      </c>
      <c r="H10" s="130">
        <v>662</v>
      </c>
      <c r="I10" s="130">
        <v>1435</v>
      </c>
      <c r="J10" s="1195">
        <f>(I10)/(('כוח אדם'!K37+'כוח אדם'!H37)/2)</f>
        <v>0.30813828645050462</v>
      </c>
      <c r="K10" s="130">
        <v>494</v>
      </c>
      <c r="L10" s="130">
        <v>306</v>
      </c>
      <c r="M10" s="130">
        <v>800</v>
      </c>
      <c r="N10" s="1167">
        <f>(M11)/(('כוח אדם'!N37+'כוח אדם'!K37)/2)</f>
        <v>0.20358890701468188</v>
      </c>
      <c r="O10" s="1167"/>
      <c r="P10" s="617">
        <v>574</v>
      </c>
      <c r="Q10" s="617">
        <v>429</v>
      </c>
      <c r="R10" s="617">
        <v>1003</v>
      </c>
      <c r="S10" s="1161">
        <f>(R11)/(('כוח אדם'!S36+'כוח אדם'!P36)/2)</f>
        <v>3.453689167974882E-2</v>
      </c>
      <c r="T10" s="1159" t="s">
        <v>270</v>
      </c>
      <c r="V10" s="915" t="s">
        <v>494</v>
      </c>
      <c r="W10" s="915"/>
      <c r="X10" s="915">
        <v>100</v>
      </c>
      <c r="Y10" s="915"/>
    </row>
    <row r="11" spans="2:26" ht="38.15" customHeight="1" x14ac:dyDescent="0.35">
      <c r="B11" s="508" t="s">
        <v>271</v>
      </c>
      <c r="C11" s="142">
        <v>722</v>
      </c>
      <c r="D11" s="142">
        <v>568</v>
      </c>
      <c r="E11" s="142">
        <f>SUM(C11:D11)</f>
        <v>1290</v>
      </c>
      <c r="F11" s="1196"/>
      <c r="G11" s="131">
        <v>716</v>
      </c>
      <c r="H11" s="131">
        <v>557</v>
      </c>
      <c r="I11" s="131">
        <v>1273</v>
      </c>
      <c r="J11" s="1196"/>
      <c r="K11" s="131">
        <v>516</v>
      </c>
      <c r="L11" s="131">
        <v>420</v>
      </c>
      <c r="M11" s="131">
        <v>936</v>
      </c>
      <c r="N11" s="1197"/>
      <c r="O11" s="1197"/>
      <c r="P11" s="617">
        <v>5</v>
      </c>
      <c r="Q11" s="617">
        <v>6</v>
      </c>
      <c r="R11" s="617">
        <v>11</v>
      </c>
      <c r="S11" s="1162"/>
      <c r="T11" s="1160"/>
      <c r="V11" s="916" t="s">
        <v>499</v>
      </c>
      <c r="W11" s="916"/>
      <c r="X11" s="917">
        <f>X10/Y9</f>
        <v>0.18181818181818182</v>
      </c>
      <c r="Y11" s="915"/>
    </row>
    <row r="12" spans="2:26" ht="38.15" customHeight="1" x14ac:dyDescent="0.35">
      <c r="B12" s="508" t="s">
        <v>272</v>
      </c>
      <c r="C12" s="142">
        <v>3</v>
      </c>
      <c r="D12" s="142">
        <v>4</v>
      </c>
      <c r="E12" s="142">
        <v>7</v>
      </c>
      <c r="F12" s="1194">
        <f>(E12)/(('כוח אדם'!H36+'כוח אדם'!E36)/2)</f>
        <v>8.0924855491329474E-3</v>
      </c>
      <c r="G12" s="131">
        <v>3</v>
      </c>
      <c r="H12" s="131">
        <v>8</v>
      </c>
      <c r="I12" s="131">
        <v>11</v>
      </c>
      <c r="J12" s="1194">
        <f>(I13)/(('כוח אדם'!H36+'כוח אדם'!K36)/2)</f>
        <v>7.3905628197839676E-2</v>
      </c>
      <c r="K12" s="131">
        <v>6</v>
      </c>
      <c r="L12" s="131">
        <v>8</v>
      </c>
      <c r="M12" s="131">
        <v>14</v>
      </c>
      <c r="N12" s="1167">
        <f>(M13)/(('כוח אדם'!N36+'כוח אדם'!K36)/2)</f>
        <v>4.5776566757493191E-2</v>
      </c>
      <c r="O12" s="1167"/>
      <c r="P12" s="617">
        <v>553</v>
      </c>
      <c r="Q12" s="617">
        <v>422</v>
      </c>
      <c r="R12" s="617">
        <v>975</v>
      </c>
      <c r="S12" s="1163">
        <f>(R13)/(('כוח אדם'!N36+'כוח אדם'!P36)/2)</f>
        <v>4.6394984326018809E-2</v>
      </c>
      <c r="T12" s="1160"/>
      <c r="V12" s="918" t="s">
        <v>496</v>
      </c>
      <c r="W12" s="915"/>
      <c r="X12" s="919">
        <f>X10/((X9+W9)/2)</f>
        <v>0.18181818181818182</v>
      </c>
      <c r="Y12" s="915"/>
    </row>
    <row r="13" spans="2:26" ht="38.15" customHeight="1" x14ac:dyDescent="0.35">
      <c r="B13" s="509" t="s">
        <v>273</v>
      </c>
      <c r="C13" s="143">
        <v>49</v>
      </c>
      <c r="D13" s="143">
        <v>22</v>
      </c>
      <c r="E13" s="143">
        <f>SUM(C13:D13)</f>
        <v>71</v>
      </c>
      <c r="F13" s="1195"/>
      <c r="G13" s="137">
        <v>39</v>
      </c>
      <c r="H13" s="137">
        <v>26</v>
      </c>
      <c r="I13" s="137">
        <v>65</v>
      </c>
      <c r="J13" s="1195"/>
      <c r="K13" s="137">
        <v>16</v>
      </c>
      <c r="L13" s="137">
        <v>26</v>
      </c>
      <c r="M13" s="137">
        <v>42</v>
      </c>
      <c r="N13" s="1167"/>
      <c r="O13" s="1167"/>
      <c r="P13" s="617">
        <v>16</v>
      </c>
      <c r="Q13" s="617">
        <v>21</v>
      </c>
      <c r="R13" s="617">
        <v>37</v>
      </c>
      <c r="S13" s="1161"/>
      <c r="T13" s="1160"/>
      <c r="V13" s="918" t="s">
        <v>497</v>
      </c>
      <c r="W13" s="915"/>
      <c r="X13" s="919">
        <f>X10/(X9+W9)/2</f>
        <v>4.5454545454545456E-2</v>
      </c>
      <c r="Y13" s="915"/>
    </row>
    <row r="14" spans="2:26" ht="21.4" customHeight="1" x14ac:dyDescent="0.35"/>
    <row r="15" spans="2:26" ht="25.15" customHeight="1" x14ac:dyDescent="0.35">
      <c r="B15" s="64" t="s">
        <v>274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</row>
    <row r="16" spans="2:26" ht="30.4" customHeight="1" x14ac:dyDescent="0.35">
      <c r="B16" s="109"/>
      <c r="C16" s="122" t="s">
        <v>275</v>
      </c>
      <c r="D16" s="1037">
        <v>2020</v>
      </c>
      <c r="E16" s="1037"/>
      <c r="F16" s="1063"/>
      <c r="G16" s="1062">
        <v>2021</v>
      </c>
      <c r="H16" s="1037"/>
      <c r="I16" s="1063"/>
      <c r="J16" s="1037">
        <v>2022</v>
      </c>
      <c r="K16" s="1037"/>
      <c r="L16" s="1037"/>
      <c r="M16" s="1037">
        <v>2023</v>
      </c>
      <c r="N16" s="1037"/>
      <c r="O16" s="1037"/>
      <c r="P16" s="1037">
        <v>2024</v>
      </c>
      <c r="Q16" s="1037"/>
      <c r="R16" s="1037"/>
      <c r="S16" s="43" t="s">
        <v>41</v>
      </c>
    </row>
    <row r="17" spans="2:20" ht="53.65" customHeight="1" x14ac:dyDescent="0.35">
      <c r="B17" s="113"/>
      <c r="C17" s="124"/>
      <c r="D17" s="114" t="s">
        <v>276</v>
      </c>
      <c r="E17" s="114" t="s">
        <v>277</v>
      </c>
      <c r="F17" s="126" t="s">
        <v>267</v>
      </c>
      <c r="G17" s="114" t="s">
        <v>276</v>
      </c>
      <c r="H17" s="114" t="s">
        <v>277</v>
      </c>
      <c r="I17" s="126" t="s">
        <v>267</v>
      </c>
      <c r="J17" s="114" t="s">
        <v>276</v>
      </c>
      <c r="K17" s="114" t="s">
        <v>277</v>
      </c>
      <c r="L17" s="114" t="s">
        <v>267</v>
      </c>
      <c r="M17" s="114" t="s">
        <v>276</v>
      </c>
      <c r="N17" s="114" t="s">
        <v>277</v>
      </c>
      <c r="O17" s="114" t="s">
        <v>267</v>
      </c>
      <c r="P17" s="114" t="s">
        <v>276</v>
      </c>
      <c r="Q17" s="114" t="s">
        <v>277</v>
      </c>
      <c r="R17" s="114" t="s">
        <v>267</v>
      </c>
      <c r="S17" s="1038" t="s">
        <v>270</v>
      </c>
    </row>
    <row r="18" spans="2:20" ht="21.4" customHeight="1" x14ac:dyDescent="0.35">
      <c r="B18" s="1177" t="s">
        <v>208</v>
      </c>
      <c r="C18" s="125" t="s">
        <v>220</v>
      </c>
      <c r="D18" s="130">
        <v>166</v>
      </c>
      <c r="E18" s="130">
        <v>188</v>
      </c>
      <c r="F18" s="1182" t="s">
        <v>64</v>
      </c>
      <c r="G18" s="130">
        <v>120</v>
      </c>
      <c r="H18" s="130">
        <v>140</v>
      </c>
      <c r="I18" s="1168">
        <f>(H29)/(('כוח אדם'!C11+'כוח אדם'!D11)/2)</f>
        <v>0.40292724924666379</v>
      </c>
      <c r="J18" s="130">
        <v>164</v>
      </c>
      <c r="K18" s="130">
        <v>140</v>
      </c>
      <c r="L18" s="1168">
        <f>(K29)/(('כוח אדם'!D11+'כוח אדם'!E11)/2)</f>
        <v>0.41408059286706811</v>
      </c>
      <c r="M18" s="130">
        <v>249</v>
      </c>
      <c r="N18" s="130">
        <v>209</v>
      </c>
      <c r="O18" s="1164">
        <f>(N29)/(('כוח אדם'!E11+'כוח אדם'!F11)/2)</f>
        <v>0.55135135135135138</v>
      </c>
      <c r="P18" s="622">
        <v>218</v>
      </c>
      <c r="Q18" s="622">
        <v>238</v>
      </c>
      <c r="R18" s="1190">
        <f>(Q29)/(('כוח אדם'!F11+'כוח אדם'!G11)/2)</f>
        <v>0.55550641309155246</v>
      </c>
      <c r="S18" s="1038"/>
    </row>
    <row r="19" spans="2:20" ht="21.4" customHeight="1" x14ac:dyDescent="0.35">
      <c r="B19" s="1178"/>
      <c r="C19" s="123" t="s">
        <v>221</v>
      </c>
      <c r="D19" s="131">
        <v>38</v>
      </c>
      <c r="E19" s="131">
        <v>71</v>
      </c>
      <c r="F19" s="1182"/>
      <c r="G19" s="131">
        <v>43</v>
      </c>
      <c r="H19" s="131">
        <v>76</v>
      </c>
      <c r="I19" s="1168"/>
      <c r="J19" s="131">
        <v>63</v>
      </c>
      <c r="K19" s="131">
        <v>76</v>
      </c>
      <c r="L19" s="1168"/>
      <c r="M19" s="131">
        <v>73</v>
      </c>
      <c r="N19" s="131">
        <v>75</v>
      </c>
      <c r="O19" s="1164"/>
      <c r="P19" s="622">
        <v>66</v>
      </c>
      <c r="Q19" s="622">
        <v>71</v>
      </c>
      <c r="R19" s="1190"/>
      <c r="S19" s="1038"/>
    </row>
    <row r="20" spans="2:20" ht="21.4" customHeight="1" x14ac:dyDescent="0.35">
      <c r="B20" s="1178"/>
      <c r="C20" s="123" t="s">
        <v>278</v>
      </c>
      <c r="D20" s="131">
        <v>7</v>
      </c>
      <c r="E20" s="131">
        <v>8</v>
      </c>
      <c r="F20" s="1182"/>
      <c r="G20" s="131">
        <v>2</v>
      </c>
      <c r="H20" s="131">
        <v>6</v>
      </c>
      <c r="I20" s="1168"/>
      <c r="J20" s="131">
        <v>5</v>
      </c>
      <c r="K20" s="131">
        <v>6</v>
      </c>
      <c r="L20" s="1168"/>
      <c r="M20" s="131">
        <v>3</v>
      </c>
      <c r="N20" s="131">
        <v>11</v>
      </c>
      <c r="O20" s="1164"/>
      <c r="P20" s="622">
        <v>4</v>
      </c>
      <c r="Q20" s="622">
        <v>6</v>
      </c>
      <c r="R20" s="1190"/>
      <c r="S20" s="1038"/>
    </row>
    <row r="21" spans="2:20" ht="21.4" customHeight="1" x14ac:dyDescent="0.35">
      <c r="B21" s="1173" t="s">
        <v>279</v>
      </c>
      <c r="C21" s="1174"/>
      <c r="D21" s="133">
        <v>211</v>
      </c>
      <c r="E21" s="133">
        <v>267</v>
      </c>
      <c r="F21" s="1182"/>
      <c r="G21" s="133">
        <v>165</v>
      </c>
      <c r="H21" s="133">
        <v>222</v>
      </c>
      <c r="I21" s="1168"/>
      <c r="J21" s="133">
        <v>232</v>
      </c>
      <c r="K21" s="133">
        <v>222</v>
      </c>
      <c r="L21" s="1168"/>
      <c r="M21" s="133">
        <v>325</v>
      </c>
      <c r="N21" s="133">
        <v>295</v>
      </c>
      <c r="O21" s="1164"/>
      <c r="P21" s="645">
        <v>288</v>
      </c>
      <c r="Q21" s="645">
        <v>315</v>
      </c>
      <c r="R21" s="1190"/>
      <c r="S21" s="1038"/>
    </row>
    <row r="22" spans="2:20" ht="21.4" customHeight="1" x14ac:dyDescent="0.35">
      <c r="B22" s="1177" t="s">
        <v>207</v>
      </c>
      <c r="C22" s="125" t="s">
        <v>220</v>
      </c>
      <c r="D22" s="130">
        <v>172</v>
      </c>
      <c r="E22" s="130">
        <v>187</v>
      </c>
      <c r="F22" s="1182"/>
      <c r="G22" s="130">
        <v>129</v>
      </c>
      <c r="H22" s="130">
        <v>164</v>
      </c>
      <c r="I22" s="1168"/>
      <c r="J22" s="130">
        <v>143</v>
      </c>
      <c r="K22" s="130">
        <v>140</v>
      </c>
      <c r="L22" s="1168"/>
      <c r="M22" s="130">
        <v>261</v>
      </c>
      <c r="N22" s="130">
        <v>220</v>
      </c>
      <c r="O22" s="1164"/>
      <c r="P22" s="622">
        <v>239</v>
      </c>
      <c r="Q22" s="622">
        <v>242</v>
      </c>
      <c r="R22" s="1190"/>
      <c r="S22" s="1038"/>
    </row>
    <row r="23" spans="2:20" ht="21.4" customHeight="1" x14ac:dyDescent="0.35">
      <c r="B23" s="1178"/>
      <c r="C23" s="123" t="s">
        <v>221</v>
      </c>
      <c r="D23" s="131">
        <v>46</v>
      </c>
      <c r="E23" s="131">
        <v>66</v>
      </c>
      <c r="F23" s="1182"/>
      <c r="G23" s="131">
        <v>36</v>
      </c>
      <c r="H23" s="131">
        <v>75</v>
      </c>
      <c r="I23" s="1168"/>
      <c r="J23" s="131">
        <v>61</v>
      </c>
      <c r="K23" s="131">
        <v>77</v>
      </c>
      <c r="L23" s="1168"/>
      <c r="M23" s="131">
        <v>56</v>
      </c>
      <c r="N23" s="131">
        <v>88</v>
      </c>
      <c r="O23" s="1164"/>
      <c r="P23" s="622">
        <v>47</v>
      </c>
      <c r="Q23" s="622">
        <v>64</v>
      </c>
      <c r="R23" s="1190"/>
      <c r="S23" s="1038"/>
    </row>
    <row r="24" spans="2:20" ht="21.4" customHeight="1" x14ac:dyDescent="0.35">
      <c r="B24" s="1178"/>
      <c r="C24" s="123" t="s">
        <v>278</v>
      </c>
      <c r="D24" s="131">
        <v>3</v>
      </c>
      <c r="E24" s="131">
        <v>4</v>
      </c>
      <c r="F24" s="1182"/>
      <c r="G24" s="131">
        <v>2</v>
      </c>
      <c r="H24" s="131">
        <v>7</v>
      </c>
      <c r="I24" s="1168"/>
      <c r="J24" s="131">
        <v>7</v>
      </c>
      <c r="K24" s="131">
        <v>8</v>
      </c>
      <c r="L24" s="1168"/>
      <c r="M24" s="131">
        <v>3</v>
      </c>
      <c r="N24" s="131">
        <v>9</v>
      </c>
      <c r="O24" s="1164"/>
      <c r="P24" s="622">
        <v>5</v>
      </c>
      <c r="Q24" s="622">
        <v>7</v>
      </c>
      <c r="R24" s="1190"/>
      <c r="S24" s="1038"/>
    </row>
    <row r="25" spans="2:20" ht="21.4" customHeight="1" x14ac:dyDescent="0.35">
      <c r="B25" s="1173" t="s">
        <v>280</v>
      </c>
      <c r="C25" s="1174"/>
      <c r="D25" s="133">
        <v>221</v>
      </c>
      <c r="E25" s="133">
        <v>257</v>
      </c>
      <c r="F25" s="1182"/>
      <c r="G25" s="133">
        <v>167</v>
      </c>
      <c r="H25" s="133">
        <v>246</v>
      </c>
      <c r="I25" s="1168"/>
      <c r="J25" s="133">
        <v>211</v>
      </c>
      <c r="K25" s="133">
        <v>225</v>
      </c>
      <c r="L25" s="1168"/>
      <c r="M25" s="133">
        <v>320</v>
      </c>
      <c r="N25" s="133">
        <v>317</v>
      </c>
      <c r="O25" s="1164"/>
      <c r="P25" s="645">
        <v>291</v>
      </c>
      <c r="Q25" s="645">
        <v>313</v>
      </c>
      <c r="R25" s="1190"/>
      <c r="S25" s="1038"/>
    </row>
    <row r="26" spans="2:20" ht="21.4" customHeight="1" x14ac:dyDescent="0.35">
      <c r="B26" s="1169" t="s">
        <v>281</v>
      </c>
      <c r="C26" s="1170"/>
      <c r="D26" s="130">
        <v>338</v>
      </c>
      <c r="E26" s="130">
        <v>375</v>
      </c>
      <c r="F26" s="1182"/>
      <c r="G26" s="130">
        <v>249</v>
      </c>
      <c r="H26" s="130">
        <v>304</v>
      </c>
      <c r="I26" s="1168"/>
      <c r="J26" s="130">
        <v>307</v>
      </c>
      <c r="K26" s="130">
        <v>280</v>
      </c>
      <c r="L26" s="1168"/>
      <c r="M26" s="130">
        <v>510</v>
      </c>
      <c r="N26" s="130">
        <v>429</v>
      </c>
      <c r="O26" s="1164"/>
      <c r="P26" s="622">
        <v>457</v>
      </c>
      <c r="Q26" s="622">
        <v>480</v>
      </c>
      <c r="R26" s="1190"/>
      <c r="S26" s="1038"/>
    </row>
    <row r="27" spans="2:20" ht="21.4" customHeight="1" x14ac:dyDescent="0.35">
      <c r="B27" s="1175" t="s">
        <v>282</v>
      </c>
      <c r="C27" s="1176"/>
      <c r="D27" s="131">
        <v>84</v>
      </c>
      <c r="E27" s="131">
        <v>137</v>
      </c>
      <c r="F27" s="1182"/>
      <c r="G27" s="131">
        <v>79</v>
      </c>
      <c r="H27" s="131">
        <v>151</v>
      </c>
      <c r="I27" s="1168"/>
      <c r="J27" s="131">
        <v>124</v>
      </c>
      <c r="K27" s="131">
        <v>153</v>
      </c>
      <c r="L27" s="1168"/>
      <c r="M27" s="131">
        <v>129</v>
      </c>
      <c r="N27" s="131">
        <v>163</v>
      </c>
      <c r="O27" s="1164"/>
      <c r="P27" s="622">
        <v>113</v>
      </c>
      <c r="Q27" s="622">
        <v>135</v>
      </c>
      <c r="R27" s="1190"/>
      <c r="S27" s="1038"/>
    </row>
    <row r="28" spans="2:20" ht="21.4" customHeight="1" x14ac:dyDescent="0.35">
      <c r="B28" s="1175" t="s">
        <v>283</v>
      </c>
      <c r="C28" s="1176"/>
      <c r="D28" s="131">
        <v>10</v>
      </c>
      <c r="E28" s="131">
        <v>12</v>
      </c>
      <c r="F28" s="1182"/>
      <c r="G28" s="131">
        <v>4</v>
      </c>
      <c r="H28" s="131">
        <v>13</v>
      </c>
      <c r="I28" s="1168"/>
      <c r="J28" s="131">
        <v>12</v>
      </c>
      <c r="K28" s="131">
        <v>14</v>
      </c>
      <c r="L28" s="1168"/>
      <c r="M28" s="131">
        <v>6</v>
      </c>
      <c r="N28" s="131">
        <v>20</v>
      </c>
      <c r="O28" s="1164"/>
      <c r="P28" s="622">
        <v>9</v>
      </c>
      <c r="Q28" s="622">
        <v>13</v>
      </c>
      <c r="R28" s="1190"/>
      <c r="S28" s="1038"/>
    </row>
    <row r="29" spans="2:20" ht="21.4" customHeight="1" x14ac:dyDescent="0.35">
      <c r="B29" s="1171" t="s">
        <v>78</v>
      </c>
      <c r="C29" s="1172"/>
      <c r="D29" s="137">
        <v>432</v>
      </c>
      <c r="E29" s="137">
        <v>524</v>
      </c>
      <c r="F29" s="1182"/>
      <c r="G29" s="137">
        <v>332</v>
      </c>
      <c r="H29" s="137">
        <v>468</v>
      </c>
      <c r="I29" s="1168"/>
      <c r="J29" s="137">
        <v>443</v>
      </c>
      <c r="K29" s="137">
        <v>447</v>
      </c>
      <c r="L29" s="1168"/>
      <c r="M29" s="137">
        <v>645</v>
      </c>
      <c r="N29" s="137">
        <v>612</v>
      </c>
      <c r="O29" s="1164"/>
      <c r="P29" s="622">
        <v>579</v>
      </c>
      <c r="Q29" s="622">
        <v>628</v>
      </c>
      <c r="R29" s="1190"/>
      <c r="S29" s="1065"/>
      <c r="T29" s="483"/>
    </row>
    <row r="30" spans="2:20" ht="21.4" customHeight="1" x14ac:dyDescent="0.35"/>
    <row r="31" spans="2:20" ht="25.15" customHeight="1" x14ac:dyDescent="0.35">
      <c r="B31" s="64" t="s">
        <v>284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</row>
    <row r="32" spans="2:20" ht="30.4" customHeight="1" x14ac:dyDescent="0.35">
      <c r="B32" s="109" t="s">
        <v>285</v>
      </c>
      <c r="C32" s="122" t="s">
        <v>275</v>
      </c>
      <c r="D32" s="1037">
        <v>2020</v>
      </c>
      <c r="E32" s="1037"/>
      <c r="F32" s="1063"/>
      <c r="G32" s="1062">
        <v>2021</v>
      </c>
      <c r="H32" s="1037"/>
      <c r="I32" s="1063"/>
      <c r="J32" s="1037">
        <v>2022</v>
      </c>
      <c r="K32" s="1037"/>
      <c r="L32" s="1037"/>
      <c r="M32" s="1037">
        <v>2023</v>
      </c>
      <c r="N32" s="1037"/>
      <c r="O32" s="1037"/>
      <c r="P32" s="1037">
        <v>2024</v>
      </c>
      <c r="Q32" s="1037"/>
      <c r="R32" s="1037"/>
      <c r="S32" s="43" t="s">
        <v>41</v>
      </c>
    </row>
    <row r="33" spans="2:20" ht="53.65" customHeight="1" x14ac:dyDescent="0.35">
      <c r="B33" s="113"/>
      <c r="C33" s="124"/>
      <c r="D33" s="114" t="s">
        <v>276</v>
      </c>
      <c r="E33" s="114" t="s">
        <v>277</v>
      </c>
      <c r="F33" s="126" t="s">
        <v>267</v>
      </c>
      <c r="G33" s="114" t="s">
        <v>276</v>
      </c>
      <c r="H33" s="114" t="s">
        <v>277</v>
      </c>
      <c r="I33" s="126" t="s">
        <v>267</v>
      </c>
      <c r="J33" s="114" t="s">
        <v>276</v>
      </c>
      <c r="K33" s="114" t="s">
        <v>277</v>
      </c>
      <c r="L33" s="114" t="s">
        <v>267</v>
      </c>
      <c r="M33" s="114" t="s">
        <v>276</v>
      </c>
      <c r="N33" s="114" t="s">
        <v>277</v>
      </c>
      <c r="O33" s="114" t="s">
        <v>267</v>
      </c>
      <c r="P33" s="114" t="s">
        <v>276</v>
      </c>
      <c r="Q33" s="114" t="s">
        <v>277</v>
      </c>
      <c r="R33" s="114" t="s">
        <v>267</v>
      </c>
      <c r="S33" s="1046" t="s">
        <v>270</v>
      </c>
    </row>
    <row r="34" spans="2:20" ht="21.4" customHeight="1" x14ac:dyDescent="0.35">
      <c r="B34" s="1179" t="s">
        <v>208</v>
      </c>
      <c r="C34" s="125" t="s">
        <v>220</v>
      </c>
      <c r="D34" s="115">
        <v>169</v>
      </c>
      <c r="E34" s="115">
        <v>214</v>
      </c>
      <c r="F34" s="1165" t="s">
        <v>64</v>
      </c>
      <c r="G34" s="115">
        <v>196</v>
      </c>
      <c r="H34" s="115">
        <v>160</v>
      </c>
      <c r="I34" s="1165">
        <f>(H45)/(('כוח אדם'!C12+'כוח אדם'!D12)/2)</f>
        <v>0.1826608505997819</v>
      </c>
      <c r="J34" s="115">
        <v>209</v>
      </c>
      <c r="K34" s="115">
        <v>134</v>
      </c>
      <c r="L34" s="1166">
        <f>(K45)/(('כוח אדם'!D12+'כוח אדם'!E12)/2)</f>
        <v>0.18548387096774194</v>
      </c>
      <c r="M34" s="115">
        <v>216</v>
      </c>
      <c r="N34" s="115">
        <v>192</v>
      </c>
      <c r="O34" s="1167">
        <f>(N45)/(('כוח אדם'!E12+'כוח אדם'!F12)/2)</f>
        <v>0.31404958677685951</v>
      </c>
      <c r="P34" s="622">
        <v>293</v>
      </c>
      <c r="Q34" s="622">
        <v>246</v>
      </c>
      <c r="R34" s="1161">
        <f>Q45/(('כוח אדם'!G12+'כוח אדם'!F12)/2)</f>
        <v>0.35935637663885578</v>
      </c>
      <c r="S34" s="1046"/>
    </row>
    <row r="35" spans="2:20" ht="21.4" customHeight="1" x14ac:dyDescent="0.35">
      <c r="B35" s="1180"/>
      <c r="C35" s="123" t="s">
        <v>221</v>
      </c>
      <c r="D35" s="117">
        <v>35</v>
      </c>
      <c r="E35" s="117">
        <v>87</v>
      </c>
      <c r="F35" s="1165"/>
      <c r="G35" s="117">
        <v>25</v>
      </c>
      <c r="H35" s="117">
        <v>17</v>
      </c>
      <c r="I35" s="1165"/>
      <c r="J35" s="117">
        <v>41</v>
      </c>
      <c r="K35" s="117">
        <v>14</v>
      </c>
      <c r="L35" s="1166"/>
      <c r="M35" s="117">
        <v>47</v>
      </c>
      <c r="N35" s="117">
        <v>57</v>
      </c>
      <c r="O35" s="1167"/>
      <c r="P35" s="622">
        <v>48</v>
      </c>
      <c r="Q35" s="622">
        <v>69</v>
      </c>
      <c r="R35" s="1161"/>
      <c r="S35" s="1046"/>
    </row>
    <row r="36" spans="2:20" ht="21.4" customHeight="1" x14ac:dyDescent="0.35">
      <c r="B36" s="1180"/>
      <c r="C36" s="123" t="s">
        <v>278</v>
      </c>
      <c r="D36" s="117">
        <v>2</v>
      </c>
      <c r="E36" s="117">
        <v>23</v>
      </c>
      <c r="F36" s="1165"/>
      <c r="G36" s="117">
        <v>3</v>
      </c>
      <c r="H36" s="117">
        <v>1</v>
      </c>
      <c r="I36" s="1165"/>
      <c r="J36" s="117">
        <v>3</v>
      </c>
      <c r="K36" s="117">
        <v>0</v>
      </c>
      <c r="L36" s="1166"/>
      <c r="M36" s="117">
        <v>6</v>
      </c>
      <c r="N36" s="117">
        <v>5</v>
      </c>
      <c r="O36" s="1167"/>
      <c r="P36" s="622">
        <v>1</v>
      </c>
      <c r="Q36" s="622">
        <v>8</v>
      </c>
      <c r="R36" s="1161"/>
      <c r="S36" s="1046"/>
    </row>
    <row r="37" spans="2:20" ht="21.4" customHeight="1" x14ac:dyDescent="0.35">
      <c r="B37" s="1173" t="s">
        <v>279</v>
      </c>
      <c r="C37" s="1174"/>
      <c r="D37" s="127">
        <f>SUM(D34:D36)</f>
        <v>206</v>
      </c>
      <c r="E37" s="127">
        <f>SUM(E34:E36)</f>
        <v>324</v>
      </c>
      <c r="F37" s="1165"/>
      <c r="G37" s="127">
        <f>SUM(G34:G36)</f>
        <v>224</v>
      </c>
      <c r="H37" s="127">
        <f>SUM(H34:H36)</f>
        <v>178</v>
      </c>
      <c r="I37" s="1165"/>
      <c r="J37" s="127">
        <f>SUM(J34:J36)</f>
        <v>253</v>
      </c>
      <c r="K37" s="127">
        <f>SUM(K34:K36)</f>
        <v>148</v>
      </c>
      <c r="L37" s="1166"/>
      <c r="M37" s="127">
        <v>269</v>
      </c>
      <c r="N37" s="127">
        <v>254</v>
      </c>
      <c r="O37" s="1167"/>
      <c r="P37" s="645">
        <f>SUM(P34:P36)</f>
        <v>342</v>
      </c>
      <c r="Q37" s="645">
        <f>SUM(Q34:Q36)</f>
        <v>323</v>
      </c>
      <c r="R37" s="1161"/>
      <c r="S37" s="1046"/>
    </row>
    <row r="38" spans="2:20" ht="21.4" customHeight="1" x14ac:dyDescent="0.35">
      <c r="B38" s="1179" t="s">
        <v>207</v>
      </c>
      <c r="C38" s="125" t="s">
        <v>220</v>
      </c>
      <c r="D38" s="115">
        <v>158</v>
      </c>
      <c r="E38" s="115">
        <v>192</v>
      </c>
      <c r="F38" s="1165"/>
      <c r="G38" s="115">
        <v>175</v>
      </c>
      <c r="H38" s="115">
        <v>141</v>
      </c>
      <c r="I38" s="1165"/>
      <c r="J38" s="115">
        <v>235</v>
      </c>
      <c r="K38" s="115">
        <v>153</v>
      </c>
      <c r="L38" s="1166"/>
      <c r="M38" s="115">
        <v>214</v>
      </c>
      <c r="N38" s="115">
        <v>197</v>
      </c>
      <c r="O38" s="1167"/>
      <c r="P38" s="622">
        <v>212</v>
      </c>
      <c r="Q38" s="622">
        <v>194</v>
      </c>
      <c r="R38" s="1161"/>
      <c r="S38" s="1046"/>
    </row>
    <row r="39" spans="2:20" ht="21.4" customHeight="1" x14ac:dyDescent="0.35">
      <c r="B39" s="1180"/>
      <c r="C39" s="123" t="s">
        <v>221</v>
      </c>
      <c r="D39" s="117">
        <v>12</v>
      </c>
      <c r="E39" s="117">
        <v>103</v>
      </c>
      <c r="F39" s="1165"/>
      <c r="G39" s="117">
        <v>27</v>
      </c>
      <c r="H39" s="117">
        <v>16</v>
      </c>
      <c r="I39" s="1165"/>
      <c r="J39" s="117">
        <v>46</v>
      </c>
      <c r="K39" s="117">
        <v>20</v>
      </c>
      <c r="L39" s="1166"/>
      <c r="M39" s="117">
        <v>49</v>
      </c>
      <c r="N39" s="117">
        <v>76</v>
      </c>
      <c r="O39" s="1167"/>
      <c r="P39" s="622">
        <v>51</v>
      </c>
      <c r="Q39" s="622">
        <v>81</v>
      </c>
      <c r="R39" s="1161"/>
      <c r="S39" s="1046"/>
    </row>
    <row r="40" spans="2:20" ht="21.4" customHeight="1" x14ac:dyDescent="0.35">
      <c r="B40" s="1180"/>
      <c r="C40" s="123" t="s">
        <v>278</v>
      </c>
      <c r="D40" s="117">
        <v>2</v>
      </c>
      <c r="E40" s="117">
        <v>11</v>
      </c>
      <c r="F40" s="1165"/>
      <c r="G40" s="117">
        <v>0</v>
      </c>
      <c r="H40" s="117">
        <v>0</v>
      </c>
      <c r="I40" s="1165"/>
      <c r="J40" s="117">
        <v>6</v>
      </c>
      <c r="K40" s="117">
        <v>1</v>
      </c>
      <c r="L40" s="1166"/>
      <c r="M40" s="117">
        <v>3</v>
      </c>
      <c r="N40" s="117">
        <v>5</v>
      </c>
      <c r="O40" s="1167"/>
      <c r="P40" s="622">
        <v>5</v>
      </c>
      <c r="Q40" s="622">
        <v>5</v>
      </c>
      <c r="R40" s="1161"/>
      <c r="S40" s="1046"/>
    </row>
    <row r="41" spans="2:20" ht="21.4" customHeight="1" x14ac:dyDescent="0.35">
      <c r="B41" s="1173" t="s">
        <v>280</v>
      </c>
      <c r="C41" s="1174"/>
      <c r="D41" s="127">
        <f>SUM(D38:D40)</f>
        <v>172</v>
      </c>
      <c r="E41" s="127">
        <f>SUM(E38:E40)</f>
        <v>306</v>
      </c>
      <c r="F41" s="1165"/>
      <c r="G41" s="127">
        <f>SUM(G38:G40)</f>
        <v>202</v>
      </c>
      <c r="H41" s="127">
        <f>SUM(H38:H40)</f>
        <v>157</v>
      </c>
      <c r="I41" s="1165"/>
      <c r="J41" s="127">
        <f>SUM(J38:J40)</f>
        <v>287</v>
      </c>
      <c r="K41" s="127">
        <f>SUM(K38:K40)</f>
        <v>174</v>
      </c>
      <c r="L41" s="1166"/>
      <c r="M41" s="127">
        <v>266</v>
      </c>
      <c r="N41" s="127">
        <v>278</v>
      </c>
      <c r="O41" s="1167"/>
      <c r="P41" s="645">
        <f>SUM(P38:P40)</f>
        <v>268</v>
      </c>
      <c r="Q41" s="645">
        <f>SUM(Q38:Q40)</f>
        <v>280</v>
      </c>
      <c r="R41" s="1161"/>
      <c r="S41" s="1046"/>
    </row>
    <row r="42" spans="2:20" ht="21.4" customHeight="1" x14ac:dyDescent="0.35">
      <c r="B42" s="1169" t="s">
        <v>281</v>
      </c>
      <c r="C42" s="1170"/>
      <c r="D42" s="128">
        <f>D34+D38</f>
        <v>327</v>
      </c>
      <c r="E42" s="128">
        <f>E38+E34</f>
        <v>406</v>
      </c>
      <c r="F42" s="1165"/>
      <c r="G42" s="128">
        <f t="shared" ref="G42:H45" si="0">SUM(G34,G38)</f>
        <v>371</v>
      </c>
      <c r="H42" s="128">
        <f t="shared" si="0"/>
        <v>301</v>
      </c>
      <c r="I42" s="1165"/>
      <c r="J42" s="128">
        <f t="shared" ref="J42:K44" si="1">SUM(J34,J38)</f>
        <v>444</v>
      </c>
      <c r="K42" s="128">
        <f t="shared" si="1"/>
        <v>287</v>
      </c>
      <c r="L42" s="1166"/>
      <c r="M42" s="128">
        <v>430</v>
      </c>
      <c r="N42" s="128">
        <v>389</v>
      </c>
      <c r="O42" s="1167"/>
      <c r="P42" s="622">
        <f t="shared" ref="P42:Q44" si="2">P38+P34</f>
        <v>505</v>
      </c>
      <c r="Q42" s="622">
        <f t="shared" si="2"/>
        <v>440</v>
      </c>
      <c r="R42" s="1161"/>
      <c r="S42" s="1046"/>
    </row>
    <row r="43" spans="2:20" ht="21.4" customHeight="1" x14ac:dyDescent="0.35">
      <c r="B43" s="1175" t="s">
        <v>282</v>
      </c>
      <c r="C43" s="1176"/>
      <c r="D43" s="119">
        <f>D35+D39</f>
        <v>47</v>
      </c>
      <c r="E43" s="119">
        <f>E39+E35</f>
        <v>190</v>
      </c>
      <c r="F43" s="1165"/>
      <c r="G43" s="119">
        <f t="shared" si="0"/>
        <v>52</v>
      </c>
      <c r="H43" s="119">
        <f t="shared" si="0"/>
        <v>33</v>
      </c>
      <c r="I43" s="1165"/>
      <c r="J43" s="119">
        <f t="shared" si="1"/>
        <v>87</v>
      </c>
      <c r="K43" s="119">
        <f t="shared" si="1"/>
        <v>34</v>
      </c>
      <c r="L43" s="1166"/>
      <c r="M43" s="119">
        <v>96</v>
      </c>
      <c r="N43" s="119">
        <v>133</v>
      </c>
      <c r="O43" s="1167"/>
      <c r="P43" s="622">
        <f t="shared" si="2"/>
        <v>99</v>
      </c>
      <c r="Q43" s="622">
        <f t="shared" si="2"/>
        <v>150</v>
      </c>
      <c r="R43" s="1161"/>
      <c r="S43" s="1046"/>
    </row>
    <row r="44" spans="2:20" ht="21.4" customHeight="1" x14ac:dyDescent="0.35">
      <c r="B44" s="1175" t="s">
        <v>283</v>
      </c>
      <c r="C44" s="1176"/>
      <c r="D44" s="119">
        <f>D40+D36</f>
        <v>4</v>
      </c>
      <c r="E44" s="119">
        <f>E40+E36</f>
        <v>34</v>
      </c>
      <c r="F44" s="1165"/>
      <c r="G44" s="119">
        <f t="shared" si="0"/>
        <v>3</v>
      </c>
      <c r="H44" s="119">
        <f t="shared" si="0"/>
        <v>1</v>
      </c>
      <c r="I44" s="1165"/>
      <c r="J44" s="119">
        <f t="shared" si="1"/>
        <v>9</v>
      </c>
      <c r="K44" s="119">
        <f t="shared" si="1"/>
        <v>1</v>
      </c>
      <c r="L44" s="1166"/>
      <c r="M44" s="119">
        <v>9</v>
      </c>
      <c r="N44" s="119">
        <v>10</v>
      </c>
      <c r="O44" s="1167"/>
      <c r="P44" s="622">
        <f t="shared" si="2"/>
        <v>6</v>
      </c>
      <c r="Q44" s="622">
        <f t="shared" si="2"/>
        <v>13</v>
      </c>
      <c r="R44" s="1161"/>
      <c r="S44" s="1046"/>
    </row>
    <row r="45" spans="2:20" ht="21.4" customHeight="1" x14ac:dyDescent="0.35">
      <c r="B45" s="1171" t="s">
        <v>78</v>
      </c>
      <c r="C45" s="1172"/>
      <c r="D45" s="120">
        <f>D44+D43+D42</f>
        <v>378</v>
      </c>
      <c r="E45" s="120">
        <f>SUM(E42:E44)</f>
        <v>630</v>
      </c>
      <c r="F45" s="1165"/>
      <c r="G45" s="120">
        <f t="shared" si="0"/>
        <v>426</v>
      </c>
      <c r="H45" s="120">
        <f t="shared" si="0"/>
        <v>335</v>
      </c>
      <c r="I45" s="1165"/>
      <c r="J45" s="120">
        <f>SUM(J42:J44)</f>
        <v>540</v>
      </c>
      <c r="K45" s="120">
        <f>SUM(K42:K44)</f>
        <v>322</v>
      </c>
      <c r="L45" s="1166"/>
      <c r="M45" s="110">
        <v>535</v>
      </c>
      <c r="N45" s="110">
        <v>532</v>
      </c>
      <c r="O45" s="1167"/>
      <c r="P45" s="622">
        <f>SUM(P42:P44)</f>
        <v>610</v>
      </c>
      <c r="Q45" s="622">
        <f>SUM(Q42:Q44)</f>
        <v>603</v>
      </c>
      <c r="R45" s="1161"/>
      <c r="S45" s="1181"/>
    </row>
    <row r="46" spans="2:20" ht="21.4" customHeight="1" x14ac:dyDescent="0.35">
      <c r="P46" s="617"/>
      <c r="Q46" s="617"/>
      <c r="R46" s="617"/>
    </row>
    <row r="47" spans="2:20" ht="25.15" customHeight="1" x14ac:dyDescent="0.35">
      <c r="B47" s="64" t="s">
        <v>286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</row>
    <row r="48" spans="2:20" ht="30.4" customHeight="1" x14ac:dyDescent="0.35">
      <c r="B48" s="109"/>
      <c r="C48" s="122" t="s">
        <v>275</v>
      </c>
      <c r="D48" s="1062">
        <v>2020</v>
      </c>
      <c r="E48" s="1037"/>
      <c r="F48" s="1063"/>
      <c r="G48" s="1062">
        <v>2021</v>
      </c>
      <c r="H48" s="1037"/>
      <c r="I48" s="1063"/>
      <c r="J48" s="1062">
        <v>2022</v>
      </c>
      <c r="K48" s="1037"/>
      <c r="L48" s="1063"/>
      <c r="M48" s="1037">
        <v>2023</v>
      </c>
      <c r="N48" s="1037"/>
      <c r="O48" s="1037"/>
      <c r="P48" s="1037">
        <v>2024</v>
      </c>
      <c r="Q48" s="1037"/>
      <c r="R48" s="1037"/>
      <c r="S48" s="43" t="s">
        <v>41</v>
      </c>
      <c r="T48" s="43"/>
    </row>
    <row r="49" spans="2:20" ht="68.25" customHeight="1" x14ac:dyDescent="0.35">
      <c r="B49" s="113"/>
      <c r="C49" s="124"/>
      <c r="D49" s="114" t="s">
        <v>276</v>
      </c>
      <c r="E49" s="114" t="s">
        <v>277</v>
      </c>
      <c r="F49" s="126" t="s">
        <v>267</v>
      </c>
      <c r="G49" s="114" t="s">
        <v>276</v>
      </c>
      <c r="H49" s="114" t="s">
        <v>277</v>
      </c>
      <c r="I49" s="126" t="s">
        <v>267</v>
      </c>
      <c r="J49" s="114" t="s">
        <v>276</v>
      </c>
      <c r="K49" s="114" t="s">
        <v>277</v>
      </c>
      <c r="L49" s="126" t="s">
        <v>267</v>
      </c>
      <c r="M49" s="114" t="s">
        <v>276</v>
      </c>
      <c r="N49" s="114" t="s">
        <v>277</v>
      </c>
      <c r="O49" s="114" t="s">
        <v>267</v>
      </c>
      <c r="P49" s="114" t="s">
        <v>276</v>
      </c>
      <c r="Q49" s="114" t="s">
        <v>277</v>
      </c>
      <c r="R49" s="114" t="s">
        <v>267</v>
      </c>
      <c r="S49" s="1046" t="s">
        <v>270</v>
      </c>
      <c r="T49" s="1046"/>
    </row>
    <row r="50" spans="2:20" ht="21.4" customHeight="1" x14ac:dyDescent="0.35">
      <c r="B50" s="1179" t="s">
        <v>208</v>
      </c>
      <c r="C50" s="125" t="s">
        <v>220</v>
      </c>
      <c r="D50" s="141">
        <v>116</v>
      </c>
      <c r="E50" s="141">
        <v>151</v>
      </c>
      <c r="F50" s="1165" t="s">
        <v>64</v>
      </c>
      <c r="G50" s="141">
        <v>133</v>
      </c>
      <c r="H50" s="141">
        <v>173</v>
      </c>
      <c r="I50" s="1165">
        <f>(H61)/(('כוח אדם'!C13+'כוח אדם'!D13)/2)</f>
        <v>0.42927631578947367</v>
      </c>
      <c r="J50" s="115">
        <v>93</v>
      </c>
      <c r="K50" s="115">
        <v>129</v>
      </c>
      <c r="L50" s="1165">
        <f>(K61)/(('כוח אדם'!D13+'כוח אדם'!E13)/2)</f>
        <v>0.47513278609367454</v>
      </c>
      <c r="M50" s="115">
        <v>29</v>
      </c>
      <c r="N50" s="115">
        <v>41</v>
      </c>
      <c r="O50" s="1189">
        <f>(N61)/(('כוח אדם'!E13+'כוח אדם'!F13)/2)</f>
        <v>0.26618269812462192</v>
      </c>
      <c r="P50" s="889">
        <v>6</v>
      </c>
      <c r="Q50" s="889">
        <v>24</v>
      </c>
      <c r="R50" s="1191">
        <f>(Q61)/(('כוח אדם'!G13+'כוח אדם'!F13)/2)</f>
        <v>0.18307692307692308</v>
      </c>
      <c r="S50" s="1046"/>
      <c r="T50" s="1046"/>
    </row>
    <row r="51" spans="2:20" ht="21.4" customHeight="1" x14ac:dyDescent="0.35">
      <c r="B51" s="1180"/>
      <c r="C51" s="123" t="s">
        <v>221</v>
      </c>
      <c r="D51" s="142">
        <v>34</v>
      </c>
      <c r="E51" s="142">
        <v>71</v>
      </c>
      <c r="F51" s="1165"/>
      <c r="G51" s="142">
        <v>38</v>
      </c>
      <c r="H51" s="142">
        <v>101</v>
      </c>
      <c r="I51" s="1165"/>
      <c r="J51" s="117">
        <v>32</v>
      </c>
      <c r="K51" s="117">
        <v>120</v>
      </c>
      <c r="L51" s="1165"/>
      <c r="M51" s="117">
        <v>17</v>
      </c>
      <c r="N51" s="117">
        <v>63</v>
      </c>
      <c r="O51" s="1189"/>
      <c r="P51" s="889">
        <v>3</v>
      </c>
      <c r="Q51" s="889">
        <v>39</v>
      </c>
      <c r="R51" s="1192"/>
      <c r="S51" s="1046"/>
      <c r="T51" s="1046"/>
    </row>
    <row r="52" spans="2:20" ht="21.4" customHeight="1" x14ac:dyDescent="0.35">
      <c r="B52" s="1180"/>
      <c r="C52" s="123" t="s">
        <v>278</v>
      </c>
      <c r="D52" s="142">
        <v>4</v>
      </c>
      <c r="E52" s="142">
        <v>10</v>
      </c>
      <c r="F52" s="1165"/>
      <c r="G52" s="142">
        <v>5</v>
      </c>
      <c r="H52" s="142">
        <v>14</v>
      </c>
      <c r="I52" s="1165"/>
      <c r="J52" s="117">
        <v>5</v>
      </c>
      <c r="K52" s="117">
        <v>15</v>
      </c>
      <c r="L52" s="1165"/>
      <c r="M52" s="117">
        <v>5</v>
      </c>
      <c r="N52" s="117">
        <v>14</v>
      </c>
      <c r="O52" s="1189"/>
      <c r="P52" s="889">
        <v>5</v>
      </c>
      <c r="Q52" s="889">
        <v>14</v>
      </c>
      <c r="R52" s="1192"/>
      <c r="S52" s="1046"/>
      <c r="T52" s="1046"/>
    </row>
    <row r="53" spans="2:20" ht="21.4" customHeight="1" x14ac:dyDescent="0.35">
      <c r="B53" s="1173" t="s">
        <v>279</v>
      </c>
      <c r="C53" s="1174"/>
      <c r="D53" s="307">
        <f>D52+D51+D50</f>
        <v>154</v>
      </c>
      <c r="E53" s="307">
        <f>E52+E51+E50</f>
        <v>232</v>
      </c>
      <c r="F53" s="1165"/>
      <c r="G53" s="307">
        <f>G52+G51+G50</f>
        <v>176</v>
      </c>
      <c r="H53" s="307">
        <f>H52+H51+H50</f>
        <v>288</v>
      </c>
      <c r="I53" s="1165"/>
      <c r="J53" s="127">
        <f>SUM(J50:J52)</f>
        <v>130</v>
      </c>
      <c r="K53" s="127">
        <f>SUM(K50:K52)</f>
        <v>264</v>
      </c>
      <c r="L53" s="1165"/>
      <c r="M53" s="127">
        <v>51</v>
      </c>
      <c r="N53" s="127">
        <v>118</v>
      </c>
      <c r="O53" s="1189"/>
      <c r="P53" s="889">
        <f>SUM(P50:P52)</f>
        <v>14</v>
      </c>
      <c r="Q53" s="889">
        <f>Q52+Q51+Q50</f>
        <v>77</v>
      </c>
      <c r="R53" s="1192"/>
      <c r="S53" s="1046"/>
      <c r="T53" s="1046"/>
    </row>
    <row r="54" spans="2:20" ht="21.4" customHeight="1" x14ac:dyDescent="0.35">
      <c r="B54" s="1179" t="s">
        <v>207</v>
      </c>
      <c r="C54" s="125" t="s">
        <v>220</v>
      </c>
      <c r="D54" s="141">
        <v>145</v>
      </c>
      <c r="E54" s="141">
        <v>148</v>
      </c>
      <c r="F54" s="1165"/>
      <c r="G54" s="141">
        <v>120</v>
      </c>
      <c r="H54" s="141">
        <v>171</v>
      </c>
      <c r="I54" s="1165"/>
      <c r="J54" s="115">
        <v>66</v>
      </c>
      <c r="K54" s="115">
        <v>151</v>
      </c>
      <c r="L54" s="1165"/>
      <c r="M54" s="115">
        <v>16</v>
      </c>
      <c r="N54" s="115">
        <v>28</v>
      </c>
      <c r="O54" s="1189"/>
      <c r="P54" s="889">
        <v>4</v>
      </c>
      <c r="Q54" s="889">
        <v>15</v>
      </c>
      <c r="R54" s="1192"/>
      <c r="S54" s="1046"/>
      <c r="T54" s="1046"/>
    </row>
    <row r="55" spans="2:20" ht="21.4" customHeight="1" x14ac:dyDescent="0.35">
      <c r="B55" s="1180"/>
      <c r="C55" s="123" t="s">
        <v>221</v>
      </c>
      <c r="D55" s="142">
        <v>27</v>
      </c>
      <c r="E55" s="142">
        <v>44</v>
      </c>
      <c r="F55" s="1165"/>
      <c r="G55" s="142">
        <v>35</v>
      </c>
      <c r="H55" s="142">
        <v>60</v>
      </c>
      <c r="I55" s="1165"/>
      <c r="J55" s="117">
        <v>13</v>
      </c>
      <c r="K55" s="117">
        <v>73</v>
      </c>
      <c r="L55" s="1165"/>
      <c r="M55" s="117">
        <v>13</v>
      </c>
      <c r="N55" s="117">
        <v>66</v>
      </c>
      <c r="O55" s="1189"/>
      <c r="P55" s="889">
        <v>5</v>
      </c>
      <c r="Q55" s="889">
        <v>23</v>
      </c>
      <c r="R55" s="1192"/>
      <c r="S55" s="1046"/>
      <c r="T55" s="1046"/>
    </row>
    <row r="56" spans="2:20" ht="21.4" customHeight="1" x14ac:dyDescent="0.35">
      <c r="B56" s="1180"/>
      <c r="C56" s="123" t="s">
        <v>278</v>
      </c>
      <c r="D56" s="142">
        <v>0</v>
      </c>
      <c r="E56" s="142">
        <v>7</v>
      </c>
      <c r="F56" s="1165"/>
      <c r="G56" s="142">
        <v>0</v>
      </c>
      <c r="H56" s="142">
        <v>3</v>
      </c>
      <c r="I56" s="1165"/>
      <c r="J56" s="117">
        <v>0</v>
      </c>
      <c r="K56" s="117">
        <v>4</v>
      </c>
      <c r="L56" s="1165"/>
      <c r="M56" s="117">
        <v>2</v>
      </c>
      <c r="N56" s="117">
        <v>8</v>
      </c>
      <c r="O56" s="1189"/>
      <c r="P56" s="889">
        <v>1</v>
      </c>
      <c r="Q56" s="889">
        <v>4</v>
      </c>
      <c r="R56" s="1192"/>
      <c r="S56" s="1046"/>
      <c r="T56" s="1046"/>
    </row>
    <row r="57" spans="2:20" ht="21.4" customHeight="1" x14ac:dyDescent="0.35">
      <c r="B57" s="1173" t="s">
        <v>280</v>
      </c>
      <c r="C57" s="1174"/>
      <c r="D57" s="307">
        <f>D56+D55+D54</f>
        <v>172</v>
      </c>
      <c r="E57" s="307">
        <f>E56+E55+E54</f>
        <v>199</v>
      </c>
      <c r="F57" s="1165"/>
      <c r="G57" s="307">
        <f>G56+G55+G54</f>
        <v>155</v>
      </c>
      <c r="H57" s="307">
        <f>H56+H55+H54</f>
        <v>234</v>
      </c>
      <c r="I57" s="1165"/>
      <c r="J57" s="127">
        <f>SUM(J54:J56)</f>
        <v>79</v>
      </c>
      <c r="K57" s="127">
        <f>SUM(K54:K56)</f>
        <v>228</v>
      </c>
      <c r="L57" s="1165"/>
      <c r="M57" s="127">
        <v>31</v>
      </c>
      <c r="N57" s="127">
        <v>102</v>
      </c>
      <c r="O57" s="1189"/>
      <c r="P57" s="889">
        <f>SUM(P54:P56)</f>
        <v>10</v>
      </c>
      <c r="Q57" s="889">
        <f>Q56+Q55+Q54</f>
        <v>42</v>
      </c>
      <c r="R57" s="1192"/>
      <c r="S57" s="1046"/>
      <c r="T57" s="1046"/>
    </row>
    <row r="58" spans="2:20" ht="21.4" customHeight="1" x14ac:dyDescent="0.35">
      <c r="B58" s="1185" t="s">
        <v>281</v>
      </c>
      <c r="C58" s="1186"/>
      <c r="D58" s="141">
        <f t="shared" ref="D58:E60" si="3">D54+D50</f>
        <v>261</v>
      </c>
      <c r="E58" s="141">
        <f t="shared" si="3"/>
        <v>299</v>
      </c>
      <c r="F58" s="1165"/>
      <c r="G58" s="141">
        <f>G54+G50</f>
        <v>253</v>
      </c>
      <c r="H58" s="141">
        <f>H50+H54</f>
        <v>344</v>
      </c>
      <c r="I58" s="1165"/>
      <c r="J58" s="128">
        <f t="shared" ref="J58:K60" si="4">SUM(J50,J54)</f>
        <v>159</v>
      </c>
      <c r="K58" s="128">
        <f t="shared" si="4"/>
        <v>280</v>
      </c>
      <c r="L58" s="1165"/>
      <c r="M58" s="128">
        <v>45</v>
      </c>
      <c r="N58" s="128">
        <v>69</v>
      </c>
      <c r="O58" s="1189"/>
      <c r="P58" s="889">
        <f>P54+P50</f>
        <v>10</v>
      </c>
      <c r="Q58" s="889">
        <f>Q54+Q50</f>
        <v>39</v>
      </c>
      <c r="R58" s="1192"/>
      <c r="S58" s="1046"/>
      <c r="T58" s="1046"/>
    </row>
    <row r="59" spans="2:20" ht="21.4" customHeight="1" x14ac:dyDescent="0.35">
      <c r="B59" s="1187" t="s">
        <v>282</v>
      </c>
      <c r="C59" s="1188"/>
      <c r="D59" s="142">
        <f t="shared" si="3"/>
        <v>61</v>
      </c>
      <c r="E59" s="142">
        <f t="shared" si="3"/>
        <v>115</v>
      </c>
      <c r="F59" s="1165"/>
      <c r="G59" s="142">
        <f>G55+G51</f>
        <v>73</v>
      </c>
      <c r="H59" s="142">
        <f>H55+H51</f>
        <v>161</v>
      </c>
      <c r="I59" s="1165"/>
      <c r="J59" s="119">
        <f>SUM(J51,J55)</f>
        <v>45</v>
      </c>
      <c r="K59" s="119">
        <f t="shared" si="4"/>
        <v>193</v>
      </c>
      <c r="L59" s="1165"/>
      <c r="M59" s="119">
        <v>30</v>
      </c>
      <c r="N59" s="119">
        <v>129</v>
      </c>
      <c r="O59" s="1189"/>
      <c r="P59" s="889">
        <f>P55+P51</f>
        <v>8</v>
      </c>
      <c r="Q59" s="889">
        <f>Q51+Q55</f>
        <v>62</v>
      </c>
      <c r="R59" s="1192"/>
      <c r="S59" s="1046"/>
      <c r="T59" s="1046"/>
    </row>
    <row r="60" spans="2:20" ht="21.4" customHeight="1" x14ac:dyDescent="0.35">
      <c r="B60" s="1187" t="s">
        <v>283</v>
      </c>
      <c r="C60" s="1188"/>
      <c r="D60" s="142">
        <f t="shared" si="3"/>
        <v>4</v>
      </c>
      <c r="E60" s="142">
        <f t="shared" si="3"/>
        <v>17</v>
      </c>
      <c r="F60" s="1165"/>
      <c r="G60" s="142">
        <f>G56+G52</f>
        <v>5</v>
      </c>
      <c r="H60" s="142">
        <f>H56+H52</f>
        <v>17</v>
      </c>
      <c r="I60" s="1165"/>
      <c r="J60" s="119">
        <f t="shared" si="4"/>
        <v>5</v>
      </c>
      <c r="K60" s="119">
        <f t="shared" si="4"/>
        <v>19</v>
      </c>
      <c r="L60" s="1165"/>
      <c r="M60" s="119">
        <v>7</v>
      </c>
      <c r="N60" s="119">
        <v>22</v>
      </c>
      <c r="O60" s="1189"/>
      <c r="P60" s="889">
        <f>P52+P56</f>
        <v>6</v>
      </c>
      <c r="Q60" s="889">
        <f>Q52+Q56</f>
        <v>18</v>
      </c>
      <c r="R60" s="1192"/>
      <c r="S60" s="1046"/>
      <c r="T60" s="1046"/>
    </row>
    <row r="61" spans="2:20" ht="21.4" customHeight="1" x14ac:dyDescent="0.35">
      <c r="B61" s="1183" t="s">
        <v>78</v>
      </c>
      <c r="C61" s="1184"/>
      <c r="D61" s="143">
        <v>326</v>
      </c>
      <c r="E61" s="143">
        <v>431</v>
      </c>
      <c r="F61" s="1165"/>
      <c r="G61" s="143">
        <v>331</v>
      </c>
      <c r="H61" s="143">
        <v>522</v>
      </c>
      <c r="I61" s="1165"/>
      <c r="J61" s="120">
        <v>209</v>
      </c>
      <c r="K61" s="120">
        <v>492</v>
      </c>
      <c r="L61" s="1165"/>
      <c r="M61" s="120">
        <v>82</v>
      </c>
      <c r="N61" s="120">
        <v>220</v>
      </c>
      <c r="O61" s="1189"/>
      <c r="P61" s="889">
        <f>P60+P59+P58</f>
        <v>24</v>
      </c>
      <c r="Q61" s="889">
        <f>Q60+Q59+Q58</f>
        <v>119</v>
      </c>
      <c r="R61" s="1192"/>
      <c r="S61" s="1181"/>
      <c r="T61" s="1181"/>
    </row>
    <row r="62" spans="2:20" ht="21.4" customHeight="1" x14ac:dyDescent="0.35"/>
    <row r="64" spans="2:20" ht="14.65" customHeight="1" x14ac:dyDescent="0.35"/>
    <row r="65" spans="3:4" x14ac:dyDescent="0.35">
      <c r="C65" s="437"/>
      <c r="D65" s="437"/>
    </row>
  </sheetData>
  <mergeCells count="77">
    <mergeCell ref="O8:O9"/>
    <mergeCell ref="O10:O11"/>
    <mergeCell ref="O12:O13"/>
    <mergeCell ref="M32:O32"/>
    <mergeCell ref="P8:R8"/>
    <mergeCell ref="M16:O16"/>
    <mergeCell ref="F8:F9"/>
    <mergeCell ref="N8:N9"/>
    <mergeCell ref="K8:M8"/>
    <mergeCell ref="F12:F13"/>
    <mergeCell ref="F10:F11"/>
    <mergeCell ref="J10:J11"/>
    <mergeCell ref="J8:J9"/>
    <mergeCell ref="J12:J13"/>
    <mergeCell ref="N10:N11"/>
    <mergeCell ref="N12:N13"/>
    <mergeCell ref="T49:T61"/>
    <mergeCell ref="O50:O61"/>
    <mergeCell ref="P32:R32"/>
    <mergeCell ref="P16:R16"/>
    <mergeCell ref="P48:R48"/>
    <mergeCell ref="S49:S61"/>
    <mergeCell ref="R18:R29"/>
    <mergeCell ref="R34:R45"/>
    <mergeCell ref="R50:R61"/>
    <mergeCell ref="B61:C61"/>
    <mergeCell ref="B58:C58"/>
    <mergeCell ref="B59:C59"/>
    <mergeCell ref="B60:C60"/>
    <mergeCell ref="F50:F61"/>
    <mergeCell ref="B54:B56"/>
    <mergeCell ref="B57:C57"/>
    <mergeCell ref="I50:I61"/>
    <mergeCell ref="L50:L61"/>
    <mergeCell ref="S33:S45"/>
    <mergeCell ref="S17:S29"/>
    <mergeCell ref="B50:B52"/>
    <mergeCell ref="B53:C53"/>
    <mergeCell ref="D32:F32"/>
    <mergeCell ref="B34:B36"/>
    <mergeCell ref="D48:F48"/>
    <mergeCell ref="G48:I48"/>
    <mergeCell ref="B22:B24"/>
    <mergeCell ref="B25:C25"/>
    <mergeCell ref="B26:C26"/>
    <mergeCell ref="F18:F29"/>
    <mergeCell ref="I18:I29"/>
    <mergeCell ref="G32:I32"/>
    <mergeCell ref="B42:C42"/>
    <mergeCell ref="B45:C45"/>
    <mergeCell ref="D16:F16"/>
    <mergeCell ref="G16:I16"/>
    <mergeCell ref="J16:L16"/>
    <mergeCell ref="B37:C37"/>
    <mergeCell ref="J32:L32"/>
    <mergeCell ref="B27:C27"/>
    <mergeCell ref="B18:B20"/>
    <mergeCell ref="B21:C21"/>
    <mergeCell ref="B28:C28"/>
    <mergeCell ref="B29:C29"/>
    <mergeCell ref="B43:C43"/>
    <mergeCell ref="B44:C44"/>
    <mergeCell ref="B38:B40"/>
    <mergeCell ref="B41:C41"/>
    <mergeCell ref="J48:L48"/>
    <mergeCell ref="O18:O29"/>
    <mergeCell ref="F34:F45"/>
    <mergeCell ref="I34:I45"/>
    <mergeCell ref="L34:L45"/>
    <mergeCell ref="O34:O45"/>
    <mergeCell ref="L18:L29"/>
    <mergeCell ref="M48:O48"/>
    <mergeCell ref="S8:S9"/>
    <mergeCell ref="T8:T9"/>
    <mergeCell ref="T10:T13"/>
    <mergeCell ref="S10:S11"/>
    <mergeCell ref="S12:S13"/>
  </mergeCells>
  <pageMargins left="0.7" right="0.7" top="0.75" bottom="0.75" header="0.3" footer="0.3"/>
  <pageSetup paperSize="9" orientation="portrait" r:id="rId1"/>
  <headerFooter scaleWithDoc="0"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AI24"/>
  <sheetViews>
    <sheetView showGridLines="0" rightToLeft="1" topLeftCell="A13" zoomScale="90" zoomScaleNormal="90" workbookViewId="0">
      <selection activeCell="C21" sqref="C21"/>
    </sheetView>
  </sheetViews>
  <sheetFormatPr defaultColWidth="9.26953125" defaultRowHeight="14.5" x14ac:dyDescent="0.35"/>
  <cols>
    <col min="1" max="1" width="3.7265625" customWidth="1"/>
    <col min="2" max="2" width="15.26953125" customWidth="1"/>
    <col min="3" max="3" width="10.1796875" customWidth="1"/>
    <col min="4" max="24" width="10.7265625" customWidth="1"/>
  </cols>
  <sheetData>
    <row r="1" spans="2:35" ht="15" customHeight="1" x14ac:dyDescent="0.35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2:35" ht="15" customHeight="1" x14ac:dyDescent="0.3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2:35" ht="15" customHeight="1" x14ac:dyDescent="0.3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2:35" ht="15" customHeight="1" x14ac:dyDescent="0.35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R4" s="17"/>
      <c r="S4" s="17"/>
      <c r="T4" s="17"/>
      <c r="U4" s="17"/>
    </row>
    <row r="5" spans="2:35" ht="25.15" customHeight="1" thickBot="1" x14ac:dyDescent="0.4">
      <c r="B5" s="39" t="s">
        <v>23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</row>
    <row r="6" spans="2:35" ht="15" customHeight="1" thickTop="1" x14ac:dyDescent="0.35">
      <c r="B6" s="41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</row>
    <row r="7" spans="2:35" s="110" customFormat="1" ht="21.4" customHeight="1" x14ac:dyDescent="0.35">
      <c r="B7" s="64" t="s">
        <v>287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</row>
    <row r="8" spans="2:35" s="110" customFormat="1" ht="30.4" customHeight="1" thickBot="1" x14ac:dyDescent="0.4">
      <c r="B8" s="1"/>
      <c r="C8" s="962" t="s">
        <v>60</v>
      </c>
      <c r="D8" s="962"/>
      <c r="E8" s="962"/>
      <c r="F8" s="962"/>
      <c r="G8" s="962"/>
      <c r="H8" s="962"/>
      <c r="I8" s="962"/>
      <c r="J8" s="1205"/>
      <c r="K8" s="1200" t="s">
        <v>61</v>
      </c>
      <c r="L8" s="962"/>
      <c r="M8" s="962"/>
      <c r="N8" s="962"/>
      <c r="O8" s="962"/>
      <c r="P8" s="962"/>
      <c r="Q8" s="962"/>
      <c r="R8" s="962"/>
      <c r="S8" s="962" t="s">
        <v>62</v>
      </c>
      <c r="T8" s="962"/>
      <c r="U8" s="962"/>
      <c r="V8" s="962"/>
      <c r="W8" s="962"/>
      <c r="X8" s="962"/>
      <c r="Y8" s="962"/>
      <c r="Z8" s="1205"/>
      <c r="AA8" s="1200" t="s">
        <v>63</v>
      </c>
      <c r="AB8" s="962"/>
      <c r="AC8" s="962"/>
      <c r="AD8" s="962"/>
      <c r="AE8" s="962"/>
      <c r="AF8" s="962"/>
      <c r="AG8" s="962"/>
      <c r="AH8" s="962"/>
      <c r="AI8" s="962" t="s">
        <v>41</v>
      </c>
    </row>
    <row r="9" spans="2:35" s="110" customFormat="1" ht="21.4" customHeight="1" x14ac:dyDescent="0.35">
      <c r="B9" s="220"/>
      <c r="C9" s="1207">
        <v>2021</v>
      </c>
      <c r="D9" s="1203"/>
      <c r="E9" s="1202">
        <v>2022</v>
      </c>
      <c r="F9" s="1203"/>
      <c r="G9" s="1202">
        <v>2023</v>
      </c>
      <c r="H9" s="1203"/>
      <c r="I9" s="1202">
        <v>2024</v>
      </c>
      <c r="J9" s="1204"/>
      <c r="K9" s="1207">
        <v>2021</v>
      </c>
      <c r="L9" s="1203"/>
      <c r="M9" s="1206">
        <v>2022</v>
      </c>
      <c r="N9" s="1203"/>
      <c r="O9" s="1206">
        <v>2023</v>
      </c>
      <c r="P9" s="1203"/>
      <c r="Q9" s="1206">
        <v>2024</v>
      </c>
      <c r="R9" s="1204"/>
      <c r="S9" s="1207">
        <v>2021</v>
      </c>
      <c r="T9" s="1203"/>
      <c r="U9" s="1206">
        <v>2022</v>
      </c>
      <c r="V9" s="1203"/>
      <c r="W9" s="1202">
        <v>2023</v>
      </c>
      <c r="X9" s="1203"/>
      <c r="Y9" s="1202">
        <v>2024</v>
      </c>
      <c r="Z9" s="1204"/>
      <c r="AA9" s="579">
        <v>2021</v>
      </c>
      <c r="AB9" s="778"/>
      <c r="AC9" s="1198">
        <v>2022</v>
      </c>
      <c r="AD9" s="1199"/>
      <c r="AE9" s="1198">
        <v>2023</v>
      </c>
      <c r="AF9" s="1199"/>
      <c r="AG9" s="1198">
        <v>2024</v>
      </c>
      <c r="AH9" s="1199"/>
      <c r="AI9" s="962"/>
    </row>
    <row r="10" spans="2:35" s="110" customFormat="1" ht="38.25" customHeight="1" x14ac:dyDescent="0.35">
      <c r="B10" s="320"/>
      <c r="C10" s="793" t="s">
        <v>202</v>
      </c>
      <c r="D10" s="773" t="s">
        <v>203</v>
      </c>
      <c r="E10" s="320" t="s">
        <v>202</v>
      </c>
      <c r="F10" s="773" t="s">
        <v>203</v>
      </c>
      <c r="G10" s="320" t="s">
        <v>202</v>
      </c>
      <c r="H10" s="773" t="s">
        <v>203</v>
      </c>
      <c r="I10" s="320" t="s">
        <v>202</v>
      </c>
      <c r="J10" s="794" t="s">
        <v>203</v>
      </c>
      <c r="K10" s="793" t="s">
        <v>202</v>
      </c>
      <c r="L10" s="773" t="s">
        <v>203</v>
      </c>
      <c r="M10" s="320" t="s">
        <v>202</v>
      </c>
      <c r="N10" s="773" t="s">
        <v>203</v>
      </c>
      <c r="O10" s="320" t="s">
        <v>202</v>
      </c>
      <c r="P10" s="773" t="s">
        <v>203</v>
      </c>
      <c r="Q10" s="320" t="s">
        <v>202</v>
      </c>
      <c r="R10" s="794" t="s">
        <v>203</v>
      </c>
      <c r="S10" s="793" t="s">
        <v>202</v>
      </c>
      <c r="T10" s="773" t="s">
        <v>203</v>
      </c>
      <c r="U10" s="320" t="s">
        <v>202</v>
      </c>
      <c r="V10" s="773" t="s">
        <v>203</v>
      </c>
      <c r="W10" s="320" t="s">
        <v>202</v>
      </c>
      <c r="X10" s="773" t="s">
        <v>203</v>
      </c>
      <c r="Y10" s="320" t="s">
        <v>202</v>
      </c>
      <c r="Z10" s="794" t="s">
        <v>203</v>
      </c>
      <c r="AA10" s="320" t="s">
        <v>202</v>
      </c>
      <c r="AB10" s="773" t="s">
        <v>203</v>
      </c>
      <c r="AC10" s="320" t="s">
        <v>202</v>
      </c>
      <c r="AD10" s="773" t="s">
        <v>203</v>
      </c>
      <c r="AE10" s="320" t="s">
        <v>202</v>
      </c>
      <c r="AF10" s="773" t="s">
        <v>203</v>
      </c>
      <c r="AG10" s="320" t="s">
        <v>202</v>
      </c>
      <c r="AH10" s="773" t="s">
        <v>203</v>
      </c>
      <c r="AI10" s="1201" t="s">
        <v>45</v>
      </c>
    </row>
    <row r="11" spans="2:35" s="110" customFormat="1" ht="21.4" customHeight="1" x14ac:dyDescent="0.35">
      <c r="B11" s="193" t="s">
        <v>44</v>
      </c>
      <c r="C11" s="795">
        <v>278</v>
      </c>
      <c r="D11" s="774">
        <f>278/5556</f>
        <v>5.003599712023038E-2</v>
      </c>
      <c r="E11" s="493">
        <v>282</v>
      </c>
      <c r="F11" s="774">
        <f>282/5610</f>
        <v>5.0267379679144387E-2</v>
      </c>
      <c r="G11" s="511">
        <f>5432*H11</f>
        <v>255.304</v>
      </c>
      <c r="H11" s="774">
        <v>4.7E-2</v>
      </c>
      <c r="I11" s="511">
        <v>247</v>
      </c>
      <c r="J11" s="796">
        <v>4.5499999999999999E-2</v>
      </c>
      <c r="K11" s="795">
        <v>61</v>
      </c>
      <c r="L11" s="774">
        <f>61/5556</f>
        <v>1.0979121670266379E-2</v>
      </c>
      <c r="M11" s="493">
        <v>62</v>
      </c>
      <c r="N11" s="774">
        <f>62/5610</f>
        <v>1.1051693404634581E-2</v>
      </c>
      <c r="O11" s="511">
        <f>P11*5432</f>
        <v>54.32</v>
      </c>
      <c r="P11" s="774">
        <v>0.01</v>
      </c>
      <c r="Q11" s="694">
        <v>100</v>
      </c>
      <c r="R11" s="804">
        <v>1.84E-2</v>
      </c>
      <c r="S11" s="811" t="s">
        <v>64</v>
      </c>
      <c r="T11" s="781" t="s">
        <v>64</v>
      </c>
      <c r="U11" s="695" t="s">
        <v>64</v>
      </c>
      <c r="V11" s="781" t="s">
        <v>64</v>
      </c>
      <c r="W11" s="696">
        <f>5432*X11</f>
        <v>81.48</v>
      </c>
      <c r="X11" s="782">
        <v>1.4999999999999999E-2</v>
      </c>
      <c r="Y11" s="694">
        <v>275</v>
      </c>
      <c r="Z11" s="804">
        <v>5.0700000000000002E-2</v>
      </c>
      <c r="AA11" s="695">
        <v>241</v>
      </c>
      <c r="AB11" s="783">
        <f>241/5556</f>
        <v>4.3376529877609794E-2</v>
      </c>
      <c r="AC11" s="695">
        <v>282</v>
      </c>
      <c r="AD11" s="783">
        <v>5.1999999999999998E-2</v>
      </c>
      <c r="AE11" s="696">
        <f>5432*AF11</f>
        <v>450.85600000000005</v>
      </c>
      <c r="AF11" s="783">
        <v>8.3000000000000004E-2</v>
      </c>
      <c r="AG11" s="694">
        <v>451</v>
      </c>
      <c r="AH11" s="780">
        <v>8.3099999999999993E-2</v>
      </c>
      <c r="AI11" s="1201"/>
    </row>
    <row r="12" spans="2:35" s="110" customFormat="1" ht="21.4" customHeight="1" x14ac:dyDescent="0.35">
      <c r="B12" s="199" t="s">
        <v>46</v>
      </c>
      <c r="C12" s="797" t="s">
        <v>64</v>
      </c>
      <c r="D12" s="776" t="s">
        <v>64</v>
      </c>
      <c r="E12" s="131">
        <v>28</v>
      </c>
      <c r="F12" s="776">
        <v>2.5000000000000001E-2</v>
      </c>
      <c r="G12" s="131">
        <v>20</v>
      </c>
      <c r="H12" s="774">
        <f>G12/5432</f>
        <v>3.6818851251840942E-3</v>
      </c>
      <c r="I12" s="131">
        <v>21</v>
      </c>
      <c r="J12" s="796">
        <v>1.9E-2</v>
      </c>
      <c r="K12" s="797" t="s">
        <v>64</v>
      </c>
      <c r="L12" s="779" t="s">
        <v>64</v>
      </c>
      <c r="M12" s="131" t="s">
        <v>64</v>
      </c>
      <c r="N12" s="779" t="s">
        <v>64</v>
      </c>
      <c r="O12" s="131">
        <v>19</v>
      </c>
      <c r="P12" s="774">
        <f>O12/'כוח אדם'!F11</f>
        <v>1.6450216450216451E-2</v>
      </c>
      <c r="Q12" s="131">
        <v>18</v>
      </c>
      <c r="R12" s="796">
        <v>1.6299999999999999E-2</v>
      </c>
      <c r="S12" s="797" t="s">
        <v>64</v>
      </c>
      <c r="T12" s="779" t="s">
        <v>64</v>
      </c>
      <c r="U12" s="131" t="s">
        <v>64</v>
      </c>
      <c r="V12" s="779" t="s">
        <v>64</v>
      </c>
      <c r="W12" s="131">
        <v>8</v>
      </c>
      <c r="X12" s="776">
        <f>W12/'כוח אדם'!F11</f>
        <v>6.9264069264069264E-3</v>
      </c>
      <c r="Y12" s="131">
        <v>11</v>
      </c>
      <c r="Z12" s="812">
        <v>0.01</v>
      </c>
      <c r="AA12" s="131">
        <v>85</v>
      </c>
      <c r="AB12" s="776">
        <v>7.4999999999999997E-2</v>
      </c>
      <c r="AC12" s="131">
        <v>97</v>
      </c>
      <c r="AD12" s="784">
        <f>97/1115</f>
        <v>8.6995515695067263E-2</v>
      </c>
      <c r="AE12" s="131">
        <v>158</v>
      </c>
      <c r="AF12" s="775">
        <v>0.15</v>
      </c>
      <c r="AG12" s="131">
        <v>133</v>
      </c>
      <c r="AH12" s="775">
        <v>0.12</v>
      </c>
      <c r="AI12" s="1201"/>
    </row>
    <row r="13" spans="2:35" s="110" customFormat="1" ht="21.4" customHeight="1" x14ac:dyDescent="0.35">
      <c r="B13" s="199" t="s">
        <v>47</v>
      </c>
      <c r="C13" s="797" t="s">
        <v>64</v>
      </c>
      <c r="D13" s="779" t="s">
        <v>64</v>
      </c>
      <c r="E13" s="131" t="s">
        <v>64</v>
      </c>
      <c r="F13" s="779" t="s">
        <v>64</v>
      </c>
      <c r="G13" s="131">
        <v>68</v>
      </c>
      <c r="H13" s="774">
        <v>4.0332147093712932E-2</v>
      </c>
      <c r="I13" s="142">
        <v>70</v>
      </c>
      <c r="J13" s="798">
        <v>0.04</v>
      </c>
      <c r="K13" s="797" t="s">
        <v>64</v>
      </c>
      <c r="L13" s="779" t="s">
        <v>64</v>
      </c>
      <c r="M13" s="131" t="s">
        <v>64</v>
      </c>
      <c r="N13" s="779" t="s">
        <v>64</v>
      </c>
      <c r="O13" s="131">
        <v>21</v>
      </c>
      <c r="P13" s="775">
        <v>0.01</v>
      </c>
      <c r="Q13" s="131">
        <v>22</v>
      </c>
      <c r="R13" s="805">
        <v>0.01</v>
      </c>
      <c r="S13" s="797" t="s">
        <v>64</v>
      </c>
      <c r="T13" s="779" t="s">
        <v>64</v>
      </c>
      <c r="U13" s="131" t="s">
        <v>64</v>
      </c>
      <c r="V13" s="779" t="s">
        <v>64</v>
      </c>
      <c r="W13" s="131">
        <v>107</v>
      </c>
      <c r="X13" s="775">
        <v>0.06</v>
      </c>
      <c r="Y13" s="131">
        <v>101</v>
      </c>
      <c r="Z13" s="805">
        <v>0.06</v>
      </c>
      <c r="AA13" s="131" t="s">
        <v>64</v>
      </c>
      <c r="AB13" s="779" t="s">
        <v>64</v>
      </c>
      <c r="AC13" s="131" t="s">
        <v>64</v>
      </c>
      <c r="AD13" s="779" t="s">
        <v>64</v>
      </c>
      <c r="AE13" s="131">
        <v>41</v>
      </c>
      <c r="AF13" s="775">
        <v>0.02</v>
      </c>
      <c r="AG13" s="131">
        <v>52</v>
      </c>
      <c r="AH13" s="775">
        <v>0.03</v>
      </c>
      <c r="AI13" s="1201"/>
    </row>
    <row r="14" spans="2:35" s="110" customFormat="1" ht="21.4" customHeight="1" x14ac:dyDescent="0.35">
      <c r="B14" s="153" t="s">
        <v>52</v>
      </c>
      <c r="C14" s="797" t="s">
        <v>64</v>
      </c>
      <c r="D14" s="779" t="s">
        <v>64</v>
      </c>
      <c r="E14" s="131">
        <v>30</v>
      </c>
      <c r="F14" s="776">
        <v>3.2000000000000001E-2</v>
      </c>
      <c r="G14" s="131">
        <v>18</v>
      </c>
      <c r="H14" s="774">
        <v>2.5600000000000001E-2</v>
      </c>
      <c r="I14" s="131">
        <v>17</v>
      </c>
      <c r="J14" s="796">
        <v>2.8500000000000001E-2</v>
      </c>
      <c r="K14" s="806" t="s">
        <v>64</v>
      </c>
      <c r="L14" s="779" t="s">
        <v>64</v>
      </c>
      <c r="M14" s="131" t="s">
        <v>64</v>
      </c>
      <c r="N14" s="779" t="s">
        <v>64</v>
      </c>
      <c r="O14" s="131">
        <v>10</v>
      </c>
      <c r="P14" s="776">
        <v>1.4200000000000001E-2</v>
      </c>
      <c r="Q14" s="580" t="s">
        <v>64</v>
      </c>
      <c r="R14" s="807" t="s">
        <v>64</v>
      </c>
      <c r="S14" s="797" t="s">
        <v>64</v>
      </c>
      <c r="T14" s="779" t="s">
        <v>64</v>
      </c>
      <c r="U14" s="131" t="s">
        <v>64</v>
      </c>
      <c r="V14" s="779" t="s">
        <v>64</v>
      </c>
      <c r="W14" s="131">
        <v>10</v>
      </c>
      <c r="X14" s="776">
        <v>1.4200000000000001E-2</v>
      </c>
      <c r="Y14" s="131" t="s">
        <v>64</v>
      </c>
      <c r="Z14" s="807" t="s">
        <v>64</v>
      </c>
      <c r="AA14" s="131" t="s">
        <v>64</v>
      </c>
      <c r="AB14" s="779" t="s">
        <v>64</v>
      </c>
      <c r="AC14" s="131" t="s">
        <v>64</v>
      </c>
      <c r="AD14" s="779" t="s">
        <v>64</v>
      </c>
      <c r="AE14" s="131">
        <v>21</v>
      </c>
      <c r="AF14" s="775">
        <v>2.9989999999999999E-2</v>
      </c>
      <c r="AG14" s="131" t="s">
        <v>64</v>
      </c>
      <c r="AH14" s="779" t="s">
        <v>64</v>
      </c>
      <c r="AI14" s="1201"/>
    </row>
    <row r="15" spans="2:35" ht="15" thickBot="1" x14ac:dyDescent="0.4">
      <c r="B15" s="792" t="s">
        <v>288</v>
      </c>
      <c r="C15" s="799">
        <f>C11</f>
        <v>278</v>
      </c>
      <c r="D15" s="800">
        <f>C15/9458</f>
        <v>2.9393106364982026E-2</v>
      </c>
      <c r="E15" s="801">
        <f>E11+E12+E14</f>
        <v>340</v>
      </c>
      <c r="F15" s="800">
        <f>E15/9317</f>
        <v>3.6492433186648063E-2</v>
      </c>
      <c r="G15" s="802">
        <f>G11+G12+G13+G14</f>
        <v>361.30399999999997</v>
      </c>
      <c r="H15" s="800">
        <f>G15/8974</f>
        <v>4.0261199019389342E-2</v>
      </c>
      <c r="I15" s="802">
        <f>I11+I12+I13+I14</f>
        <v>355</v>
      </c>
      <c r="J15" s="803">
        <f>I15/8800</f>
        <v>4.0340909090909094E-2</v>
      </c>
      <c r="K15" s="808">
        <f>K11</f>
        <v>61</v>
      </c>
      <c r="L15" s="803">
        <f>K15/9458</f>
        <v>6.4495665045464154E-3</v>
      </c>
      <c r="M15" s="809">
        <f>M11</f>
        <v>62</v>
      </c>
      <c r="N15" s="800">
        <f>M15/9317</f>
        <v>6.6545025222711175E-3</v>
      </c>
      <c r="O15" s="802">
        <f>O11+O12+O13+O14</f>
        <v>104.32</v>
      </c>
      <c r="P15" s="800">
        <f>O15/8974</f>
        <v>1.1624693559170937E-2</v>
      </c>
      <c r="Q15" s="810">
        <f>Q11+Q12+Q13</f>
        <v>140</v>
      </c>
      <c r="R15" s="803">
        <f>Q15/8800</f>
        <v>1.5909090909090907E-2</v>
      </c>
      <c r="S15" s="813" t="s">
        <v>64</v>
      </c>
      <c r="T15" s="814" t="s">
        <v>64</v>
      </c>
      <c r="U15" s="814" t="s">
        <v>64</v>
      </c>
      <c r="V15" s="814" t="s">
        <v>64</v>
      </c>
      <c r="W15" s="802">
        <f>W11+W12+W13+W14</f>
        <v>206.48000000000002</v>
      </c>
      <c r="X15" s="800">
        <f>206/8974</f>
        <v>2.2955203922442612E-2</v>
      </c>
      <c r="Y15" s="810">
        <f>Y11+Y12+Y13</f>
        <v>387</v>
      </c>
      <c r="Z15" s="803">
        <f>Y15/8800</f>
        <v>4.3977272727272726E-2</v>
      </c>
      <c r="AA15" s="786">
        <f>AA11+AA12</f>
        <v>326</v>
      </c>
      <c r="AB15" s="803">
        <f>AA15/9458</f>
        <v>3.446817508987101E-2</v>
      </c>
      <c r="AC15" s="786">
        <f>AC11+AC12</f>
        <v>379</v>
      </c>
      <c r="AD15" s="789">
        <f>AC15/9317</f>
        <v>4.067832993452828E-2</v>
      </c>
      <c r="AE15" s="785">
        <f>AE11+AE12+AE13+AE14</f>
        <v>670.85599999999999</v>
      </c>
      <c r="AF15" s="789">
        <f>AE15/8974</f>
        <v>7.4755515934923106E-2</v>
      </c>
      <c r="AG15" s="787">
        <f>AG11+AG12+AG13</f>
        <v>636</v>
      </c>
      <c r="AH15" s="789">
        <v>7.1999999999999995E-2</v>
      </c>
      <c r="AI15" s="786"/>
    </row>
    <row r="16" spans="2:35" x14ac:dyDescent="0.35">
      <c r="AF16" s="777"/>
    </row>
    <row r="17" spans="2:9" x14ac:dyDescent="0.35">
      <c r="D17" s="440"/>
      <c r="E17" s="440"/>
    </row>
    <row r="18" spans="2:9" x14ac:dyDescent="0.35">
      <c r="D18" s="24"/>
      <c r="E18" s="24"/>
    </row>
    <row r="19" spans="2:9" ht="18.5" x14ac:dyDescent="0.35">
      <c r="B19" s="64" t="s">
        <v>289</v>
      </c>
    </row>
    <row r="21" spans="2:9" x14ac:dyDescent="0.35">
      <c r="B21" s="790">
        <v>2021</v>
      </c>
      <c r="C21" s="791">
        <f>D15+L15+AB15</f>
        <v>7.0310847959399458E-2</v>
      </c>
    </row>
    <row r="22" spans="2:9" x14ac:dyDescent="0.35">
      <c r="B22" s="790">
        <v>2022</v>
      </c>
      <c r="C22" s="791">
        <f>AD15+N15+F15</f>
        <v>8.3825265643447458E-2</v>
      </c>
    </row>
    <row r="23" spans="2:9" x14ac:dyDescent="0.35">
      <c r="B23" s="790">
        <v>2023</v>
      </c>
      <c r="C23" s="791">
        <f>H15+P15+X15+AF15</f>
        <v>0.14959661243592598</v>
      </c>
    </row>
    <row r="24" spans="2:9" x14ac:dyDescent="0.35">
      <c r="B24" s="790">
        <v>2024</v>
      </c>
      <c r="C24" s="791">
        <v>0.17</v>
      </c>
      <c r="I24" s="788"/>
    </row>
  </sheetData>
  <mergeCells count="21">
    <mergeCell ref="W9:X9"/>
    <mergeCell ref="AC9:AD9"/>
    <mergeCell ref="Y9:Z9"/>
    <mergeCell ref="S8:Z8"/>
    <mergeCell ref="G9:H9"/>
    <mergeCell ref="O9:P9"/>
    <mergeCell ref="U9:V9"/>
    <mergeCell ref="C8:J8"/>
    <mergeCell ref="K8:R8"/>
    <mergeCell ref="C9:D9"/>
    <mergeCell ref="E9:F9"/>
    <mergeCell ref="K9:L9"/>
    <mergeCell ref="M9:N9"/>
    <mergeCell ref="S9:T9"/>
    <mergeCell ref="I9:J9"/>
    <mergeCell ref="Q9:R9"/>
    <mergeCell ref="AG9:AH9"/>
    <mergeCell ref="AA8:AH8"/>
    <mergeCell ref="AI8:AI9"/>
    <mergeCell ref="AI10:AI14"/>
    <mergeCell ref="AE9:AF9"/>
  </mergeCells>
  <pageMargins left="0.7" right="0.7" top="0.75" bottom="0.75" header="0.3" footer="0.3"/>
  <pageSetup paperSize="9" orientation="portrait" r:id="rId1"/>
  <headerFooter scaleWithDoc="0"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Y65"/>
  <sheetViews>
    <sheetView showGridLines="0" rightToLeft="1" topLeftCell="A45" zoomScale="85" zoomScaleNormal="85" workbookViewId="0">
      <selection activeCell="K56" sqref="K56:K57"/>
    </sheetView>
  </sheetViews>
  <sheetFormatPr defaultColWidth="9.26953125" defaultRowHeight="14.5" x14ac:dyDescent="0.35"/>
  <cols>
    <col min="1" max="1" width="3.7265625" customWidth="1"/>
    <col min="2" max="2" width="24.54296875" style="110" customWidth="1"/>
    <col min="3" max="15" width="10.7265625" style="110" customWidth="1"/>
  </cols>
  <sheetData>
    <row r="1" spans="2:23" ht="15" customHeight="1" x14ac:dyDescent="0.35">
      <c r="B1" s="38"/>
      <c r="C1" s="38"/>
      <c r="D1" s="38"/>
      <c r="E1" s="38"/>
      <c r="F1" s="38"/>
      <c r="G1" s="38"/>
      <c r="H1" s="38"/>
      <c r="I1" s="38"/>
      <c r="J1" s="38"/>
      <c r="K1" s="38"/>
      <c r="L1"/>
      <c r="M1"/>
      <c r="N1"/>
      <c r="O1"/>
    </row>
    <row r="2" spans="2:23" ht="15" customHeight="1" x14ac:dyDescent="0.35">
      <c r="B2" s="38"/>
      <c r="C2" s="38"/>
      <c r="D2" s="38"/>
      <c r="E2" s="38"/>
      <c r="F2" s="38"/>
      <c r="G2" s="38"/>
      <c r="H2" s="38"/>
      <c r="I2" s="38"/>
      <c r="J2" s="38"/>
      <c r="K2" s="38"/>
      <c r="L2"/>
      <c r="M2"/>
      <c r="N2"/>
      <c r="O2"/>
    </row>
    <row r="3" spans="2:23" ht="15" customHeight="1" x14ac:dyDescent="0.35">
      <c r="B3" s="38"/>
      <c r="C3" s="38"/>
      <c r="D3" s="38"/>
      <c r="E3" s="38"/>
      <c r="F3" s="38"/>
      <c r="G3" s="38"/>
      <c r="H3" s="38"/>
      <c r="I3" s="38"/>
      <c r="J3" s="38"/>
      <c r="K3" s="38"/>
      <c r="L3"/>
      <c r="M3"/>
      <c r="N3"/>
      <c r="O3"/>
    </row>
    <row r="4" spans="2:23" ht="15" customHeight="1" x14ac:dyDescent="0.35">
      <c r="B4" s="38"/>
      <c r="C4" s="38"/>
      <c r="D4" s="38"/>
      <c r="E4" s="38"/>
      <c r="F4" s="38"/>
      <c r="G4" s="38"/>
      <c r="H4" s="38"/>
      <c r="I4" s="38"/>
      <c r="J4" s="38"/>
      <c r="K4" s="38"/>
      <c r="L4"/>
      <c r="M4"/>
      <c r="N4" s="17"/>
      <c r="O4" s="17"/>
    </row>
    <row r="5" spans="2:23" ht="25.15" customHeight="1" thickBot="1" x14ac:dyDescent="0.4">
      <c r="B5" s="39" t="s">
        <v>27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2:23" ht="15" customHeight="1" thickTop="1" x14ac:dyDescent="0.35">
      <c r="B6" s="41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2:23" ht="25.15" customHeight="1" x14ac:dyDescent="0.35">
      <c r="B7" s="64" t="s">
        <v>290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2:23" ht="21.4" customHeight="1" x14ac:dyDescent="0.35">
      <c r="B8" s="165"/>
      <c r="C8" s="967">
        <v>2020</v>
      </c>
      <c r="D8" s="967"/>
      <c r="E8" s="967"/>
      <c r="F8" s="969"/>
      <c r="G8" s="968">
        <v>2021</v>
      </c>
      <c r="H8" s="967"/>
      <c r="I8" s="967"/>
      <c r="J8" s="969"/>
      <c r="K8" s="968">
        <v>2022</v>
      </c>
      <c r="L8" s="967"/>
      <c r="M8" s="967"/>
      <c r="N8" s="967"/>
      <c r="O8" s="1124">
        <v>2023</v>
      </c>
      <c r="P8" s="967"/>
      <c r="Q8" s="967"/>
      <c r="R8" s="1125"/>
      <c r="S8" s="968">
        <v>2024</v>
      </c>
      <c r="T8" s="967"/>
      <c r="U8" s="967"/>
      <c r="V8" s="1125"/>
      <c r="W8" s="43" t="s">
        <v>41</v>
      </c>
    </row>
    <row r="9" spans="2:23" ht="30.4" customHeight="1" x14ac:dyDescent="0.35">
      <c r="B9" s="248"/>
      <c r="C9" s="113" t="s">
        <v>44</v>
      </c>
      <c r="D9" s="113" t="s">
        <v>46</v>
      </c>
      <c r="E9" s="113" t="s">
        <v>47</v>
      </c>
      <c r="F9" s="342" t="s">
        <v>52</v>
      </c>
      <c r="G9" s="113" t="s">
        <v>44</v>
      </c>
      <c r="H9" s="113" t="s">
        <v>46</v>
      </c>
      <c r="I9" s="113" t="s">
        <v>47</v>
      </c>
      <c r="J9" s="342" t="s">
        <v>52</v>
      </c>
      <c r="K9" s="113" t="s">
        <v>44</v>
      </c>
      <c r="L9" s="113" t="s">
        <v>46</v>
      </c>
      <c r="M9" s="113" t="s">
        <v>47</v>
      </c>
      <c r="N9" s="581" t="s">
        <v>52</v>
      </c>
      <c r="O9" s="113" t="s">
        <v>44</v>
      </c>
      <c r="P9" s="113" t="s">
        <v>46</v>
      </c>
      <c r="Q9" s="113" t="s">
        <v>47</v>
      </c>
      <c r="R9" s="337" t="s">
        <v>52</v>
      </c>
      <c r="S9" s="113" t="s">
        <v>44</v>
      </c>
      <c r="T9" s="113" t="s">
        <v>46</v>
      </c>
      <c r="U9" s="113" t="s">
        <v>47</v>
      </c>
      <c r="V9" s="337" t="s">
        <v>52</v>
      </c>
      <c r="W9" s="43"/>
    </row>
    <row r="10" spans="2:23" ht="40.15" customHeight="1" x14ac:dyDescent="0.35">
      <c r="B10" s="339" t="s">
        <v>291</v>
      </c>
      <c r="C10" s="141" t="s">
        <v>64</v>
      </c>
      <c r="D10" s="305">
        <v>548</v>
      </c>
      <c r="E10" s="305">
        <v>27</v>
      </c>
      <c r="F10" s="343">
        <v>1074</v>
      </c>
      <c r="G10" s="311">
        <v>5556</v>
      </c>
      <c r="H10" s="311">
        <v>1123</v>
      </c>
      <c r="I10" s="305">
        <v>102</v>
      </c>
      <c r="J10" s="343">
        <v>693</v>
      </c>
      <c r="K10" s="305">
        <f>3641+1969</f>
        <v>5610</v>
      </c>
      <c r="L10" s="236">
        <v>1115</v>
      </c>
      <c r="M10" s="305">
        <v>127</v>
      </c>
      <c r="N10" s="582">
        <v>950</v>
      </c>
      <c r="O10" s="116">
        <v>5454</v>
      </c>
      <c r="P10" s="236">
        <v>870</v>
      </c>
      <c r="Q10" s="305">
        <v>323</v>
      </c>
      <c r="R10" s="343">
        <v>885</v>
      </c>
      <c r="S10" s="688">
        <v>5425</v>
      </c>
      <c r="T10" s="311">
        <v>2932</v>
      </c>
      <c r="U10" s="305">
        <v>387</v>
      </c>
      <c r="V10" s="305">
        <v>1758</v>
      </c>
      <c r="W10" s="1210" t="s">
        <v>292</v>
      </c>
    </row>
    <row r="11" spans="2:23" ht="39.75" customHeight="1" x14ac:dyDescent="0.35">
      <c r="B11" s="340" t="s">
        <v>293</v>
      </c>
      <c r="C11" s="143" t="s">
        <v>64</v>
      </c>
      <c r="D11" s="422">
        <v>4.05</v>
      </c>
      <c r="E11" s="306">
        <v>5.5</v>
      </c>
      <c r="F11" s="344">
        <v>13</v>
      </c>
      <c r="G11" s="341" t="s">
        <v>294</v>
      </c>
      <c r="H11" s="422">
        <v>6.9279437609841832</v>
      </c>
      <c r="I11" s="306">
        <v>7</v>
      </c>
      <c r="J11" s="344">
        <v>15</v>
      </c>
      <c r="K11" s="341" t="s">
        <v>295</v>
      </c>
      <c r="L11" s="422">
        <v>5.5013452914798204</v>
      </c>
      <c r="M11" s="306">
        <v>7</v>
      </c>
      <c r="N11" s="583">
        <v>20.100000000000001</v>
      </c>
      <c r="O11" s="33" t="s">
        <v>296</v>
      </c>
      <c r="P11" s="422">
        <v>10.4</v>
      </c>
      <c r="Q11" s="306">
        <v>8.9</v>
      </c>
      <c r="R11" s="344">
        <v>8</v>
      </c>
      <c r="S11" s="890" t="s">
        <v>297</v>
      </c>
      <c r="T11" s="422">
        <v>11.5</v>
      </c>
      <c r="U11" s="306">
        <v>11.73</v>
      </c>
      <c r="V11" s="306">
        <v>8</v>
      </c>
      <c r="W11" s="1210"/>
    </row>
    <row r="12" spans="2:23" ht="21.4" customHeight="1" x14ac:dyDescent="0.35"/>
    <row r="13" spans="2:23" ht="25.15" customHeight="1" x14ac:dyDescent="0.35">
      <c r="B13" s="64" t="s">
        <v>298</v>
      </c>
      <c r="C13" s="64"/>
      <c r="D13" s="64"/>
      <c r="E13" s="64"/>
      <c r="F13" s="64"/>
    </row>
    <row r="14" spans="2:23" ht="30.4" customHeight="1" x14ac:dyDescent="0.35">
      <c r="B14" s="165"/>
      <c r="C14" s="363"/>
      <c r="D14" s="1062">
        <v>2023</v>
      </c>
      <c r="E14" s="1037"/>
      <c r="F14" s="1062">
        <v>2024</v>
      </c>
      <c r="G14" s="1037"/>
      <c r="H14" s="1211" t="s">
        <v>41</v>
      </c>
      <c r="I14" s="707"/>
      <c r="J14" s="707"/>
      <c r="K14" s="707"/>
      <c r="L14" s="707" t="s">
        <v>299</v>
      </c>
      <c r="M14" s="708" t="s">
        <v>41</v>
      </c>
      <c r="N14" s="617"/>
      <c r="O14"/>
    </row>
    <row r="15" spans="2:23" ht="15" customHeight="1" x14ac:dyDescent="0.35">
      <c r="B15" s="249"/>
      <c r="C15" s="701"/>
      <c r="D15" s="222" t="s">
        <v>208</v>
      </c>
      <c r="E15" s="222" t="s">
        <v>207</v>
      </c>
      <c r="F15" s="222" t="s">
        <v>208</v>
      </c>
      <c r="G15" s="222" t="s">
        <v>207</v>
      </c>
      <c r="H15" s="1211"/>
      <c r="I15" s="622"/>
      <c r="J15" s="617"/>
      <c r="K15" s="617"/>
      <c r="L15" s="617"/>
      <c r="M15" s="709"/>
      <c r="N15" s="617"/>
      <c r="O15"/>
    </row>
    <row r="16" spans="2:23" ht="15" customHeight="1" x14ac:dyDescent="0.35">
      <c r="B16" s="1222" t="s">
        <v>300</v>
      </c>
      <c r="C16" s="702" t="s">
        <v>216</v>
      </c>
      <c r="D16" s="1225">
        <v>0.94</v>
      </c>
      <c r="E16" s="1225"/>
      <c r="F16" s="911">
        <v>426</v>
      </c>
      <c r="G16" s="911">
        <v>191</v>
      </c>
      <c r="H16" s="1212" t="s">
        <v>301</v>
      </c>
      <c r="I16" s="622"/>
      <c r="J16" s="617"/>
      <c r="K16" s="617"/>
      <c r="L16" s="617"/>
      <c r="M16" s="709"/>
      <c r="N16" s="617"/>
      <c r="O16"/>
    </row>
    <row r="17" spans="2:20" ht="15" customHeight="1" x14ac:dyDescent="0.35">
      <c r="B17" s="1223"/>
      <c r="C17" s="703" t="s">
        <v>217</v>
      </c>
      <c r="D17" s="1225"/>
      <c r="E17" s="1225"/>
      <c r="F17" s="912">
        <v>3080</v>
      </c>
      <c r="G17" s="912">
        <v>1515</v>
      </c>
      <c r="H17" s="1212"/>
      <c r="I17" s="622"/>
      <c r="J17" s="617"/>
      <c r="K17" s="617"/>
      <c r="L17" s="617"/>
      <c r="M17" s="709"/>
      <c r="N17" s="617"/>
      <c r="O17"/>
    </row>
    <row r="18" spans="2:20" ht="15" customHeight="1" x14ac:dyDescent="0.35">
      <c r="B18" s="1223"/>
      <c r="C18" s="703" t="s">
        <v>302</v>
      </c>
      <c r="D18" s="1225"/>
      <c r="E18" s="1225"/>
      <c r="F18" s="1213">
        <v>0.96</v>
      </c>
      <c r="G18" s="1214"/>
      <c r="H18" s="1212"/>
      <c r="I18" s="622"/>
      <c r="J18" s="617"/>
      <c r="K18" s="617"/>
      <c r="L18" s="617"/>
      <c r="M18" s="709"/>
      <c r="N18" s="617"/>
      <c r="O18"/>
    </row>
    <row r="19" spans="2:20" ht="15" customHeight="1" x14ac:dyDescent="0.35">
      <c r="B19" s="1223"/>
      <c r="C19" s="703" t="s">
        <v>303</v>
      </c>
      <c r="D19" s="1225"/>
      <c r="E19" s="1225"/>
      <c r="F19" s="704"/>
      <c r="G19" s="704"/>
      <c r="H19" s="1212"/>
      <c r="I19" s="622"/>
      <c r="J19" s="617"/>
      <c r="K19" s="617"/>
      <c r="L19" s="617"/>
      <c r="M19" s="709"/>
      <c r="N19" s="617"/>
      <c r="O19"/>
    </row>
    <row r="20" spans="2:20" ht="15" customHeight="1" x14ac:dyDescent="0.35">
      <c r="B20" s="1224"/>
      <c r="C20" s="705" t="s">
        <v>304</v>
      </c>
      <c r="D20" s="1225"/>
      <c r="E20" s="1225"/>
      <c r="F20" s="706"/>
      <c r="G20" s="706"/>
      <c r="H20" s="1212"/>
      <c r="I20" s="622"/>
      <c r="J20" s="617"/>
      <c r="K20" s="617"/>
      <c r="L20" s="617"/>
      <c r="M20" s="709"/>
      <c r="N20" s="617"/>
      <c r="O20"/>
    </row>
    <row r="21" spans="2:20" ht="21.4" customHeight="1" x14ac:dyDescent="0.35">
      <c r="O21" s="622"/>
      <c r="P21" s="617"/>
      <c r="Q21" s="617"/>
      <c r="R21" s="617"/>
      <c r="S21" s="709"/>
      <c r="T21" s="617"/>
    </row>
    <row r="22" spans="2:20" ht="25.15" customHeight="1" x14ac:dyDescent="0.35">
      <c r="B22" s="64" t="s">
        <v>305</v>
      </c>
      <c r="C22" s="64"/>
      <c r="D22" s="64"/>
      <c r="E22" s="64"/>
    </row>
    <row r="23" spans="2:20" ht="21.4" customHeight="1" x14ac:dyDescent="0.35">
      <c r="B23" s="3" t="s">
        <v>306</v>
      </c>
      <c r="C23" s="10" t="s">
        <v>307</v>
      </c>
      <c r="D23" s="10" t="s">
        <v>308</v>
      </c>
      <c r="E23" s="10" t="s">
        <v>309</v>
      </c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</row>
    <row r="24" spans="2:20" ht="21.4" customHeight="1" x14ac:dyDescent="0.35">
      <c r="B24" s="891" t="s">
        <v>310</v>
      </c>
      <c r="C24" s="892" t="s">
        <v>311</v>
      </c>
      <c r="D24" s="892">
        <v>178</v>
      </c>
      <c r="E24" s="892">
        <v>23.14</v>
      </c>
      <c r="F24" s="698"/>
      <c r="G24" s="697"/>
      <c r="H24" s="494"/>
      <c r="I24" s="494"/>
      <c r="J24" s="494"/>
      <c r="K24" s="494"/>
      <c r="L24" s="494"/>
      <c r="M24" s="494"/>
      <c r="N24" s="494"/>
      <c r="O24" s="494"/>
      <c r="P24" s="494"/>
      <c r="Q24" s="494"/>
      <c r="R24" s="494"/>
      <c r="S24" s="494"/>
    </row>
    <row r="25" spans="2:20" ht="21.4" customHeight="1" x14ac:dyDescent="0.35">
      <c r="B25" s="893" t="s">
        <v>312</v>
      </c>
      <c r="C25" s="894" t="s">
        <v>313</v>
      </c>
      <c r="D25" s="894">
        <v>825</v>
      </c>
      <c r="E25" s="894">
        <v>107.25</v>
      </c>
      <c r="F25" s="698"/>
      <c r="G25" s="700"/>
      <c r="H25" s="495"/>
      <c r="I25" s="495"/>
      <c r="J25" s="495"/>
      <c r="K25" s="495"/>
      <c r="L25" s="495"/>
      <c r="M25" s="495"/>
      <c r="N25" s="495"/>
      <c r="O25" s="495"/>
      <c r="P25" s="495"/>
      <c r="Q25" s="495"/>
      <c r="R25" s="495"/>
      <c r="S25" s="495"/>
    </row>
    <row r="26" spans="2:20" ht="21.4" customHeight="1" x14ac:dyDescent="0.35">
      <c r="B26" s="893" t="s">
        <v>314</v>
      </c>
      <c r="C26" s="894" t="s">
        <v>311</v>
      </c>
      <c r="D26" s="894">
        <v>80</v>
      </c>
      <c r="E26" s="894">
        <v>160</v>
      </c>
      <c r="F26"/>
      <c r="G26" s="700"/>
      <c r="H26" s="495"/>
      <c r="I26" s="495"/>
      <c r="J26" s="495"/>
      <c r="K26" s="495"/>
      <c r="L26" s="495"/>
      <c r="M26" s="495"/>
      <c r="N26" s="495"/>
      <c r="O26" s="495"/>
      <c r="P26" s="495"/>
      <c r="Q26" s="495"/>
      <c r="R26" s="495"/>
      <c r="S26" s="495"/>
    </row>
    <row r="27" spans="2:20" ht="21.4" customHeight="1" x14ac:dyDescent="0.35">
      <c r="B27" s="893" t="s">
        <v>315</v>
      </c>
      <c r="C27" s="894" t="s">
        <v>313</v>
      </c>
      <c r="D27" s="894">
        <v>645</v>
      </c>
      <c r="E27" s="894">
        <v>116.6</v>
      </c>
      <c r="F27"/>
      <c r="G27" s="700"/>
      <c r="H27" s="496"/>
      <c r="I27" s="496"/>
      <c r="J27" s="496"/>
      <c r="K27" s="496"/>
      <c r="L27" s="496"/>
      <c r="M27" s="496"/>
      <c r="N27" s="496"/>
      <c r="O27" s="496"/>
      <c r="P27" s="496"/>
      <c r="Q27" s="496"/>
      <c r="R27" s="496"/>
      <c r="S27" s="496"/>
    </row>
    <row r="28" spans="2:20" ht="21.4" customHeight="1" x14ac:dyDescent="0.35">
      <c r="B28" s="893" t="s">
        <v>315</v>
      </c>
      <c r="C28" s="894" t="s">
        <v>313</v>
      </c>
      <c r="D28" s="894">
        <v>4726</v>
      </c>
      <c r="E28" s="894">
        <v>186.4</v>
      </c>
      <c r="F28"/>
      <c r="G28" s="700"/>
      <c r="H28" s="497"/>
      <c r="I28" s="497"/>
      <c r="J28" s="497"/>
      <c r="K28" s="497"/>
      <c r="L28" s="497"/>
      <c r="M28" s="497"/>
      <c r="N28" s="497"/>
      <c r="O28" s="497"/>
      <c r="P28" s="497"/>
      <c r="Q28" s="497"/>
      <c r="R28" s="497"/>
      <c r="S28" s="497"/>
    </row>
    <row r="29" spans="2:20" ht="21.4" customHeight="1" x14ac:dyDescent="0.35">
      <c r="B29" s="1221" t="s">
        <v>316</v>
      </c>
      <c r="C29" s="1221"/>
      <c r="D29" s="1221"/>
      <c r="E29" s="895">
        <f>SUM(E24:E28)</f>
        <v>593.39</v>
      </c>
      <c r="F29"/>
      <c r="G29" s="699"/>
    </row>
    <row r="30" spans="2:20" ht="25.15" customHeight="1" x14ac:dyDescent="0.35">
      <c r="B30" s="64" t="s">
        <v>317</v>
      </c>
    </row>
    <row r="31" spans="2:20" ht="21.4" customHeight="1" x14ac:dyDescent="0.35">
      <c r="B31" s="165"/>
      <c r="C31" s="363"/>
      <c r="D31" s="1037">
        <v>2020</v>
      </c>
      <c r="E31" s="1063"/>
      <c r="F31" s="1037">
        <v>2021</v>
      </c>
      <c r="G31" s="1037"/>
      <c r="H31" s="1062">
        <v>2022</v>
      </c>
      <c r="I31" s="1226"/>
      <c r="J31" s="1037">
        <v>2023</v>
      </c>
      <c r="K31" s="1037"/>
      <c r="L31" s="1062">
        <v>2024</v>
      </c>
      <c r="M31" s="1037"/>
      <c r="N31" s="1037"/>
      <c r="O31" s="1037"/>
      <c r="P31" s="109"/>
      <c r="Q31" s="109"/>
      <c r="R31" s="109"/>
      <c r="S31" s="1211" t="s">
        <v>41</v>
      </c>
    </row>
    <row r="32" spans="2:20" ht="21.4" customHeight="1" x14ac:dyDescent="0.35">
      <c r="B32" s="249"/>
      <c r="C32" s="250"/>
      <c r="D32" s="222" t="s">
        <v>208</v>
      </c>
      <c r="E32" s="357" t="s">
        <v>207</v>
      </c>
      <c r="F32" s="222" t="s">
        <v>208</v>
      </c>
      <c r="G32" s="357" t="s">
        <v>207</v>
      </c>
      <c r="H32" s="222" t="s">
        <v>208</v>
      </c>
      <c r="I32" s="584" t="s">
        <v>207</v>
      </c>
      <c r="J32" s="222" t="s">
        <v>208</v>
      </c>
      <c r="K32" s="222" t="s">
        <v>207</v>
      </c>
      <c r="L32" s="222" t="s">
        <v>208</v>
      </c>
      <c r="M32" s="222" t="s">
        <v>207</v>
      </c>
      <c r="N32" s="222"/>
      <c r="O32" s="222"/>
      <c r="P32" s="222"/>
      <c r="Q32" s="222"/>
      <c r="R32" s="222"/>
      <c r="S32" s="1211"/>
    </row>
    <row r="33" spans="2:19" ht="21.4" customHeight="1" x14ac:dyDescent="0.35">
      <c r="B33" s="1216" t="s">
        <v>300</v>
      </c>
      <c r="C33" s="364" t="s">
        <v>216</v>
      </c>
      <c r="D33" s="348">
        <v>0.59</v>
      </c>
      <c r="E33" s="358">
        <v>0.56999999999999995</v>
      </c>
      <c r="F33" s="348">
        <v>0.87</v>
      </c>
      <c r="G33" s="358">
        <v>0.85</v>
      </c>
      <c r="H33" s="348">
        <v>0.78</v>
      </c>
      <c r="I33" s="585">
        <v>0.74</v>
      </c>
      <c r="J33" s="527">
        <v>0.8314606741573034</v>
      </c>
      <c r="K33" s="527">
        <v>0.90410958904109584</v>
      </c>
      <c r="L33" s="348">
        <v>0.87912087912087911</v>
      </c>
      <c r="M33" s="348">
        <v>0.87323943661971826</v>
      </c>
      <c r="N33" s="527"/>
      <c r="O33" s="527"/>
      <c r="P33" s="527"/>
      <c r="Q33" s="527"/>
      <c r="R33" s="527"/>
      <c r="S33" s="1215" t="s">
        <v>301</v>
      </c>
    </row>
    <row r="34" spans="2:19" ht="21.4" customHeight="1" x14ac:dyDescent="0.35">
      <c r="B34" s="1217"/>
      <c r="C34" s="365" t="s">
        <v>217</v>
      </c>
      <c r="D34" s="349">
        <v>0.92</v>
      </c>
      <c r="E34" s="355">
        <v>0.79</v>
      </c>
      <c r="F34" s="349">
        <v>0.79</v>
      </c>
      <c r="G34" s="355">
        <v>0.77</v>
      </c>
      <c r="H34" s="349">
        <v>0.85</v>
      </c>
      <c r="I34" s="586">
        <v>0.79</v>
      </c>
      <c r="J34" s="527">
        <v>0.80106100795755963</v>
      </c>
      <c r="K34" s="527">
        <v>0.76897689768976896</v>
      </c>
      <c r="L34" s="349">
        <v>0.88515406162464982</v>
      </c>
      <c r="M34" s="349">
        <v>0.89243027888446214</v>
      </c>
      <c r="N34" s="527"/>
      <c r="O34" s="527"/>
      <c r="P34" s="527"/>
      <c r="Q34" s="527"/>
      <c r="R34" s="527"/>
      <c r="S34" s="1215"/>
    </row>
    <row r="35" spans="2:19" ht="21.4" customHeight="1" x14ac:dyDescent="0.35">
      <c r="B35" s="1217"/>
      <c r="C35" s="365" t="s">
        <v>302</v>
      </c>
      <c r="D35" s="349">
        <v>0.86</v>
      </c>
      <c r="E35" s="355">
        <v>0.75</v>
      </c>
      <c r="F35" s="349">
        <v>0.81</v>
      </c>
      <c r="G35" s="355">
        <v>0.78</v>
      </c>
      <c r="H35" s="349">
        <v>0.84</v>
      </c>
      <c r="I35" s="586">
        <v>0.78</v>
      </c>
      <c r="J35" s="527">
        <v>0.80686695278969955</v>
      </c>
      <c r="K35" s="527">
        <v>0.79521276595744683</v>
      </c>
      <c r="L35" s="349">
        <v>0.8839285714285714</v>
      </c>
      <c r="M35" s="349">
        <v>0.88819875776397517</v>
      </c>
      <c r="N35" s="527"/>
      <c r="O35" s="527"/>
      <c r="P35" s="527"/>
      <c r="Q35" s="527"/>
      <c r="R35" s="527"/>
      <c r="S35" s="1215"/>
    </row>
    <row r="36" spans="2:19" ht="21.4" customHeight="1" x14ac:dyDescent="0.35">
      <c r="B36" s="1217"/>
      <c r="C36" s="365" t="s">
        <v>303</v>
      </c>
      <c r="D36" s="349">
        <v>0.89</v>
      </c>
      <c r="E36" s="355">
        <v>0.72</v>
      </c>
      <c r="F36" s="349">
        <v>0.74</v>
      </c>
      <c r="G36" s="355">
        <v>0.69</v>
      </c>
      <c r="H36" s="349">
        <v>0.81</v>
      </c>
      <c r="I36" s="586">
        <v>0.72</v>
      </c>
      <c r="J36" s="527">
        <v>0.69620253164556967</v>
      </c>
      <c r="K36" s="527">
        <v>0.66883116883116878</v>
      </c>
      <c r="L36" s="349">
        <v>0.8571428571428571</v>
      </c>
      <c r="M36" s="349">
        <v>0.81818181818181823</v>
      </c>
      <c r="N36" s="527"/>
      <c r="O36" s="527"/>
      <c r="P36" s="527"/>
      <c r="Q36" s="527"/>
      <c r="R36" s="527"/>
      <c r="S36" s="1215"/>
    </row>
    <row r="37" spans="2:19" ht="21.4" customHeight="1" x14ac:dyDescent="0.35">
      <c r="B37" s="1218"/>
      <c r="C37" s="366" t="s">
        <v>304</v>
      </c>
      <c r="D37" s="350">
        <v>0.81</v>
      </c>
      <c r="E37" s="356">
        <v>0.8</v>
      </c>
      <c r="F37" s="350">
        <v>0.93</v>
      </c>
      <c r="G37" s="356">
        <v>0.9</v>
      </c>
      <c r="H37" s="350">
        <v>0.9</v>
      </c>
      <c r="I37" s="587">
        <v>0.88</v>
      </c>
      <c r="J37" s="527">
        <v>0.92139737991266379</v>
      </c>
      <c r="K37" s="527">
        <v>0.88288288288288286</v>
      </c>
      <c r="L37" s="350">
        <v>0.91836734693877553</v>
      </c>
      <c r="M37" s="350">
        <v>0.93684210526315792</v>
      </c>
      <c r="N37" s="527"/>
      <c r="O37" s="527"/>
      <c r="P37" s="527"/>
      <c r="Q37" s="527"/>
      <c r="R37" s="527"/>
      <c r="S37" s="1215"/>
    </row>
    <row r="38" spans="2:19" ht="21.4" customHeight="1" x14ac:dyDescent="0.35">
      <c r="B38" s="308"/>
      <c r="C38" s="338"/>
      <c r="D38" s="347"/>
      <c r="E38" s="347"/>
      <c r="F38" s="347"/>
      <c r="G38" s="347"/>
      <c r="H38" s="347"/>
      <c r="I38" s="347"/>
      <c r="J38" s="346"/>
    </row>
    <row r="39" spans="2:19" ht="25.15" customHeight="1" x14ac:dyDescent="0.35">
      <c r="B39" s="64" t="s">
        <v>318</v>
      </c>
    </row>
    <row r="40" spans="2:19" ht="21.4" customHeight="1" x14ac:dyDescent="0.35">
      <c r="B40" s="165"/>
      <c r="C40" s="363"/>
      <c r="D40" s="1037">
        <v>2020</v>
      </c>
      <c r="E40" s="1063"/>
      <c r="F40" s="1062">
        <v>2021</v>
      </c>
      <c r="G40" s="1063"/>
      <c r="H40" s="1037">
        <v>2022</v>
      </c>
      <c r="I40" s="1037"/>
      <c r="J40" s="1062">
        <v>2023</v>
      </c>
      <c r="K40" s="1037"/>
      <c r="L40" s="1062">
        <v>2024</v>
      </c>
      <c r="M40" s="1037"/>
      <c r="N40" s="109"/>
      <c r="O40" s="109"/>
      <c r="P40" s="109"/>
      <c r="Q40" s="109"/>
      <c r="R40" s="109"/>
      <c r="S40" s="1211" t="s">
        <v>41</v>
      </c>
    </row>
    <row r="41" spans="2:19" ht="21.4" customHeight="1" x14ac:dyDescent="0.35">
      <c r="B41" s="249"/>
      <c r="C41" s="250"/>
      <c r="D41" s="222" t="s">
        <v>208</v>
      </c>
      <c r="E41" s="357" t="s">
        <v>207</v>
      </c>
      <c r="F41" s="222" t="s">
        <v>208</v>
      </c>
      <c r="G41" s="357" t="s">
        <v>207</v>
      </c>
      <c r="H41" s="222" t="s">
        <v>208</v>
      </c>
      <c r="I41" s="584" t="s">
        <v>207</v>
      </c>
      <c r="J41" s="222" t="s">
        <v>208</v>
      </c>
      <c r="K41" s="222" t="s">
        <v>207</v>
      </c>
      <c r="L41" s="222" t="s">
        <v>208</v>
      </c>
      <c r="M41" s="222" t="s">
        <v>207</v>
      </c>
      <c r="N41" s="222"/>
      <c r="O41" s="222"/>
      <c r="P41" s="222"/>
      <c r="Q41" s="222"/>
      <c r="R41" s="222"/>
      <c r="S41" s="1211"/>
    </row>
    <row r="42" spans="2:19" ht="21.4" customHeight="1" x14ac:dyDescent="0.35">
      <c r="B42" s="1216" t="s">
        <v>300</v>
      </c>
      <c r="C42" s="364" t="s">
        <v>216</v>
      </c>
      <c r="D42" s="351">
        <v>0.83</v>
      </c>
      <c r="E42" s="359">
        <v>0.8</v>
      </c>
      <c r="F42" s="352">
        <v>0.83</v>
      </c>
      <c r="G42" s="361">
        <v>0.91</v>
      </c>
      <c r="H42" s="351">
        <v>0.84</v>
      </c>
      <c r="I42" s="588">
        <v>0.82</v>
      </c>
      <c r="J42" s="527">
        <v>0.92</v>
      </c>
      <c r="K42" s="527">
        <v>0.92</v>
      </c>
      <c r="L42" s="348">
        <v>1</v>
      </c>
      <c r="M42" s="348">
        <v>0.96</v>
      </c>
      <c r="N42" s="527"/>
      <c r="O42" s="527"/>
      <c r="P42" s="527"/>
      <c r="Q42" s="527"/>
      <c r="R42" s="527"/>
      <c r="S42" s="1215" t="s">
        <v>301</v>
      </c>
    </row>
    <row r="43" spans="2:19" ht="21.4" customHeight="1" x14ac:dyDescent="0.35">
      <c r="B43" s="1217"/>
      <c r="C43" s="365" t="s">
        <v>217</v>
      </c>
      <c r="D43" s="353">
        <v>0.91</v>
      </c>
      <c r="E43" s="360">
        <v>0.95</v>
      </c>
      <c r="F43" s="354">
        <v>0.94</v>
      </c>
      <c r="G43" s="362">
        <v>0.91</v>
      </c>
      <c r="H43" s="353">
        <v>0.93</v>
      </c>
      <c r="I43" s="589">
        <v>0.84</v>
      </c>
      <c r="J43" s="527">
        <v>0.73</v>
      </c>
      <c r="K43" s="527">
        <v>0.74</v>
      </c>
      <c r="L43" s="349">
        <v>0.92</v>
      </c>
      <c r="M43" s="349">
        <v>0.9</v>
      </c>
      <c r="N43" s="527"/>
      <c r="O43" s="527"/>
      <c r="P43" s="527"/>
      <c r="Q43" s="527"/>
      <c r="R43" s="527"/>
      <c r="S43" s="1215"/>
    </row>
    <row r="44" spans="2:19" ht="21.4" customHeight="1" x14ac:dyDescent="0.35">
      <c r="B44" s="308"/>
      <c r="C44" s="338"/>
      <c r="D44" s="347"/>
      <c r="E44" s="347"/>
      <c r="F44" s="347"/>
      <c r="G44" s="347"/>
      <c r="H44" s="347"/>
      <c r="I44" s="347"/>
      <c r="J44" s="346"/>
    </row>
    <row r="45" spans="2:19" ht="25.15" customHeight="1" x14ac:dyDescent="0.35">
      <c r="B45" s="64" t="s">
        <v>319</v>
      </c>
    </row>
    <row r="46" spans="2:19" ht="21.4" customHeight="1" x14ac:dyDescent="0.35">
      <c r="B46" s="165"/>
      <c r="C46" s="363"/>
      <c r="D46" s="1037">
        <v>2021</v>
      </c>
      <c r="E46" s="1037"/>
      <c r="F46" s="1062">
        <v>2022</v>
      </c>
      <c r="G46" s="1037"/>
      <c r="H46" s="1062">
        <v>2023</v>
      </c>
      <c r="I46" s="1037"/>
      <c r="J46" s="1062">
        <v>2024</v>
      </c>
      <c r="K46" s="1037"/>
      <c r="L46" s="109"/>
      <c r="M46" s="109"/>
      <c r="N46" s="109"/>
      <c r="O46" s="109"/>
      <c r="P46" s="109"/>
      <c r="Q46" s="109"/>
      <c r="R46" s="109"/>
      <c r="S46" s="1211" t="s">
        <v>41</v>
      </c>
    </row>
    <row r="47" spans="2:19" ht="21.4" customHeight="1" x14ac:dyDescent="0.35">
      <c r="B47" s="249"/>
      <c r="C47" s="250"/>
      <c r="D47" s="222" t="s">
        <v>208</v>
      </c>
      <c r="E47" s="357" t="s">
        <v>207</v>
      </c>
      <c r="F47" s="222" t="s">
        <v>208</v>
      </c>
      <c r="G47" s="357" t="s">
        <v>207</v>
      </c>
      <c r="H47" s="222" t="s">
        <v>208</v>
      </c>
      <c r="I47" s="222" t="s">
        <v>207</v>
      </c>
      <c r="J47" s="719" t="s">
        <v>208</v>
      </c>
      <c r="K47" s="719" t="s">
        <v>207</v>
      </c>
      <c r="L47" s="222"/>
      <c r="M47" s="222"/>
      <c r="N47" s="222"/>
      <c r="O47" s="222"/>
      <c r="P47" s="222"/>
      <c r="Q47" s="222"/>
      <c r="R47" s="222"/>
      <c r="S47" s="1211"/>
    </row>
    <row r="48" spans="2:19" ht="21.4" customHeight="1" x14ac:dyDescent="0.35">
      <c r="B48" s="1216" t="s">
        <v>300</v>
      </c>
      <c r="C48" s="364" t="s">
        <v>216</v>
      </c>
      <c r="D48" s="348">
        <v>0.59</v>
      </c>
      <c r="E48" s="358">
        <v>0.41</v>
      </c>
      <c r="F48" s="348">
        <v>0</v>
      </c>
      <c r="G48" s="358">
        <v>0</v>
      </c>
      <c r="H48" s="348">
        <v>0.51249999999999996</v>
      </c>
      <c r="I48" s="348">
        <v>0.48749999999999999</v>
      </c>
      <c r="J48" s="720">
        <v>0.64</v>
      </c>
      <c r="K48" s="720">
        <v>0.37</v>
      </c>
      <c r="L48" s="527"/>
      <c r="M48" s="527"/>
      <c r="N48" s="527"/>
      <c r="O48" s="527"/>
      <c r="P48" s="527"/>
      <c r="Q48" s="527"/>
      <c r="R48" s="527"/>
      <c r="S48" s="1215" t="s">
        <v>301</v>
      </c>
    </row>
    <row r="49" spans="1:25" ht="21.4" customHeight="1" x14ac:dyDescent="0.35">
      <c r="B49" s="1217"/>
      <c r="C49" s="365" t="s">
        <v>217</v>
      </c>
      <c r="D49" s="349">
        <v>0.6</v>
      </c>
      <c r="E49" s="355">
        <v>0.4</v>
      </c>
      <c r="F49" s="349">
        <v>0</v>
      </c>
      <c r="G49" s="358">
        <v>0</v>
      </c>
      <c r="H49" s="349">
        <v>0.62990196078431371</v>
      </c>
      <c r="I49" s="349">
        <v>0.37009803921568629</v>
      </c>
      <c r="J49" s="721">
        <v>0.65</v>
      </c>
      <c r="K49" s="721">
        <v>0.35</v>
      </c>
      <c r="L49" s="527"/>
      <c r="M49" s="527"/>
      <c r="N49" s="527"/>
      <c r="O49" s="527"/>
      <c r="P49" s="527"/>
      <c r="Q49" s="527"/>
      <c r="R49" s="527"/>
      <c r="S49" s="1215"/>
      <c r="X49" s="723"/>
      <c r="Y49" s="723"/>
    </row>
    <row r="50" spans="1:25" ht="21.4" customHeight="1" x14ac:dyDescent="0.35">
      <c r="B50" s="1217"/>
      <c r="C50" s="365" t="s">
        <v>302</v>
      </c>
      <c r="D50" s="1219">
        <v>0.81</v>
      </c>
      <c r="E50" s="1220"/>
      <c r="F50" s="349">
        <v>0</v>
      </c>
      <c r="G50" s="358">
        <v>0</v>
      </c>
      <c r="H50" s="349">
        <v>0.61065573770491799</v>
      </c>
      <c r="I50" s="349">
        <v>0.38934426229508196</v>
      </c>
      <c r="J50" s="721" t="s">
        <v>491</v>
      </c>
      <c r="K50" s="721" t="s">
        <v>491</v>
      </c>
      <c r="L50" s="527"/>
      <c r="M50" s="527"/>
      <c r="N50" s="527"/>
      <c r="O50" s="527"/>
      <c r="P50" s="527"/>
      <c r="Q50" s="527"/>
      <c r="R50" s="527"/>
      <c r="S50" s="1215"/>
      <c r="X50" s="724"/>
      <c r="Y50" s="724"/>
    </row>
    <row r="56" spans="1:25" x14ac:dyDescent="0.35">
      <c r="A56" s="900"/>
      <c r="B56" s="901" t="s">
        <v>320</v>
      </c>
      <c r="C56" s="901"/>
      <c r="D56" s="901"/>
      <c r="E56" s="901"/>
    </row>
    <row r="57" spans="1:25" x14ac:dyDescent="0.35">
      <c r="A57" s="900"/>
      <c r="B57" s="901" t="s">
        <v>44</v>
      </c>
      <c r="C57" s="902">
        <v>0.96</v>
      </c>
      <c r="D57" s="901">
        <v>5212</v>
      </c>
      <c r="E57" s="901"/>
    </row>
    <row r="58" spans="1:25" x14ac:dyDescent="0.35">
      <c r="A58" s="900"/>
      <c r="B58" s="901" t="s">
        <v>47</v>
      </c>
      <c r="C58" s="902">
        <v>0.93</v>
      </c>
      <c r="D58" s="903">
        <f>1672*0.93</f>
        <v>1554.96</v>
      </c>
      <c r="E58" s="901"/>
    </row>
    <row r="59" spans="1:25" x14ac:dyDescent="0.35">
      <c r="A59" s="900"/>
      <c r="B59" s="904" t="s">
        <v>46</v>
      </c>
      <c r="C59" s="902">
        <v>0.89</v>
      </c>
      <c r="D59" s="903">
        <f>1106*0.89</f>
        <v>984.34</v>
      </c>
      <c r="E59" s="901"/>
    </row>
    <row r="60" spans="1:25" x14ac:dyDescent="0.35">
      <c r="A60" s="900"/>
      <c r="B60" s="901" t="s">
        <v>52</v>
      </c>
      <c r="C60" s="902">
        <v>0.49</v>
      </c>
      <c r="D60" s="901">
        <v>276</v>
      </c>
      <c r="E60" s="901"/>
    </row>
    <row r="61" spans="1:25" x14ac:dyDescent="0.35">
      <c r="A61" s="900"/>
      <c r="B61" s="901"/>
      <c r="C61" s="901"/>
      <c r="D61" s="901">
        <f>SUM(D57:D60)</f>
        <v>8027.3</v>
      </c>
      <c r="E61" s="901"/>
    </row>
    <row r="62" spans="1:25" ht="15" customHeight="1" x14ac:dyDescent="0.35">
      <c r="B62" s="1208" t="s">
        <v>321</v>
      </c>
    </row>
    <row r="63" spans="1:25" ht="18.75" customHeight="1" x14ac:dyDescent="0.35">
      <c r="B63" s="1208"/>
      <c r="C63" s="1209">
        <f>8027/8800</f>
        <v>0.91215909090909086</v>
      </c>
      <c r="D63" s="1209"/>
    </row>
    <row r="64" spans="1:25" ht="18.75" customHeight="1" x14ac:dyDescent="0.35">
      <c r="B64" s="1208"/>
      <c r="C64" s="1209"/>
      <c r="D64" s="1209"/>
    </row>
    <row r="65" spans="4:4" x14ac:dyDescent="0.35">
      <c r="D65" s="312"/>
    </row>
  </sheetData>
  <mergeCells count="41">
    <mergeCell ref="B29:D29"/>
    <mergeCell ref="J46:K46"/>
    <mergeCell ref="K8:N8"/>
    <mergeCell ref="D14:E14"/>
    <mergeCell ref="B16:B20"/>
    <mergeCell ref="D16:E20"/>
    <mergeCell ref="C8:F8"/>
    <mergeCell ref="G8:J8"/>
    <mergeCell ref="H31:I31"/>
    <mergeCell ref="D31:E31"/>
    <mergeCell ref="F31:G31"/>
    <mergeCell ref="B48:B50"/>
    <mergeCell ref="D46:E46"/>
    <mergeCell ref="B33:B37"/>
    <mergeCell ref="H40:I40"/>
    <mergeCell ref="D50:E50"/>
    <mergeCell ref="F46:G46"/>
    <mergeCell ref="D40:E40"/>
    <mergeCell ref="F40:G40"/>
    <mergeCell ref="B42:B43"/>
    <mergeCell ref="S33:S37"/>
    <mergeCell ref="S31:S32"/>
    <mergeCell ref="J40:K40"/>
    <mergeCell ref="S40:S41"/>
    <mergeCell ref="N31:O31"/>
    <mergeCell ref="B62:B64"/>
    <mergeCell ref="C63:D64"/>
    <mergeCell ref="S8:V8"/>
    <mergeCell ref="W10:W11"/>
    <mergeCell ref="L40:M40"/>
    <mergeCell ref="F14:G14"/>
    <mergeCell ref="H14:H15"/>
    <mergeCell ref="H16:H20"/>
    <mergeCell ref="F18:G18"/>
    <mergeCell ref="O8:R8"/>
    <mergeCell ref="S42:S43"/>
    <mergeCell ref="H46:I46"/>
    <mergeCell ref="S46:S47"/>
    <mergeCell ref="S48:S50"/>
    <mergeCell ref="L31:M31"/>
    <mergeCell ref="J31:K31"/>
  </mergeCells>
  <pageMargins left="0.7" right="0.7" top="0.75" bottom="0.75" header="0.3" footer="0.3"/>
  <headerFooter scaleWithDoc="0"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V75"/>
  <sheetViews>
    <sheetView showGridLines="0" rightToLeft="1" zoomScale="94" zoomScaleNormal="94" workbookViewId="0">
      <selection activeCell="B11" sqref="B11"/>
    </sheetView>
  </sheetViews>
  <sheetFormatPr defaultColWidth="9.26953125" defaultRowHeight="14.5" x14ac:dyDescent="0.35"/>
  <cols>
    <col min="1" max="1" width="3.7265625" customWidth="1"/>
    <col min="2" max="2" width="24.26953125" style="110" customWidth="1"/>
    <col min="3" max="3" width="14.54296875" style="110" customWidth="1"/>
    <col min="4" max="4" width="14.7265625" style="110" customWidth="1"/>
    <col min="5" max="17" width="12.7265625" style="110" customWidth="1"/>
    <col min="18" max="18" width="19.453125" style="110" customWidth="1"/>
    <col min="19" max="19" width="12.7265625" style="110" customWidth="1"/>
  </cols>
  <sheetData>
    <row r="1" spans="2:19" ht="15" customHeight="1" x14ac:dyDescent="0.35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/>
      <c r="P1"/>
      <c r="Q1"/>
      <c r="R1"/>
      <c r="S1"/>
    </row>
    <row r="2" spans="2:19" ht="15" customHeight="1" x14ac:dyDescent="0.3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/>
      <c r="P2"/>
      <c r="Q2"/>
      <c r="R2"/>
      <c r="S2"/>
    </row>
    <row r="3" spans="2:19" ht="15" customHeight="1" x14ac:dyDescent="0.3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/>
      <c r="P3"/>
      <c r="Q3"/>
      <c r="R3"/>
      <c r="S3"/>
    </row>
    <row r="4" spans="2:19" ht="15" customHeight="1" x14ac:dyDescent="0.35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/>
      <c r="P4"/>
      <c r="Q4"/>
      <c r="R4" s="17"/>
      <c r="S4" s="17"/>
    </row>
    <row r="5" spans="2:19" ht="25.15" customHeight="1" thickBot="1" x14ac:dyDescent="0.4">
      <c r="B5" s="39" t="s">
        <v>25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38"/>
    </row>
    <row r="6" spans="2:19" ht="15" customHeight="1" thickTop="1" x14ac:dyDescent="0.35">
      <c r="B6" s="41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2:19" ht="15" customHeight="1" x14ac:dyDescent="0.35">
      <c r="B7" s="447" t="s">
        <v>322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 spans="2:19" ht="26.65" customHeight="1" x14ac:dyDescent="0.35">
      <c r="B8" s="322" t="s">
        <v>323</v>
      </c>
      <c r="C8" s="322"/>
      <c r="D8" s="510" t="s">
        <v>44</v>
      </c>
      <c r="E8" s="510" t="s">
        <v>47</v>
      </c>
      <c r="F8" s="510" t="s">
        <v>46</v>
      </c>
      <c r="G8" s="322" t="s">
        <v>52</v>
      </c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185" t="s">
        <v>41</v>
      </c>
      <c r="S8" s="38"/>
    </row>
    <row r="9" spans="2:19" ht="27" customHeight="1" x14ac:dyDescent="0.35">
      <c r="B9" s="1228" t="s">
        <v>506</v>
      </c>
      <c r="C9" s="1228"/>
      <c r="D9" s="943">
        <v>0.94</v>
      </c>
      <c r="E9" s="943">
        <v>0.85</v>
      </c>
      <c r="F9" s="712">
        <v>0.6327307326355851</v>
      </c>
      <c r="G9" s="944">
        <v>0.81</v>
      </c>
      <c r="H9" s="449"/>
      <c r="I9" s="449"/>
      <c r="J9" s="449"/>
      <c r="K9" s="449"/>
      <c r="L9" s="449"/>
      <c r="M9" s="449"/>
      <c r="N9" s="449"/>
      <c r="O9" s="449"/>
      <c r="P9" s="449"/>
      <c r="Q9" s="449"/>
      <c r="R9" s="772"/>
      <c r="S9" s="38"/>
    </row>
    <row r="10" spans="2:19" ht="15" customHeight="1" x14ac:dyDescent="0.35">
      <c r="B10" s="41"/>
      <c r="C10" s="38"/>
      <c r="D10" s="38"/>
      <c r="E10" s="38"/>
      <c r="F10" s="38"/>
      <c r="G10" s="38"/>
      <c r="H10" s="38"/>
      <c r="J10" s="38"/>
      <c r="K10" s="38"/>
      <c r="L10" s="38"/>
      <c r="M10" s="38"/>
      <c r="N10" s="38"/>
      <c r="O10" s="38"/>
      <c r="P10" s="38"/>
      <c r="Q10" s="38"/>
      <c r="R10"/>
      <c r="S10"/>
    </row>
    <row r="11" spans="2:19" ht="21.4" customHeight="1" x14ac:dyDescent="0.35"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2:19" ht="21.4" customHeight="1" x14ac:dyDescent="0.35">
      <c r="B12" s="501" t="s">
        <v>324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2:19" ht="35.25" customHeight="1" x14ac:dyDescent="0.35">
      <c r="B13" s="322"/>
      <c r="C13" s="322" t="s">
        <v>44</v>
      </c>
      <c r="D13" s="510" t="s">
        <v>47</v>
      </c>
      <c r="E13" s="510" t="s">
        <v>46</v>
      </c>
      <c r="F13" s="510" t="s">
        <v>52</v>
      </c>
      <c r="G13" s="510"/>
      <c r="H13" s="510"/>
      <c r="I13" s="510"/>
      <c r="J13" s="510"/>
      <c r="K13" s="510"/>
      <c r="L13" s="510"/>
      <c r="M13" s="510"/>
      <c r="N13" s="510"/>
      <c r="O13" s="510"/>
      <c r="P13" s="510"/>
      <c r="Q13" s="510"/>
      <c r="R13" s="185" t="s">
        <v>41</v>
      </c>
      <c r="S13"/>
    </row>
    <row r="14" spans="2:19" ht="21.4" customHeight="1" x14ac:dyDescent="0.35">
      <c r="B14" s="590">
        <v>2021</v>
      </c>
      <c r="C14" s="1229">
        <v>237</v>
      </c>
      <c r="D14" s="1229"/>
      <c r="E14" s="1229"/>
      <c r="F14" s="559"/>
      <c r="G14" s="559"/>
      <c r="H14" s="559"/>
      <c r="I14" s="559"/>
      <c r="J14" s="559"/>
      <c r="K14" s="559"/>
      <c r="L14" s="559"/>
      <c r="M14" s="559"/>
      <c r="N14" s="559"/>
      <c r="O14" s="559"/>
      <c r="P14" s="559"/>
      <c r="Q14" s="559"/>
      <c r="R14" s="1019" t="s">
        <v>325</v>
      </c>
      <c r="S14"/>
    </row>
    <row r="15" spans="2:19" ht="21.4" customHeight="1" x14ac:dyDescent="0.35">
      <c r="B15" s="591">
        <v>2022</v>
      </c>
      <c r="C15" s="1230">
        <v>437</v>
      </c>
      <c r="D15" s="1230"/>
      <c r="E15" s="1230"/>
      <c r="F15" s="560"/>
      <c r="G15" s="560"/>
      <c r="H15" s="560"/>
      <c r="I15" s="560"/>
      <c r="J15" s="560"/>
      <c r="K15" s="560"/>
      <c r="L15" s="560"/>
      <c r="M15" s="560"/>
      <c r="N15" s="560"/>
      <c r="O15" s="560"/>
      <c r="P15" s="560"/>
      <c r="Q15" s="560"/>
      <c r="R15" s="1019"/>
      <c r="S15"/>
    </row>
    <row r="16" spans="2:19" ht="21.4" customHeight="1" x14ac:dyDescent="0.35">
      <c r="B16" s="506">
        <v>2023</v>
      </c>
      <c r="C16" s="830">
        <v>375</v>
      </c>
      <c r="D16" s="830">
        <v>20</v>
      </c>
      <c r="E16" s="830">
        <v>57</v>
      </c>
      <c r="F16" s="830">
        <v>160</v>
      </c>
      <c r="G16" s="453"/>
      <c r="H16" s="453"/>
      <c r="I16" s="453"/>
      <c r="J16" s="453"/>
      <c r="K16" s="453"/>
      <c r="L16" s="453"/>
      <c r="M16" s="453"/>
      <c r="N16" s="453"/>
      <c r="O16" s="453"/>
      <c r="P16" s="453"/>
      <c r="Q16" s="453"/>
      <c r="R16" s="1019"/>
      <c r="S16"/>
    </row>
    <row r="17" spans="2:19" ht="21.4" customHeight="1" x14ac:dyDescent="0.35">
      <c r="B17" s="463">
        <v>2024</v>
      </c>
      <c r="C17" s="831">
        <v>336</v>
      </c>
      <c r="D17" s="832">
        <v>12</v>
      </c>
      <c r="E17" s="832">
        <v>70</v>
      </c>
      <c r="F17" s="831">
        <v>23</v>
      </c>
      <c r="G17"/>
      <c r="H17" s="24" t="s">
        <v>326</v>
      </c>
      <c r="I17"/>
      <c r="J17"/>
      <c r="K17"/>
      <c r="L17"/>
      <c r="M17"/>
      <c r="N17"/>
      <c r="O17"/>
      <c r="P17"/>
      <c r="Q17"/>
      <c r="R17" s="1019"/>
      <c r="S17"/>
    </row>
    <row r="18" spans="2:19" ht="21.4" customHeight="1" x14ac:dyDescent="0.35">
      <c r="B18" s="64" t="s">
        <v>327</v>
      </c>
      <c r="C18" s="64"/>
      <c r="D18" s="64"/>
      <c r="E18" s="64"/>
      <c r="F18" s="64"/>
      <c r="I18"/>
      <c r="J18"/>
      <c r="K18" s="64"/>
      <c r="L18" s="64"/>
      <c r="M18" s="64"/>
      <c r="N18" s="64"/>
      <c r="O18" s="64"/>
      <c r="P18" s="64"/>
      <c r="Q18" s="64"/>
    </row>
    <row r="19" spans="2:19" ht="57" customHeight="1" x14ac:dyDescent="0.35">
      <c r="B19" s="322" t="s">
        <v>323</v>
      </c>
      <c r="C19" s="322" t="s">
        <v>328</v>
      </c>
      <c r="D19" s="322" t="s">
        <v>329</v>
      </c>
      <c r="E19" s="322" t="s">
        <v>330</v>
      </c>
      <c r="F19" s="322" t="s">
        <v>331</v>
      </c>
      <c r="G19" s="322" t="s">
        <v>332</v>
      </c>
      <c r="H19" s="322" t="s">
        <v>333</v>
      </c>
      <c r="I19" s="322" t="s">
        <v>334</v>
      </c>
      <c r="J19" s="322"/>
      <c r="K19" s="322"/>
      <c r="L19" s="322"/>
      <c r="M19" s="322"/>
      <c r="N19" s="322"/>
      <c r="O19" s="322"/>
      <c r="P19" s="322"/>
      <c r="Q19" s="322"/>
      <c r="R19" s="185" t="s">
        <v>41</v>
      </c>
      <c r="S19"/>
    </row>
    <row r="20" spans="2:19" ht="21.4" customHeight="1" x14ac:dyDescent="0.35">
      <c r="B20" s="324" t="s">
        <v>335</v>
      </c>
      <c r="C20" s="325" t="s">
        <v>336</v>
      </c>
      <c r="D20" s="325" t="s">
        <v>337</v>
      </c>
      <c r="E20" s="325" t="s">
        <v>338</v>
      </c>
      <c r="F20" s="325" t="s">
        <v>339</v>
      </c>
      <c r="G20" s="325" t="s">
        <v>340</v>
      </c>
      <c r="H20" s="325" t="s">
        <v>341</v>
      </c>
      <c r="I20" s="325" t="s">
        <v>342</v>
      </c>
      <c r="J20" s="325"/>
      <c r="K20" s="325"/>
      <c r="L20" s="325"/>
      <c r="M20" s="325"/>
      <c r="N20" s="325"/>
      <c r="O20" s="325"/>
      <c r="P20" s="325"/>
      <c r="Q20" s="325"/>
      <c r="R20" s="1019" t="s">
        <v>343</v>
      </c>
      <c r="S20"/>
    </row>
    <row r="21" spans="2:19" ht="21.4" customHeight="1" x14ac:dyDescent="0.35">
      <c r="B21" s="326" t="s">
        <v>344</v>
      </c>
      <c r="C21" s="327" t="s">
        <v>345</v>
      </c>
      <c r="D21" s="327" t="s">
        <v>346</v>
      </c>
      <c r="E21" s="327" t="s">
        <v>347</v>
      </c>
      <c r="F21" s="327" t="s">
        <v>348</v>
      </c>
      <c r="G21" s="327" t="s">
        <v>349</v>
      </c>
      <c r="H21" s="327" t="s">
        <v>350</v>
      </c>
      <c r="I21" s="327" t="s">
        <v>351</v>
      </c>
      <c r="J21" s="327"/>
      <c r="K21" s="327"/>
      <c r="L21" s="327"/>
      <c r="M21" s="327"/>
      <c r="N21" s="327"/>
      <c r="O21" s="327"/>
      <c r="P21" s="327"/>
      <c r="Q21" s="327"/>
      <c r="R21" s="1019"/>
      <c r="S21"/>
    </row>
    <row r="22" spans="2:19" ht="21.4" customHeight="1" x14ac:dyDescent="0.35">
      <c r="B22" s="326" t="s">
        <v>352</v>
      </c>
      <c r="C22" s="328" t="s">
        <v>353</v>
      </c>
      <c r="D22" s="328" t="s">
        <v>354</v>
      </c>
      <c r="E22" s="328" t="s">
        <v>355</v>
      </c>
      <c r="F22" s="328" t="s">
        <v>356</v>
      </c>
      <c r="G22" s="328" t="s">
        <v>340</v>
      </c>
      <c r="H22" s="328" t="s">
        <v>357</v>
      </c>
      <c r="I22" s="328" t="s">
        <v>358</v>
      </c>
      <c r="J22" s="328"/>
      <c r="K22" s="328"/>
      <c r="L22" s="328"/>
      <c r="M22" s="328"/>
      <c r="N22" s="328"/>
      <c r="O22" s="328"/>
      <c r="P22" s="328"/>
      <c r="Q22" s="328"/>
      <c r="R22" s="1019"/>
      <c r="S22"/>
    </row>
    <row r="23" spans="2:19" ht="21.4" customHeight="1" x14ac:dyDescent="0.35">
      <c r="B23" s="445">
        <v>2023</v>
      </c>
      <c r="C23" s="454">
        <v>184</v>
      </c>
      <c r="D23" s="454">
        <v>23</v>
      </c>
      <c r="E23" s="454">
        <v>47</v>
      </c>
      <c r="F23" s="454">
        <v>4406</v>
      </c>
      <c r="G23" s="454">
        <v>24</v>
      </c>
      <c r="H23" s="454">
        <v>0.79</v>
      </c>
      <c r="I23" s="454">
        <v>1.62</v>
      </c>
      <c r="J23" s="454"/>
      <c r="K23" s="454"/>
      <c r="L23" s="454"/>
      <c r="M23" s="454"/>
      <c r="N23" s="454"/>
      <c r="O23" s="454"/>
      <c r="P23" s="454"/>
      <c r="Q23" s="454"/>
      <c r="R23" s="1019"/>
      <c r="S23"/>
    </row>
    <row r="24" spans="2:19" ht="21.4" customHeight="1" x14ac:dyDescent="0.35">
      <c r="B24" s="463">
        <v>2024</v>
      </c>
      <c r="C24">
        <v>186</v>
      </c>
      <c r="D24">
        <v>15</v>
      </c>
      <c r="E24">
        <v>73</v>
      </c>
      <c r="F24" s="715">
        <v>5120</v>
      </c>
      <c r="G24">
        <v>27.5</v>
      </c>
      <c r="H24">
        <v>0.94</v>
      </c>
      <c r="I24" s="716">
        <v>1.66</v>
      </c>
      <c r="J24"/>
      <c r="K24"/>
      <c r="L24"/>
      <c r="M24"/>
      <c r="N24"/>
      <c r="O24"/>
      <c r="P24"/>
      <c r="Q24"/>
      <c r="R24" s="1019"/>
      <c r="S24"/>
    </row>
    <row r="25" spans="2:19" ht="21.4" customHeight="1" x14ac:dyDescent="0.35">
      <c r="B25" s="64" t="s">
        <v>359</v>
      </c>
      <c r="C25" s="64"/>
      <c r="D25" s="64"/>
      <c r="E25" s="64"/>
      <c r="F25" s="64"/>
      <c r="K25"/>
      <c r="L25"/>
      <c r="M25"/>
      <c r="N25"/>
      <c r="O25"/>
      <c r="P25"/>
      <c r="Q25"/>
      <c r="R25"/>
      <c r="S25"/>
    </row>
    <row r="26" spans="2:19" ht="55.5" customHeight="1" x14ac:dyDescent="0.35">
      <c r="B26" s="322" t="s">
        <v>323</v>
      </c>
      <c r="C26" s="510" t="s">
        <v>328</v>
      </c>
      <c r="D26" s="510" t="s">
        <v>329</v>
      </c>
      <c r="E26" s="510" t="s">
        <v>330</v>
      </c>
      <c r="F26" s="510" t="s">
        <v>331</v>
      </c>
      <c r="G26" s="510" t="s">
        <v>332</v>
      </c>
      <c r="H26" s="322" t="s">
        <v>333</v>
      </c>
      <c r="I26" s="510" t="s">
        <v>334</v>
      </c>
      <c r="J26" s="322"/>
      <c r="K26" s="322"/>
      <c r="L26" s="322"/>
      <c r="M26" s="322"/>
      <c r="N26" s="322"/>
      <c r="O26" s="322"/>
      <c r="P26" s="322"/>
      <c r="Q26" s="322"/>
      <c r="R26" s="185" t="s">
        <v>41</v>
      </c>
      <c r="S26"/>
    </row>
    <row r="27" spans="2:19" ht="21.4" customHeight="1" x14ac:dyDescent="0.35">
      <c r="B27" s="451" t="s">
        <v>335</v>
      </c>
      <c r="C27" s="464">
        <v>21</v>
      </c>
      <c r="D27" s="464">
        <v>10</v>
      </c>
      <c r="E27" s="464">
        <v>11</v>
      </c>
      <c r="F27" s="464">
        <v>460</v>
      </c>
      <c r="G27" s="464">
        <v>21.9</v>
      </c>
      <c r="H27" s="920">
        <v>0.24210526315789474</v>
      </c>
      <c r="I27" s="521">
        <v>0.59372300066979877</v>
      </c>
      <c r="J27" s="521"/>
      <c r="K27" s="521"/>
      <c r="L27" s="521"/>
      <c r="M27" s="521"/>
      <c r="N27" s="521"/>
      <c r="O27" s="521"/>
      <c r="P27" s="521"/>
      <c r="Q27" s="521"/>
      <c r="R27" s="1019" t="s">
        <v>343</v>
      </c>
      <c r="S27"/>
    </row>
    <row r="28" spans="2:19" ht="21.4" customHeight="1" x14ac:dyDescent="0.35">
      <c r="B28" s="452" t="s">
        <v>344</v>
      </c>
      <c r="C28" s="465">
        <v>28</v>
      </c>
      <c r="D28" s="465">
        <v>12</v>
      </c>
      <c r="E28" s="465">
        <v>16</v>
      </c>
      <c r="F28" s="465">
        <v>558</v>
      </c>
      <c r="G28" s="465">
        <v>19.899999999999999</v>
      </c>
      <c r="H28" s="920">
        <v>0.31561085972850678</v>
      </c>
      <c r="I28" s="522">
        <v>0.85505304462527887</v>
      </c>
      <c r="J28" s="522"/>
      <c r="K28" s="522"/>
      <c r="L28" s="522"/>
      <c r="M28" s="522"/>
      <c r="N28" s="522"/>
      <c r="O28" s="522"/>
      <c r="P28" s="522"/>
      <c r="Q28" s="522"/>
      <c r="R28" s="1019"/>
      <c r="S28"/>
    </row>
    <row r="29" spans="2:19" ht="21.4" customHeight="1" x14ac:dyDescent="0.35">
      <c r="B29" s="452" t="s">
        <v>352</v>
      </c>
      <c r="C29" s="464">
        <v>16</v>
      </c>
      <c r="D29" s="464">
        <v>7</v>
      </c>
      <c r="E29" s="464">
        <v>9</v>
      </c>
      <c r="F29" s="464">
        <v>477</v>
      </c>
      <c r="G29" s="467">
        <v>29.1</v>
      </c>
      <c r="H29" s="920">
        <v>0.27992957746478875</v>
      </c>
      <c r="I29" s="521">
        <v>0.49625555303331265</v>
      </c>
      <c r="J29" s="521"/>
      <c r="K29" s="521"/>
      <c r="L29" s="521"/>
      <c r="M29" s="521"/>
      <c r="N29" s="521"/>
      <c r="O29" s="521"/>
      <c r="P29" s="521"/>
      <c r="Q29" s="521"/>
      <c r="R29" s="1019"/>
      <c r="S29"/>
    </row>
    <row r="30" spans="2:19" ht="21.4" customHeight="1" x14ac:dyDescent="0.35">
      <c r="B30" s="463">
        <v>2023</v>
      </c>
      <c r="C30" s="466">
        <v>29</v>
      </c>
      <c r="D30" s="466">
        <v>9</v>
      </c>
      <c r="E30" s="466">
        <v>20</v>
      </c>
      <c r="F30" s="466">
        <v>778</v>
      </c>
      <c r="G30" s="466">
        <v>26.8</v>
      </c>
      <c r="H30" s="920">
        <v>0.46199524940617576</v>
      </c>
      <c r="I30" s="523">
        <v>0.90048706511976129</v>
      </c>
      <c r="J30" s="523"/>
      <c r="K30" s="523"/>
      <c r="L30" s="523"/>
      <c r="M30" s="523"/>
      <c r="N30" s="523"/>
      <c r="O30" s="523"/>
      <c r="P30" s="523"/>
      <c r="Q30" s="523"/>
      <c r="R30" s="1019"/>
      <c r="S30"/>
    </row>
    <row r="31" spans="2:19" ht="21.4" customHeight="1" x14ac:dyDescent="0.35">
      <c r="B31" s="463">
        <v>2024</v>
      </c>
      <c r="C31" s="713">
        <v>31</v>
      </c>
      <c r="D31" s="713">
        <v>2</v>
      </c>
      <c r="E31" s="713">
        <v>18</v>
      </c>
      <c r="F31" s="713">
        <v>705</v>
      </c>
      <c r="G31" s="466">
        <v>22.7</v>
      </c>
      <c r="H31" s="920">
        <f>442/20</f>
        <v>22.1</v>
      </c>
      <c r="I31" s="346">
        <v>0.74</v>
      </c>
      <c r="J31" s="155"/>
      <c r="K31" s="443"/>
      <c r="L31" s="443"/>
      <c r="M31" s="444"/>
      <c r="N31" s="444"/>
      <c r="O31" s="444"/>
      <c r="P31" s="444"/>
      <c r="Q31" s="444"/>
      <c r="R31" s="1019"/>
      <c r="S31"/>
    </row>
    <row r="32" spans="2:19" ht="21.4" customHeight="1" x14ac:dyDescent="0.35">
      <c r="B32" s="64" t="s">
        <v>360</v>
      </c>
      <c r="C32" s="64"/>
      <c r="D32" s="64"/>
      <c r="E32" s="64"/>
      <c r="F32" s="64"/>
      <c r="K32"/>
      <c r="L32"/>
      <c r="M32"/>
      <c r="N32"/>
      <c r="O32"/>
      <c r="P32"/>
      <c r="Q32"/>
      <c r="R32"/>
      <c r="S32"/>
    </row>
    <row r="33" spans="2:22" ht="55.5" customHeight="1" x14ac:dyDescent="0.35">
      <c r="B33" s="322" t="s">
        <v>323</v>
      </c>
      <c r="C33" s="322" t="s">
        <v>328</v>
      </c>
      <c r="D33" s="322" t="s">
        <v>329</v>
      </c>
      <c r="E33" s="322" t="s">
        <v>330</v>
      </c>
      <c r="F33" s="322" t="s">
        <v>331</v>
      </c>
      <c r="G33" s="322" t="s">
        <v>332</v>
      </c>
      <c r="H33" s="322" t="s">
        <v>333</v>
      </c>
      <c r="I33" s="322" t="s">
        <v>334</v>
      </c>
      <c r="J33" s="322"/>
      <c r="K33" s="322"/>
      <c r="L33" s="322"/>
      <c r="M33" s="322"/>
      <c r="N33" s="322"/>
      <c r="O33" s="322"/>
      <c r="P33" s="322"/>
      <c r="Q33" s="322"/>
      <c r="R33" s="185" t="s">
        <v>41</v>
      </c>
      <c r="S33"/>
    </row>
    <row r="34" spans="2:22" ht="21.4" customHeight="1" x14ac:dyDescent="0.35">
      <c r="B34" s="451" t="s">
        <v>335</v>
      </c>
      <c r="C34" s="464">
        <v>47</v>
      </c>
      <c r="D34" s="464">
        <v>46</v>
      </c>
      <c r="E34" s="464">
        <v>23</v>
      </c>
      <c r="F34" s="464">
        <v>464</v>
      </c>
      <c r="G34" s="502">
        <f>F34/C34</f>
        <v>9.8723404255319149</v>
      </c>
      <c r="H34" s="464">
        <v>10.6</v>
      </c>
      <c r="I34" s="524">
        <v>2.8920570264765781</v>
      </c>
      <c r="J34" s="524"/>
      <c r="K34" s="524"/>
      <c r="L34" s="524"/>
      <c r="M34" s="524"/>
      <c r="N34" s="524"/>
      <c r="O34" s="524"/>
      <c r="P34" s="524"/>
      <c r="Q34" s="524"/>
      <c r="R34" s="1019" t="s">
        <v>343</v>
      </c>
      <c r="S34"/>
    </row>
    <row r="35" spans="2:22" ht="21.4" customHeight="1" x14ac:dyDescent="0.35">
      <c r="B35" s="452" t="s">
        <v>344</v>
      </c>
      <c r="C35" s="465">
        <v>35</v>
      </c>
      <c r="D35" s="465">
        <v>33</v>
      </c>
      <c r="E35" s="465">
        <v>14</v>
      </c>
      <c r="F35" s="465">
        <v>695</v>
      </c>
      <c r="G35" s="502">
        <f>F35/C35</f>
        <v>19.857142857142858</v>
      </c>
      <c r="H35" s="465">
        <v>21.1</v>
      </c>
      <c r="I35" s="525">
        <v>2.2854477611940296</v>
      </c>
      <c r="J35" s="525"/>
      <c r="K35" s="525"/>
      <c r="L35" s="525"/>
      <c r="M35" s="525"/>
      <c r="N35" s="525"/>
      <c r="O35" s="525"/>
      <c r="P35" s="525"/>
      <c r="Q35" s="525"/>
      <c r="R35" s="1019"/>
      <c r="S35"/>
    </row>
    <row r="36" spans="2:22" ht="21.4" customHeight="1" x14ac:dyDescent="0.35">
      <c r="B36" s="452" t="s">
        <v>352</v>
      </c>
      <c r="C36" s="465">
        <v>24</v>
      </c>
      <c r="D36" s="465">
        <v>24</v>
      </c>
      <c r="E36" s="465">
        <v>18</v>
      </c>
      <c r="F36" s="465">
        <v>245</v>
      </c>
      <c r="G36" s="502">
        <f>F36/C36</f>
        <v>10.208333333333334</v>
      </c>
      <c r="H36" s="467" t="s">
        <v>361</v>
      </c>
      <c r="I36" s="524">
        <v>2.0792079207920793</v>
      </c>
      <c r="J36" s="524"/>
      <c r="K36" s="524"/>
      <c r="L36" s="524"/>
      <c r="M36" s="524"/>
      <c r="N36" s="524"/>
      <c r="O36" s="524"/>
      <c r="P36" s="524"/>
      <c r="Q36" s="524"/>
      <c r="R36" s="1019"/>
      <c r="S36"/>
    </row>
    <row r="37" spans="2:22" ht="21.4" customHeight="1" x14ac:dyDescent="0.35">
      <c r="B37" s="463">
        <v>2023</v>
      </c>
      <c r="C37" s="466">
        <v>23</v>
      </c>
      <c r="D37" s="466">
        <v>23</v>
      </c>
      <c r="E37" s="466">
        <v>23</v>
      </c>
      <c r="F37" s="466">
        <v>196</v>
      </c>
      <c r="G37" s="502">
        <f>F37/C37</f>
        <v>8.5217391304347831</v>
      </c>
      <c r="H37" s="466">
        <v>12.4</v>
      </c>
      <c r="I37" s="526">
        <v>2.217936354869817</v>
      </c>
      <c r="J37" s="526"/>
      <c r="K37" s="526"/>
      <c r="L37" s="526"/>
      <c r="M37" s="526"/>
      <c r="N37" s="526"/>
      <c r="O37" s="526"/>
      <c r="P37" s="526"/>
      <c r="Q37" s="526"/>
      <c r="R37" s="1019"/>
      <c r="S37"/>
    </row>
    <row r="38" spans="2:22" ht="21.4" customHeight="1" x14ac:dyDescent="0.35">
      <c r="B38" s="463">
        <v>2024</v>
      </c>
      <c r="C38" s="713">
        <v>23</v>
      </c>
      <c r="D38" s="713">
        <v>24</v>
      </c>
      <c r="E38" s="713">
        <v>17</v>
      </c>
      <c r="F38" s="713">
        <v>306</v>
      </c>
      <c r="G38" s="714">
        <v>13.3</v>
      </c>
      <c r="H38" s="466">
        <v>15.2</v>
      </c>
      <c r="I38" s="346">
        <v>1.9</v>
      </c>
      <c r="J38" s="155"/>
      <c r="K38"/>
      <c r="L38"/>
      <c r="M38"/>
      <c r="N38"/>
      <c r="O38"/>
      <c r="P38"/>
      <c r="Q38"/>
      <c r="R38" s="1019"/>
      <c r="S38"/>
    </row>
    <row r="39" spans="2:22" ht="21.4" customHeight="1" x14ac:dyDescent="0.35">
      <c r="B39" s="64" t="s">
        <v>362</v>
      </c>
      <c r="C39" s="64"/>
      <c r="D39" s="64"/>
      <c r="E39" s="64"/>
      <c r="F39" s="64"/>
      <c r="K39" s="64"/>
      <c r="L39" s="64"/>
      <c r="M39" s="64"/>
      <c r="N39" s="64"/>
      <c r="O39" s="64"/>
      <c r="P39" s="64"/>
      <c r="Q39" s="64"/>
    </row>
    <row r="40" spans="2:22" ht="55.5" customHeight="1" x14ac:dyDescent="0.35">
      <c r="B40" s="322" t="s">
        <v>323</v>
      </c>
      <c r="C40" s="322" t="s">
        <v>328</v>
      </c>
      <c r="D40" s="322" t="s">
        <v>329</v>
      </c>
      <c r="E40" s="322" t="s">
        <v>330</v>
      </c>
      <c r="F40" s="322" t="s">
        <v>331</v>
      </c>
      <c r="G40" s="322" t="s">
        <v>332</v>
      </c>
      <c r="H40" s="322" t="s">
        <v>333</v>
      </c>
      <c r="I40" s="322" t="s">
        <v>334</v>
      </c>
      <c r="J40" s="322"/>
      <c r="K40" s="322"/>
      <c r="L40" s="322"/>
      <c r="M40" s="322"/>
      <c r="N40" s="322"/>
      <c r="O40" s="322"/>
      <c r="P40" s="322"/>
      <c r="Q40" s="322"/>
      <c r="R40" s="185" t="s">
        <v>41</v>
      </c>
      <c r="S40"/>
    </row>
    <row r="41" spans="2:22" ht="21.4" customHeight="1" thickBot="1" x14ac:dyDescent="0.4">
      <c r="B41" s="451" t="s">
        <v>335</v>
      </c>
      <c r="C41" s="455">
        <v>30</v>
      </c>
      <c r="D41" s="455">
        <v>17</v>
      </c>
      <c r="E41" s="455">
        <v>13</v>
      </c>
      <c r="F41" s="528">
        <v>98</v>
      </c>
      <c r="G41" s="528">
        <v>3.27</v>
      </c>
      <c r="H41" s="464" t="s">
        <v>491</v>
      </c>
      <c r="I41" s="464" t="s">
        <v>491</v>
      </c>
      <c r="J41" s="448"/>
      <c r="K41" s="448"/>
      <c r="L41" s="448"/>
      <c r="M41" s="448"/>
      <c r="N41" s="448"/>
      <c r="O41" s="448"/>
      <c r="P41" s="448"/>
      <c r="Q41" s="448"/>
      <c r="R41" s="1019" t="s">
        <v>343</v>
      </c>
      <c r="S41"/>
    </row>
    <row r="42" spans="2:22" ht="21.4" customHeight="1" thickBot="1" x14ac:dyDescent="0.4">
      <c r="B42" s="452" t="s">
        <v>344</v>
      </c>
      <c r="C42" s="456">
        <v>26</v>
      </c>
      <c r="D42" s="456">
        <v>14</v>
      </c>
      <c r="E42" s="456">
        <v>12</v>
      </c>
      <c r="F42" s="528">
        <v>465</v>
      </c>
      <c r="G42" s="528">
        <v>17.88</v>
      </c>
      <c r="H42" s="464" t="s">
        <v>491</v>
      </c>
      <c r="I42" s="464" t="s">
        <v>491</v>
      </c>
      <c r="J42" s="449"/>
      <c r="K42" s="449"/>
      <c r="L42" s="449"/>
      <c r="M42" s="449"/>
      <c r="N42" s="449"/>
      <c r="O42" s="449"/>
      <c r="P42" s="449"/>
      <c r="Q42" s="449"/>
      <c r="R42" s="1019"/>
      <c r="S42"/>
    </row>
    <row r="43" spans="2:22" ht="21.4" customHeight="1" thickBot="1" x14ac:dyDescent="0.4">
      <c r="B43" s="452" t="s">
        <v>352</v>
      </c>
      <c r="C43" s="456">
        <v>23</v>
      </c>
      <c r="D43" s="456">
        <v>10</v>
      </c>
      <c r="E43" s="456">
        <v>13</v>
      </c>
      <c r="F43" s="528">
        <v>308</v>
      </c>
      <c r="G43" s="528">
        <v>13.39</v>
      </c>
      <c r="H43" s="467" t="s">
        <v>363</v>
      </c>
      <c r="I43" s="815">
        <v>1.07</v>
      </c>
      <c r="J43" s="448"/>
      <c r="K43" s="448"/>
      <c r="L43" s="448"/>
      <c r="M43" s="448"/>
      <c r="N43" s="448"/>
      <c r="O43" s="448"/>
      <c r="P43" s="448"/>
      <c r="Q43" s="448"/>
      <c r="R43" s="1019"/>
      <c r="S43"/>
    </row>
    <row r="44" spans="2:22" ht="21.4" customHeight="1" thickBot="1" x14ac:dyDescent="0.4">
      <c r="B44" s="463">
        <v>2023</v>
      </c>
      <c r="C44" s="453">
        <v>16</v>
      </c>
      <c r="D44" s="453">
        <v>7</v>
      </c>
      <c r="E44" s="453">
        <v>9</v>
      </c>
      <c r="F44" s="529">
        <v>965</v>
      </c>
      <c r="G44" s="528">
        <v>60.31</v>
      </c>
      <c r="H44" s="763">
        <v>1.27</v>
      </c>
      <c r="I44" s="713">
        <v>0.99</v>
      </c>
      <c r="J44" s="323"/>
      <c r="K44" s="323"/>
      <c r="L44" s="323"/>
      <c r="M44" s="323"/>
      <c r="N44" s="323"/>
      <c r="O44" s="323"/>
      <c r="P44" s="323"/>
      <c r="Q44" s="323"/>
      <c r="R44" s="1019"/>
      <c r="S44"/>
    </row>
    <row r="45" spans="2:22" ht="21.4" customHeight="1" thickBot="1" x14ac:dyDescent="0.4">
      <c r="B45" s="445">
        <v>2024</v>
      </c>
      <c r="C45" s="717">
        <v>9</v>
      </c>
      <c r="D45" s="717">
        <v>2</v>
      </c>
      <c r="E45" s="717">
        <v>6</v>
      </c>
      <c r="F45" s="528">
        <v>68</v>
      </c>
      <c r="G45" s="528">
        <v>7.6</v>
      </c>
      <c r="H45" s="764">
        <v>0.27</v>
      </c>
      <c r="I45" s="764">
        <v>0.67</v>
      </c>
      <c r="R45" s="1019"/>
    </row>
    <row r="46" spans="2:22" ht="18.75" customHeight="1" x14ac:dyDescent="0.35">
      <c r="B46" s="64" t="s">
        <v>364</v>
      </c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/>
      <c r="S46"/>
    </row>
    <row r="47" spans="2:22" ht="30.4" customHeight="1" x14ac:dyDescent="0.35">
      <c r="B47" s="129"/>
      <c r="C47" s="976" t="s">
        <v>44</v>
      </c>
      <c r="D47" s="976"/>
      <c r="E47" s="976"/>
      <c r="F47" s="1227"/>
      <c r="G47" s="976" t="s">
        <v>365</v>
      </c>
      <c r="H47" s="976"/>
      <c r="I47" s="976"/>
      <c r="J47" s="976"/>
      <c r="K47" s="976"/>
      <c r="L47" s="1100" t="s">
        <v>46</v>
      </c>
      <c r="M47" s="976"/>
      <c r="N47" s="976"/>
      <c r="O47" s="976"/>
      <c r="P47" s="976"/>
      <c r="Q47" s="1100" t="s">
        <v>366</v>
      </c>
      <c r="R47" s="976"/>
      <c r="S47" s="976"/>
      <c r="T47" s="976"/>
      <c r="U47" s="976"/>
      <c r="V47" s="43" t="s">
        <v>41</v>
      </c>
    </row>
    <row r="48" spans="2:22" ht="30.4" customHeight="1" x14ac:dyDescent="0.35">
      <c r="B48" s="329"/>
      <c r="C48" s="329">
        <v>2021</v>
      </c>
      <c r="D48" s="329">
        <v>2022</v>
      </c>
      <c r="E48" s="329">
        <v>2023</v>
      </c>
      <c r="F48" s="837">
        <v>2024</v>
      </c>
      <c r="G48" s="329">
        <v>2020</v>
      </c>
      <c r="H48" s="329">
        <v>2021</v>
      </c>
      <c r="I48" s="329">
        <v>2022</v>
      </c>
      <c r="J48" s="336">
        <v>2023</v>
      </c>
      <c r="K48" s="336">
        <v>2024</v>
      </c>
      <c r="L48" s="329">
        <v>2020</v>
      </c>
      <c r="M48" s="329">
        <v>2021</v>
      </c>
      <c r="N48" s="329">
        <v>2022</v>
      </c>
      <c r="O48" s="329">
        <v>2023</v>
      </c>
      <c r="P48" s="837">
        <v>2024</v>
      </c>
      <c r="Q48" s="329">
        <v>2020</v>
      </c>
      <c r="R48" s="329">
        <v>2021</v>
      </c>
      <c r="S48" s="442" t="s">
        <v>352</v>
      </c>
      <c r="T48" s="336">
        <v>2023</v>
      </c>
      <c r="U48" s="336">
        <v>2024</v>
      </c>
      <c r="V48" s="1024" t="s">
        <v>343</v>
      </c>
    </row>
    <row r="49" spans="2:22" ht="30.4" customHeight="1" x14ac:dyDescent="0.35">
      <c r="B49" s="330" t="s">
        <v>367</v>
      </c>
      <c r="C49" s="833">
        <v>229</v>
      </c>
      <c r="D49" s="833">
        <v>186</v>
      </c>
      <c r="E49" s="833">
        <v>184</v>
      </c>
      <c r="F49" s="838">
        <v>186</v>
      </c>
      <c r="G49" s="833">
        <v>10</v>
      </c>
      <c r="H49" s="833">
        <v>12</v>
      </c>
      <c r="I49" s="833">
        <v>7</v>
      </c>
      <c r="J49" s="840">
        <v>9</v>
      </c>
      <c r="K49" s="845">
        <v>23</v>
      </c>
      <c r="L49" s="116">
        <v>48</v>
      </c>
      <c r="M49" s="457" t="s">
        <v>368</v>
      </c>
      <c r="N49" s="457" t="s">
        <v>369</v>
      </c>
      <c r="O49" s="840">
        <v>20</v>
      </c>
      <c r="P49" s="845">
        <v>24</v>
      </c>
      <c r="Q49" s="458">
        <v>30</v>
      </c>
      <c r="R49" s="458">
        <v>26</v>
      </c>
      <c r="S49" s="458">
        <v>23</v>
      </c>
      <c r="T49" s="840">
        <v>16</v>
      </c>
      <c r="U49" s="850">
        <v>9</v>
      </c>
      <c r="V49" s="1019"/>
    </row>
    <row r="50" spans="2:22" ht="30.4" customHeight="1" x14ac:dyDescent="0.35">
      <c r="B50" s="331" t="s">
        <v>370</v>
      </c>
      <c r="C50" s="834">
        <v>74</v>
      </c>
      <c r="D50" s="110">
        <v>51</v>
      </c>
      <c r="E50" s="110">
        <v>47</v>
      </c>
      <c r="F50" s="838">
        <v>73</v>
      </c>
      <c r="G50" s="110">
        <v>11</v>
      </c>
      <c r="H50" s="833">
        <v>16</v>
      </c>
      <c r="I50" s="833">
        <v>9</v>
      </c>
      <c r="J50" s="841">
        <v>20</v>
      </c>
      <c r="K50" s="846">
        <v>18</v>
      </c>
      <c r="L50" s="118">
        <v>23</v>
      </c>
      <c r="M50" s="459" t="s">
        <v>371</v>
      </c>
      <c r="N50" s="459" t="s">
        <v>371</v>
      </c>
      <c r="O50" s="841">
        <v>22</v>
      </c>
      <c r="P50" s="846">
        <v>17</v>
      </c>
      <c r="Q50" s="332">
        <v>5</v>
      </c>
      <c r="R50" s="332">
        <v>12</v>
      </c>
      <c r="S50" s="459" t="s">
        <v>372</v>
      </c>
      <c r="T50" s="841">
        <v>8</v>
      </c>
      <c r="U50" s="851">
        <v>6</v>
      </c>
      <c r="V50" s="1019"/>
    </row>
    <row r="51" spans="2:22" ht="30.4" customHeight="1" x14ac:dyDescent="0.35">
      <c r="B51" s="331" t="s">
        <v>373</v>
      </c>
      <c r="C51" s="833">
        <v>5049</v>
      </c>
      <c r="D51" s="321">
        <v>4913</v>
      </c>
      <c r="E51" s="321">
        <v>4406</v>
      </c>
      <c r="F51" s="839">
        <v>5120</v>
      </c>
      <c r="G51" s="110">
        <v>460</v>
      </c>
      <c r="H51" s="842">
        <v>558</v>
      </c>
      <c r="I51" s="842">
        <v>477</v>
      </c>
      <c r="J51" s="835">
        <v>778</v>
      </c>
      <c r="K51" s="847">
        <v>705</v>
      </c>
      <c r="L51" s="118">
        <v>604</v>
      </c>
      <c r="M51" s="459" t="s">
        <v>374</v>
      </c>
      <c r="N51" s="459" t="s">
        <v>375</v>
      </c>
      <c r="O51" s="835">
        <v>196</v>
      </c>
      <c r="P51" s="847">
        <v>523</v>
      </c>
      <c r="Q51" s="332">
        <v>81</v>
      </c>
      <c r="R51" s="332">
        <v>456</v>
      </c>
      <c r="S51" s="459" t="s">
        <v>376</v>
      </c>
      <c r="T51" s="835">
        <v>644</v>
      </c>
      <c r="U51" s="852">
        <v>68</v>
      </c>
      <c r="V51" s="1019"/>
    </row>
    <row r="52" spans="2:22" ht="30.4" customHeight="1" x14ac:dyDescent="0.35">
      <c r="B52" s="331" t="s">
        <v>377</v>
      </c>
      <c r="C52" s="833">
        <v>65668</v>
      </c>
      <c r="D52" s="321">
        <v>68515</v>
      </c>
      <c r="E52" s="835">
        <v>59347.91</v>
      </c>
      <c r="F52" s="839">
        <v>1358</v>
      </c>
      <c r="G52" s="843">
        <v>16884</v>
      </c>
      <c r="H52" s="833">
        <v>14226</v>
      </c>
      <c r="I52" s="833">
        <v>16976</v>
      </c>
      <c r="J52" s="835">
        <v>14994</v>
      </c>
      <c r="K52" s="847">
        <v>14128</v>
      </c>
      <c r="L52" s="131" t="s">
        <v>378</v>
      </c>
      <c r="M52" s="459" t="s">
        <v>379</v>
      </c>
      <c r="N52" s="459" t="s">
        <v>380</v>
      </c>
      <c r="O52" s="835">
        <v>46</v>
      </c>
      <c r="P52" s="847">
        <v>9119</v>
      </c>
      <c r="Q52" s="460">
        <v>7391</v>
      </c>
      <c r="R52" s="333">
        <v>7375.1523529411716</v>
      </c>
      <c r="S52" s="333">
        <v>7368</v>
      </c>
      <c r="T52" s="835">
        <v>6996</v>
      </c>
      <c r="U52" s="852">
        <v>19</v>
      </c>
      <c r="V52" s="1019"/>
    </row>
    <row r="53" spans="2:22" ht="30.4" customHeight="1" x14ac:dyDescent="0.35">
      <c r="B53" s="334" t="s">
        <v>381</v>
      </c>
      <c r="C53" s="836">
        <f>247/C52</f>
        <v>3.7613449473107145E-3</v>
      </c>
      <c r="D53" s="370">
        <f>247/D52</f>
        <v>3.6050499890534918E-3</v>
      </c>
      <c r="E53" s="370">
        <f>247/E52</f>
        <v>4.1618988773151405E-3</v>
      </c>
      <c r="F53" s="838"/>
      <c r="G53" s="110">
        <v>0</v>
      </c>
      <c r="H53" s="844" t="s">
        <v>382</v>
      </c>
      <c r="I53" s="844" t="s">
        <v>383</v>
      </c>
      <c r="J53" s="370">
        <v>1.6999999999999999E-3</v>
      </c>
      <c r="K53" s="848">
        <v>4.4999999999999999E-4</v>
      </c>
      <c r="L53" s="462">
        <v>3.1685892107626436E-2</v>
      </c>
      <c r="M53" s="461" t="s">
        <v>384</v>
      </c>
      <c r="N53" s="461" t="s">
        <v>385</v>
      </c>
      <c r="O53" s="849">
        <v>1E-4</v>
      </c>
      <c r="P53" s="848">
        <v>3.3099999999999997E-2</v>
      </c>
      <c r="Q53" s="335">
        <v>2.1100000000000001E-2</v>
      </c>
      <c r="R53" s="335">
        <v>2.3699999999999999E-2</v>
      </c>
      <c r="S53" s="461" t="s">
        <v>386</v>
      </c>
      <c r="T53" s="849">
        <v>3.56E-2</v>
      </c>
      <c r="U53" s="853">
        <f>U52/(641*12*20.83)</f>
        <v>1.1858371598426108E-4</v>
      </c>
      <c r="V53" s="1019"/>
    </row>
    <row r="55" spans="2:22" x14ac:dyDescent="0.35">
      <c r="E55" s="321"/>
    </row>
    <row r="56" spans="2:22" ht="18.5" x14ac:dyDescent="0.35">
      <c r="B56" s="64" t="s">
        <v>387</v>
      </c>
      <c r="E56" s="321"/>
    </row>
    <row r="57" spans="2:22" ht="14.65" customHeight="1" x14ac:dyDescent="0.35">
      <c r="B57" s="129"/>
      <c r="C57" s="446" t="s">
        <v>44</v>
      </c>
      <c r="D57" s="967"/>
      <c r="E57" s="969"/>
      <c r="F57" s="1100" t="s">
        <v>365</v>
      </c>
      <c r="G57" s="976"/>
      <c r="H57" s="976"/>
      <c r="I57" s="976" t="s">
        <v>46</v>
      </c>
      <c r="J57" s="976"/>
      <c r="K57" s="976"/>
      <c r="L57" s="1100" t="s">
        <v>366</v>
      </c>
      <c r="M57" s="976"/>
      <c r="N57" s="129"/>
      <c r="O57" s="976" t="s">
        <v>41</v>
      </c>
      <c r="P57" s="710"/>
      <c r="S57"/>
    </row>
    <row r="58" spans="2:22" ht="14.65" customHeight="1" x14ac:dyDescent="0.35">
      <c r="B58" s="329"/>
      <c r="C58" s="907">
        <v>2022</v>
      </c>
      <c r="D58" s="908">
        <v>2023</v>
      </c>
      <c r="E58" s="909">
        <v>2024</v>
      </c>
      <c r="F58" s="910">
        <v>2022</v>
      </c>
      <c r="G58" s="908">
        <v>2023</v>
      </c>
      <c r="H58" s="910">
        <v>2024</v>
      </c>
      <c r="I58" s="908">
        <v>2022</v>
      </c>
      <c r="J58" s="910">
        <v>2023</v>
      </c>
      <c r="K58" s="908">
        <v>2024</v>
      </c>
      <c r="L58" s="908" t="s">
        <v>352</v>
      </c>
      <c r="M58" s="908">
        <v>2023</v>
      </c>
      <c r="N58" s="908">
        <v>2024</v>
      </c>
      <c r="O58" s="976"/>
      <c r="P58" s="711"/>
      <c r="S58"/>
    </row>
    <row r="59" spans="2:22" ht="26" x14ac:dyDescent="0.35">
      <c r="B59" s="906" t="s">
        <v>388</v>
      </c>
      <c r="C59" s="921" t="s">
        <v>491</v>
      </c>
      <c r="D59" s="931" t="s">
        <v>491</v>
      </c>
      <c r="E59" s="932">
        <v>0.75</v>
      </c>
      <c r="F59" s="921">
        <v>0.97</v>
      </c>
      <c r="G59" s="925">
        <v>0.95</v>
      </c>
      <c r="H59" s="932">
        <v>0.87</v>
      </c>
      <c r="I59" s="921">
        <v>0.96</v>
      </c>
      <c r="J59" s="926">
        <v>0.91</v>
      </c>
      <c r="K59" s="932">
        <v>0.93</v>
      </c>
      <c r="L59" s="921">
        <v>1</v>
      </c>
      <c r="M59" s="925">
        <v>0.92</v>
      </c>
      <c r="N59" s="932">
        <v>0.93300000000000005</v>
      </c>
      <c r="O59" s="1019" t="s">
        <v>389</v>
      </c>
      <c r="P59" s="592"/>
      <c r="S59"/>
    </row>
    <row r="60" spans="2:22" x14ac:dyDescent="0.35">
      <c r="B60" s="906" t="s">
        <v>390</v>
      </c>
      <c r="C60" s="922">
        <v>2153</v>
      </c>
      <c r="D60" s="929">
        <v>1664</v>
      </c>
      <c r="E60" s="930">
        <v>2001</v>
      </c>
      <c r="F60" s="922" t="s">
        <v>491</v>
      </c>
      <c r="G60" s="923">
        <v>240</v>
      </c>
      <c r="H60" s="930">
        <v>268</v>
      </c>
      <c r="I60" s="922" t="s">
        <v>491</v>
      </c>
      <c r="J60" s="924">
        <v>27</v>
      </c>
      <c r="K60" s="930">
        <v>208</v>
      </c>
      <c r="L60" s="922" t="s">
        <v>491</v>
      </c>
      <c r="M60" s="923">
        <v>4</v>
      </c>
      <c r="N60" s="930">
        <v>5</v>
      </c>
      <c r="O60" s="1019"/>
      <c r="P60" s="593"/>
      <c r="S60"/>
    </row>
    <row r="61" spans="2:22" x14ac:dyDescent="0.35">
      <c r="B61" s="906" t="s">
        <v>391</v>
      </c>
      <c r="C61" s="922">
        <v>1620</v>
      </c>
      <c r="D61" s="929">
        <v>2001</v>
      </c>
      <c r="E61" s="930">
        <v>1773</v>
      </c>
      <c r="F61" s="922" t="s">
        <v>491</v>
      </c>
      <c r="G61" s="923">
        <v>1600</v>
      </c>
      <c r="H61" s="930">
        <v>1514</v>
      </c>
      <c r="I61" s="922" t="s">
        <v>491</v>
      </c>
      <c r="J61" s="924">
        <v>633</v>
      </c>
      <c r="K61" s="930">
        <v>799</v>
      </c>
      <c r="L61" s="922" t="s">
        <v>491</v>
      </c>
      <c r="M61" s="923">
        <v>108</v>
      </c>
      <c r="N61" s="930">
        <v>86</v>
      </c>
      <c r="O61" s="1019"/>
      <c r="P61" s="593"/>
      <c r="S61"/>
    </row>
    <row r="62" spans="2:22" ht="26" x14ac:dyDescent="0.35">
      <c r="B62" s="906" t="s">
        <v>492</v>
      </c>
      <c r="C62" s="922">
        <v>1590</v>
      </c>
      <c r="D62" s="929">
        <v>1650</v>
      </c>
      <c r="E62" s="930">
        <v>2026</v>
      </c>
      <c r="F62" s="922" t="s">
        <v>491</v>
      </c>
      <c r="G62" s="923" t="s">
        <v>491</v>
      </c>
      <c r="H62" s="930" t="s">
        <v>392</v>
      </c>
      <c r="I62" s="922" t="s">
        <v>491</v>
      </c>
      <c r="J62" s="924">
        <v>167</v>
      </c>
      <c r="K62" s="930">
        <v>163</v>
      </c>
      <c r="L62" s="922" t="s">
        <v>491</v>
      </c>
      <c r="M62" s="923" t="s">
        <v>491</v>
      </c>
      <c r="N62" s="930">
        <v>0</v>
      </c>
      <c r="O62" s="1019"/>
      <c r="P62" s="593"/>
      <c r="S62"/>
    </row>
    <row r="63" spans="2:22" ht="26" x14ac:dyDescent="0.35">
      <c r="B63" s="906" t="s">
        <v>393</v>
      </c>
      <c r="C63" s="927">
        <v>8</v>
      </c>
      <c r="D63" s="929">
        <v>35</v>
      </c>
      <c r="E63" s="933">
        <v>41</v>
      </c>
      <c r="F63" s="922" t="s">
        <v>491</v>
      </c>
      <c r="G63" s="922" t="s">
        <v>491</v>
      </c>
      <c r="H63" s="930" t="s">
        <v>392</v>
      </c>
      <c r="I63" s="922" t="s">
        <v>491</v>
      </c>
      <c r="J63" s="929" t="s">
        <v>491</v>
      </c>
      <c r="K63" s="930">
        <v>12</v>
      </c>
      <c r="L63" s="922" t="s">
        <v>491</v>
      </c>
      <c r="M63" s="922" t="s">
        <v>491</v>
      </c>
      <c r="N63" s="930">
        <v>25</v>
      </c>
      <c r="O63" s="1019"/>
      <c r="P63" s="514"/>
      <c r="S63"/>
    </row>
    <row r="64" spans="2:22" ht="26" x14ac:dyDescent="0.35">
      <c r="B64" s="906" t="s">
        <v>394</v>
      </c>
      <c r="C64" s="922">
        <v>14</v>
      </c>
      <c r="D64" s="929">
        <v>3</v>
      </c>
      <c r="E64" s="922" t="s">
        <v>491</v>
      </c>
      <c r="F64" s="922" t="s">
        <v>491</v>
      </c>
      <c r="G64" s="922" t="s">
        <v>491</v>
      </c>
      <c r="H64" s="930">
        <v>4</v>
      </c>
      <c r="I64" s="922" t="s">
        <v>491</v>
      </c>
      <c r="J64" s="929" t="s">
        <v>491</v>
      </c>
      <c r="K64" s="928">
        <v>4</v>
      </c>
      <c r="L64" s="922" t="s">
        <v>491</v>
      </c>
      <c r="M64" s="929">
        <v>5</v>
      </c>
      <c r="N64" s="930">
        <v>9</v>
      </c>
      <c r="O64" s="1019"/>
      <c r="P64" s="150"/>
      <c r="S64"/>
    </row>
    <row r="65" spans="5:19" x14ac:dyDescent="0.35">
      <c r="E65" s="321"/>
      <c r="R65"/>
    </row>
    <row r="66" spans="5:19" x14ac:dyDescent="0.35">
      <c r="E66" s="321"/>
      <c r="I66" s="450"/>
    </row>
    <row r="67" spans="5:19" x14ac:dyDescent="0.35">
      <c r="E67" s="321"/>
      <c r="I67" s="333"/>
    </row>
    <row r="68" spans="5:19" x14ac:dyDescent="0.35">
      <c r="E68" s="321"/>
      <c r="I68" s="333"/>
    </row>
    <row r="69" spans="5:19" x14ac:dyDescent="0.35">
      <c r="E69" s="321"/>
    </row>
    <row r="70" spans="5:19" x14ac:dyDescent="0.35">
      <c r="E70" s="321"/>
    </row>
    <row r="71" spans="5:19" x14ac:dyDescent="0.35">
      <c r="E71" s="321"/>
    </row>
    <row r="72" spans="5:19" x14ac:dyDescent="0.35">
      <c r="E72" s="321"/>
    </row>
    <row r="73" spans="5:19" x14ac:dyDescent="0.35">
      <c r="S73"/>
    </row>
    <row r="74" spans="5:19" x14ac:dyDescent="0.35">
      <c r="S74"/>
    </row>
    <row r="75" spans="5:19" x14ac:dyDescent="0.35">
      <c r="S75"/>
    </row>
  </sheetData>
  <mergeCells count="19">
    <mergeCell ref="C47:F47"/>
    <mergeCell ref="I57:K57"/>
    <mergeCell ref="F57:H57"/>
    <mergeCell ref="D57:E57"/>
    <mergeCell ref="B9:C9"/>
    <mergeCell ref="C14:E14"/>
    <mergeCell ref="C15:E15"/>
    <mergeCell ref="G47:K47"/>
    <mergeCell ref="R20:R24"/>
    <mergeCell ref="R14:R17"/>
    <mergeCell ref="L47:P47"/>
    <mergeCell ref="Q47:U47"/>
    <mergeCell ref="R41:R45"/>
    <mergeCell ref="R34:R38"/>
    <mergeCell ref="V48:V53"/>
    <mergeCell ref="O59:O64"/>
    <mergeCell ref="O57:O58"/>
    <mergeCell ref="L57:M57"/>
    <mergeCell ref="R27:R31"/>
  </mergeCells>
  <pageMargins left="0.7" right="0.7" top="0.75" bottom="0.75" header="0.3" footer="0.3"/>
  <pageSetup paperSize="9" orientation="portrait" r:id="rId1"/>
  <headerFooter scaleWithDoc="0"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2060"/>
  </sheetPr>
  <dimension ref="A1"/>
  <sheetViews>
    <sheetView showGridLines="0" rightToLeft="1" zoomScale="85" zoomScaleNormal="85" workbookViewId="0">
      <selection activeCell="D26" sqref="D26"/>
    </sheetView>
  </sheetViews>
  <sheetFormatPr defaultColWidth="9.26953125" defaultRowHeight="14.5" x14ac:dyDescent="0.35"/>
  <cols>
    <col min="1" max="6" width="9.26953125" style="419" customWidth="1"/>
    <col min="7" max="16384" width="9.26953125" style="419"/>
  </cols>
  <sheetData/>
  <pageMargins left="0.7" right="0.7" top="0.75" bottom="0.75" header="0.3" footer="0.3"/>
  <pageSetup paperSize="9" orientation="portrait" r:id="rId1"/>
  <headerFooter scaleWithDoc="0"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O50"/>
  <sheetViews>
    <sheetView showGridLines="0" rightToLeft="1" workbookViewId="0">
      <selection activeCell="M22" sqref="M22"/>
    </sheetView>
  </sheetViews>
  <sheetFormatPr defaultColWidth="9.26953125" defaultRowHeight="14.5" x14ac:dyDescent="0.35"/>
  <cols>
    <col min="1" max="1" width="3.7265625" customWidth="1"/>
    <col min="2" max="11" width="10.7265625" style="38" customWidth="1"/>
  </cols>
  <sheetData>
    <row r="1" spans="2:15" ht="15" customHeight="1" x14ac:dyDescent="0.35"/>
    <row r="2" spans="2:15" ht="15" customHeight="1" x14ac:dyDescent="0.35"/>
    <row r="3" spans="2:15" ht="15" customHeight="1" x14ac:dyDescent="0.35"/>
    <row r="4" spans="2:15" ht="15" customHeight="1" x14ac:dyDescent="0.35"/>
    <row r="5" spans="2:15" ht="24" customHeight="1" thickBot="1" x14ac:dyDescent="0.4">
      <c r="B5" s="39" t="s">
        <v>395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2:15" ht="21.4" customHeight="1" thickTop="1" x14ac:dyDescent="0.35"/>
    <row r="7" spans="2:15" ht="21.4" customHeight="1" x14ac:dyDescent="0.35">
      <c r="B7"/>
      <c r="C7"/>
      <c r="D7"/>
      <c r="E7"/>
      <c r="F7"/>
      <c r="G7"/>
      <c r="H7"/>
      <c r="I7"/>
      <c r="J7"/>
      <c r="K7"/>
    </row>
    <row r="8" spans="2:15" ht="21.4" customHeight="1" x14ac:dyDescent="0.35">
      <c r="B8"/>
      <c r="C8"/>
      <c r="D8"/>
      <c r="E8"/>
      <c r="F8"/>
      <c r="G8"/>
      <c r="H8"/>
      <c r="I8"/>
      <c r="J8"/>
      <c r="K8"/>
    </row>
    <row r="9" spans="2:15" s="24" customFormat="1" ht="21.4" customHeight="1" x14ac:dyDescent="0.35">
      <c r="B9"/>
      <c r="C9"/>
      <c r="D9"/>
      <c r="E9"/>
      <c r="F9"/>
      <c r="G9"/>
      <c r="H9"/>
      <c r="I9"/>
      <c r="J9"/>
      <c r="K9"/>
      <c r="L9"/>
    </row>
    <row r="10" spans="2:15" s="24" customFormat="1" ht="21.4" customHeight="1" x14ac:dyDescent="0.35">
      <c r="B10"/>
      <c r="C10"/>
      <c r="D10"/>
      <c r="E10"/>
      <c r="F10"/>
      <c r="G10"/>
      <c r="H10"/>
      <c r="I10"/>
      <c r="J10"/>
      <c r="K10"/>
      <c r="L10"/>
    </row>
    <row r="11" spans="2:15" ht="21.4" customHeight="1" x14ac:dyDescent="0.35">
      <c r="B11"/>
      <c r="C11"/>
      <c r="D11"/>
      <c r="E11"/>
      <c r="F11"/>
      <c r="G11"/>
      <c r="H11"/>
      <c r="I11"/>
      <c r="J11"/>
      <c r="K11"/>
    </row>
    <row r="12" spans="2:15" ht="21.4" customHeight="1" x14ac:dyDescent="0.35">
      <c r="B12"/>
      <c r="C12"/>
      <c r="D12"/>
      <c r="E12"/>
      <c r="F12"/>
      <c r="G12"/>
      <c r="H12"/>
      <c r="I12"/>
      <c r="J12"/>
      <c r="K12"/>
    </row>
    <row r="13" spans="2:15" ht="21.4" customHeight="1" x14ac:dyDescent="0.35">
      <c r="B13"/>
      <c r="C13"/>
      <c r="D13"/>
      <c r="E13"/>
      <c r="F13"/>
      <c r="G13"/>
      <c r="H13"/>
      <c r="I13"/>
      <c r="J13"/>
      <c r="K13"/>
    </row>
    <row r="14" spans="2:15" s="24" customFormat="1" ht="21.4" customHeight="1" x14ac:dyDescent="0.35">
      <c r="B14"/>
      <c r="C14"/>
      <c r="D14"/>
      <c r="E14"/>
      <c r="F14"/>
      <c r="G14"/>
      <c r="H14"/>
      <c r="I14"/>
      <c r="J14"/>
      <c r="K14"/>
      <c r="L14"/>
    </row>
    <row r="15" spans="2:15" s="24" customFormat="1" ht="21.4" customHeight="1" x14ac:dyDescent="0.35">
      <c r="B15"/>
      <c r="C15"/>
      <c r="D15"/>
      <c r="E15"/>
      <c r="F15"/>
      <c r="G15"/>
      <c r="H15"/>
      <c r="I15"/>
      <c r="J15"/>
      <c r="K15"/>
      <c r="L15"/>
    </row>
    <row r="16" spans="2:15" s="24" customFormat="1" ht="21.4" customHeight="1" x14ac:dyDescent="0.35">
      <c r="B16"/>
      <c r="C16"/>
      <c r="D16"/>
      <c r="E16"/>
      <c r="F16"/>
      <c r="G16"/>
      <c r="H16"/>
      <c r="I16"/>
      <c r="J16"/>
      <c r="K16"/>
      <c r="L16"/>
    </row>
    <row r="17" spans="2:14" ht="21.4" customHeight="1" x14ac:dyDescent="0.35">
      <c r="B17"/>
      <c r="C17"/>
      <c r="D17"/>
      <c r="E17"/>
      <c r="F17"/>
      <c r="G17"/>
      <c r="H17"/>
      <c r="I17"/>
      <c r="J17"/>
      <c r="K17"/>
      <c r="M17" s="24"/>
    </row>
    <row r="18" spans="2:14" ht="21.4" customHeight="1" x14ac:dyDescent="0.35">
      <c r="B18"/>
      <c r="C18"/>
      <c r="D18"/>
      <c r="E18"/>
      <c r="F18"/>
      <c r="G18"/>
      <c r="H18"/>
      <c r="I18"/>
      <c r="J18"/>
      <c r="K18"/>
      <c r="M18" s="24"/>
    </row>
    <row r="19" spans="2:14" s="24" customFormat="1" ht="21.4" customHeight="1" x14ac:dyDescent="0.35">
      <c r="B19"/>
      <c r="C19"/>
      <c r="D19"/>
      <c r="E19"/>
      <c r="F19"/>
      <c r="G19"/>
      <c r="H19"/>
      <c r="I19"/>
      <c r="J19"/>
      <c r="K19"/>
      <c r="L19"/>
    </row>
    <row r="20" spans="2:14" s="24" customFormat="1" ht="21.4" customHeight="1" x14ac:dyDescent="0.35">
      <c r="B20"/>
      <c r="C20"/>
      <c r="D20"/>
      <c r="E20"/>
      <c r="F20"/>
      <c r="G20"/>
      <c r="H20"/>
      <c r="I20"/>
      <c r="J20"/>
      <c r="K20"/>
      <c r="L20"/>
      <c r="M20"/>
      <c r="N20" s="568" t="s">
        <v>502</v>
      </c>
    </row>
    <row r="21" spans="2:14" s="24" customFormat="1" ht="21.4" customHeight="1" x14ac:dyDescent="0.35"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2:14" s="24" customFormat="1" ht="21.4" customHeight="1" x14ac:dyDescent="0.35"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2:14" ht="21.4" customHeight="1" x14ac:dyDescent="0.35">
      <c r="B23"/>
      <c r="C23"/>
      <c r="D23"/>
      <c r="E23"/>
      <c r="F23"/>
      <c r="G23"/>
      <c r="H23"/>
      <c r="I23"/>
      <c r="J23"/>
      <c r="K23"/>
    </row>
    <row r="24" spans="2:14" ht="21.4" customHeight="1" x14ac:dyDescent="0.35">
      <c r="B24"/>
      <c r="C24"/>
      <c r="D24"/>
      <c r="E24"/>
      <c r="F24"/>
      <c r="G24"/>
      <c r="H24"/>
      <c r="I24"/>
      <c r="J24"/>
      <c r="K24"/>
    </row>
    <row r="25" spans="2:14" ht="21.4" customHeight="1" x14ac:dyDescent="0.35">
      <c r="B25"/>
      <c r="C25"/>
      <c r="D25"/>
      <c r="E25"/>
      <c r="F25"/>
      <c r="G25"/>
      <c r="H25"/>
      <c r="I25"/>
      <c r="J25"/>
      <c r="K25"/>
    </row>
    <row r="26" spans="2:14" s="24" customFormat="1" ht="21.4" customHeight="1" x14ac:dyDescent="0.35"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2:14" ht="21.4" customHeight="1" x14ac:dyDescent="0.35"/>
    <row r="28" spans="2:14" ht="21.4" customHeight="1" x14ac:dyDescent="0.35"/>
    <row r="29" spans="2:14" ht="21.4" customHeight="1" x14ac:dyDescent="0.35"/>
    <row r="30" spans="2:14" ht="21.4" customHeight="1" x14ac:dyDescent="0.35"/>
    <row r="31" spans="2:14" ht="21.4" customHeight="1" x14ac:dyDescent="0.35"/>
    <row r="32" spans="2:14" ht="21.4" customHeight="1" x14ac:dyDescent="0.35"/>
    <row r="33" ht="21.4" customHeight="1" x14ac:dyDescent="0.35"/>
    <row r="34" ht="21.4" customHeight="1" x14ac:dyDescent="0.35"/>
    <row r="35" ht="21.4" customHeight="1" x14ac:dyDescent="0.35"/>
    <row r="36" ht="21.4" customHeight="1" x14ac:dyDescent="0.35"/>
    <row r="37" ht="21.4" customHeight="1" x14ac:dyDescent="0.35"/>
    <row r="38" ht="21.4" customHeight="1" x14ac:dyDescent="0.35"/>
    <row r="39" ht="21.4" customHeight="1" x14ac:dyDescent="0.35"/>
    <row r="40" ht="21.4" customHeight="1" x14ac:dyDescent="0.35"/>
    <row r="41" ht="21.4" customHeight="1" x14ac:dyDescent="0.35"/>
    <row r="42" ht="21.4" customHeight="1" x14ac:dyDescent="0.35"/>
    <row r="43" ht="21.4" customHeight="1" x14ac:dyDescent="0.35"/>
    <row r="44" ht="21.4" customHeight="1" x14ac:dyDescent="0.35"/>
    <row r="45" ht="21.4" customHeight="1" x14ac:dyDescent="0.35"/>
    <row r="46" ht="21.4" customHeight="1" x14ac:dyDescent="0.35"/>
    <row r="47" ht="21.4" customHeight="1" x14ac:dyDescent="0.35"/>
    <row r="48" ht="21.4" customHeight="1" x14ac:dyDescent="0.35"/>
    <row r="49" ht="21.4" customHeight="1" x14ac:dyDescent="0.35"/>
    <row r="50" ht="21.4" customHeight="1" x14ac:dyDescent="0.35"/>
  </sheetData>
  <pageMargins left="0.7" right="0.7" top="0.75" bottom="0.75" header="0.3" footer="0.3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2:L32"/>
  <sheetViews>
    <sheetView showGridLines="0" rightToLeft="1" topLeftCell="A3" workbookViewId="0">
      <selection activeCell="R39" sqref="R39"/>
    </sheetView>
  </sheetViews>
  <sheetFormatPr defaultColWidth="9.26953125" defaultRowHeight="14.5" x14ac:dyDescent="0.35"/>
  <cols>
    <col min="1" max="1" width="3.7265625" customWidth="1"/>
    <col min="2" max="2" width="45.54296875" customWidth="1"/>
    <col min="3" max="3" width="14.54296875" customWidth="1"/>
    <col min="4" max="4" width="4.7265625" customWidth="1"/>
    <col min="5" max="5" width="52.453125" customWidth="1"/>
    <col min="11" max="11" width="9.7265625" customWidth="1"/>
    <col min="13" max="13" width="26.453125" customWidth="1"/>
  </cols>
  <sheetData>
    <row r="2" spans="2:12" ht="15.5" x14ac:dyDescent="0.35">
      <c r="F2" s="23"/>
    </row>
    <row r="4" spans="2:12" ht="15.5" x14ac:dyDescent="0.35">
      <c r="E4" s="23"/>
    </row>
    <row r="5" spans="2:12" ht="149.5" customHeight="1" x14ac:dyDescent="0.35">
      <c r="B5" s="945" t="s">
        <v>0</v>
      </c>
      <c r="C5" s="945"/>
      <c r="D5" s="22"/>
      <c r="L5" s="483"/>
    </row>
    <row r="6" spans="2:12" ht="21" customHeight="1" x14ac:dyDescent="0.35">
      <c r="C6" s="8"/>
      <c r="D6" s="22"/>
      <c r="E6" s="421"/>
      <c r="F6" s="421"/>
    </row>
    <row r="7" spans="2:12" ht="19.149999999999999" customHeight="1" x14ac:dyDescent="0.35">
      <c r="B7" s="23" t="s">
        <v>1</v>
      </c>
    </row>
    <row r="8" spans="2:12" ht="27" customHeight="1" x14ac:dyDescent="0.35">
      <c r="B8" s="295" t="s">
        <v>2</v>
      </c>
      <c r="C8" s="412" t="s">
        <v>3</v>
      </c>
      <c r="D8" s="24"/>
      <c r="E8" s="550" t="s">
        <v>4</v>
      </c>
    </row>
    <row r="9" spans="2:12" ht="21.4" customHeight="1" x14ac:dyDescent="0.35">
      <c r="B9" s="25" t="s">
        <v>5</v>
      </c>
      <c r="C9" s="26"/>
      <c r="D9" s="24"/>
      <c r="E9" s="26"/>
      <c r="F9" s="420"/>
    </row>
    <row r="10" spans="2:12" ht="21.4" customHeight="1" x14ac:dyDescent="0.35">
      <c r="B10" s="27" t="s">
        <v>6</v>
      </c>
      <c r="C10" s="28" t="s">
        <v>3</v>
      </c>
      <c r="D10" s="24"/>
      <c r="E10" s="37" t="s">
        <v>7</v>
      </c>
      <c r="F10" s="29"/>
    </row>
    <row r="11" spans="2:12" ht="18" customHeight="1" x14ac:dyDescent="0.35">
      <c r="B11" s="30" t="s">
        <v>8</v>
      </c>
      <c r="C11" s="411" t="s">
        <v>3</v>
      </c>
      <c r="D11" s="24"/>
      <c r="E11" s="37" t="s">
        <v>9</v>
      </c>
      <c r="F11" s="31"/>
      <c r="K11" s="425"/>
    </row>
    <row r="12" spans="2:12" ht="26.65" customHeight="1" x14ac:dyDescent="0.35">
      <c r="B12" s="30" t="s">
        <v>10</v>
      </c>
      <c r="C12" s="411" t="s">
        <v>3</v>
      </c>
      <c r="D12" s="24"/>
      <c r="E12" s="867" t="s">
        <v>11</v>
      </c>
      <c r="F12" s="31"/>
    </row>
    <row r="13" spans="2:12" ht="21.4" customHeight="1" x14ac:dyDescent="0.35">
      <c r="B13" s="30" t="s">
        <v>12</v>
      </c>
      <c r="C13" s="411" t="s">
        <v>3</v>
      </c>
      <c r="D13" s="24"/>
      <c r="F13" s="33"/>
    </row>
    <row r="14" spans="2:12" ht="21.4" customHeight="1" x14ac:dyDescent="0.35">
      <c r="B14" s="32" t="s">
        <v>13</v>
      </c>
      <c r="C14" s="412" t="s">
        <v>3</v>
      </c>
      <c r="D14" s="24"/>
      <c r="E14" s="323"/>
      <c r="F14" s="565"/>
    </row>
    <row r="15" spans="2:12" ht="21.4" customHeight="1" x14ac:dyDescent="0.35">
      <c r="B15" s="34"/>
      <c r="C15" s="35"/>
      <c r="D15" s="24"/>
    </row>
    <row r="16" spans="2:12" ht="21.4" customHeight="1" x14ac:dyDescent="0.35">
      <c r="B16" s="25" t="s">
        <v>14</v>
      </c>
      <c r="C16" s="36"/>
      <c r="D16" s="24"/>
      <c r="E16" s="26"/>
      <c r="F16" s="420"/>
    </row>
    <row r="17" spans="2:6" ht="21.4" customHeight="1" x14ac:dyDescent="0.35">
      <c r="B17" s="27" t="s">
        <v>15</v>
      </c>
      <c r="C17" s="28" t="s">
        <v>3</v>
      </c>
      <c r="D17" s="24"/>
      <c r="E17" s="7" t="s">
        <v>16</v>
      </c>
      <c r="F17" s="37"/>
    </row>
    <row r="18" spans="2:6" ht="21.4" customHeight="1" x14ac:dyDescent="0.35">
      <c r="B18" s="30" t="s">
        <v>17</v>
      </c>
      <c r="C18" s="411" t="s">
        <v>3</v>
      </c>
      <c r="D18" s="24"/>
      <c r="E18" s="37" t="s">
        <v>18</v>
      </c>
      <c r="F18" s="561"/>
    </row>
    <row r="19" spans="2:6" ht="21.4" customHeight="1" x14ac:dyDescent="0.35">
      <c r="B19" s="30" t="s">
        <v>19</v>
      </c>
      <c r="C19" s="411" t="s">
        <v>3</v>
      </c>
      <c r="D19" s="24"/>
      <c r="E19" s="37" t="s">
        <v>20</v>
      </c>
      <c r="F19" s="31"/>
    </row>
    <row r="20" spans="2:6" ht="21.4" customHeight="1" x14ac:dyDescent="0.35">
      <c r="B20" s="30" t="s">
        <v>21</v>
      </c>
      <c r="C20" s="411" t="s">
        <v>3</v>
      </c>
      <c r="D20" s="24"/>
      <c r="E20" s="871" t="s">
        <v>22</v>
      </c>
      <c r="F20" s="31"/>
    </row>
    <row r="21" spans="2:6" ht="29.25" customHeight="1" x14ac:dyDescent="0.35">
      <c r="B21" s="30" t="s">
        <v>23</v>
      </c>
      <c r="C21" s="411" t="s">
        <v>3</v>
      </c>
      <c r="D21" s="24"/>
      <c r="E21" s="7" t="s">
        <v>24</v>
      </c>
      <c r="F21" s="946"/>
    </row>
    <row r="22" spans="2:6" ht="21.4" customHeight="1" x14ac:dyDescent="0.35">
      <c r="B22" s="30" t="s">
        <v>25</v>
      </c>
      <c r="C22" s="411" t="s">
        <v>3</v>
      </c>
      <c r="D22" s="24"/>
      <c r="E22" s="37" t="s">
        <v>26</v>
      </c>
      <c r="F22" s="946"/>
    </row>
    <row r="23" spans="2:6" ht="33" customHeight="1" x14ac:dyDescent="0.35">
      <c r="B23" s="30" t="s">
        <v>27</v>
      </c>
      <c r="C23" s="411" t="s">
        <v>3</v>
      </c>
      <c r="D23" s="24"/>
      <c r="F23" s="31"/>
    </row>
    <row r="24" spans="2:6" ht="31.5" customHeight="1" x14ac:dyDescent="0.35">
      <c r="B24" s="32"/>
      <c r="C24" s="412"/>
      <c r="D24" s="24"/>
    </row>
    <row r="25" spans="2:6" ht="21.4" customHeight="1" x14ac:dyDescent="0.35">
      <c r="B25" s="25" t="s">
        <v>28</v>
      </c>
      <c r="C25" s="36"/>
      <c r="D25" s="24"/>
      <c r="E25" s="26"/>
      <c r="F25" s="420"/>
    </row>
    <row r="26" spans="2:6" ht="21.65" customHeight="1" x14ac:dyDescent="0.35">
      <c r="B26" s="27" t="s">
        <v>29</v>
      </c>
      <c r="C26" s="414" t="s">
        <v>3</v>
      </c>
      <c r="D26" s="24"/>
      <c r="E26" s="868" t="s">
        <v>30</v>
      </c>
      <c r="F26" s="562"/>
    </row>
    <row r="27" spans="2:6" ht="34.15" customHeight="1" x14ac:dyDescent="0.35">
      <c r="B27" s="32" t="s">
        <v>31</v>
      </c>
      <c r="C27" s="415" t="s">
        <v>3</v>
      </c>
      <c r="D27" s="24"/>
      <c r="E27" s="947" t="s">
        <v>32</v>
      </c>
      <c r="F27" s="948"/>
    </row>
    <row r="28" spans="2:6" ht="21" customHeight="1" x14ac:dyDescent="0.45">
      <c r="B28" s="32" t="s">
        <v>33</v>
      </c>
      <c r="C28" s="415" t="s">
        <v>3</v>
      </c>
      <c r="D28" s="24"/>
      <c r="E28" s="870" t="s">
        <v>34</v>
      </c>
      <c r="F28" s="564"/>
    </row>
    <row r="29" spans="2:6" ht="37.9" customHeight="1" x14ac:dyDescent="0.35">
      <c r="B29" s="32" t="s">
        <v>35</v>
      </c>
      <c r="C29" s="415" t="s">
        <v>3</v>
      </c>
      <c r="E29" s="608"/>
      <c r="F29" s="437"/>
    </row>
    <row r="30" spans="2:6" ht="21" customHeight="1" x14ac:dyDescent="0.35">
      <c r="B30" s="32" t="s">
        <v>36</v>
      </c>
      <c r="C30" s="416" t="s">
        <v>3</v>
      </c>
      <c r="E30" s="869" t="s">
        <v>37</v>
      </c>
      <c r="F30" s="563"/>
    </row>
    <row r="31" spans="2:6" ht="21" customHeight="1" x14ac:dyDescent="0.35">
      <c r="C31" s="413"/>
    </row>
    <row r="32" spans="2:6" ht="21" customHeight="1" x14ac:dyDescent="0.35"/>
  </sheetData>
  <mergeCells count="3">
    <mergeCell ref="B5:C5"/>
    <mergeCell ref="F21:F22"/>
    <mergeCell ref="E27:F27"/>
  </mergeCells>
  <hyperlinks>
    <hyperlink ref="C10" location="'פליטות גזי חממה'!A1" display="למעבר &gt;" xr:uid="{00000000-0004-0000-0100-000000000000}"/>
    <hyperlink ref="C12" location="'צריכת אנרגיה'!A1" display="למעבר &gt;" xr:uid="{00000000-0004-0000-0100-000001000000}"/>
    <hyperlink ref="C13" location="מים!A1" display="למעבר &gt;" xr:uid="{00000000-0004-0000-0100-000002000000}"/>
    <hyperlink ref="C14" location="פסולת!A1" display="למעבר &gt;" xr:uid="{00000000-0004-0000-0100-000003000000}"/>
    <hyperlink ref="C17" location="'כוח אדם'!A1" display="למעבר &gt;" xr:uid="{00000000-0004-0000-0100-000004000000}"/>
    <hyperlink ref="C18" location="'אופי העסקה'!A1" display="למעבר &gt;" xr:uid="{00000000-0004-0000-0100-000005000000}"/>
    <hyperlink ref="C19" location="'תחלופת עובדים'!A1" display="למעבר &gt;" xr:uid="{00000000-0004-0000-0100-000006000000}"/>
    <hyperlink ref="C20" location="'ותק עובדים'!A1" display="למעבר &gt;" xr:uid="{00000000-0004-0000-0100-000007000000}"/>
    <hyperlink ref="C21" location="'גיוון והכללה'!A1" display="למעבר &gt;" xr:uid="{00000000-0004-0000-0100-000008000000}"/>
    <hyperlink ref="C22" location="'בטיחות וגהות'!A1" display="למעבר &gt;" xr:uid="{00000000-0004-0000-0100-000009000000}"/>
    <hyperlink ref="C23" location="'הדרכות, משוב והערכה'!A1" display="למעבר &gt;" xr:uid="{00000000-0004-0000-0100-00000A000000}"/>
    <hyperlink ref="C26" location="'ביצועים כספיים'!A1" display="למעבר &gt;" xr:uid="{00000000-0004-0000-0100-00000B000000}"/>
    <hyperlink ref="C27" location="'מבנה אחזקות'!A1" display="למעבר &gt;" xr:uid="{00000000-0004-0000-0100-00000C000000}"/>
    <hyperlink ref="C28" location="'חברי הדירקטוריון'!A1" display="למעבר &gt;" xr:uid="{00000000-0004-0000-0100-00000D000000}"/>
    <hyperlink ref="C29" location="'מענק שנתי לנושאי משרה'!A1" display="למעבר &gt;" xr:uid="{00000000-0004-0000-0100-00000E000000}"/>
    <hyperlink ref="C30" location="'פניות למבקר החברה'!A1" display="למעבר &gt;" xr:uid="{00000000-0004-0000-0100-00000F000000}"/>
    <hyperlink ref="C8" location="'יעדי קבוצת בזק'!A1" display="למעבר &gt;" xr:uid="{00000000-0004-0000-0100-000010000000}"/>
    <hyperlink ref="C11" location="עצימות!A1" display="למעבר &gt;" xr:uid="{00000000-0004-0000-0100-000011000000}"/>
  </hyperlinks>
  <pageMargins left="0.7" right="0.7" top="0.75" bottom="0.75" header="0.3" footer="0.3"/>
  <pageSetup paperSize="9" orientation="portrait" r:id="rId1"/>
  <headerFooter scaleWithDoc="0"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M28"/>
  <sheetViews>
    <sheetView showGridLines="0" rightToLeft="1" zoomScale="110" zoomScaleNormal="110" workbookViewId="0">
      <selection activeCell="C4" sqref="C4"/>
    </sheetView>
  </sheetViews>
  <sheetFormatPr defaultColWidth="9.26953125" defaultRowHeight="14.5" x14ac:dyDescent="0.35"/>
  <cols>
    <col min="1" max="1" width="3.7265625" customWidth="1"/>
    <col min="2" max="3" width="15.7265625" customWidth="1"/>
    <col min="4" max="4" width="17.54296875" customWidth="1"/>
    <col min="5" max="12" width="15.7265625" customWidth="1"/>
  </cols>
  <sheetData>
    <row r="1" spans="2:13" ht="15" customHeight="1" x14ac:dyDescent="0.35"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2:13" ht="15" customHeight="1" x14ac:dyDescent="0.35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3" ht="15" customHeight="1" x14ac:dyDescent="0.35"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2:13" ht="15" customHeight="1" x14ac:dyDescent="0.35"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2:13" ht="24" customHeight="1" thickBot="1" x14ac:dyDescent="0.4">
      <c r="B5" s="39" t="s">
        <v>503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2:13" ht="21.4" customHeight="1" thickTop="1" x14ac:dyDescent="0.35"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2:13" ht="30.4" customHeight="1" x14ac:dyDescent="0.35">
      <c r="B7" s="322" t="s">
        <v>396</v>
      </c>
      <c r="C7" s="322" t="s">
        <v>397</v>
      </c>
      <c r="D7" s="322" t="s">
        <v>398</v>
      </c>
      <c r="E7" s="322" t="s">
        <v>399</v>
      </c>
      <c r="F7" s="322" t="s">
        <v>285</v>
      </c>
      <c r="G7" s="322" t="s">
        <v>400</v>
      </c>
      <c r="H7" s="322" t="s">
        <v>401</v>
      </c>
      <c r="I7" s="322" t="s">
        <v>402</v>
      </c>
      <c r="J7" s="322" t="s">
        <v>403</v>
      </c>
      <c r="K7" s="322" t="s">
        <v>404</v>
      </c>
      <c r="L7" s="322" t="s">
        <v>405</v>
      </c>
      <c r="M7" s="185" t="s">
        <v>41</v>
      </c>
    </row>
    <row r="8" spans="2:13" ht="25.15" customHeight="1" x14ac:dyDescent="0.35">
      <c r="B8" s="897" t="s">
        <v>406</v>
      </c>
      <c r="C8" s="394" t="s">
        <v>407</v>
      </c>
      <c r="D8" s="770" t="s">
        <v>408</v>
      </c>
      <c r="E8" s="395" t="s">
        <v>409</v>
      </c>
      <c r="F8" s="142" t="s">
        <v>410</v>
      </c>
      <c r="G8" s="395" t="s">
        <v>411</v>
      </c>
      <c r="H8" s="395" t="s">
        <v>412</v>
      </c>
      <c r="I8" s="142"/>
      <c r="J8" s="142"/>
      <c r="K8" s="142"/>
      <c r="L8" s="394" t="s">
        <v>413</v>
      </c>
      <c r="M8" s="1231" t="s">
        <v>414</v>
      </c>
    </row>
    <row r="9" spans="2:13" ht="25.15" customHeight="1" x14ac:dyDescent="0.35">
      <c r="B9" s="897" t="s">
        <v>415</v>
      </c>
      <c r="C9" s="394" t="s">
        <v>416</v>
      </c>
      <c r="D9" s="770" t="s">
        <v>417</v>
      </c>
      <c r="E9" s="395" t="s">
        <v>418</v>
      </c>
      <c r="F9" s="142" t="s">
        <v>410</v>
      </c>
      <c r="G9" s="395" t="s">
        <v>419</v>
      </c>
      <c r="H9" s="395"/>
      <c r="I9" s="142"/>
      <c r="J9" s="142"/>
      <c r="K9" s="142"/>
      <c r="L9" s="394" t="s">
        <v>413</v>
      </c>
      <c r="M9" s="1231"/>
    </row>
    <row r="10" spans="2:13" ht="25.15" customHeight="1" x14ac:dyDescent="0.35">
      <c r="B10" s="897" t="s">
        <v>420</v>
      </c>
      <c r="C10" s="394" t="s">
        <v>416</v>
      </c>
      <c r="D10" s="770" t="s">
        <v>421</v>
      </c>
      <c r="E10" s="395" t="s">
        <v>409</v>
      </c>
      <c r="F10" s="142" t="s">
        <v>410</v>
      </c>
      <c r="G10" s="395" t="s">
        <v>419</v>
      </c>
      <c r="H10" s="395" t="s">
        <v>412</v>
      </c>
      <c r="I10" s="142"/>
      <c r="J10" s="142"/>
      <c r="K10" s="142"/>
      <c r="L10" s="394" t="s">
        <v>413</v>
      </c>
      <c r="M10" s="1231"/>
    </row>
    <row r="11" spans="2:13" ht="25.15" customHeight="1" x14ac:dyDescent="0.35">
      <c r="B11" s="897" t="s">
        <v>422</v>
      </c>
      <c r="C11" s="394" t="s">
        <v>416</v>
      </c>
      <c r="D11" s="770" t="s">
        <v>423</v>
      </c>
      <c r="E11" s="395" t="s">
        <v>409</v>
      </c>
      <c r="F11" s="142" t="s">
        <v>410</v>
      </c>
      <c r="G11" s="395" t="s">
        <v>419</v>
      </c>
      <c r="H11" s="395"/>
      <c r="I11" s="142"/>
      <c r="J11" s="142"/>
      <c r="K11" s="142"/>
      <c r="L11" s="394" t="s">
        <v>413</v>
      </c>
      <c r="M11" s="1231"/>
    </row>
    <row r="12" spans="2:13" ht="25.15" customHeight="1" x14ac:dyDescent="0.35">
      <c r="B12" s="897" t="s">
        <v>424</v>
      </c>
      <c r="C12" s="394" t="s">
        <v>425</v>
      </c>
      <c r="D12" s="770"/>
      <c r="E12" s="395"/>
      <c r="F12" s="142" t="s">
        <v>426</v>
      </c>
      <c r="G12" s="395" t="s">
        <v>427</v>
      </c>
      <c r="H12" s="395"/>
      <c r="I12" s="142"/>
      <c r="J12" s="142"/>
      <c r="K12" s="142"/>
      <c r="L12" s="394" t="s">
        <v>413</v>
      </c>
      <c r="M12" s="1231"/>
    </row>
    <row r="13" spans="2:13" ht="25.15" customHeight="1" x14ac:dyDescent="0.35">
      <c r="B13" s="897" t="s">
        <v>428</v>
      </c>
      <c r="C13" s="394" t="s">
        <v>429</v>
      </c>
      <c r="D13" s="770" t="s">
        <v>430</v>
      </c>
      <c r="E13" s="395" t="s">
        <v>409</v>
      </c>
      <c r="F13" s="142" t="s">
        <v>410</v>
      </c>
      <c r="G13" s="395" t="s">
        <v>431</v>
      </c>
      <c r="H13" s="395" t="s">
        <v>412</v>
      </c>
      <c r="I13" s="395" t="s">
        <v>412</v>
      </c>
      <c r="J13" s="395" t="s">
        <v>412</v>
      </c>
      <c r="K13" s="395" t="s">
        <v>412</v>
      </c>
      <c r="L13" s="394" t="s">
        <v>413</v>
      </c>
      <c r="M13" s="1231"/>
    </row>
    <row r="14" spans="2:13" ht="25.15" customHeight="1" x14ac:dyDescent="0.35">
      <c r="B14" s="897" t="s">
        <v>432</v>
      </c>
      <c r="C14" s="394" t="s">
        <v>433</v>
      </c>
      <c r="D14" s="770" t="s">
        <v>434</v>
      </c>
      <c r="E14" s="395" t="s">
        <v>409</v>
      </c>
      <c r="F14" s="142" t="s">
        <v>410</v>
      </c>
      <c r="G14" s="395" t="s">
        <v>435</v>
      </c>
      <c r="H14" s="395"/>
      <c r="I14" s="395" t="s">
        <v>436</v>
      </c>
      <c r="J14" s="395" t="s">
        <v>412</v>
      </c>
      <c r="K14" s="395" t="s">
        <v>436</v>
      </c>
      <c r="L14" s="394" t="s">
        <v>413</v>
      </c>
      <c r="M14" s="1231"/>
    </row>
    <row r="15" spans="2:13" ht="25.15" customHeight="1" x14ac:dyDescent="0.35">
      <c r="B15" s="897" t="s">
        <v>437</v>
      </c>
      <c r="C15" s="394" t="s">
        <v>438</v>
      </c>
      <c r="D15" s="770" t="s">
        <v>439</v>
      </c>
      <c r="E15" s="395" t="s">
        <v>409</v>
      </c>
      <c r="F15" s="142" t="s">
        <v>426</v>
      </c>
      <c r="G15" s="395" t="s">
        <v>440</v>
      </c>
      <c r="H15" s="395" t="s">
        <v>14</v>
      </c>
      <c r="I15" s="395" t="s">
        <v>14</v>
      </c>
      <c r="J15" s="395" t="s">
        <v>436</v>
      </c>
      <c r="K15" s="395" t="s">
        <v>14</v>
      </c>
      <c r="L15" s="394" t="s">
        <v>413</v>
      </c>
      <c r="M15" s="1231"/>
    </row>
    <row r="16" spans="2:13" ht="25.15" customHeight="1" x14ac:dyDescent="0.35">
      <c r="B16" s="897" t="s">
        <v>441</v>
      </c>
      <c r="C16" s="394" t="s">
        <v>442</v>
      </c>
      <c r="D16" s="770" t="s">
        <v>443</v>
      </c>
      <c r="E16" s="395" t="s">
        <v>409</v>
      </c>
      <c r="F16" s="142" t="s">
        <v>426</v>
      </c>
      <c r="G16" s="395" t="s">
        <v>444</v>
      </c>
      <c r="H16" s="395"/>
      <c r="I16" s="395" t="s">
        <v>14</v>
      </c>
      <c r="J16" s="395" t="s">
        <v>14</v>
      </c>
      <c r="K16" s="395" t="s">
        <v>14</v>
      </c>
      <c r="L16" s="394" t="s">
        <v>445</v>
      </c>
      <c r="M16" s="1231"/>
    </row>
    <row r="17" spans="2:13" ht="25.15" customHeight="1" x14ac:dyDescent="0.35">
      <c r="B17" s="898" t="s">
        <v>446</v>
      </c>
      <c r="C17" s="390" t="s">
        <v>447</v>
      </c>
      <c r="D17" s="771" t="s">
        <v>448</v>
      </c>
      <c r="E17" s="341" t="s">
        <v>409</v>
      </c>
      <c r="F17" s="143" t="s">
        <v>410</v>
      </c>
      <c r="G17" s="341" t="s">
        <v>449</v>
      </c>
      <c r="H17" s="899"/>
      <c r="I17" s="143"/>
      <c r="J17" s="143"/>
      <c r="K17" s="143"/>
      <c r="L17" s="390" t="s">
        <v>445</v>
      </c>
      <c r="M17" s="1231"/>
    </row>
    <row r="18" spans="2:13" ht="25.15" customHeight="1" x14ac:dyDescent="0.35">
      <c r="B18" s="568" t="s">
        <v>450</v>
      </c>
      <c r="C18" s="391"/>
      <c r="D18" s="391"/>
      <c r="E18" s="391"/>
      <c r="G18" s="391"/>
      <c r="H18" s="391"/>
      <c r="L18" s="391"/>
    </row>
    <row r="19" spans="2:13" x14ac:dyDescent="0.35">
      <c r="B19" s="568" t="s">
        <v>451</v>
      </c>
    </row>
    <row r="21" spans="2:13" ht="24" thickBot="1" x14ac:dyDescent="0.4">
      <c r="B21" s="39" t="s">
        <v>452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2:13" ht="15" thickTop="1" x14ac:dyDescent="0.35">
      <c r="B22" s="38"/>
      <c r="C22" s="38"/>
      <c r="D22" s="38"/>
      <c r="E22" s="38"/>
    </row>
    <row r="23" spans="2:13" ht="30" customHeight="1" x14ac:dyDescent="0.35">
      <c r="B23" s="322"/>
      <c r="C23" s="322" t="s">
        <v>453</v>
      </c>
      <c r="D23" s="322" t="s">
        <v>454</v>
      </c>
      <c r="E23" s="322"/>
      <c r="F23" s="322"/>
      <c r="G23" s="322"/>
      <c r="H23" s="322"/>
      <c r="I23" s="322"/>
      <c r="J23" s="322"/>
      <c r="K23" s="322"/>
      <c r="L23" s="322"/>
      <c r="M23" s="185" t="s">
        <v>41</v>
      </c>
    </row>
    <row r="24" spans="2:13" x14ac:dyDescent="0.35">
      <c r="B24" s="392" t="s">
        <v>455</v>
      </c>
      <c r="C24" s="128">
        <v>9</v>
      </c>
      <c r="D24" s="515">
        <f>3/9</f>
        <v>0.33333333333333331</v>
      </c>
      <c r="E24" s="515"/>
      <c r="F24" s="515"/>
      <c r="G24" s="515"/>
      <c r="H24" s="515"/>
      <c r="I24" s="515"/>
      <c r="J24" s="515"/>
      <c r="K24" s="515"/>
      <c r="L24" s="515"/>
      <c r="M24" s="1019" t="s">
        <v>45</v>
      </c>
    </row>
    <row r="25" spans="2:13" x14ac:dyDescent="0.35">
      <c r="B25" s="393" t="s">
        <v>401</v>
      </c>
      <c r="C25" s="394">
        <v>4</v>
      </c>
      <c r="D25" s="287">
        <f>1/4</f>
        <v>0.25</v>
      </c>
      <c r="E25" s="287"/>
      <c r="F25" s="287"/>
      <c r="G25" s="287"/>
      <c r="H25" s="287"/>
      <c r="I25" s="287"/>
      <c r="J25" s="287"/>
      <c r="K25" s="287"/>
      <c r="L25" s="287"/>
      <c r="M25" s="1019"/>
    </row>
    <row r="26" spans="2:13" ht="26" x14ac:dyDescent="0.35">
      <c r="B26" s="392" t="s">
        <v>456</v>
      </c>
      <c r="C26" s="896">
        <v>4</v>
      </c>
      <c r="D26" s="515">
        <v>0.5</v>
      </c>
      <c r="E26" s="515"/>
      <c r="F26" s="515"/>
      <c r="G26" s="515"/>
      <c r="H26" s="515"/>
      <c r="I26" s="515"/>
      <c r="J26" s="515"/>
      <c r="K26" s="515"/>
      <c r="L26" s="515"/>
      <c r="M26" s="1019"/>
    </row>
    <row r="27" spans="2:13" x14ac:dyDescent="0.35">
      <c r="B27" s="393" t="s">
        <v>403</v>
      </c>
      <c r="C27" s="394">
        <v>4</v>
      </c>
      <c r="D27" s="287">
        <v>0.5</v>
      </c>
      <c r="E27" s="287"/>
      <c r="F27" s="287"/>
      <c r="G27" s="287"/>
      <c r="H27" s="287"/>
      <c r="I27" s="287"/>
      <c r="J27" s="287"/>
      <c r="K27" s="287"/>
      <c r="L27" s="287"/>
      <c r="M27" s="1019"/>
    </row>
    <row r="28" spans="2:13" x14ac:dyDescent="0.35">
      <c r="B28" s="393" t="s">
        <v>404</v>
      </c>
      <c r="C28" s="394">
        <v>4</v>
      </c>
      <c r="D28" s="287">
        <v>0.5</v>
      </c>
      <c r="E28" s="287"/>
      <c r="F28" s="287"/>
      <c r="G28" s="287"/>
      <c r="H28" s="287"/>
      <c r="I28" s="287"/>
      <c r="J28" s="287"/>
      <c r="K28" s="287"/>
      <c r="L28" s="287"/>
      <c r="M28" s="1019"/>
    </row>
  </sheetData>
  <mergeCells count="2">
    <mergeCell ref="M24:M28"/>
    <mergeCell ref="M8:M17"/>
  </mergeCells>
  <pageMargins left="0.70866141732283505" right="0.70866141732283505" top="0.74803149606299202" bottom="0.74803149606299202" header="0.31496062992126" footer="0.31496062992126"/>
  <pageSetup paperSize="9" scale="80" orientation="landscape" r:id="rId1"/>
  <headerFooter scaleWithDoc="0"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M22"/>
  <sheetViews>
    <sheetView showGridLines="0" rightToLeft="1" topLeftCell="A11" workbookViewId="0">
      <selection activeCell="D16" sqref="D16"/>
    </sheetView>
  </sheetViews>
  <sheetFormatPr defaultColWidth="9.26953125" defaultRowHeight="14.5" x14ac:dyDescent="0.35"/>
  <cols>
    <col min="1" max="1" width="3.7265625" customWidth="1"/>
    <col min="2" max="2" width="3.453125" customWidth="1"/>
    <col min="3" max="3" width="19.7265625" customWidth="1"/>
    <col min="4" max="4" width="61.7265625" customWidth="1"/>
    <col min="5" max="5" width="15.7265625" customWidth="1"/>
  </cols>
  <sheetData>
    <row r="1" spans="2:13" ht="15" customHeight="1" x14ac:dyDescent="0.35"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2:13" ht="15" customHeight="1" x14ac:dyDescent="0.35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3" ht="15" customHeight="1" x14ac:dyDescent="0.35"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2:13" ht="15" customHeight="1" x14ac:dyDescent="0.35">
      <c r="B4" s="38"/>
      <c r="C4" s="38"/>
      <c r="D4" s="38"/>
    </row>
    <row r="5" spans="2:13" ht="28.15" customHeight="1" thickBot="1" x14ac:dyDescent="0.4">
      <c r="B5" s="39" t="s">
        <v>35</v>
      </c>
      <c r="C5" s="40"/>
      <c r="D5" s="40"/>
      <c r="E5" s="40"/>
    </row>
    <row r="6" spans="2:13" s="24" customFormat="1" ht="21.4" customHeight="1" thickTop="1" x14ac:dyDescent="0.35">
      <c r="B6" s="397" t="s">
        <v>457</v>
      </c>
      <c r="C6" s="398"/>
      <c r="D6" s="398"/>
      <c r="F6"/>
      <c r="G6"/>
      <c r="H6"/>
      <c r="I6"/>
      <c r="J6"/>
      <c r="K6"/>
      <c r="L6"/>
      <c r="M6"/>
    </row>
    <row r="7" spans="2:13" ht="15.65" customHeight="1" x14ac:dyDescent="0.35">
      <c r="B7" s="1233" t="s">
        <v>458</v>
      </c>
      <c r="C7" s="1233"/>
      <c r="D7" s="594" t="s">
        <v>459</v>
      </c>
      <c r="E7" s="185" t="s">
        <v>41</v>
      </c>
    </row>
    <row r="8" spans="2:13" ht="30.4" customHeight="1" x14ac:dyDescent="0.35">
      <c r="B8" s="402" t="s">
        <v>460</v>
      </c>
      <c r="C8" s="403" t="s">
        <v>461</v>
      </c>
      <c r="D8" s="399" t="s">
        <v>462</v>
      </c>
      <c r="E8" s="1231" t="s">
        <v>463</v>
      </c>
    </row>
    <row r="9" spans="2:13" ht="30.4" customHeight="1" x14ac:dyDescent="0.35">
      <c r="B9" s="404" t="s">
        <v>464</v>
      </c>
      <c r="C9" s="405" t="s">
        <v>465</v>
      </c>
      <c r="D9" s="400" t="s">
        <v>466</v>
      </c>
      <c r="E9" s="1231"/>
    </row>
    <row r="10" spans="2:13" ht="30.4" customHeight="1" x14ac:dyDescent="0.35">
      <c r="B10" s="406" t="s">
        <v>467</v>
      </c>
      <c r="C10" s="407" t="s">
        <v>468</v>
      </c>
      <c r="D10" s="401" t="s">
        <v>469</v>
      </c>
      <c r="E10" s="1231"/>
    </row>
    <row r="11" spans="2:13" x14ac:dyDescent="0.35">
      <c r="E11" s="1231"/>
    </row>
    <row r="12" spans="2:13" x14ac:dyDescent="0.35">
      <c r="B12" s="108"/>
      <c r="C12" s="108"/>
      <c r="D12" s="108"/>
      <c r="E12" s="1231"/>
      <c r="F12" s="108"/>
      <c r="G12" s="108"/>
      <c r="H12" s="108"/>
      <c r="I12" s="108"/>
      <c r="J12" s="108"/>
    </row>
    <row r="13" spans="2:13" ht="63.75" customHeight="1" x14ac:dyDescent="0.35">
      <c r="B13" s="1232" t="s">
        <v>470</v>
      </c>
      <c r="C13" s="1232"/>
      <c r="D13" s="1232"/>
      <c r="E13" s="1231"/>
      <c r="F13" s="108"/>
      <c r="G13" s="108"/>
      <c r="H13" s="108"/>
      <c r="I13" s="108"/>
      <c r="J13" s="108"/>
    </row>
    <row r="14" spans="2:13" ht="57.75" customHeight="1" x14ac:dyDescent="0.35">
      <c r="B14" s="1232" t="s">
        <v>471</v>
      </c>
      <c r="C14" s="1232"/>
      <c r="D14" s="1232"/>
      <c r="E14" s="1231"/>
      <c r="F14" s="108"/>
      <c r="G14" s="108"/>
      <c r="H14" s="108"/>
      <c r="I14" s="108"/>
      <c r="J14" s="108"/>
    </row>
    <row r="15" spans="2:13" x14ac:dyDescent="0.35">
      <c r="B15" s="408"/>
      <c r="C15" s="369"/>
      <c r="D15" s="108"/>
      <c r="E15" s="108"/>
      <c r="F15" s="108"/>
      <c r="G15" s="108"/>
      <c r="H15" s="108"/>
      <c r="I15" s="108"/>
    </row>
    <row r="16" spans="2:13" x14ac:dyDescent="0.35">
      <c r="B16" s="408"/>
      <c r="C16" s="369"/>
      <c r="D16" s="369"/>
      <c r="E16" s="108"/>
      <c r="F16" s="108"/>
      <c r="G16" s="108"/>
      <c r="H16" s="108"/>
      <c r="I16" s="108"/>
      <c r="J16" s="108"/>
    </row>
    <row r="17" spans="2:10" x14ac:dyDescent="0.35">
      <c r="B17" s="408"/>
      <c r="C17" s="369"/>
      <c r="D17" s="369"/>
      <c r="E17" s="108"/>
      <c r="F17" s="108"/>
      <c r="G17" s="108"/>
      <c r="H17" s="108"/>
      <c r="I17" s="108"/>
      <c r="J17" s="108"/>
    </row>
    <row r="18" spans="2:10" x14ac:dyDescent="0.35">
      <c r="B18" s="408"/>
      <c r="C18" s="369"/>
      <c r="D18" s="369"/>
      <c r="E18" s="108"/>
      <c r="F18" s="108"/>
      <c r="G18" s="108"/>
      <c r="H18" s="108"/>
      <c r="I18" s="108"/>
      <c r="J18" s="108"/>
    </row>
    <row r="19" spans="2:10" x14ac:dyDescent="0.35">
      <c r="B19" s="408"/>
      <c r="C19" s="369"/>
      <c r="D19" s="369"/>
      <c r="E19" s="108"/>
      <c r="F19" s="108"/>
      <c r="G19" s="108"/>
      <c r="H19" s="108"/>
      <c r="I19" s="108"/>
      <c r="J19" s="108"/>
    </row>
    <row r="20" spans="2:10" x14ac:dyDescent="0.35">
      <c r="B20" s="408"/>
      <c r="C20" s="369"/>
      <c r="D20" s="369"/>
      <c r="E20" s="108"/>
      <c r="F20" s="108"/>
      <c r="G20" s="108"/>
      <c r="H20" s="108"/>
      <c r="I20" s="108"/>
      <c r="J20" s="108"/>
    </row>
    <row r="21" spans="2:10" x14ac:dyDescent="0.35">
      <c r="B21" s="408"/>
      <c r="C21" s="369"/>
      <c r="D21" s="369"/>
      <c r="E21" s="108"/>
      <c r="F21" s="108"/>
      <c r="G21" s="108"/>
      <c r="H21" s="108"/>
      <c r="I21" s="108"/>
      <c r="J21" s="108"/>
    </row>
    <row r="22" spans="2:10" x14ac:dyDescent="0.35">
      <c r="B22" s="108"/>
      <c r="C22" s="108"/>
      <c r="D22" s="108"/>
      <c r="E22" s="108"/>
      <c r="F22" s="108"/>
      <c r="G22" s="108"/>
      <c r="H22" s="108"/>
      <c r="I22" s="108"/>
      <c r="J22" s="108"/>
    </row>
  </sheetData>
  <mergeCells count="4">
    <mergeCell ref="B13:D13"/>
    <mergeCell ref="B14:D14"/>
    <mergeCell ref="E8:E14"/>
    <mergeCell ref="B7:C7"/>
  </mergeCells>
  <pageMargins left="0.7" right="0.7" top="0.75" bottom="0.75" header="0.3" footer="0.3"/>
  <pageSetup paperSize="9" orientation="portrait" r:id="rId1"/>
  <headerFooter scaleWithDoc="0"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M25"/>
  <sheetViews>
    <sheetView showGridLines="0" rightToLeft="1" topLeftCell="A7" workbookViewId="0">
      <selection activeCell="C15" sqref="C15"/>
    </sheetView>
  </sheetViews>
  <sheetFormatPr defaultColWidth="9.26953125" defaultRowHeight="14.5" x14ac:dyDescent="0.35"/>
  <cols>
    <col min="1" max="1" width="3.7265625" customWidth="1"/>
    <col min="2" max="2" width="18.26953125" customWidth="1"/>
    <col min="3" max="4" width="20.7265625" customWidth="1"/>
    <col min="5" max="5" width="27.453125" customWidth="1"/>
  </cols>
  <sheetData>
    <row r="1" spans="2:13" ht="15" customHeight="1" x14ac:dyDescent="0.35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2:13" ht="15" customHeight="1" x14ac:dyDescent="0.3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2:13" ht="15" customHeight="1" x14ac:dyDescent="0.3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2:13" ht="15" customHeight="1" x14ac:dyDescent="0.35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2:13" ht="24" customHeight="1" thickBot="1" x14ac:dyDescent="0.4">
      <c r="B5" s="39" t="s">
        <v>472</v>
      </c>
      <c r="C5" s="40"/>
      <c r="D5" s="40"/>
      <c r="E5" s="40"/>
      <c r="F5" s="40"/>
      <c r="G5" s="38"/>
      <c r="H5" s="38"/>
      <c r="I5" s="38"/>
      <c r="J5" s="38"/>
      <c r="K5" s="38"/>
      <c r="L5" s="38"/>
      <c r="M5" s="38"/>
    </row>
    <row r="6" spans="2:13" ht="21.4" customHeight="1" thickTop="1" x14ac:dyDescent="0.35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3" ht="32.65" customHeight="1" x14ac:dyDescent="0.35">
      <c r="B7" s="10"/>
      <c r="C7" s="10">
        <v>2022</v>
      </c>
      <c r="D7" s="10">
        <v>2023</v>
      </c>
      <c r="E7" s="10">
        <v>2024</v>
      </c>
      <c r="F7" s="185" t="s">
        <v>41</v>
      </c>
    </row>
    <row r="8" spans="2:13" ht="21.4" customHeight="1" x14ac:dyDescent="0.35">
      <c r="B8" s="147" t="s">
        <v>473</v>
      </c>
      <c r="C8" s="371">
        <v>0.7</v>
      </c>
      <c r="D8" s="371">
        <v>0.64</v>
      </c>
      <c r="E8" s="913">
        <v>0.65</v>
      </c>
      <c r="F8" s="1235" t="s">
        <v>474</v>
      </c>
    </row>
    <row r="9" spans="2:13" ht="21.4" customHeight="1" x14ac:dyDescent="0.35">
      <c r="B9" s="149" t="s">
        <v>475</v>
      </c>
      <c r="C9" s="372">
        <v>0.19</v>
      </c>
      <c r="D9" s="372">
        <v>0.14000000000000001</v>
      </c>
      <c r="E9" s="913">
        <v>0.15</v>
      </c>
      <c r="F9" s="1235"/>
    </row>
    <row r="10" spans="2:13" ht="21.4" customHeight="1" x14ac:dyDescent="0.35">
      <c r="B10" s="409" t="s">
        <v>476</v>
      </c>
      <c r="C10" s="374">
        <v>0.11</v>
      </c>
      <c r="D10" s="374">
        <v>0.22</v>
      </c>
      <c r="E10" s="913">
        <v>0.2</v>
      </c>
      <c r="F10" s="1235"/>
    </row>
    <row r="11" spans="2:13" x14ac:dyDescent="0.35">
      <c r="F11" s="1235"/>
    </row>
    <row r="12" spans="2:13" ht="49" customHeight="1" x14ac:dyDescent="0.35">
      <c r="B12" s="1234" t="s">
        <v>164</v>
      </c>
      <c r="C12" s="1236" t="s">
        <v>477</v>
      </c>
      <c r="D12" s="1236"/>
      <c r="E12" s="1236"/>
      <c r="F12" s="1235"/>
      <c r="G12" s="570"/>
      <c r="H12" s="570"/>
      <c r="I12" s="570"/>
      <c r="J12" s="570"/>
      <c r="K12" s="570"/>
    </row>
    <row r="13" spans="2:13" ht="5" customHeight="1" x14ac:dyDescent="0.35">
      <c r="B13" s="1234"/>
      <c r="C13" s="1237"/>
      <c r="D13" s="1237"/>
      <c r="E13" s="1237"/>
      <c r="F13" s="1235"/>
      <c r="G13" s="570"/>
      <c r="H13" s="570"/>
      <c r="I13" s="570"/>
      <c r="J13" s="570"/>
      <c r="K13" s="570"/>
    </row>
    <row r="14" spans="2:13" ht="14.65" customHeight="1" x14ac:dyDescent="0.35">
      <c r="B14" s="24"/>
      <c r="F14" s="570"/>
      <c r="G14" s="570"/>
      <c r="H14" s="570"/>
      <c r="I14" s="570"/>
      <c r="J14" s="570"/>
      <c r="K14" s="570"/>
    </row>
    <row r="15" spans="2:13" ht="43.15" customHeight="1" x14ac:dyDescent="0.35">
      <c r="B15" s="67"/>
      <c r="C15" s="570"/>
      <c r="D15" s="570"/>
      <c r="E15" s="570"/>
      <c r="F15" s="570"/>
      <c r="G15" s="570"/>
      <c r="H15" s="570"/>
      <c r="I15" s="570"/>
      <c r="J15" s="570"/>
      <c r="K15" s="570"/>
    </row>
    <row r="16" spans="2:13" x14ac:dyDescent="0.35">
      <c r="B16" s="67"/>
    </row>
    <row r="17" spans="2:2" ht="43.15" customHeight="1" x14ac:dyDescent="0.35">
      <c r="B17" s="67"/>
    </row>
    <row r="18" spans="2:2" x14ac:dyDescent="0.35">
      <c r="B18" s="67"/>
    </row>
    <row r="19" spans="2:2" x14ac:dyDescent="0.35">
      <c r="B19" s="67"/>
    </row>
    <row r="20" spans="2:2" x14ac:dyDescent="0.35">
      <c r="B20" s="67"/>
    </row>
    <row r="21" spans="2:2" x14ac:dyDescent="0.35">
      <c r="B21" s="67"/>
    </row>
    <row r="22" spans="2:2" ht="28.9" customHeight="1" x14ac:dyDescent="0.35">
      <c r="B22" s="67"/>
    </row>
    <row r="23" spans="2:2" x14ac:dyDescent="0.35">
      <c r="B23" s="67"/>
    </row>
    <row r="24" spans="2:2" x14ac:dyDescent="0.35">
      <c r="B24" s="67"/>
    </row>
    <row r="25" spans="2:2" x14ac:dyDescent="0.35">
      <c r="B25" s="67"/>
    </row>
  </sheetData>
  <mergeCells count="4">
    <mergeCell ref="B12:B13"/>
    <mergeCell ref="F8:F13"/>
    <mergeCell ref="C12:E12"/>
    <mergeCell ref="C13:E13"/>
  </mergeCells>
  <pageMargins left="0.7" right="0.7" top="0.75" bottom="0.75" header="0.3" footer="0.3"/>
  <pageSetup paperSize="9" orientation="portrait" r:id="rId1"/>
  <headerFooter scaleWithDoc="0"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O52"/>
  <sheetViews>
    <sheetView showGridLines="0" rightToLeft="1" topLeftCell="A20" zoomScale="60" zoomScaleNormal="60" workbookViewId="0">
      <selection activeCell="R40" sqref="R40"/>
    </sheetView>
  </sheetViews>
  <sheetFormatPr defaultColWidth="9.26953125" defaultRowHeight="14.5" x14ac:dyDescent="0.35"/>
  <cols>
    <col min="1" max="1" width="3.7265625" customWidth="1"/>
    <col min="4" max="4" width="18.7265625" style="437" customWidth="1"/>
    <col min="5" max="5" width="80" style="437" customWidth="1"/>
  </cols>
  <sheetData>
    <row r="1" spans="2:15" ht="15" customHeight="1" x14ac:dyDescent="0.35">
      <c r="B1" s="38"/>
      <c r="C1" s="38"/>
      <c r="D1" s="438"/>
      <c r="E1" s="438"/>
      <c r="F1" s="38"/>
      <c r="G1" s="38"/>
      <c r="H1" s="38"/>
      <c r="I1" s="38"/>
      <c r="J1" s="38"/>
      <c r="K1" s="38"/>
    </row>
    <row r="2" spans="2:15" ht="15" customHeight="1" x14ac:dyDescent="0.35">
      <c r="B2" s="38"/>
      <c r="C2" s="38"/>
      <c r="D2" s="438"/>
      <c r="E2" s="438"/>
      <c r="F2" s="38"/>
      <c r="G2" s="38"/>
      <c r="H2" s="38"/>
      <c r="I2" s="38"/>
      <c r="J2" s="38"/>
      <c r="K2" s="38"/>
    </row>
    <row r="3" spans="2:15" ht="15" customHeight="1" x14ac:dyDescent="0.35">
      <c r="B3" s="38"/>
      <c r="C3" s="38"/>
      <c r="D3" s="438"/>
      <c r="E3" s="438"/>
      <c r="F3" s="38"/>
      <c r="G3" s="38"/>
      <c r="H3" s="38"/>
      <c r="I3" s="38"/>
      <c r="J3" s="38"/>
      <c r="K3" s="38"/>
    </row>
    <row r="4" spans="2:15" ht="15" customHeight="1" x14ac:dyDescent="0.35">
      <c r="B4" s="38"/>
      <c r="C4" s="38"/>
      <c r="D4" s="438"/>
      <c r="E4" s="438"/>
      <c r="F4" s="38"/>
      <c r="G4" s="38"/>
      <c r="H4" s="38"/>
      <c r="I4" s="38"/>
      <c r="J4" s="38"/>
      <c r="K4" s="38"/>
      <c r="N4" s="17"/>
      <c r="O4" s="17"/>
    </row>
    <row r="5" spans="2:15" ht="25.15" customHeight="1" thickBot="1" x14ac:dyDescent="0.4">
      <c r="B5" s="39" t="s">
        <v>29</v>
      </c>
      <c r="C5" s="40"/>
      <c r="D5" s="439"/>
      <c r="E5" s="439"/>
      <c r="F5" s="40"/>
      <c r="G5" s="40"/>
      <c r="H5" s="40"/>
      <c r="I5" s="40"/>
      <c r="J5" s="38"/>
      <c r="K5" s="38"/>
      <c r="L5" s="38"/>
      <c r="M5" s="38"/>
      <c r="N5" s="38"/>
      <c r="O5" s="38"/>
    </row>
    <row r="6" spans="2:15" ht="15" customHeight="1" thickTop="1" x14ac:dyDescent="0.35">
      <c r="B6" s="41"/>
      <c r="C6" s="38"/>
      <c r="D6" s="438"/>
      <c r="E6" s="438"/>
      <c r="F6" s="38"/>
      <c r="G6" s="38"/>
      <c r="H6" s="38"/>
      <c r="I6" s="38"/>
      <c r="J6" s="38"/>
      <c r="K6" s="38"/>
      <c r="L6" s="38"/>
      <c r="M6" s="38"/>
      <c r="N6" s="38"/>
      <c r="O6" s="38"/>
    </row>
    <row r="37" spans="4:5" x14ac:dyDescent="0.35">
      <c r="D37"/>
      <c r="E37"/>
    </row>
    <row r="38" spans="4:5" x14ac:dyDescent="0.35">
      <c r="D38"/>
      <c r="E38"/>
    </row>
    <row r="39" spans="4:5" x14ac:dyDescent="0.35">
      <c r="D39"/>
      <c r="E39"/>
    </row>
    <row r="40" spans="4:5" x14ac:dyDescent="0.35">
      <c r="D40"/>
      <c r="E40"/>
    </row>
    <row r="41" spans="4:5" x14ac:dyDescent="0.35">
      <c r="D41"/>
      <c r="E41"/>
    </row>
    <row r="42" spans="4:5" x14ac:dyDescent="0.35">
      <c r="D42"/>
      <c r="E42"/>
    </row>
    <row r="43" spans="4:5" x14ac:dyDescent="0.35">
      <c r="D43"/>
      <c r="E43"/>
    </row>
    <row r="44" spans="4:5" x14ac:dyDescent="0.35">
      <c r="D44"/>
      <c r="E44"/>
    </row>
    <row r="45" spans="4:5" ht="28.9" customHeight="1" x14ac:dyDescent="0.35">
      <c r="D45"/>
      <c r="E45"/>
    </row>
    <row r="46" spans="4:5" x14ac:dyDescent="0.35">
      <c r="D46"/>
      <c r="E46"/>
    </row>
    <row r="47" spans="4:5" x14ac:dyDescent="0.35">
      <c r="D47"/>
      <c r="E47"/>
    </row>
    <row r="48" spans="4:5" x14ac:dyDescent="0.35">
      <c r="D48"/>
      <c r="E48"/>
    </row>
    <row r="49" spans="4:5" x14ac:dyDescent="0.35">
      <c r="D49"/>
      <c r="E49"/>
    </row>
    <row r="50" spans="4:5" x14ac:dyDescent="0.35">
      <c r="D50"/>
      <c r="E50"/>
    </row>
    <row r="51" spans="4:5" x14ac:dyDescent="0.35">
      <c r="D51"/>
      <c r="E51"/>
    </row>
    <row r="52" spans="4:5" x14ac:dyDescent="0.35">
      <c r="D52"/>
      <c r="E52"/>
    </row>
  </sheetData>
  <pageMargins left="0.7" right="0.7" top="0.75" bottom="0.75" header="0.3" footer="0.3"/>
  <pageSetup paperSize="9" orientation="portrait" r:id="rId1"/>
  <headerFooter scaleWithDoc="0"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2F4D8-5F5F-4F18-9976-70695AB7BBAE}">
  <dimension ref="A2:B11"/>
  <sheetViews>
    <sheetView rightToLeft="1" zoomScale="115" zoomScaleNormal="115" workbookViewId="0">
      <selection activeCell="A12" sqref="A12"/>
    </sheetView>
  </sheetViews>
  <sheetFormatPr defaultColWidth="9.1796875" defaultRowHeight="14.5" x14ac:dyDescent="0.35"/>
  <cols>
    <col min="1" max="1" width="26.26953125" customWidth="1"/>
    <col min="2" max="2" width="61.7265625" customWidth="1"/>
  </cols>
  <sheetData>
    <row r="2" spans="1:2" ht="15" thickBot="1" x14ac:dyDescent="0.4">
      <c r="A2" s="40"/>
      <c r="B2" s="40"/>
    </row>
    <row r="3" spans="1:2" ht="15" thickTop="1" x14ac:dyDescent="0.35">
      <c r="A3" s="573" t="s">
        <v>478</v>
      </c>
      <c r="B3" s="398"/>
    </row>
    <row r="4" spans="1:2" x14ac:dyDescent="0.35">
      <c r="A4" s="510"/>
      <c r="B4" s="594" t="s">
        <v>479</v>
      </c>
    </row>
    <row r="5" spans="1:2" ht="15.5" x14ac:dyDescent="0.35">
      <c r="A5" s="67" t="s">
        <v>480</v>
      </c>
      <c r="B5" s="638" t="s">
        <v>481</v>
      </c>
    </row>
    <row r="6" spans="1:2" x14ac:dyDescent="0.35">
      <c r="A6" s="67" t="s">
        <v>482</v>
      </c>
      <c r="B6" t="s">
        <v>483</v>
      </c>
    </row>
    <row r="7" spans="1:2" x14ac:dyDescent="0.35">
      <c r="A7" s="67" t="s">
        <v>484</v>
      </c>
      <c r="B7" t="s">
        <v>485</v>
      </c>
    </row>
    <row r="8" spans="1:2" x14ac:dyDescent="0.35">
      <c r="A8" s="67" t="s">
        <v>486</v>
      </c>
      <c r="B8" t="s">
        <v>485</v>
      </c>
    </row>
    <row r="9" spans="1:2" x14ac:dyDescent="0.35">
      <c r="A9" s="67" t="s">
        <v>487</v>
      </c>
      <c r="B9" t="s">
        <v>488</v>
      </c>
    </row>
    <row r="10" spans="1:2" x14ac:dyDescent="0.35">
      <c r="A10" s="67" t="s">
        <v>489</v>
      </c>
      <c r="B10" t="s">
        <v>488</v>
      </c>
    </row>
    <row r="11" spans="1:2" x14ac:dyDescent="0.35">
      <c r="A11" s="67" t="s">
        <v>490</v>
      </c>
      <c r="B11" t="s">
        <v>488</v>
      </c>
    </row>
  </sheetData>
  <pageMargins left="0.7" right="0.7" top="0.75" bottom="0.75" header="0.3" footer="0.3"/>
  <pageSetup paperSize="9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54"/>
  <sheetViews>
    <sheetView showGridLines="0" rightToLeft="1" topLeftCell="A21" zoomScale="70" zoomScaleNormal="70" workbookViewId="0">
      <selection activeCell="R39" sqref="R39"/>
    </sheetView>
  </sheetViews>
  <sheetFormatPr defaultColWidth="9.26953125" defaultRowHeight="14.5" x14ac:dyDescent="0.35"/>
  <cols>
    <col min="1" max="1" width="3.7265625" customWidth="1"/>
    <col min="2" max="2" width="61.1796875" style="110" customWidth="1"/>
    <col min="3" max="21" width="13.7265625" style="110" customWidth="1"/>
    <col min="22" max="22" width="11.7265625" customWidth="1"/>
    <col min="23" max="23" width="12" customWidth="1"/>
    <col min="24" max="24" width="12.7265625" customWidth="1"/>
    <col min="26" max="26" width="15.26953125" customWidth="1"/>
  </cols>
  <sheetData>
    <row r="1" spans="2:34" ht="15" customHeight="1" x14ac:dyDescent="0.35">
      <c r="B1" s="38"/>
      <c r="C1" s="38"/>
      <c r="D1" s="38"/>
      <c r="E1" s="38"/>
      <c r="F1" s="38"/>
      <c r="G1" s="38"/>
      <c r="H1" s="38"/>
      <c r="I1" s="38"/>
      <c r="J1" s="38"/>
      <c r="K1" s="38"/>
      <c r="L1"/>
      <c r="M1"/>
      <c r="N1"/>
      <c r="O1"/>
      <c r="P1"/>
      <c r="Q1"/>
      <c r="R1"/>
      <c r="S1"/>
      <c r="T1"/>
      <c r="U1"/>
    </row>
    <row r="2" spans="2:34" ht="15" customHeight="1" x14ac:dyDescent="0.35">
      <c r="B2" s="38"/>
      <c r="C2" s="38"/>
      <c r="D2" s="38"/>
      <c r="E2" s="38"/>
      <c r="F2" s="38"/>
      <c r="G2" s="38"/>
      <c r="H2" s="38"/>
      <c r="I2" s="38"/>
      <c r="J2" s="38"/>
      <c r="K2" s="38"/>
      <c r="L2"/>
      <c r="M2"/>
      <c r="N2"/>
      <c r="O2"/>
      <c r="P2"/>
      <c r="Q2"/>
      <c r="R2"/>
      <c r="S2"/>
      <c r="T2"/>
      <c r="U2"/>
    </row>
    <row r="3" spans="2:34" ht="15" customHeight="1" x14ac:dyDescent="0.35">
      <c r="B3" s="38"/>
      <c r="C3" s="38"/>
      <c r="D3" s="38"/>
      <c r="E3" s="38"/>
      <c r="F3" s="38"/>
      <c r="G3" s="38"/>
      <c r="H3" s="38"/>
      <c r="I3" s="38"/>
      <c r="J3" s="38"/>
      <c r="K3" s="38"/>
      <c r="L3"/>
      <c r="M3"/>
      <c r="N3"/>
      <c r="O3"/>
      <c r="P3"/>
      <c r="Q3"/>
      <c r="R3"/>
      <c r="S3"/>
      <c r="T3"/>
      <c r="U3"/>
    </row>
    <row r="4" spans="2:34" ht="15" customHeight="1" x14ac:dyDescent="0.35">
      <c r="B4" s="38"/>
      <c r="C4" s="38"/>
      <c r="D4" s="38"/>
      <c r="E4" s="38"/>
      <c r="F4" s="38"/>
      <c r="G4" s="38"/>
      <c r="H4" s="38"/>
      <c r="I4" s="38"/>
      <c r="J4" s="38"/>
      <c r="K4" s="38"/>
      <c r="L4"/>
      <c r="M4"/>
      <c r="N4" s="17"/>
      <c r="O4" s="17"/>
      <c r="P4"/>
      <c r="Q4"/>
      <c r="R4"/>
      <c r="S4"/>
      <c r="T4"/>
      <c r="U4"/>
    </row>
    <row r="5" spans="2:34" ht="25.15" customHeight="1" thickBot="1" x14ac:dyDescent="0.4">
      <c r="B5" s="539" t="s">
        <v>38</v>
      </c>
      <c r="C5" s="40"/>
      <c r="D5" s="40"/>
      <c r="E5" s="40"/>
      <c r="F5" s="40"/>
      <c r="G5" s="40"/>
      <c r="H5" s="40"/>
      <c r="I5" s="40"/>
      <c r="J5" s="40"/>
      <c r="K5" s="40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2:34" ht="15" customHeight="1" thickTop="1" x14ac:dyDescent="0.35">
      <c r="B6" s="41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/>
      <c r="Q6"/>
      <c r="R6"/>
      <c r="S6"/>
      <c r="T6"/>
      <c r="U6"/>
    </row>
    <row r="7" spans="2:34" ht="25.15" customHeight="1" x14ac:dyDescent="0.35">
      <c r="B7" s="626" t="s">
        <v>39</v>
      </c>
      <c r="C7" s="367"/>
      <c r="D7" s="367"/>
      <c r="E7" s="367"/>
      <c r="F7" s="367"/>
      <c r="G7" s="367"/>
      <c r="H7" s="367"/>
      <c r="I7" s="367"/>
      <c r="J7" s="970"/>
      <c r="K7" s="970"/>
    </row>
    <row r="8" spans="2:34" ht="25.15" customHeight="1" x14ac:dyDescent="0.35">
      <c r="B8" s="64" t="s">
        <v>40</v>
      </c>
    </row>
    <row r="9" spans="2:34" ht="21.4" customHeight="1" x14ac:dyDescent="0.35">
      <c r="B9" s="165"/>
      <c r="C9" s="967">
        <v>2020</v>
      </c>
      <c r="D9" s="969"/>
      <c r="E9" s="967">
        <v>2021</v>
      </c>
      <c r="F9" s="967"/>
      <c r="G9" s="968">
        <v>2022</v>
      </c>
      <c r="H9" s="967"/>
      <c r="I9" s="968">
        <v>2023</v>
      </c>
      <c r="J9" s="969"/>
      <c r="K9" s="968">
        <v>2024</v>
      </c>
      <c r="L9" s="969"/>
      <c r="M9" s="976" t="s">
        <v>41</v>
      </c>
      <c r="O9" s="673"/>
      <c r="P9" s="673"/>
      <c r="AB9" s="623"/>
      <c r="AD9" s="611"/>
      <c r="AE9" s="949"/>
      <c r="AF9" s="950"/>
      <c r="AG9" s="949"/>
      <c r="AH9" s="950"/>
    </row>
    <row r="10" spans="2:34" ht="41.25" customHeight="1" x14ac:dyDescent="0.35">
      <c r="B10" s="113"/>
      <c r="C10" s="113" t="s">
        <v>42</v>
      </c>
      <c r="D10" s="342" t="s">
        <v>43</v>
      </c>
      <c r="E10" s="113" t="s">
        <v>42</v>
      </c>
      <c r="F10" s="342" t="s">
        <v>43</v>
      </c>
      <c r="G10" s="113" t="s">
        <v>42</v>
      </c>
      <c r="H10" s="337" t="s">
        <v>43</v>
      </c>
      <c r="I10" s="113" t="s">
        <v>42</v>
      </c>
      <c r="J10" s="598" t="s">
        <v>43</v>
      </c>
      <c r="K10" s="113" t="s">
        <v>42</v>
      </c>
      <c r="L10" s="598" t="s">
        <v>43</v>
      </c>
      <c r="M10" s="976"/>
      <c r="AB10" s="612"/>
      <c r="AD10" s="612"/>
      <c r="AE10" s="616"/>
      <c r="AF10" s="617"/>
      <c r="AG10" s="617"/>
      <c r="AH10" s="617"/>
    </row>
    <row r="11" spans="2:34" ht="21.4" customHeight="1" x14ac:dyDescent="0.35">
      <c r="B11" s="193" t="s">
        <v>44</v>
      </c>
      <c r="C11" s="194">
        <v>282</v>
      </c>
      <c r="D11" s="376">
        <f>C11/'כוח אדם'!E36</f>
        <v>0.33254716981132076</v>
      </c>
      <c r="E11" s="236">
        <v>291</v>
      </c>
      <c r="F11" s="195">
        <f>'כוח אדם'!F36/'כוח אדם'!H36</f>
        <v>0.32993197278911562</v>
      </c>
      <c r="G11" s="236">
        <v>299</v>
      </c>
      <c r="H11" s="371">
        <f>'כוח אדם'!I36/'כוח אדם'!K36</f>
        <v>0.34093500570125429</v>
      </c>
      <c r="I11" s="517">
        <f>'כוח אדם'!L36</f>
        <v>353</v>
      </c>
      <c r="J11" s="372">
        <f>'כוח אדם'!L36/'כוח אדם'!N36</f>
        <v>0.36847599164926931</v>
      </c>
      <c r="K11" s="618">
        <v>370</v>
      </c>
      <c r="L11" s="619">
        <v>0.37</v>
      </c>
      <c r="M11" s="972" t="s">
        <v>45</v>
      </c>
      <c r="AB11" s="618"/>
      <c r="AD11" s="618"/>
      <c r="AE11" s="619"/>
      <c r="AF11" s="617"/>
      <c r="AG11" s="617"/>
      <c r="AH11" s="617"/>
    </row>
    <row r="12" spans="2:34" ht="21.4" customHeight="1" x14ac:dyDescent="0.35">
      <c r="B12" s="199" t="s">
        <v>46</v>
      </c>
      <c r="C12" s="119">
        <v>90</v>
      </c>
      <c r="D12" s="377">
        <v>0.49</v>
      </c>
      <c r="E12" s="118">
        <v>81</v>
      </c>
      <c r="F12" s="206">
        <v>0.46551724137931033</v>
      </c>
      <c r="G12" s="118">
        <v>80</v>
      </c>
      <c r="H12" s="372">
        <v>0.46706586826347307</v>
      </c>
      <c r="I12" s="237">
        <f>'כוח אדם'!L53</f>
        <v>78</v>
      </c>
      <c r="J12" s="372">
        <f>'כוח אדם'!L53/'כוח אדם'!N53</f>
        <v>0.46153846153846156</v>
      </c>
      <c r="K12" s="313">
        <v>79</v>
      </c>
      <c r="L12" s="619">
        <v>0.44</v>
      </c>
      <c r="M12" s="972"/>
      <c r="AB12" s="313"/>
      <c r="AD12" s="313"/>
      <c r="AE12" s="619"/>
      <c r="AF12" s="617"/>
      <c r="AG12" s="617"/>
      <c r="AH12" s="617"/>
    </row>
    <row r="13" spans="2:34" ht="21.4" customHeight="1" x14ac:dyDescent="0.35">
      <c r="B13" s="199" t="s">
        <v>47</v>
      </c>
      <c r="C13" s="119">
        <v>161</v>
      </c>
      <c r="D13" s="377">
        <v>0.42933333333333334</v>
      </c>
      <c r="E13" s="118">
        <v>154</v>
      </c>
      <c r="F13" s="379">
        <v>0.42191780821917807</v>
      </c>
      <c r="G13" s="118">
        <v>152</v>
      </c>
      <c r="H13" s="373">
        <v>0.42577030812324929</v>
      </c>
      <c r="I13" s="237">
        <f>'כוח אדם'!L69</f>
        <v>150</v>
      </c>
      <c r="J13" s="373">
        <f>'כוח אדם'!L69/'כוח אדם'!N69</f>
        <v>0.42372881355932202</v>
      </c>
      <c r="K13" s="313">
        <v>156</v>
      </c>
      <c r="L13" s="620">
        <v>0.44</v>
      </c>
      <c r="M13" s="972"/>
      <c r="AB13" s="313"/>
      <c r="AD13" s="313"/>
      <c r="AE13" s="620"/>
      <c r="AF13" s="617"/>
      <c r="AG13" s="617"/>
      <c r="AH13" s="617"/>
    </row>
    <row r="14" spans="2:34" ht="21.4" customHeight="1" x14ac:dyDescent="0.35">
      <c r="B14" s="266" t="s">
        <v>48</v>
      </c>
      <c r="C14" s="119">
        <v>77</v>
      </c>
      <c r="D14" s="377">
        <v>0.41</v>
      </c>
      <c r="E14" s="118">
        <v>76</v>
      </c>
      <c r="F14" s="206">
        <v>0.4</v>
      </c>
      <c r="G14" s="118">
        <v>68</v>
      </c>
      <c r="H14" s="372">
        <v>0.4</v>
      </c>
      <c r="I14" s="237">
        <f>'כוח אדם'!L85</f>
        <v>44</v>
      </c>
      <c r="J14" s="372">
        <f>'כוח אדם'!L85/'כוח אדם'!N85</f>
        <v>0.37606837606837606</v>
      </c>
      <c r="K14" s="313">
        <v>42</v>
      </c>
      <c r="L14" s="619">
        <v>0.39</v>
      </c>
      <c r="M14" s="972"/>
      <c r="AB14" s="313"/>
      <c r="AD14" s="313"/>
      <c r="AE14" s="619"/>
      <c r="AF14" s="617"/>
      <c r="AG14" s="617"/>
      <c r="AH14" s="617"/>
    </row>
    <row r="15" spans="2:34" ht="21.4" customHeight="1" x14ac:dyDescent="0.35">
      <c r="B15" s="274" t="s">
        <v>49</v>
      </c>
      <c r="C15" s="247">
        <f>'כוח אדם'!C36+'כוח אדם'!C53+'כוח אדם'!C69+'כוח אדם'!C85</f>
        <v>604</v>
      </c>
      <c r="D15" s="378">
        <f>C15/('כוח אדם'!E36+'כוח אדם'!E53+'כוח אדם'!E69+'כוח אדם'!E85)</f>
        <v>0.38227848101265821</v>
      </c>
      <c r="E15" s="309">
        <f>E11+E12+E13+E14</f>
        <v>602</v>
      </c>
      <c r="F15" s="380">
        <f>E15/('כוח אדם'!H36+'כוח אדם'!H53+'כוח אדם'!H69+'כוח אדם'!H85)</f>
        <v>0.38101265822784808</v>
      </c>
      <c r="G15" s="309">
        <f>G11+G12+G13+G14</f>
        <v>599</v>
      </c>
      <c r="H15" s="374">
        <f>G15/('כוח אדם'!K36+'כוח אדם'!K53+'כוח אדם'!K69+'כוח אדם'!K85)</f>
        <v>0.38745148771021992</v>
      </c>
      <c r="I15" s="309">
        <f>SUM(I11:I14)</f>
        <v>625</v>
      </c>
      <c r="J15" s="374">
        <f>SUM(I11:I14)/('כוח אדם'!N36+'כוח אדם'!N53+'כוח אדם'!N69+'כוח אדם'!N85)</f>
        <v>0.39111389236545679</v>
      </c>
      <c r="K15" s="315">
        <f>SUM(K11:K14)</f>
        <v>647</v>
      </c>
      <c r="L15" s="621">
        <f>647/(1007+179+357+109)</f>
        <v>0.3916464891041162</v>
      </c>
      <c r="M15" s="972"/>
      <c r="AB15" s="315"/>
      <c r="AD15" s="315"/>
      <c r="AE15" s="621"/>
      <c r="AF15" s="617"/>
      <c r="AG15" s="617"/>
      <c r="AH15" s="617"/>
    </row>
    <row r="16" spans="2:34" ht="21.4" customHeight="1" x14ac:dyDescent="0.35">
      <c r="B16" s="368"/>
      <c r="C16" s="369"/>
      <c r="D16" s="369"/>
      <c r="F16" s="370"/>
      <c r="H16" s="370"/>
      <c r="M16" s="624"/>
      <c r="P16" s="613"/>
      <c r="Q16" s="613"/>
      <c r="R16" s="613"/>
      <c r="S16" s="614"/>
      <c r="T16" s="614"/>
      <c r="U16" s="614"/>
      <c r="V16" s="615"/>
      <c r="W16" s="615"/>
      <c r="X16" s="110"/>
      <c r="Y16" s="370"/>
      <c r="Z16" s="110"/>
      <c r="AA16" s="624"/>
      <c r="AB16" s="622"/>
      <c r="AC16" s="622"/>
      <c r="AD16" s="622"/>
      <c r="AE16" s="622"/>
      <c r="AF16" s="617"/>
      <c r="AG16" s="617"/>
      <c r="AH16" s="617"/>
    </row>
    <row r="17" spans="2:34" ht="21.4" customHeight="1" x14ac:dyDescent="0.35">
      <c r="B17" s="368"/>
      <c r="C17" s="369"/>
      <c r="D17" s="369"/>
      <c r="F17" s="370"/>
      <c r="H17" s="370"/>
      <c r="M17" s="624"/>
      <c r="S17" s="368"/>
      <c r="T17" s="368"/>
      <c r="U17" s="368"/>
      <c r="V17" s="369"/>
      <c r="W17" s="369"/>
      <c r="X17" s="110"/>
      <c r="Y17" s="370"/>
      <c r="Z17" s="110"/>
      <c r="AA17" s="624"/>
      <c r="AB17" s="622"/>
      <c r="AC17" s="622"/>
      <c r="AD17" s="622"/>
      <c r="AE17" s="622"/>
      <c r="AF17" s="617"/>
      <c r="AG17" s="617"/>
      <c r="AH17" s="617"/>
    </row>
    <row r="18" spans="2:34" ht="21.4" customHeight="1" x14ac:dyDescent="0.35">
      <c r="B18" s="368"/>
      <c r="C18" s="369"/>
      <c r="D18" s="369"/>
      <c r="F18" s="370"/>
      <c r="H18" s="370"/>
      <c r="M18" s="625"/>
      <c r="S18" s="368"/>
      <c r="T18" s="368"/>
      <c r="U18" s="368"/>
      <c r="V18" s="369"/>
      <c r="W18" s="369"/>
      <c r="X18" s="110"/>
      <c r="Y18" s="370"/>
      <c r="Z18" s="110"/>
      <c r="AA18" s="624"/>
      <c r="AB18" s="622"/>
      <c r="AC18" s="622"/>
      <c r="AD18" s="622"/>
      <c r="AE18" s="622"/>
      <c r="AF18" s="617"/>
      <c r="AG18" s="617"/>
      <c r="AH18" s="617"/>
    </row>
    <row r="19" spans="2:34" ht="20.25" customHeight="1" x14ac:dyDescent="0.35">
      <c r="B19" s="368"/>
      <c r="C19" s="369"/>
      <c r="D19" s="369"/>
      <c r="F19" s="370"/>
      <c r="H19" s="370"/>
      <c r="K19"/>
      <c r="AA19" s="617"/>
      <c r="AB19" s="617"/>
      <c r="AC19" s="617"/>
      <c r="AD19" s="617"/>
      <c r="AE19" s="617"/>
      <c r="AF19" s="617"/>
      <c r="AG19" s="617"/>
      <c r="AH19" s="617"/>
    </row>
    <row r="20" spans="2:34" ht="25.15" customHeight="1" x14ac:dyDescent="0.35">
      <c r="B20" s="626" t="s">
        <v>50</v>
      </c>
      <c r="C20" s="367"/>
      <c r="D20" s="367"/>
      <c r="E20" s="367"/>
      <c r="F20" s="367"/>
      <c r="G20" s="367"/>
      <c r="H20" s="367"/>
      <c r="I20" s="367"/>
      <c r="J20" s="970"/>
      <c r="K20" s="970"/>
      <c r="V20" s="110"/>
    </row>
    <row r="21" spans="2:34" ht="25.15" customHeight="1" x14ac:dyDescent="0.35">
      <c r="B21" s="64" t="s">
        <v>51</v>
      </c>
      <c r="C21" s="64"/>
      <c r="D21" s="64"/>
      <c r="E21" s="64"/>
      <c r="F21" s="64"/>
      <c r="G21" s="64"/>
      <c r="H21" s="64"/>
      <c r="I21" s="64"/>
    </row>
    <row r="22" spans="2:34" ht="28.15" customHeight="1" x14ac:dyDescent="0.35">
      <c r="B22" s="381"/>
      <c r="C22" s="381"/>
      <c r="D22" s="55" t="s">
        <v>44</v>
      </c>
      <c r="E22" s="55" t="s">
        <v>46</v>
      </c>
      <c r="F22" s="55" t="s">
        <v>47</v>
      </c>
      <c r="G22" s="52" t="s">
        <v>52</v>
      </c>
      <c r="H22" s="52" t="s">
        <v>53</v>
      </c>
      <c r="I22" s="52" t="s">
        <v>54</v>
      </c>
      <c r="J22" s="597"/>
      <c r="K22" s="6" t="s">
        <v>41</v>
      </c>
    </row>
    <row r="23" spans="2:34" ht="21.4" customHeight="1" x14ac:dyDescent="0.35">
      <c r="B23" s="958">
        <v>2021</v>
      </c>
      <c r="C23" s="384" t="s">
        <v>55</v>
      </c>
      <c r="D23" s="382">
        <v>18878</v>
      </c>
      <c r="E23" s="382">
        <v>1924</v>
      </c>
      <c r="F23" s="382">
        <v>2853</v>
      </c>
      <c r="G23" s="382">
        <v>1715</v>
      </c>
      <c r="H23" s="382">
        <f>SUM(D23:G23)</f>
        <v>25370</v>
      </c>
      <c r="I23" s="965">
        <f>SUM(D23:G24)</f>
        <v>134147.35</v>
      </c>
      <c r="J23" s="965"/>
      <c r="K23" s="972" t="s">
        <v>56</v>
      </c>
    </row>
    <row r="24" spans="2:34" ht="21.4" customHeight="1" x14ac:dyDescent="0.35">
      <c r="B24" s="964"/>
      <c r="C24" s="385" t="s">
        <v>57</v>
      </c>
      <c r="D24" s="383">
        <v>55544.35</v>
      </c>
      <c r="E24" s="383">
        <v>4286</v>
      </c>
      <c r="F24" s="383">
        <v>28522</v>
      </c>
      <c r="G24" s="383">
        <v>20425</v>
      </c>
      <c r="H24" s="383">
        <f>SUM(D24:G24)</f>
        <v>108777.35</v>
      </c>
      <c r="I24" s="966"/>
      <c r="J24" s="966"/>
      <c r="K24" s="972"/>
    </row>
    <row r="25" spans="2:34" ht="21.4" customHeight="1" x14ac:dyDescent="0.35">
      <c r="B25" s="963">
        <v>2022</v>
      </c>
      <c r="C25" s="385" t="s">
        <v>55</v>
      </c>
      <c r="D25" s="383">
        <v>18217</v>
      </c>
      <c r="E25" s="383">
        <v>1656</v>
      </c>
      <c r="F25" s="383">
        <v>2754</v>
      </c>
      <c r="G25" s="383">
        <v>1563</v>
      </c>
      <c r="H25" s="383">
        <f>SUM(D25:G25)</f>
        <v>24190</v>
      </c>
      <c r="I25" s="971">
        <f>SUM(D25:G27)</f>
        <v>157546.62105387056</v>
      </c>
      <c r="J25" s="971"/>
      <c r="K25" s="972"/>
    </row>
    <row r="26" spans="2:34" ht="21.4" customHeight="1" x14ac:dyDescent="0.35">
      <c r="B26" s="958"/>
      <c r="C26" s="385" t="s">
        <v>57</v>
      </c>
      <c r="D26" s="383">
        <v>54589.22</v>
      </c>
      <c r="E26" s="383">
        <v>3930</v>
      </c>
      <c r="F26" s="383">
        <v>24272</v>
      </c>
      <c r="G26" s="383">
        <v>20604</v>
      </c>
      <c r="H26" s="383">
        <f>SUM(D26:G26)</f>
        <v>103395.22</v>
      </c>
      <c r="I26" s="965"/>
      <c r="J26" s="965"/>
      <c r="K26" s="972"/>
    </row>
    <row r="27" spans="2:34" ht="21.4" customHeight="1" x14ac:dyDescent="0.35">
      <c r="B27" s="964"/>
      <c r="C27" s="385" t="s">
        <v>58</v>
      </c>
      <c r="D27" s="76">
        <v>29961.401053870566</v>
      </c>
      <c r="E27" s="383"/>
      <c r="F27" s="383"/>
      <c r="H27" s="76">
        <v>29961.401053870566</v>
      </c>
      <c r="I27" s="966"/>
      <c r="J27" s="966"/>
      <c r="K27" s="972"/>
    </row>
    <row r="28" spans="2:34" ht="21.4" customHeight="1" x14ac:dyDescent="0.35">
      <c r="B28" s="963">
        <v>2023</v>
      </c>
      <c r="C28" s="385" t="s">
        <v>55</v>
      </c>
      <c r="D28" s="383">
        <v>19007.21</v>
      </c>
      <c r="E28" s="144">
        <v>1560.28</v>
      </c>
      <c r="F28" s="144">
        <v>2484.7800000000002</v>
      </c>
      <c r="G28" s="144">
        <v>1743.83</v>
      </c>
      <c r="H28" s="383">
        <f>SUM(D28:G28)</f>
        <v>24796.1</v>
      </c>
      <c r="I28" s="971">
        <f>SUM(D28:G30)</f>
        <v>153872.83620190475</v>
      </c>
      <c r="J28" s="971"/>
      <c r="K28" s="972"/>
    </row>
    <row r="29" spans="2:34" ht="25.15" customHeight="1" x14ac:dyDescent="0.35">
      <c r="B29" s="958"/>
      <c r="C29" s="385" t="s">
        <v>57</v>
      </c>
      <c r="D29" s="383">
        <v>53874.82</v>
      </c>
      <c r="E29" s="76">
        <v>3674.54</v>
      </c>
      <c r="F29" s="76">
        <v>28513.360000000001</v>
      </c>
      <c r="G29" s="76">
        <v>23424</v>
      </c>
      <c r="H29" s="383">
        <f>SUM(D29:G29)</f>
        <v>109486.72</v>
      </c>
      <c r="I29" s="965"/>
      <c r="J29" s="965"/>
      <c r="K29" s="972"/>
      <c r="L29" s="64"/>
      <c r="M29" s="64"/>
      <c r="N29" s="64"/>
      <c r="O29" s="64"/>
      <c r="P29" s="64"/>
      <c r="Q29" s="64"/>
      <c r="R29" s="64"/>
      <c r="S29" s="64"/>
      <c r="T29" s="64"/>
      <c r="U29" s="64"/>
    </row>
    <row r="30" spans="2:34" ht="25.15" customHeight="1" x14ac:dyDescent="0.35">
      <c r="B30" s="958"/>
      <c r="C30" s="385" t="s">
        <v>58</v>
      </c>
      <c r="D30" s="383">
        <v>19590.016201904735</v>
      </c>
      <c r="E30" s="383"/>
      <c r="F30" s="383"/>
      <c r="G30" s="383"/>
      <c r="H30" s="383">
        <v>19590.016201904735</v>
      </c>
      <c r="I30" s="965"/>
      <c r="J30" s="965"/>
      <c r="K30" s="972"/>
      <c r="L30" s="64"/>
      <c r="M30" s="64"/>
      <c r="N30" s="64"/>
      <c r="O30" s="64"/>
      <c r="P30" s="64"/>
      <c r="Q30" s="64"/>
      <c r="R30" s="64"/>
      <c r="S30" s="64"/>
      <c r="T30" s="64"/>
      <c r="U30" s="64"/>
    </row>
    <row r="31" spans="2:34" ht="25.15" customHeight="1" x14ac:dyDescent="0.35">
      <c r="B31" s="958">
        <v>2024</v>
      </c>
      <c r="C31" s="816" t="s">
        <v>55</v>
      </c>
      <c r="D31" s="321">
        <v>20719</v>
      </c>
      <c r="E31" s="321">
        <v>1564</v>
      </c>
      <c r="F31" s="321">
        <v>2451</v>
      </c>
      <c r="G31" s="321">
        <v>1750</v>
      </c>
      <c r="H31" s="321">
        <f>G31+F31+E31+D31</f>
        <v>26484</v>
      </c>
      <c r="I31" s="957">
        <f>H31+H32</f>
        <v>136359.32</v>
      </c>
      <c r="J31" s="533"/>
      <c r="K31" s="4"/>
      <c r="L31" s="64"/>
      <c r="M31" s="64"/>
      <c r="N31" s="64"/>
      <c r="O31" s="64"/>
      <c r="P31" s="64"/>
      <c r="Q31" s="64"/>
      <c r="R31" s="64"/>
      <c r="S31" s="64"/>
      <c r="T31" s="64"/>
      <c r="U31" s="64"/>
    </row>
    <row r="32" spans="2:34" ht="25.15" customHeight="1" x14ac:dyDescent="0.35">
      <c r="B32" s="958"/>
      <c r="C32" s="816" t="s">
        <v>57</v>
      </c>
      <c r="D32" s="321">
        <v>54446</v>
      </c>
      <c r="E32" s="321">
        <v>4073</v>
      </c>
      <c r="F32" s="321">
        <v>27189</v>
      </c>
      <c r="G32" s="321">
        <v>24167</v>
      </c>
      <c r="H32" s="321">
        <f>'פליטות גזי חממה'!D48</f>
        <v>109875.31999999999</v>
      </c>
      <c r="I32" s="957"/>
      <c r="J32" s="533"/>
      <c r="K32" s="4"/>
      <c r="L32" s="64"/>
      <c r="M32" s="64"/>
      <c r="N32" s="64"/>
      <c r="O32" s="64"/>
      <c r="P32" s="64"/>
      <c r="Q32" s="64"/>
      <c r="R32" s="64"/>
      <c r="S32" s="64"/>
      <c r="T32" s="64"/>
      <c r="U32" s="64"/>
    </row>
    <row r="33" spans="1:21" ht="25.15" customHeight="1" x14ac:dyDescent="0.35">
      <c r="B33" s="958"/>
      <c r="C33" s="816" t="s">
        <v>58</v>
      </c>
      <c r="D33" s="321"/>
      <c r="E33" s="321"/>
      <c r="F33" s="321"/>
      <c r="G33" s="321"/>
      <c r="H33" s="321"/>
      <c r="I33" s="533"/>
      <c r="J33" s="533"/>
      <c r="K33" s="4"/>
      <c r="L33" s="64"/>
      <c r="M33" s="64"/>
      <c r="N33" s="64"/>
      <c r="O33" s="64"/>
      <c r="P33" s="64"/>
      <c r="Q33" s="64"/>
      <c r="R33" s="64"/>
      <c r="S33" s="64"/>
      <c r="T33" s="64"/>
      <c r="U33" s="64"/>
    </row>
    <row r="34" spans="1:21" ht="25.15" customHeight="1" x14ac:dyDescent="0.35">
      <c r="B34" s="569"/>
      <c r="C34" s="532"/>
      <c r="D34" s="321"/>
      <c r="E34" s="321"/>
      <c r="F34" s="321"/>
      <c r="G34" s="321"/>
      <c r="H34" s="321"/>
      <c r="I34" s="533"/>
      <c r="J34" s="533"/>
      <c r="K34" s="595"/>
      <c r="L34" s="64"/>
      <c r="M34" s="64"/>
      <c r="N34" s="64"/>
      <c r="O34" s="64"/>
      <c r="P34" s="64"/>
      <c r="Q34" s="64"/>
      <c r="R34" s="64"/>
      <c r="S34" s="64"/>
      <c r="T34" s="64"/>
      <c r="U34" s="64"/>
    </row>
    <row r="35" spans="1:21" ht="25.15" customHeight="1" x14ac:dyDescent="0.35">
      <c r="B35" s="626" t="s">
        <v>500</v>
      </c>
      <c r="C35" s="367"/>
      <c r="D35" s="367"/>
      <c r="E35" s="367"/>
      <c r="F35" s="367"/>
      <c r="G35" s="367"/>
      <c r="H35" s="367"/>
      <c r="I35" s="367"/>
      <c r="J35" s="970"/>
      <c r="K35" s="970"/>
      <c r="L35" s="64"/>
      <c r="M35" s="64"/>
      <c r="N35" s="64"/>
      <c r="O35" s="64"/>
      <c r="P35" s="64"/>
      <c r="Q35" s="64"/>
      <c r="R35" s="64"/>
      <c r="S35" s="64"/>
      <c r="T35" s="64"/>
      <c r="U35" s="64"/>
    </row>
    <row r="36" spans="1:21" ht="25.15" customHeight="1" x14ac:dyDescent="0.35">
      <c r="B36" s="64" t="s">
        <v>59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</row>
    <row r="37" spans="1:21" s="24" customFormat="1" ht="37.5" customHeight="1" thickBot="1" x14ac:dyDescent="0.4">
      <c r="B37" s="1"/>
      <c r="C37" s="961" t="s">
        <v>60</v>
      </c>
      <c r="D37" s="959"/>
      <c r="E37" s="959"/>
      <c r="F37" s="959" t="s">
        <v>61</v>
      </c>
      <c r="G37" s="959"/>
      <c r="H37" s="960"/>
      <c r="I37" s="959" t="s">
        <v>62</v>
      </c>
      <c r="J37" s="959"/>
      <c r="K37" s="960"/>
      <c r="L37" s="962" t="s">
        <v>63</v>
      </c>
      <c r="M37" s="962"/>
      <c r="N37" s="962"/>
      <c r="O37" s="609" t="s">
        <v>41</v>
      </c>
    </row>
    <row r="38" spans="1:21" s="24" customFormat="1" ht="21.4" customHeight="1" x14ac:dyDescent="0.35">
      <c r="B38" s="386"/>
      <c r="C38" s="248">
        <v>2022</v>
      </c>
      <c r="D38" s="248">
        <v>2023</v>
      </c>
      <c r="E38" s="248">
        <v>2024</v>
      </c>
      <c r="F38" s="537">
        <v>2022</v>
      </c>
      <c r="G38" s="248">
        <v>2023</v>
      </c>
      <c r="H38" s="817">
        <v>2024</v>
      </c>
      <c r="I38" s="248">
        <v>2022</v>
      </c>
      <c r="J38" s="538">
        <v>2023</v>
      </c>
      <c r="K38" s="817">
        <v>2024</v>
      </c>
      <c r="L38" s="248">
        <v>2022</v>
      </c>
      <c r="M38" s="596">
        <v>2023</v>
      </c>
      <c r="N38" s="248">
        <v>2024</v>
      </c>
      <c r="O38" s="973" t="s">
        <v>45</v>
      </c>
    </row>
    <row r="39" spans="1:21" s="24" customFormat="1" ht="21.4" customHeight="1" x14ac:dyDescent="0.35">
      <c r="B39" s="387" t="s">
        <v>44</v>
      </c>
      <c r="C39" s="388">
        <f>282/5610</f>
        <v>5.0267379679144387E-2</v>
      </c>
      <c r="D39" s="825">
        <v>4.7E-2</v>
      </c>
      <c r="E39" s="818">
        <v>4.5999999999999999E-2</v>
      </c>
      <c r="F39" s="388">
        <f>62/5610</f>
        <v>1.1051693404634581E-2</v>
      </c>
      <c r="G39" s="828">
        <v>0.01</v>
      </c>
      <c r="H39" s="818">
        <v>1.84E-2</v>
      </c>
      <c r="I39" s="141" t="s">
        <v>64</v>
      </c>
      <c r="J39" s="819">
        <v>1.4999999999999999E-2</v>
      </c>
      <c r="K39" s="818">
        <v>5.0700000000000002E-2</v>
      </c>
      <c r="L39" s="534">
        <f>285/5610</f>
        <v>5.0802139037433157E-2</v>
      </c>
      <c r="M39" s="534">
        <v>8.3000000000000004E-2</v>
      </c>
      <c r="N39" s="825">
        <v>8.3099999999999993E-2</v>
      </c>
      <c r="O39" s="974"/>
    </row>
    <row r="40" spans="1:21" s="24" customFormat="1" ht="21.4" customHeight="1" x14ac:dyDescent="0.35">
      <c r="B40" s="389" t="s">
        <v>46</v>
      </c>
      <c r="C40" s="535">
        <v>2.5000000000000001E-2</v>
      </c>
      <c r="D40" s="820">
        <v>3.6818851251840942E-3</v>
      </c>
      <c r="E40" s="818">
        <v>1.9E-2</v>
      </c>
      <c r="F40" s="142" t="s">
        <v>64</v>
      </c>
      <c r="G40" s="828">
        <v>1.6450216450216451E-2</v>
      </c>
      <c r="H40" s="818">
        <v>1.6E-2</v>
      </c>
      <c r="I40" s="142" t="s">
        <v>64</v>
      </c>
      <c r="J40" s="820">
        <v>6.9264069264069264E-3</v>
      </c>
      <c r="K40" s="823">
        <v>0.01</v>
      </c>
      <c r="L40" s="535">
        <f>97/1115</f>
        <v>8.6995515695067263E-2</v>
      </c>
      <c r="M40" s="534">
        <v>0.15</v>
      </c>
      <c r="N40" s="820">
        <v>0.12</v>
      </c>
      <c r="O40" s="974"/>
    </row>
    <row r="41" spans="1:21" s="24" customFormat="1" ht="21.4" customHeight="1" x14ac:dyDescent="0.35">
      <c r="B41" s="389" t="s">
        <v>47</v>
      </c>
      <c r="C41" s="142" t="s">
        <v>64</v>
      </c>
      <c r="D41" s="820">
        <v>4.0332147093712932E-2</v>
      </c>
      <c r="E41" s="818">
        <v>0.04</v>
      </c>
      <c r="F41" s="142" t="s">
        <v>64</v>
      </c>
      <c r="G41" s="821">
        <v>0.01</v>
      </c>
      <c r="H41" s="818">
        <v>0.01</v>
      </c>
      <c r="I41" s="142" t="s">
        <v>64</v>
      </c>
      <c r="J41" s="821">
        <v>0.06</v>
      </c>
      <c r="K41" s="823">
        <v>0.06</v>
      </c>
      <c r="L41" s="536" t="s">
        <v>64</v>
      </c>
      <c r="M41" s="534">
        <v>0.02</v>
      </c>
      <c r="N41" s="820">
        <v>0.03</v>
      </c>
      <c r="O41" s="974"/>
    </row>
    <row r="42" spans="1:21" s="24" customFormat="1" ht="21.4" customHeight="1" x14ac:dyDescent="0.35">
      <c r="B42" s="208" t="s">
        <v>52</v>
      </c>
      <c r="C42" s="441">
        <v>3.2000000000000001E-2</v>
      </c>
      <c r="D42" s="370">
        <v>2.5600000000000001E-2</v>
      </c>
      <c r="E42" s="818">
        <v>2.9000000000000001E-2</v>
      </c>
      <c r="F42" s="137" t="s">
        <v>64</v>
      </c>
      <c r="G42" s="822">
        <v>1.4200000000000001E-2</v>
      </c>
      <c r="H42" s="818">
        <v>1.4200000000000001E-2</v>
      </c>
      <c r="I42" s="137" t="s">
        <v>64</v>
      </c>
      <c r="J42" s="822">
        <v>1.4200000000000001E-2</v>
      </c>
      <c r="K42" s="824" t="s">
        <v>64</v>
      </c>
      <c r="L42" s="137" t="s">
        <v>64</v>
      </c>
      <c r="M42" s="826">
        <v>2.9989999999999999E-2</v>
      </c>
      <c r="N42" s="866" t="s">
        <v>64</v>
      </c>
      <c r="O42" s="974"/>
    </row>
    <row r="43" spans="1:21" ht="21.4" customHeight="1" thickBot="1" x14ac:dyDescent="0.4">
      <c r="B43" s="208" t="s">
        <v>65</v>
      </c>
      <c r="C43" s="825">
        <v>3.5999999999999997E-2</v>
      </c>
      <c r="D43" s="825">
        <v>0.04</v>
      </c>
      <c r="E43" s="827">
        <v>0.04</v>
      </c>
      <c r="F43" s="825">
        <v>7.0000000000000001E-3</v>
      </c>
      <c r="G43" s="825">
        <v>1.2E-2</v>
      </c>
      <c r="H43" s="827">
        <v>1.6E-2</v>
      </c>
      <c r="I43" s="137" t="s">
        <v>64</v>
      </c>
      <c r="J43" s="825">
        <v>2.3E-2</v>
      </c>
      <c r="K43" s="827">
        <v>4.3999999999999997E-2</v>
      </c>
      <c r="L43" s="825">
        <v>4.1000000000000002E-2</v>
      </c>
      <c r="M43" s="825">
        <v>7.4999999999999997E-2</v>
      </c>
      <c r="N43" s="825">
        <v>7.1999999999999995E-2</v>
      </c>
      <c r="O43" s="975"/>
    </row>
    <row r="44" spans="1:21" ht="21.4" customHeight="1" thickBot="1" x14ac:dyDescent="0.4">
      <c r="B44" s="865" t="s">
        <v>66</v>
      </c>
      <c r="C44" s="980">
        <f>E43+H43+K43+N43</f>
        <v>0.17199999999999999</v>
      </c>
      <c r="D44" s="981"/>
      <c r="E44" s="981"/>
      <c r="F44" s="981"/>
      <c r="G44" s="981"/>
      <c r="H44" s="981"/>
      <c r="I44" s="981"/>
      <c r="J44" s="981"/>
      <c r="K44" s="981"/>
      <c r="L44" s="981"/>
      <c r="M44" s="981"/>
      <c r="N44" s="981"/>
      <c r="O44" s="982"/>
    </row>
    <row r="45" spans="1:21" ht="21.4" customHeight="1" x14ac:dyDescent="0.35">
      <c r="K45"/>
    </row>
    <row r="46" spans="1:21" ht="25.15" customHeight="1" x14ac:dyDescent="0.35">
      <c r="B46" s="375" t="s">
        <v>67</v>
      </c>
      <c r="C46" s="375"/>
      <c r="D46" s="375"/>
      <c r="E46" s="375"/>
      <c r="F46" s="375"/>
      <c r="G46" s="375"/>
      <c r="H46" s="375"/>
      <c r="I46" s="375"/>
      <c r="J46" s="375"/>
      <c r="K46" s="375"/>
    </row>
    <row r="47" spans="1:21" ht="25.15" customHeight="1" x14ac:dyDescent="0.35">
      <c r="B47" s="64" t="s">
        <v>68</v>
      </c>
      <c r="C47" s="64"/>
      <c r="D47" s="64"/>
    </row>
    <row r="48" spans="1:21" s="110" customFormat="1" ht="27" customHeight="1" x14ac:dyDescent="0.35">
      <c r="A48" s="155"/>
      <c r="B48" s="345"/>
      <c r="C48" s="956" t="s">
        <v>69</v>
      </c>
      <c r="D48" s="956"/>
      <c r="E48" s="956" t="s">
        <v>70</v>
      </c>
      <c r="F48" s="956"/>
      <c r="G48" s="956"/>
      <c r="H48" s="956"/>
      <c r="I48" s="956"/>
      <c r="J48" s="978"/>
      <c r="K48" s="6" t="s">
        <v>41</v>
      </c>
    </row>
    <row r="49" spans="1:11" ht="21.4" customHeight="1" x14ac:dyDescent="0.35">
      <c r="A49" s="155"/>
      <c r="B49" s="152">
        <v>2021</v>
      </c>
      <c r="C49" s="954">
        <v>0.22</v>
      </c>
      <c r="D49" s="954"/>
      <c r="E49" s="954">
        <f>2/7</f>
        <v>0.2857142857142857</v>
      </c>
      <c r="F49" s="954"/>
      <c r="G49" s="954"/>
      <c r="H49" s="954"/>
      <c r="I49" s="954"/>
      <c r="J49" s="979"/>
      <c r="K49" s="951" t="s">
        <v>45</v>
      </c>
    </row>
    <row r="50" spans="1:11" ht="21.4" customHeight="1" x14ac:dyDescent="0.35">
      <c r="A50" s="155"/>
      <c r="B50" s="9">
        <v>2022</v>
      </c>
      <c r="C50" s="955">
        <v>0.22</v>
      </c>
      <c r="D50" s="955"/>
      <c r="E50" s="955">
        <f>2/7</f>
        <v>0.2857142857142857</v>
      </c>
      <c r="F50" s="955"/>
      <c r="G50" s="955"/>
      <c r="H50" s="955"/>
      <c r="I50" s="955"/>
      <c r="J50" s="977"/>
      <c r="K50" s="951"/>
    </row>
    <row r="51" spans="1:11" x14ac:dyDescent="0.35">
      <c r="B51" s="9">
        <v>2023</v>
      </c>
      <c r="C51" s="954">
        <f>2/8</f>
        <v>0.25</v>
      </c>
      <c r="D51" s="954"/>
      <c r="E51" s="955">
        <f>2/6</f>
        <v>0.33333333333333331</v>
      </c>
      <c r="F51" s="955"/>
      <c r="G51" s="955"/>
      <c r="H51" s="955"/>
      <c r="I51" s="955"/>
      <c r="J51" s="977"/>
      <c r="K51" s="951"/>
    </row>
    <row r="52" spans="1:11" x14ac:dyDescent="0.35">
      <c r="B52" s="829">
        <v>2024</v>
      </c>
      <c r="C52" s="952">
        <v>0.33</v>
      </c>
      <c r="D52" s="952"/>
      <c r="E52" s="953">
        <v>0.33</v>
      </c>
      <c r="F52" s="953"/>
      <c r="G52" s="953"/>
      <c r="H52" s="953"/>
      <c r="I52" s="953"/>
      <c r="J52" s="953"/>
      <c r="K52" s="951"/>
    </row>
    <row r="53" spans="1:11" x14ac:dyDescent="0.35">
      <c r="K53" s="951"/>
    </row>
    <row r="54" spans="1:11" x14ac:dyDescent="0.35">
      <c r="K54" s="951"/>
    </row>
  </sheetData>
  <mergeCells count="52">
    <mergeCell ref="O38:O43"/>
    <mergeCell ref="M9:M10"/>
    <mergeCell ref="G50:H50"/>
    <mergeCell ref="I50:J50"/>
    <mergeCell ref="G51:H51"/>
    <mergeCell ref="I51:J51"/>
    <mergeCell ref="K49:K51"/>
    <mergeCell ref="M11:M15"/>
    <mergeCell ref="G48:H48"/>
    <mergeCell ref="I48:J48"/>
    <mergeCell ref="G49:H49"/>
    <mergeCell ref="I49:J49"/>
    <mergeCell ref="C44:O44"/>
    <mergeCell ref="J7:K7"/>
    <mergeCell ref="J35:K35"/>
    <mergeCell ref="K23:K30"/>
    <mergeCell ref="J23:J24"/>
    <mergeCell ref="J25:J27"/>
    <mergeCell ref="J28:J30"/>
    <mergeCell ref="B25:B27"/>
    <mergeCell ref="B28:B30"/>
    <mergeCell ref="I23:I24"/>
    <mergeCell ref="E9:F9"/>
    <mergeCell ref="G9:H9"/>
    <mergeCell ref="B23:B24"/>
    <mergeCell ref="C9:D9"/>
    <mergeCell ref="I9:J9"/>
    <mergeCell ref="J20:K20"/>
    <mergeCell ref="K9:L9"/>
    <mergeCell ref="I25:I27"/>
    <mergeCell ref="I28:I30"/>
    <mergeCell ref="B31:B33"/>
    <mergeCell ref="I37:K37"/>
    <mergeCell ref="F37:H37"/>
    <mergeCell ref="C37:E37"/>
    <mergeCell ref="L37:N37"/>
    <mergeCell ref="AE9:AF9"/>
    <mergeCell ref="AG9:AH9"/>
    <mergeCell ref="K52:K54"/>
    <mergeCell ref="C52:D52"/>
    <mergeCell ref="E52:F52"/>
    <mergeCell ref="G52:H52"/>
    <mergeCell ref="I52:J52"/>
    <mergeCell ref="C51:D51"/>
    <mergeCell ref="E51:F51"/>
    <mergeCell ref="C48:D48"/>
    <mergeCell ref="C49:D49"/>
    <mergeCell ref="C50:D50"/>
    <mergeCell ref="E48:F48"/>
    <mergeCell ref="E49:F49"/>
    <mergeCell ref="E50:F50"/>
    <mergeCell ref="I31:I32"/>
  </mergeCells>
  <pageMargins left="0.7" right="0.7" top="0.75" bottom="0.75" header="0.3" footer="0.3"/>
  <pageSetup paperSize="9" orientation="portrait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"/>
  <sheetViews>
    <sheetView showGridLines="0" rightToLeft="1" topLeftCell="D1" zoomScale="85" zoomScaleNormal="85" workbookViewId="0">
      <selection activeCell="D26" sqref="D26"/>
    </sheetView>
  </sheetViews>
  <sheetFormatPr defaultColWidth="9.26953125" defaultRowHeight="14.5" x14ac:dyDescent="0.35"/>
  <cols>
    <col min="1" max="6" width="9.26953125" style="418" customWidth="1"/>
    <col min="7" max="16384" width="9.26953125" style="418"/>
  </cols>
  <sheetData/>
  <pageMargins left="0.7" right="0.7" top="0.75" bottom="0.75" header="0.3" footer="0.3"/>
  <pageSetup paperSize="9" orientation="portrait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U51"/>
  <sheetViews>
    <sheetView showGridLines="0" rightToLeft="1" topLeftCell="A43" zoomScale="98" zoomScaleNormal="98" workbookViewId="0">
      <selection activeCell="I53" sqref="I53"/>
    </sheetView>
  </sheetViews>
  <sheetFormatPr defaultColWidth="9.26953125" defaultRowHeight="14.5" x14ac:dyDescent="0.35"/>
  <cols>
    <col min="1" max="1" width="3.7265625" customWidth="1"/>
    <col min="2" max="2" width="14.7265625" customWidth="1"/>
    <col min="3" max="9" width="10.7265625" customWidth="1"/>
    <col min="10" max="10" width="11.7265625" customWidth="1"/>
    <col min="11" max="11" width="10.7265625" customWidth="1"/>
    <col min="14" max="14" width="33.26953125" customWidth="1"/>
    <col min="15" max="15" width="36.7265625" customWidth="1"/>
    <col min="16" max="17" width="16.7265625" customWidth="1"/>
  </cols>
  <sheetData>
    <row r="1" spans="2:19" ht="15" customHeight="1" x14ac:dyDescent="0.35"/>
    <row r="2" spans="2:19" ht="15" customHeight="1" x14ac:dyDescent="0.35"/>
    <row r="3" spans="2:19" ht="15" customHeight="1" x14ac:dyDescent="0.35"/>
    <row r="4" spans="2:19" ht="15" customHeight="1" x14ac:dyDescent="0.35"/>
    <row r="5" spans="2:19" ht="24" customHeight="1" thickBot="1" x14ac:dyDescent="0.4">
      <c r="B5" s="39" t="s">
        <v>71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6" spans="2:19" ht="15" customHeight="1" thickTop="1" x14ac:dyDescent="0.35">
      <c r="B6" s="41"/>
      <c r="C6" s="41"/>
      <c r="D6" s="41"/>
      <c r="E6" s="41"/>
      <c r="F6" s="41"/>
      <c r="G6" s="41"/>
      <c r="H6" s="41"/>
      <c r="I6" s="41"/>
    </row>
    <row r="7" spans="2:19" ht="25.15" customHeight="1" x14ac:dyDescent="0.35">
      <c r="B7" s="989" t="s">
        <v>44</v>
      </c>
      <c r="C7" s="989"/>
      <c r="D7" s="989"/>
      <c r="E7" s="989"/>
      <c r="F7" s="989"/>
      <c r="G7" s="989"/>
      <c r="H7" s="989"/>
    </row>
    <row r="8" spans="2:19" ht="31.9" customHeight="1" x14ac:dyDescent="0.35">
      <c r="B8" s="53"/>
      <c r="C8" s="55">
        <v>2017</v>
      </c>
      <c r="D8" s="55">
        <v>2018</v>
      </c>
      <c r="E8" s="55">
        <v>2019</v>
      </c>
      <c r="F8" s="55">
        <v>2020</v>
      </c>
      <c r="G8" s="55">
        <v>2021</v>
      </c>
      <c r="H8" s="55">
        <v>2022</v>
      </c>
      <c r="I8" s="55">
        <v>2023</v>
      </c>
      <c r="J8" s="55">
        <v>2024</v>
      </c>
      <c r="K8" s="6" t="s">
        <v>41</v>
      </c>
    </row>
    <row r="9" spans="2:19" ht="21.4" customHeight="1" x14ac:dyDescent="0.35">
      <c r="B9" s="50" t="s">
        <v>55</v>
      </c>
      <c r="C9" s="144">
        <v>22312</v>
      </c>
      <c r="D9" s="144">
        <v>21430</v>
      </c>
      <c r="E9" s="144">
        <v>21114</v>
      </c>
      <c r="F9" s="144">
        <v>17891</v>
      </c>
      <c r="G9" s="144">
        <v>18878</v>
      </c>
      <c r="H9" s="144">
        <v>18216.79</v>
      </c>
      <c r="I9" s="473">
        <v>19007.21</v>
      </c>
      <c r="J9" s="473">
        <v>20718.7</v>
      </c>
      <c r="K9" s="972" t="s">
        <v>56</v>
      </c>
    </row>
    <row r="10" spans="2:19" ht="21.4" customHeight="1" x14ac:dyDescent="0.35">
      <c r="B10" s="44" t="s">
        <v>57</v>
      </c>
      <c r="C10" s="76">
        <v>87191</v>
      </c>
      <c r="D10" s="76">
        <v>84696</v>
      </c>
      <c r="E10" s="76">
        <v>80121</v>
      </c>
      <c r="F10" s="76">
        <v>73613</v>
      </c>
      <c r="G10" s="76">
        <v>55544.35</v>
      </c>
      <c r="H10" s="76">
        <v>54589</v>
      </c>
      <c r="I10" s="473">
        <v>53874.82</v>
      </c>
      <c r="J10" s="473">
        <v>54446.1</v>
      </c>
      <c r="K10" s="972"/>
    </row>
    <row r="11" spans="2:19" ht="21.4" customHeight="1" x14ac:dyDescent="0.35">
      <c r="B11" s="44"/>
      <c r="C11" s="76"/>
      <c r="D11" s="76"/>
      <c r="E11" s="76"/>
      <c r="F11" s="76"/>
      <c r="G11" s="76"/>
      <c r="H11" s="76"/>
      <c r="I11" s="473"/>
      <c r="J11" s="473"/>
      <c r="K11" s="972"/>
    </row>
    <row r="12" spans="2:19" ht="21.4" customHeight="1" x14ac:dyDescent="0.35">
      <c r="B12" s="44" t="s">
        <v>78</v>
      </c>
      <c r="C12" s="145">
        <f>SUM(C9:C10)</f>
        <v>109503</v>
      </c>
      <c r="D12" s="145">
        <f>SUM(D9:D10)</f>
        <v>106126</v>
      </c>
      <c r="E12" s="145">
        <f>SUM(E9:E10)</f>
        <v>101235</v>
      </c>
      <c r="F12" s="145">
        <f>SUM(F9:F10)</f>
        <v>91504</v>
      </c>
      <c r="G12" s="145">
        <f>G9+G10</f>
        <v>74422.350000000006</v>
      </c>
      <c r="H12" s="145">
        <f>H9+H10+H11</f>
        <v>72805.790000000008</v>
      </c>
      <c r="I12" s="474">
        <f>I9+I10+I11</f>
        <v>72882.03</v>
      </c>
      <c r="J12" s="474">
        <f>J9+J10+J11</f>
        <v>75164.800000000003</v>
      </c>
      <c r="K12" s="972"/>
    </row>
    <row r="13" spans="2:19" ht="54.65" customHeight="1" x14ac:dyDescent="0.35">
      <c r="B13" s="46" t="s">
        <v>80</v>
      </c>
      <c r="C13" s="146"/>
      <c r="D13" s="146">
        <f t="shared" ref="D13:F13" si="0">(D12-C12)/C12</f>
        <v>-3.0839337735039222E-2</v>
      </c>
      <c r="E13" s="146">
        <f t="shared" si="0"/>
        <v>-4.6086727097977877E-2</v>
      </c>
      <c r="F13" s="146">
        <f t="shared" si="0"/>
        <v>-9.6122882402331203E-2</v>
      </c>
      <c r="G13" s="146">
        <f>(G12-F12)/F12</f>
        <v>-0.18667653873054724</v>
      </c>
      <c r="H13" s="146">
        <f>((H9+H10)-G12)/G12</f>
        <v>-2.1721431801065103E-2</v>
      </c>
      <c r="I13" s="146">
        <f>((I9+I10)-(H9+H10))/(H9+H10)</f>
        <v>1.0471694627582598E-3</v>
      </c>
      <c r="J13" s="146">
        <f>((J9+J10)-(I9+I10))/(I9+I10)</f>
        <v>3.1321438220093541E-2</v>
      </c>
      <c r="K13" s="972"/>
    </row>
    <row r="14" spans="2:19" ht="54.65" customHeight="1" x14ac:dyDescent="0.35">
      <c r="B14" s="46" t="s">
        <v>82</v>
      </c>
      <c r="C14" s="146"/>
      <c r="D14" s="146"/>
      <c r="E14" s="146"/>
      <c r="F14" s="146"/>
      <c r="G14" s="146"/>
      <c r="H14" s="146"/>
      <c r="I14" s="146">
        <f>((I9+I10)-(H9+H10))/(H9+H10)</f>
        <v>1.0471694627582598E-3</v>
      </c>
      <c r="J14" s="146">
        <f>((J9+J10)-(H9+H10))/(H9+H10)</f>
        <v>3.2401406536485551E-2</v>
      </c>
      <c r="K14" s="972"/>
    </row>
    <row r="15" spans="2:19" ht="41.25" customHeight="1" x14ac:dyDescent="0.35">
      <c r="B15" s="46" t="s">
        <v>84</v>
      </c>
      <c r="C15" s="146"/>
      <c r="D15" s="146"/>
      <c r="E15" s="146"/>
      <c r="F15" s="146"/>
      <c r="G15" s="146"/>
      <c r="H15" s="146"/>
      <c r="I15" s="146">
        <f>(I12-H12)/H12</f>
        <v>1.0471694627582598E-3</v>
      </c>
      <c r="K15" s="972"/>
    </row>
    <row r="16" spans="2:19" ht="41.25" customHeight="1" x14ac:dyDescent="0.35">
      <c r="B16" s="46" t="s">
        <v>86</v>
      </c>
      <c r="C16" s="146"/>
      <c r="D16" s="146"/>
      <c r="E16" s="146"/>
      <c r="F16" s="146"/>
      <c r="G16" s="146"/>
      <c r="H16" s="146"/>
      <c r="I16" s="146">
        <f>(I12-H12)/H12</f>
        <v>1.0471694627582598E-3</v>
      </c>
      <c r="J16" s="762">
        <f>(J12-I12)/I12</f>
        <v>3.1321438220093541E-2</v>
      </c>
      <c r="K16" s="4"/>
    </row>
    <row r="17" spans="2:11" ht="25.15" customHeight="1" x14ac:dyDescent="0.35"/>
    <row r="18" spans="2:11" ht="31.9" customHeight="1" x14ac:dyDescent="0.35">
      <c r="B18" s="1000"/>
      <c r="C18" s="1000"/>
      <c r="D18" s="1000"/>
      <c r="E18" s="1000"/>
      <c r="F18" s="1000"/>
      <c r="G18" s="1000"/>
      <c r="H18" s="1000"/>
      <c r="I18" s="1000"/>
      <c r="J18" s="1000"/>
      <c r="K18" s="1000"/>
    </row>
    <row r="19" spans="2:11" ht="21.4" customHeight="1" x14ac:dyDescent="0.35">
      <c r="B19" s="989" t="s">
        <v>46</v>
      </c>
      <c r="C19" s="989"/>
      <c r="D19" s="989"/>
      <c r="E19" s="989"/>
      <c r="F19" s="989"/>
      <c r="G19" s="989"/>
      <c r="H19" s="989"/>
    </row>
    <row r="20" spans="2:11" ht="30" customHeight="1" x14ac:dyDescent="0.35">
      <c r="B20" s="48"/>
      <c r="C20" s="48">
        <v>2021</v>
      </c>
      <c r="D20" s="48">
        <v>2022</v>
      </c>
      <c r="E20" s="48">
        <v>2023</v>
      </c>
      <c r="F20" s="48">
        <v>2024</v>
      </c>
      <c r="G20" s="48" t="s">
        <v>88</v>
      </c>
      <c r="H20" s="48"/>
      <c r="I20" s="48"/>
      <c r="J20" s="43" t="s">
        <v>41</v>
      </c>
    </row>
    <row r="21" spans="2:11" ht="21.4" customHeight="1" x14ac:dyDescent="0.35">
      <c r="B21" s="147" t="s">
        <v>55</v>
      </c>
      <c r="C21" s="148">
        <v>1924</v>
      </c>
      <c r="D21" s="148">
        <v>1656</v>
      </c>
      <c r="E21" s="144">
        <v>1560.28</v>
      </c>
      <c r="F21" s="144">
        <v>1563.68</v>
      </c>
      <c r="G21" s="429">
        <f>(F21-E21)/E21</f>
        <v>2.1790960596816539E-3</v>
      </c>
      <c r="H21" s="116"/>
      <c r="I21" s="116"/>
      <c r="J21" s="1002" t="s">
        <v>89</v>
      </c>
    </row>
    <row r="22" spans="2:11" ht="21.4" customHeight="1" x14ac:dyDescent="0.35">
      <c r="B22" s="149" t="s">
        <v>57</v>
      </c>
      <c r="C22" s="150">
        <v>4286</v>
      </c>
      <c r="D22" s="150">
        <v>3930</v>
      </c>
      <c r="E22" s="76">
        <v>3674.54</v>
      </c>
      <c r="F22" s="76">
        <v>4073.41</v>
      </c>
      <c r="G22" s="429">
        <f>(F22-E22)/E22</f>
        <v>0.10854964158779055</v>
      </c>
      <c r="H22" s="118"/>
      <c r="I22" s="118"/>
      <c r="J22" s="1002"/>
    </row>
    <row r="23" spans="2:11" ht="25.15" customHeight="1" x14ac:dyDescent="0.35">
      <c r="B23" s="9" t="s">
        <v>78</v>
      </c>
      <c r="C23" s="151">
        <f>C21+C22</f>
        <v>6210</v>
      </c>
      <c r="D23" s="151">
        <f>D21+D22</f>
        <v>5586</v>
      </c>
      <c r="E23" s="475">
        <f>E21+E22</f>
        <v>5234.82</v>
      </c>
      <c r="F23" s="475">
        <f>F21+F22</f>
        <v>5637.09</v>
      </c>
      <c r="G23" s="432">
        <f t="shared" ref="G23" si="1">(F23-E23)/E23</f>
        <v>7.6845049113436648E-2</v>
      </c>
      <c r="H23" s="121"/>
      <c r="I23" s="121"/>
      <c r="J23" s="1002"/>
    </row>
    <row r="24" spans="2:11" ht="31.9" customHeight="1" x14ac:dyDescent="0.35"/>
    <row r="25" spans="2:11" ht="21.4" customHeight="1" x14ac:dyDescent="0.35">
      <c r="B25" s="989" t="s">
        <v>47</v>
      </c>
      <c r="C25" s="989"/>
      <c r="D25" s="989"/>
      <c r="E25" s="989"/>
      <c r="F25" s="989"/>
      <c r="G25" s="989"/>
      <c r="H25" s="989"/>
    </row>
    <row r="26" spans="2:11" ht="27.75" customHeight="1" x14ac:dyDescent="0.35">
      <c r="B26" s="48"/>
      <c r="C26" s="48">
        <v>2021</v>
      </c>
      <c r="D26" s="48">
        <v>2022</v>
      </c>
      <c r="E26" s="48">
        <v>2023</v>
      </c>
      <c r="F26" s="48">
        <v>2024</v>
      </c>
      <c r="G26" s="48" t="s">
        <v>88</v>
      </c>
      <c r="H26" s="48"/>
      <c r="I26" s="48"/>
      <c r="J26" s="43" t="s">
        <v>41</v>
      </c>
    </row>
    <row r="27" spans="2:11" ht="21.4" customHeight="1" x14ac:dyDescent="0.35">
      <c r="B27" s="147" t="s">
        <v>55</v>
      </c>
      <c r="C27" s="148">
        <v>2853</v>
      </c>
      <c r="D27" s="148">
        <v>2754</v>
      </c>
      <c r="E27" s="144">
        <v>2484.7800000000002</v>
      </c>
      <c r="F27" s="144">
        <v>2450.66</v>
      </c>
      <c r="G27" s="429">
        <f>(F27-E27)/E27</f>
        <v>-1.3731597968431951E-2</v>
      </c>
      <c r="H27" s="116"/>
      <c r="I27" s="116"/>
      <c r="J27" s="1002" t="s">
        <v>89</v>
      </c>
    </row>
    <row r="28" spans="2:11" ht="21.4" customHeight="1" x14ac:dyDescent="0.35">
      <c r="B28" s="149" t="s">
        <v>57</v>
      </c>
      <c r="C28" s="150">
        <v>28522</v>
      </c>
      <c r="D28" s="150">
        <v>24272</v>
      </c>
      <c r="E28" s="76">
        <v>28513.360000000001</v>
      </c>
      <c r="F28" s="76">
        <v>27188.81</v>
      </c>
      <c r="G28" s="429">
        <f t="shared" ref="G28:G29" si="2">(F28-E28)/E28</f>
        <v>-4.6453662423509512E-2</v>
      </c>
      <c r="H28" s="118"/>
      <c r="I28" s="118"/>
      <c r="J28" s="1002"/>
    </row>
    <row r="29" spans="2:11" ht="25.15" customHeight="1" x14ac:dyDescent="0.35">
      <c r="B29" s="9" t="s">
        <v>78</v>
      </c>
      <c r="C29" s="151">
        <f>C27+C28</f>
        <v>31375</v>
      </c>
      <c r="D29" s="151">
        <f>D27+D28</f>
        <v>27026</v>
      </c>
      <c r="E29" s="475">
        <f>E28+E27</f>
        <v>30998.14</v>
      </c>
      <c r="F29" s="475">
        <f>F28+F27</f>
        <v>29639.47</v>
      </c>
      <c r="G29" s="432">
        <f t="shared" si="2"/>
        <v>-4.3830694357790446E-2</v>
      </c>
      <c r="H29" s="121"/>
      <c r="I29" s="121"/>
      <c r="J29" s="1002"/>
    </row>
    <row r="30" spans="2:11" ht="31.9" customHeight="1" x14ac:dyDescent="0.35"/>
    <row r="31" spans="2:11" ht="21.4" customHeight="1" x14ac:dyDescent="0.35">
      <c r="B31" s="989" t="s">
        <v>90</v>
      </c>
      <c r="C31" s="989"/>
      <c r="D31" s="989"/>
      <c r="E31" s="989"/>
      <c r="F31" s="989"/>
      <c r="G31" s="989"/>
      <c r="H31" s="989"/>
    </row>
    <row r="32" spans="2:11" ht="30.75" customHeight="1" x14ac:dyDescent="0.35">
      <c r="B32" s="48"/>
      <c r="C32" s="48">
        <v>2021</v>
      </c>
      <c r="D32" s="48">
        <v>2022</v>
      </c>
      <c r="E32" s="48">
        <v>2023</v>
      </c>
      <c r="F32" s="48">
        <v>2024</v>
      </c>
      <c r="G32" s="48" t="s">
        <v>88</v>
      </c>
      <c r="H32" s="48"/>
      <c r="I32" s="48"/>
      <c r="J32" s="43" t="s">
        <v>41</v>
      </c>
    </row>
    <row r="33" spans="2:21" ht="21.4" customHeight="1" x14ac:dyDescent="0.35">
      <c r="B33" s="152" t="s">
        <v>55</v>
      </c>
      <c r="C33" s="148">
        <v>1715</v>
      </c>
      <c r="D33" s="148">
        <v>1563</v>
      </c>
      <c r="E33" s="144">
        <v>1743.83</v>
      </c>
      <c r="F33" s="144">
        <v>1749.8</v>
      </c>
      <c r="G33" s="429">
        <f>(F33-E33)/E33</f>
        <v>3.4234988502319765E-3</v>
      </c>
      <c r="H33" s="116"/>
      <c r="I33" s="116"/>
      <c r="J33" s="1002" t="s">
        <v>89</v>
      </c>
    </row>
    <row r="34" spans="2:21" ht="21.4" customHeight="1" x14ac:dyDescent="0.35">
      <c r="B34" s="153" t="s">
        <v>57</v>
      </c>
      <c r="C34" s="150">
        <v>20425</v>
      </c>
      <c r="D34" s="150">
        <v>20604</v>
      </c>
      <c r="E34" s="76">
        <v>23424</v>
      </c>
      <c r="F34" s="767">
        <v>24167</v>
      </c>
      <c r="G34" s="768">
        <f t="shared" ref="G34:G35" si="3">(F34-E34)/E34</f>
        <v>3.1719603825136611E-2</v>
      </c>
      <c r="H34" s="118" t="s">
        <v>91</v>
      </c>
      <c r="I34" s="118"/>
      <c r="J34" s="1002"/>
    </row>
    <row r="35" spans="2:21" ht="25.15" customHeight="1" x14ac:dyDescent="0.35">
      <c r="B35" s="9" t="s">
        <v>78</v>
      </c>
      <c r="C35" s="151">
        <f>C33+C34</f>
        <v>22140</v>
      </c>
      <c r="D35" s="151">
        <f>D33+D34</f>
        <v>22167</v>
      </c>
      <c r="E35" s="151">
        <f>E33+E34</f>
        <v>25167.83</v>
      </c>
      <c r="F35" s="151">
        <f>F33+F34</f>
        <v>25916.799999999999</v>
      </c>
      <c r="G35" s="432">
        <f t="shared" si="3"/>
        <v>2.9759021735286575E-2</v>
      </c>
      <c r="H35" s="121"/>
      <c r="I35" s="121"/>
      <c r="J35" s="1002"/>
    </row>
    <row r="36" spans="2:21" ht="31.9" customHeight="1" x14ac:dyDescent="0.35"/>
    <row r="37" spans="2:21" ht="21.4" customHeight="1" x14ac:dyDescent="0.35">
      <c r="B37" s="989" t="s">
        <v>92</v>
      </c>
      <c r="C37" s="989"/>
      <c r="D37" s="989"/>
      <c r="E37" s="989"/>
      <c r="F37" s="989"/>
      <c r="G37" s="989"/>
      <c r="H37" s="989"/>
    </row>
    <row r="38" spans="2:21" ht="50.65" customHeight="1" x14ac:dyDescent="0.35">
      <c r="B38" s="54" t="s">
        <v>93</v>
      </c>
      <c r="C38" s="54" t="s">
        <v>94</v>
      </c>
      <c r="D38" s="54" t="s">
        <v>95</v>
      </c>
      <c r="E38" s="54" t="s">
        <v>78</v>
      </c>
      <c r="F38" s="54" t="s">
        <v>96</v>
      </c>
      <c r="G38" s="54" t="s">
        <v>97</v>
      </c>
      <c r="H38" s="54"/>
      <c r="I38" s="43" t="s">
        <v>41</v>
      </c>
      <c r="N38" s="989" t="s">
        <v>504</v>
      </c>
      <c r="O38" s="989"/>
      <c r="P38" s="989"/>
      <c r="Q38" s="989"/>
      <c r="R38" s="989"/>
      <c r="S38" s="989"/>
      <c r="T38" s="989"/>
      <c r="U38" s="989"/>
    </row>
    <row r="39" spans="2:21" ht="21.4" customHeight="1" x14ac:dyDescent="0.35">
      <c r="B39" s="992">
        <v>2021</v>
      </c>
      <c r="C39" s="154" t="s">
        <v>55</v>
      </c>
      <c r="D39" s="144">
        <f>G9+C21+C27+C33</f>
        <v>25370</v>
      </c>
      <c r="E39" s="998">
        <f>D39+D40</f>
        <v>134147.35</v>
      </c>
      <c r="F39" s="155"/>
      <c r="G39" s="155"/>
      <c r="H39" s="156"/>
      <c r="I39" s="972" t="s">
        <v>89</v>
      </c>
      <c r="N39" s="55" t="s">
        <v>72</v>
      </c>
      <c r="O39" s="55"/>
      <c r="P39" s="55">
        <v>2024</v>
      </c>
      <c r="Q39" s="6" t="s">
        <v>41</v>
      </c>
    </row>
    <row r="40" spans="2:21" ht="21.4" customHeight="1" x14ac:dyDescent="0.35">
      <c r="B40" s="993"/>
      <c r="C40" s="157" t="s">
        <v>57</v>
      </c>
      <c r="D40" s="76">
        <v>108777.35</v>
      </c>
      <c r="E40" s="997"/>
      <c r="F40" s="155"/>
      <c r="G40" s="130"/>
      <c r="H40" s="130"/>
      <c r="I40" s="972"/>
      <c r="N40" s="144">
        <v>1</v>
      </c>
      <c r="O40" s="144" t="s">
        <v>74</v>
      </c>
      <c r="P40" s="473">
        <v>28439.634305999996</v>
      </c>
      <c r="Q40" s="972" t="s">
        <v>75</v>
      </c>
    </row>
    <row r="41" spans="2:21" ht="21.4" customHeight="1" x14ac:dyDescent="0.35">
      <c r="B41" s="993">
        <v>2022</v>
      </c>
      <c r="C41" s="157" t="s">
        <v>55</v>
      </c>
      <c r="D41" s="76">
        <f>H9+D21+D27+D33</f>
        <v>24189.79</v>
      </c>
      <c r="E41" s="997">
        <f>D41+D42+D43</f>
        <v>127584.79000000001</v>
      </c>
      <c r="F41" s="986"/>
      <c r="G41" s="986">
        <f>((D41+D42)-(D40+D39))/(D40+D39)</f>
        <v>-4.8920534024712359E-2</v>
      </c>
      <c r="H41" s="158"/>
      <c r="I41" s="972"/>
      <c r="N41" s="76">
        <v>2</v>
      </c>
      <c r="O41" s="76" t="s">
        <v>76</v>
      </c>
      <c r="P41" s="473">
        <v>4458.2096667375827</v>
      </c>
      <c r="Q41" s="972"/>
    </row>
    <row r="42" spans="2:21" ht="25.15" customHeight="1" x14ac:dyDescent="0.35">
      <c r="B42" s="993"/>
      <c r="C42" s="157" t="s">
        <v>57</v>
      </c>
      <c r="D42" s="76">
        <f>D34+D28+D22+H10</f>
        <v>103395</v>
      </c>
      <c r="E42" s="997"/>
      <c r="F42" s="987"/>
      <c r="G42" s="987"/>
      <c r="H42" s="155"/>
      <c r="I42" s="972"/>
      <c r="N42" s="76">
        <v>5</v>
      </c>
      <c r="O42" s="76" t="s">
        <v>79</v>
      </c>
      <c r="P42" s="473">
        <v>462.37880760000007</v>
      </c>
      <c r="Q42" s="972"/>
    </row>
    <row r="43" spans="2:21" ht="31.9" customHeight="1" x14ac:dyDescent="0.35">
      <c r="B43" s="993"/>
      <c r="C43" s="531" t="s">
        <v>58</v>
      </c>
      <c r="D43" s="76">
        <f>H11</f>
        <v>0</v>
      </c>
      <c r="E43" s="997"/>
      <c r="F43" s="988"/>
      <c r="G43" s="988"/>
      <c r="H43" s="130"/>
      <c r="I43" s="972"/>
      <c r="N43" s="76">
        <v>6</v>
      </c>
      <c r="O43" s="76" t="s">
        <v>81</v>
      </c>
      <c r="P43" s="473">
        <v>184.24963547730331</v>
      </c>
      <c r="Q43" s="972"/>
    </row>
    <row r="44" spans="2:21" ht="21.4" customHeight="1" x14ac:dyDescent="0.35">
      <c r="B44" s="990">
        <v>2023</v>
      </c>
      <c r="C44" s="157" t="s">
        <v>55</v>
      </c>
      <c r="D44" s="76">
        <f>I9+E21+E27+E33</f>
        <v>24796.1</v>
      </c>
      <c r="E44" s="994">
        <f>D44+D45+D46</f>
        <v>134282.82</v>
      </c>
      <c r="F44" s="986">
        <f>(E44-E41)/E41</f>
        <v>5.2498655991830991E-2</v>
      </c>
      <c r="G44" s="986">
        <f>((D44+D45)-(D41+D42))/(D41+D42)</f>
        <v>5.2498655991830991E-2</v>
      </c>
      <c r="H44" s="983"/>
      <c r="I44" s="972"/>
      <c r="N44" s="76">
        <v>7</v>
      </c>
      <c r="O44" s="76" t="s">
        <v>83</v>
      </c>
      <c r="P44" s="473">
        <v>789.11371272340023</v>
      </c>
      <c r="Q44" s="972"/>
    </row>
    <row r="45" spans="2:21" ht="25.15" customHeight="1" x14ac:dyDescent="0.35">
      <c r="B45" s="991"/>
      <c r="C45" s="157" t="s">
        <v>57</v>
      </c>
      <c r="D45" s="76">
        <f>I10+E22+E28+E34</f>
        <v>109486.72</v>
      </c>
      <c r="E45" s="995"/>
      <c r="F45" s="987"/>
      <c r="G45" s="987"/>
      <c r="H45" s="984"/>
      <c r="I45" s="972"/>
      <c r="N45" s="76">
        <v>11</v>
      </c>
      <c r="O45" s="76" t="s">
        <v>85</v>
      </c>
      <c r="P45" s="473">
        <v>79594.428557890424</v>
      </c>
      <c r="Q45" s="972"/>
    </row>
    <row r="46" spans="2:21" ht="21.4" customHeight="1" x14ac:dyDescent="0.35">
      <c r="B46" s="991"/>
      <c r="C46" s="531" t="s">
        <v>58</v>
      </c>
      <c r="D46" s="76">
        <f>I11</f>
        <v>0</v>
      </c>
      <c r="E46" s="996"/>
      <c r="F46" s="988"/>
      <c r="G46" s="988"/>
      <c r="H46" s="985"/>
      <c r="I46" s="972"/>
      <c r="N46" s="145" t="s">
        <v>87</v>
      </c>
      <c r="O46" s="145"/>
      <c r="P46" s="473">
        <f>SUM(P40:P45)</f>
        <v>113928.01468642871</v>
      </c>
      <c r="Q46" s="972"/>
    </row>
    <row r="47" spans="2:21" ht="21.4" customHeight="1" x14ac:dyDescent="0.35">
      <c r="B47" s="990">
        <v>2024</v>
      </c>
      <c r="C47" s="157" t="s">
        <v>55</v>
      </c>
      <c r="D47" s="76">
        <f>J9+F21+F27+F33</f>
        <v>26482.84</v>
      </c>
      <c r="E47" s="994">
        <f>D47+D48+D49</f>
        <v>250286.17468642871</v>
      </c>
      <c r="F47" s="986"/>
      <c r="G47" s="986">
        <f>((D47+D48)-(D44+D45))/(D44+D45)</f>
        <v>1.5454992678884732E-2</v>
      </c>
      <c r="H47" s="983"/>
      <c r="I47" s="972"/>
      <c r="Q47" s="939"/>
    </row>
    <row r="48" spans="2:21" ht="21.4" customHeight="1" x14ac:dyDescent="0.35">
      <c r="B48" s="991"/>
      <c r="C48" s="157" t="s">
        <v>57</v>
      </c>
      <c r="D48" s="76">
        <f>J10+F22+F28+F34</f>
        <v>109875.31999999999</v>
      </c>
      <c r="E48" s="995"/>
      <c r="F48" s="987"/>
      <c r="G48" s="987"/>
      <c r="H48" s="984"/>
      <c r="I48" s="972"/>
      <c r="Q48" s="939"/>
    </row>
    <row r="49" spans="2:17" ht="21.4" customHeight="1" x14ac:dyDescent="0.35">
      <c r="B49" s="991"/>
      <c r="C49" s="531" t="s">
        <v>77</v>
      </c>
      <c r="D49" s="76">
        <f>P46</f>
        <v>113928.01468642871</v>
      </c>
      <c r="E49" s="996"/>
      <c r="F49" s="988"/>
      <c r="G49" s="988"/>
      <c r="H49" s="985"/>
      <c r="I49" s="972"/>
      <c r="N49" s="1001" t="s">
        <v>505</v>
      </c>
      <c r="O49" s="1001"/>
      <c r="P49" s="1001"/>
      <c r="Q49" s="1001"/>
    </row>
    <row r="50" spans="2:17" ht="15" customHeight="1" x14ac:dyDescent="0.35">
      <c r="N50" s="1001"/>
      <c r="O50" s="1001"/>
      <c r="P50" s="1001"/>
      <c r="Q50" s="1001"/>
    </row>
    <row r="51" spans="2:17" ht="42.75" customHeight="1" x14ac:dyDescent="0.35">
      <c r="B51" s="999" t="s">
        <v>505</v>
      </c>
      <c r="C51" s="999"/>
      <c r="D51" s="999"/>
      <c r="E51" s="999"/>
      <c r="F51" s="999"/>
      <c r="G51" s="999"/>
      <c r="H51" s="999"/>
      <c r="I51" s="999"/>
      <c r="J51" s="999"/>
      <c r="K51" s="999"/>
    </row>
  </sheetData>
  <mergeCells count="31">
    <mergeCell ref="N38:U38"/>
    <mergeCell ref="B7:H7"/>
    <mergeCell ref="B19:H19"/>
    <mergeCell ref="K9:K15"/>
    <mergeCell ref="B51:K51"/>
    <mergeCell ref="B18:K18"/>
    <mergeCell ref="Q40:Q46"/>
    <mergeCell ref="N49:Q50"/>
    <mergeCell ref="J21:J23"/>
    <mergeCell ref="J33:J35"/>
    <mergeCell ref="I39:I49"/>
    <mergeCell ref="J27:J29"/>
    <mergeCell ref="B47:B49"/>
    <mergeCell ref="E47:E49"/>
    <mergeCell ref="F47:F49"/>
    <mergeCell ref="G47:G49"/>
    <mergeCell ref="H47:H49"/>
    <mergeCell ref="F41:F43"/>
    <mergeCell ref="G41:G43"/>
    <mergeCell ref="B25:H25"/>
    <mergeCell ref="B31:H31"/>
    <mergeCell ref="B37:H37"/>
    <mergeCell ref="B44:B46"/>
    <mergeCell ref="F44:F46"/>
    <mergeCell ref="B39:B40"/>
    <mergeCell ref="B41:B43"/>
    <mergeCell ref="E44:E46"/>
    <mergeCell ref="G44:G46"/>
    <mergeCell ref="H44:H46"/>
    <mergeCell ref="E41:E43"/>
    <mergeCell ref="E39:E40"/>
  </mergeCells>
  <pageMargins left="0.7" right="0.7" top="0.75" bottom="0.75" header="0.3" footer="0.3"/>
  <pageSetup paperSize="9" orientation="portrait" r:id="rId1"/>
  <headerFooter scaleWithDoc="0"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27"/>
  <sheetViews>
    <sheetView showGridLines="0" rightToLeft="1" workbookViewId="0">
      <selection activeCell="L13" sqref="L13"/>
    </sheetView>
  </sheetViews>
  <sheetFormatPr defaultColWidth="9.26953125" defaultRowHeight="14.5" x14ac:dyDescent="0.35"/>
  <cols>
    <col min="1" max="1" width="3.7265625" customWidth="1"/>
    <col min="2" max="2" width="14.54296875" customWidth="1"/>
    <col min="3" max="20" width="10.7265625" customWidth="1"/>
    <col min="21" max="22" width="11.7265625" customWidth="1"/>
    <col min="23" max="23" width="13.7265625" customWidth="1"/>
    <col min="24" max="24" width="16.54296875" customWidth="1"/>
    <col min="25" max="25" width="11.7265625" customWidth="1"/>
    <col min="28" max="28" width="12.26953125" customWidth="1"/>
    <col min="29" max="29" width="14.26953125" customWidth="1"/>
    <col min="30" max="30" width="14.7265625" customWidth="1"/>
    <col min="31" max="31" width="16.453125" customWidth="1"/>
    <col min="32" max="32" width="20.453125" customWidth="1"/>
    <col min="33" max="33" width="17.26953125" customWidth="1"/>
    <col min="34" max="34" width="13.7265625" customWidth="1"/>
  </cols>
  <sheetData>
    <row r="1" spans="2:37" ht="15" customHeight="1" x14ac:dyDescent="0.35"/>
    <row r="2" spans="2:37" ht="15" customHeight="1" x14ac:dyDescent="0.35">
      <c r="U2" s="423"/>
      <c r="V2" s="423"/>
      <c r="W2" s="423"/>
      <c r="X2" s="423"/>
      <c r="Y2" s="423"/>
      <c r="Z2" s="423"/>
      <c r="AA2" s="423"/>
      <c r="AB2" s="423"/>
      <c r="AC2" s="423"/>
      <c r="AD2" s="423"/>
      <c r="AE2" s="423"/>
      <c r="AF2" s="423"/>
      <c r="AG2" s="423"/>
      <c r="AH2" s="423"/>
      <c r="AI2" s="423"/>
      <c r="AJ2" s="423"/>
      <c r="AK2" s="423"/>
    </row>
    <row r="3" spans="2:37" ht="15" customHeight="1" x14ac:dyDescent="0.35">
      <c r="U3" s="423"/>
      <c r="V3" s="423"/>
      <c r="W3" s="423"/>
      <c r="X3" s="423"/>
      <c r="Y3" s="423"/>
      <c r="Z3" s="423"/>
      <c r="AA3" s="423"/>
      <c r="AB3" s="423"/>
      <c r="AC3" s="423"/>
      <c r="AD3" s="423"/>
      <c r="AE3" s="423"/>
      <c r="AF3" s="423"/>
      <c r="AG3" s="423"/>
      <c r="AH3" s="423"/>
      <c r="AI3" s="423"/>
      <c r="AJ3" s="423"/>
      <c r="AK3" s="423"/>
    </row>
    <row r="4" spans="2:37" ht="15" customHeight="1" x14ac:dyDescent="0.35">
      <c r="U4" s="423"/>
      <c r="V4" s="423"/>
      <c r="W4" s="423"/>
      <c r="X4" s="423"/>
      <c r="Y4" s="423"/>
      <c r="Z4" s="423"/>
      <c r="AA4" s="423"/>
      <c r="AB4" s="423"/>
      <c r="AC4" s="423"/>
      <c r="AD4" s="423"/>
      <c r="AE4" s="423"/>
      <c r="AF4" s="423"/>
      <c r="AG4" s="423"/>
      <c r="AH4" s="423"/>
      <c r="AI4" s="423"/>
      <c r="AJ4" s="423"/>
      <c r="AK4" s="423"/>
    </row>
    <row r="5" spans="2:37" ht="24" customHeight="1" thickBot="1" x14ac:dyDescent="0.4">
      <c r="B5" s="39" t="s">
        <v>8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433"/>
      <c r="N5" s="433"/>
      <c r="O5" s="433"/>
      <c r="P5" s="433"/>
      <c r="Q5" s="433"/>
      <c r="R5" s="433"/>
      <c r="S5" s="434"/>
      <c r="T5" s="434"/>
      <c r="U5" s="547"/>
      <c r="V5" s="547"/>
      <c r="W5" s="547"/>
      <c r="X5" s="547"/>
      <c r="Y5" s="547"/>
      <c r="Z5" s="547"/>
      <c r="AA5" s="547"/>
      <c r="AB5" s="547"/>
      <c r="AC5" s="547"/>
      <c r="AD5" s="547"/>
      <c r="AE5" s="547"/>
      <c r="AF5" s="423"/>
      <c r="AG5" s="423"/>
      <c r="AH5" s="423"/>
      <c r="AI5" s="423"/>
      <c r="AJ5" s="423"/>
      <c r="AK5" s="423"/>
    </row>
    <row r="6" spans="2:37" ht="15" customHeight="1" thickTop="1" x14ac:dyDescent="0.3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34"/>
      <c r="U6" s="423"/>
      <c r="V6" s="423"/>
      <c r="W6" s="423"/>
      <c r="X6" s="423"/>
      <c r="Y6" s="423"/>
      <c r="Z6" s="423"/>
      <c r="AA6" s="423"/>
      <c r="AB6" s="423"/>
      <c r="AC6" s="423"/>
      <c r="AD6" s="423"/>
      <c r="AE6" s="423"/>
      <c r="AF6" s="423"/>
      <c r="AG6" s="423"/>
      <c r="AH6" s="423"/>
      <c r="AI6" s="423"/>
      <c r="AJ6" s="423"/>
      <c r="AK6" s="423"/>
    </row>
    <row r="7" spans="2:37" ht="25.15" customHeight="1" x14ac:dyDescent="0.35">
      <c r="B7" s="989" t="s">
        <v>98</v>
      </c>
      <c r="C7" s="989"/>
      <c r="D7" s="989"/>
      <c r="E7" s="989"/>
      <c r="F7" s="989"/>
      <c r="G7" s="989"/>
      <c r="H7" s="989"/>
      <c r="I7" s="989"/>
      <c r="J7" s="989"/>
      <c r="K7" s="428"/>
      <c r="L7" s="428"/>
      <c r="M7" s="1014"/>
      <c r="N7" s="1014"/>
      <c r="O7" s="1014"/>
      <c r="P7" s="435"/>
      <c r="Q7" s="435"/>
      <c r="R7" s="435"/>
      <c r="S7" s="435"/>
      <c r="T7" s="435"/>
      <c r="U7" s="1010" t="s">
        <v>99</v>
      </c>
      <c r="V7" s="1010"/>
      <c r="W7" s="1010"/>
      <c r="X7" s="1010"/>
      <c r="Y7" s="1010"/>
      <c r="Z7" s="1010"/>
      <c r="AA7" s="1010"/>
      <c r="AB7" s="1010"/>
      <c r="AC7" s="738" t="s">
        <v>100</v>
      </c>
      <c r="AD7" s="738"/>
      <c r="AE7" s="748" t="s">
        <v>101</v>
      </c>
      <c r="AF7" s="738"/>
      <c r="AG7" s="739"/>
      <c r="AH7" s="423"/>
      <c r="AI7" s="423"/>
      <c r="AJ7" s="423"/>
      <c r="AK7" s="423"/>
    </row>
    <row r="8" spans="2:37" s="57" customFormat="1" ht="21.4" customHeight="1" x14ac:dyDescent="0.35">
      <c r="B8" s="59"/>
      <c r="C8" s="1015" t="s">
        <v>55</v>
      </c>
      <c r="D8" s="1015"/>
      <c r="E8" s="1015"/>
      <c r="F8" s="1015"/>
      <c r="G8" s="1016"/>
      <c r="H8" s="1017" t="s">
        <v>57</v>
      </c>
      <c r="I8" s="1015"/>
      <c r="J8" s="1015"/>
      <c r="K8" s="1015"/>
      <c r="L8" s="1016"/>
      <c r="M8" s="1018" t="s">
        <v>78</v>
      </c>
      <c r="N8" s="1018"/>
      <c r="O8" s="1017"/>
      <c r="P8" s="59"/>
      <c r="Q8" s="599"/>
      <c r="R8" s="1007" t="s">
        <v>102</v>
      </c>
      <c r="S8" s="434"/>
      <c r="T8" s="424"/>
      <c r="U8" s="1011" t="s">
        <v>55</v>
      </c>
      <c r="V8" s="1012"/>
      <c r="W8" s="1012"/>
      <c r="X8" s="1013"/>
      <c r="Y8" s="1011" t="s">
        <v>57</v>
      </c>
      <c r="Z8" s="1012"/>
      <c r="AA8" s="1012"/>
      <c r="AB8" s="1013"/>
      <c r="AC8" s="740"/>
      <c r="AD8" s="736">
        <v>2021</v>
      </c>
      <c r="AE8" s="736">
        <v>2022</v>
      </c>
      <c r="AF8" s="736">
        <v>2023</v>
      </c>
      <c r="AG8" s="736">
        <v>2024</v>
      </c>
      <c r="AH8" s="424"/>
      <c r="AI8" s="424"/>
      <c r="AJ8" s="424"/>
      <c r="AK8" s="424"/>
    </row>
    <row r="9" spans="2:37" s="57" customFormat="1" ht="21.4" customHeight="1" x14ac:dyDescent="0.35">
      <c r="B9" s="60"/>
      <c r="C9" s="61">
        <v>2021</v>
      </c>
      <c r="D9" s="61">
        <v>2022</v>
      </c>
      <c r="E9" s="61">
        <v>2023</v>
      </c>
      <c r="F9" s="61">
        <v>2024</v>
      </c>
      <c r="G9" s="62" t="s">
        <v>73</v>
      </c>
      <c r="H9" s="63">
        <v>2021</v>
      </c>
      <c r="I9" s="61">
        <v>2022</v>
      </c>
      <c r="J9" s="61">
        <v>2023</v>
      </c>
      <c r="K9" s="61">
        <v>2024</v>
      </c>
      <c r="L9" s="62" t="s">
        <v>73</v>
      </c>
      <c r="M9" s="63">
        <v>2021</v>
      </c>
      <c r="N9" s="61">
        <v>2022</v>
      </c>
      <c r="O9" s="61">
        <v>2023</v>
      </c>
      <c r="P9" s="61">
        <v>2024</v>
      </c>
      <c r="Q9" s="600" t="s">
        <v>73</v>
      </c>
      <c r="R9" s="1007"/>
      <c r="S9" s="434"/>
      <c r="T9" s="424"/>
      <c r="U9" s="736">
        <v>2021</v>
      </c>
      <c r="V9" s="736">
        <v>2022</v>
      </c>
      <c r="W9" s="736">
        <v>2023</v>
      </c>
      <c r="X9" s="736">
        <v>2024</v>
      </c>
      <c r="Y9" s="736">
        <v>2021</v>
      </c>
      <c r="Z9" s="736">
        <v>2022</v>
      </c>
      <c r="AA9" s="736">
        <v>2023</v>
      </c>
      <c r="AB9" s="742">
        <v>2024</v>
      </c>
      <c r="AC9" s="741" t="s">
        <v>44</v>
      </c>
      <c r="AD9" s="737">
        <v>4182</v>
      </c>
      <c r="AE9" s="737">
        <v>4306</v>
      </c>
      <c r="AF9" s="747">
        <v>4142</v>
      </c>
      <c r="AG9" s="737">
        <v>4324</v>
      </c>
      <c r="AH9" s="424"/>
      <c r="AI9" s="424"/>
      <c r="AJ9" s="424"/>
      <c r="AK9" s="424"/>
    </row>
    <row r="10" spans="2:37" s="57" customFormat="1" ht="21.4" customHeight="1" x14ac:dyDescent="0.35">
      <c r="B10" s="134" t="s">
        <v>44</v>
      </c>
      <c r="C10" s="159">
        <f t="shared" ref="C10:D13" si="0">U10/AD9</f>
        <v>4.5141080822572928</v>
      </c>
      <c r="D10" s="159">
        <f t="shared" si="0"/>
        <v>4.2305596841616353</v>
      </c>
      <c r="E10" s="468">
        <f>$W10/$AF9</f>
        <v>4.5889690970545622</v>
      </c>
      <c r="F10" s="159">
        <f>$X10/$AG9</f>
        <v>4.7915587419056429</v>
      </c>
      <c r="G10" s="469">
        <f>(F10-E10)/E10</f>
        <v>4.4147092858200586E-2</v>
      </c>
      <c r="H10" s="470">
        <f t="shared" ref="H10:I13" si="1">Y10/AD9</f>
        <v>13.281767097082735</v>
      </c>
      <c r="I10" s="159">
        <f t="shared" si="1"/>
        <v>12.677426846261032</v>
      </c>
      <c r="J10" s="476">
        <f>$AA10/$AF9</f>
        <v>13.00683486238532</v>
      </c>
      <c r="K10" s="476">
        <f>$AB10/$AG9</f>
        <v>12.591604995374652</v>
      </c>
      <c r="L10" s="469">
        <f>(K10-J10)/J10</f>
        <v>-3.1923974695141077E-2</v>
      </c>
      <c r="M10" s="471">
        <f t="shared" ref="M10:P13" si="2">(U10+Y10)/AD9</f>
        <v>17.79587517934003</v>
      </c>
      <c r="N10" s="472">
        <f t="shared" si="2"/>
        <v>16.907986530422669</v>
      </c>
      <c r="O10" s="472">
        <f t="shared" si="2"/>
        <v>17.595803959439881</v>
      </c>
      <c r="P10" s="472">
        <f t="shared" si="2"/>
        <v>17.383163737280295</v>
      </c>
      <c r="Q10" s="2">
        <f>(P10-O10)/O10</f>
        <v>-1.2084711937558676E-2</v>
      </c>
      <c r="R10" s="1008" t="s">
        <v>103</v>
      </c>
      <c r="S10" s="434"/>
      <c r="T10" s="744" t="s">
        <v>44</v>
      </c>
      <c r="U10" s="743">
        <v>18878</v>
      </c>
      <c r="V10" s="743">
        <v>18216.79</v>
      </c>
      <c r="W10" s="743">
        <v>19007.509999999998</v>
      </c>
      <c r="X10" s="743">
        <f>'פליטות גזי חממה'!J9</f>
        <v>20718.7</v>
      </c>
      <c r="Y10" s="743">
        <v>55544.35</v>
      </c>
      <c r="Z10" s="743">
        <v>54589</v>
      </c>
      <c r="AA10" s="743">
        <v>53874.31</v>
      </c>
      <c r="AB10" s="743">
        <f>'פליטות גזי חממה'!J10</f>
        <v>54446.1</v>
      </c>
      <c r="AC10" s="741" t="s">
        <v>46</v>
      </c>
      <c r="AD10" s="737">
        <v>1270</v>
      </c>
      <c r="AE10" s="737">
        <v>1277</v>
      </c>
      <c r="AF10" s="737">
        <v>1309</v>
      </c>
      <c r="AG10" s="737">
        <v>1265</v>
      </c>
      <c r="AH10" s="424"/>
      <c r="AI10" s="424"/>
      <c r="AJ10" s="424"/>
      <c r="AK10" s="424"/>
    </row>
    <row r="11" spans="2:37" s="57" customFormat="1" ht="21.4" customHeight="1" x14ac:dyDescent="0.35">
      <c r="B11" s="135" t="s">
        <v>46</v>
      </c>
      <c r="C11" s="160">
        <f t="shared" si="0"/>
        <v>1.5149606299212599</v>
      </c>
      <c r="D11" s="160">
        <f t="shared" si="0"/>
        <v>1.2967893500391543</v>
      </c>
      <c r="E11" s="476">
        <f>$W11/$AF10</f>
        <v>1.1919633307868602</v>
      </c>
      <c r="F11" s="159">
        <f>$X11/$AG10</f>
        <v>1.2361106719367589</v>
      </c>
      <c r="G11" s="469">
        <f>(F11-E11)/E11</f>
        <v>3.7037499400887922E-2</v>
      </c>
      <c r="H11" s="477">
        <f t="shared" si="1"/>
        <v>3.3748031496062993</v>
      </c>
      <c r="I11" s="160">
        <f t="shared" si="1"/>
        <v>3.0775254502740799</v>
      </c>
      <c r="J11" s="476">
        <f>$AA11/$AF10</f>
        <v>2.8071352177234532</v>
      </c>
      <c r="K11" s="476">
        <f>$AB11/$AG10</f>
        <v>3.2200869565217389</v>
      </c>
      <c r="L11" s="469">
        <f t="shared" ref="L11:L13" si="3">(K11-J11)/J11</f>
        <v>0.14710788999084401</v>
      </c>
      <c r="M11" s="478">
        <f t="shared" si="2"/>
        <v>4.8897637795275593</v>
      </c>
      <c r="N11" s="479">
        <f t="shared" si="2"/>
        <v>4.3743148003132344</v>
      </c>
      <c r="O11" s="472">
        <f t="shared" si="2"/>
        <v>3.9990985485103132</v>
      </c>
      <c r="P11" s="472">
        <f t="shared" si="2"/>
        <v>4.4561976284584981</v>
      </c>
      <c r="Q11" s="2">
        <f t="shared" ref="Q11:Q13" si="4">(P11-O11)/O11</f>
        <v>0.11430052908259959</v>
      </c>
      <c r="R11" s="1009"/>
      <c r="S11" s="434"/>
      <c r="T11" s="744" t="s">
        <v>46</v>
      </c>
      <c r="U11" s="743">
        <v>1924</v>
      </c>
      <c r="V11" s="743">
        <v>1656</v>
      </c>
      <c r="W11" s="743">
        <v>1560.28</v>
      </c>
      <c r="X11" s="743">
        <f>'פליטות גזי חממה'!F21</f>
        <v>1563.68</v>
      </c>
      <c r="Y11" s="743">
        <v>4286</v>
      </c>
      <c r="Z11" s="743">
        <v>3930</v>
      </c>
      <c r="AA11" s="743">
        <v>3674.54</v>
      </c>
      <c r="AB11" s="743">
        <f>'פליטות גזי חממה'!F22</f>
        <v>4073.41</v>
      </c>
      <c r="AC11" s="746" t="s">
        <v>47</v>
      </c>
      <c r="AD11" s="737">
        <v>2289</v>
      </c>
      <c r="AE11" s="747">
        <v>1972</v>
      </c>
      <c r="AF11" s="747">
        <v>1977</v>
      </c>
      <c r="AG11" s="737">
        <v>2021</v>
      </c>
      <c r="AH11" s="424"/>
      <c r="AI11" s="424"/>
      <c r="AJ11" s="424"/>
      <c r="AK11" s="424"/>
    </row>
    <row r="12" spans="2:37" s="57" customFormat="1" ht="21.4" customHeight="1" x14ac:dyDescent="0.35">
      <c r="B12" s="135" t="s">
        <v>47</v>
      </c>
      <c r="C12" s="872">
        <f t="shared" si="0"/>
        <v>1.2463958060288336</v>
      </c>
      <c r="D12" s="872">
        <f t="shared" si="0"/>
        <v>1.396551724137931</v>
      </c>
      <c r="E12" s="873">
        <f>$W12/$AF11</f>
        <v>1.2568437025796662</v>
      </c>
      <c r="F12" s="874">
        <f>$X12/$AG11</f>
        <v>1.2125977238990597</v>
      </c>
      <c r="G12" s="469">
        <f>(F12-E12)/E12</f>
        <v>-3.5204042149228058E-2</v>
      </c>
      <c r="H12" s="477">
        <f t="shared" si="1"/>
        <v>12.460463084316295</v>
      </c>
      <c r="I12" s="160">
        <f t="shared" si="1"/>
        <v>12.308316430020284</v>
      </c>
      <c r="J12" s="476">
        <f>$AA12/$AF11</f>
        <v>14.422539200809307</v>
      </c>
      <c r="K12" s="476">
        <f>$AB12/$AG11</f>
        <v>13.453146956952004</v>
      </c>
      <c r="L12" s="469">
        <f t="shared" si="3"/>
        <v>-6.7213701440513793E-2</v>
      </c>
      <c r="M12" s="478">
        <f t="shared" si="2"/>
        <v>13.70685889034513</v>
      </c>
      <c r="N12" s="479">
        <f t="shared" si="2"/>
        <v>13.704868154158214</v>
      </c>
      <c r="O12" s="472">
        <f t="shared" si="2"/>
        <v>15.679382903388973</v>
      </c>
      <c r="P12" s="472">
        <f t="shared" si="2"/>
        <v>14.665744680851065</v>
      </c>
      <c r="Q12" s="2">
        <f t="shared" si="4"/>
        <v>-6.4647839062519391E-2</v>
      </c>
      <c r="R12" s="1009"/>
      <c r="S12" s="434"/>
      <c r="T12" s="744" t="s">
        <v>47</v>
      </c>
      <c r="U12" s="743">
        <v>2853</v>
      </c>
      <c r="V12" s="743">
        <v>2754</v>
      </c>
      <c r="W12" s="743">
        <v>2484.7800000000002</v>
      </c>
      <c r="X12" s="743">
        <f>'פליטות גזי חממה'!F27</f>
        <v>2450.66</v>
      </c>
      <c r="Y12" s="743">
        <v>28522</v>
      </c>
      <c r="Z12" s="743">
        <v>24272</v>
      </c>
      <c r="AA12" s="743">
        <v>28513.360000000001</v>
      </c>
      <c r="AB12" s="743">
        <f>'פליטות גזי חממה'!F28</f>
        <v>27188.81</v>
      </c>
      <c r="AC12" s="741" t="s">
        <v>52</v>
      </c>
      <c r="AD12" s="737">
        <v>1237</v>
      </c>
      <c r="AE12" s="737">
        <v>1239</v>
      </c>
      <c r="AF12" s="747">
        <v>1212</v>
      </c>
      <c r="AG12" s="737">
        <v>1105</v>
      </c>
      <c r="AH12" s="424"/>
      <c r="AI12" s="424"/>
      <c r="AJ12" s="424"/>
      <c r="AK12" s="424"/>
    </row>
    <row r="13" spans="2:37" s="57" customFormat="1" ht="21.4" customHeight="1" x14ac:dyDescent="0.35">
      <c r="B13" s="136" t="s">
        <v>52</v>
      </c>
      <c r="C13" s="161">
        <f t="shared" si="0"/>
        <v>1.3864187550525464</v>
      </c>
      <c r="D13" s="161">
        <f t="shared" si="0"/>
        <v>1.2615012106537531</v>
      </c>
      <c r="E13" s="476">
        <f>$W13/$AF12</f>
        <v>1.4388036303630363</v>
      </c>
      <c r="F13" s="159">
        <f>$X13/$AG12</f>
        <v>1.5835294117647059</v>
      </c>
      <c r="G13" s="469">
        <f>(F13-E13)/E13</f>
        <v>0.10058758425925896</v>
      </c>
      <c r="H13" s="480">
        <f t="shared" si="1"/>
        <v>16.511721907841551</v>
      </c>
      <c r="I13" s="161">
        <f t="shared" si="1"/>
        <v>16.62953995157385</v>
      </c>
      <c r="J13" s="481">
        <f>$AA13/$AF12</f>
        <v>19.39026402640264</v>
      </c>
      <c r="K13" s="481">
        <f>$AB13/$AG12</f>
        <v>21.870588235294118</v>
      </c>
      <c r="L13" s="469">
        <f t="shared" si="3"/>
        <v>0.12791595851991283</v>
      </c>
      <c r="M13" s="426">
        <f t="shared" si="2"/>
        <v>17.8981406628941</v>
      </c>
      <c r="N13" s="427">
        <f t="shared" si="2"/>
        <v>17.891041162227602</v>
      </c>
      <c r="O13" s="472">
        <f t="shared" si="2"/>
        <v>20.829067656765677</v>
      </c>
      <c r="P13" s="472">
        <f t="shared" si="2"/>
        <v>23.454117647058823</v>
      </c>
      <c r="Q13" s="2">
        <f t="shared" si="4"/>
        <v>0.12602820412081575</v>
      </c>
      <c r="R13" s="1009"/>
      <c r="S13" s="434"/>
      <c r="T13" s="744" t="s">
        <v>104</v>
      </c>
      <c r="U13" s="743">
        <v>1715</v>
      </c>
      <c r="V13" s="743">
        <v>1563</v>
      </c>
      <c r="W13" s="743">
        <v>1743.83</v>
      </c>
      <c r="X13" s="743">
        <f>'פליטות גזי חממה'!F33</f>
        <v>1749.8</v>
      </c>
      <c r="Y13" s="743">
        <v>20425</v>
      </c>
      <c r="Z13" s="743">
        <v>20604</v>
      </c>
      <c r="AA13" s="743">
        <v>23501</v>
      </c>
      <c r="AB13" s="752">
        <f>'פליטות גזי חממה'!F34</f>
        <v>24167</v>
      </c>
      <c r="AC13" s="740" t="s">
        <v>105</v>
      </c>
      <c r="AD13" s="737">
        <f>SUM(AD9:AD12)</f>
        <v>8978</v>
      </c>
      <c r="AE13" s="737">
        <f>SUM(AE9:AE12)</f>
        <v>8794</v>
      </c>
      <c r="AF13" s="737">
        <f>SUM(AF9:AF12)</f>
        <v>8640</v>
      </c>
      <c r="AG13" s="737">
        <f>SUM(AG9:AG12)</f>
        <v>8715</v>
      </c>
      <c r="AH13" s="424"/>
      <c r="AI13" s="424"/>
      <c r="AJ13" s="424"/>
      <c r="AK13" s="424"/>
    </row>
    <row r="14" spans="2:37" s="57" customFormat="1" ht="21.4" customHeight="1" x14ac:dyDescent="0.35">
      <c r="B14" s="136" t="s">
        <v>78</v>
      </c>
      <c r="C14" s="136"/>
      <c r="D14" s="136"/>
      <c r="E14" s="136"/>
      <c r="F14" s="136"/>
      <c r="G14" s="136"/>
      <c r="H14" s="758"/>
      <c r="I14" s="759"/>
      <c r="J14" s="759"/>
      <c r="L14" s="761"/>
      <c r="M14" s="760">
        <f>(U14+Y14)/(AD$9+AD$10+AD$11+AD$12)</f>
        <v>14.941785475607039</v>
      </c>
      <c r="N14" s="760">
        <f>(V14+Z14)/($AE$9+$AE$10+$AE$11+$AE$12)</f>
        <v>14.508163520582215</v>
      </c>
      <c r="O14" s="760">
        <f>(W14+AA14)/($AF$9+$AF$10+$AF$11+$AF$12)</f>
        <v>15.550972222222221</v>
      </c>
      <c r="P14" s="760">
        <f>(X14+AB14)/($AG$9+$AG$10+$AG$11+$AG$12)</f>
        <v>15.6463752151463</v>
      </c>
      <c r="Q14" s="760">
        <f>(P14-O14)/O14</f>
        <v>6.1348571369543563E-3</v>
      </c>
      <c r="R14" s="1009"/>
      <c r="S14" s="434"/>
      <c r="T14" s="744" t="s">
        <v>105</v>
      </c>
      <c r="U14" s="743">
        <f>SUM(U10:U13)</f>
        <v>25370</v>
      </c>
      <c r="V14" s="743">
        <f t="shared" ref="V14:Z14" si="5">SUM(V10:V13)</f>
        <v>24189.79</v>
      </c>
      <c r="W14" s="743">
        <f>SUM(W10:W13)</f>
        <v>24796.399999999994</v>
      </c>
      <c r="X14" s="743">
        <f>SUM(X10:X13)</f>
        <v>26482.84</v>
      </c>
      <c r="Y14" s="743">
        <f t="shared" si="5"/>
        <v>108777.35</v>
      </c>
      <c r="Z14" s="743">
        <f t="shared" si="5"/>
        <v>103395</v>
      </c>
      <c r="AA14" s="743">
        <v>109564</v>
      </c>
      <c r="AB14" s="743">
        <f>SUM(AB10:AB13)</f>
        <v>109875.31999999999</v>
      </c>
      <c r="AC14" s="424"/>
      <c r="AD14" s="424"/>
      <c r="AE14" s="548"/>
      <c r="AF14" s="424"/>
      <c r="AG14" s="424"/>
      <c r="AH14" s="424"/>
      <c r="AI14" s="424"/>
      <c r="AJ14" s="424"/>
      <c r="AK14" s="424"/>
    </row>
    <row r="15" spans="2:37" s="57" customFormat="1" ht="25.15" customHeight="1" x14ac:dyDescent="0.35">
      <c r="B15" s="64" t="s">
        <v>106</v>
      </c>
      <c r="C15" s="64"/>
      <c r="D15" s="64"/>
      <c r="E15" s="64"/>
      <c r="F15" s="64"/>
      <c r="G15" s="64"/>
      <c r="U15" s="424"/>
      <c r="V15" s="424"/>
      <c r="W15" s="424"/>
      <c r="X15" s="424"/>
      <c r="Y15" s="424"/>
      <c r="Z15" s="424"/>
      <c r="AA15" s="424"/>
      <c r="AB15" s="424"/>
      <c r="AC15" s="424"/>
      <c r="AD15" s="424"/>
      <c r="AE15" s="424"/>
      <c r="AF15" s="424"/>
      <c r="AG15" s="424"/>
      <c r="AH15" s="424"/>
      <c r="AI15" s="424"/>
      <c r="AJ15" s="424"/>
      <c r="AK15" s="424"/>
    </row>
    <row r="16" spans="2:37" s="57" customFormat="1" ht="27" customHeight="1" x14ac:dyDescent="0.35">
      <c r="B16" s="55"/>
      <c r="C16" s="55">
        <v>2021</v>
      </c>
      <c r="D16" s="55">
        <v>2022</v>
      </c>
      <c r="E16" s="55">
        <v>2023</v>
      </c>
      <c r="F16" s="55">
        <v>2024</v>
      </c>
      <c r="G16" s="55" t="s">
        <v>73</v>
      </c>
      <c r="H16" s="731" t="s">
        <v>102</v>
      </c>
      <c r="U16" s="424"/>
      <c r="V16" s="424"/>
      <c r="W16" s="424"/>
      <c r="X16" s="424"/>
      <c r="Y16" s="424"/>
      <c r="Z16" s="424"/>
      <c r="AA16" s="424"/>
      <c r="AB16" s="424"/>
      <c r="AC16" s="424"/>
      <c r="AD16" s="424"/>
      <c r="AE16" s="424"/>
      <c r="AF16" s="424"/>
      <c r="AG16" s="424"/>
      <c r="AH16" s="424"/>
      <c r="AI16" s="424"/>
      <c r="AJ16" s="424"/>
      <c r="AK16" s="424"/>
    </row>
    <row r="17" spans="2:37" s="57" customFormat="1" ht="21.4" customHeight="1" x14ac:dyDescent="0.35">
      <c r="B17" s="134" t="s">
        <v>44</v>
      </c>
      <c r="C17" s="162">
        <f>(V19/AD9)/1000000</f>
        <v>3.495512099473936E-2</v>
      </c>
      <c r="D17" s="162">
        <f>(W19/AE9)/1000000</f>
        <v>3.3989177426846262E-2</v>
      </c>
      <c r="E17" s="162">
        <f>(X19/AF9)/1000000</f>
        <v>3.5753445678416228E-2</v>
      </c>
      <c r="F17" s="162">
        <f>(Y19/AG9)/1000000</f>
        <v>3.4567853145235895E-2</v>
      </c>
      <c r="G17" s="2">
        <f>(F17-E17)/E17</f>
        <v>-3.3160231431793308E-2</v>
      </c>
      <c r="H17" s="1003" t="s">
        <v>107</v>
      </c>
      <c r="U17" s="1004" t="s">
        <v>10</v>
      </c>
      <c r="V17" s="1005"/>
      <c r="W17" s="1005"/>
      <c r="X17" s="1005"/>
      <c r="Y17" s="1006"/>
      <c r="Z17" s="424"/>
      <c r="AA17" s="424"/>
      <c r="AB17" s="424"/>
      <c r="AC17" s="424"/>
      <c r="AD17" s="424"/>
      <c r="AE17" s="424"/>
      <c r="AF17" s="424"/>
      <c r="AG17" s="424"/>
      <c r="AH17" s="424"/>
      <c r="AI17" s="424"/>
      <c r="AJ17" s="424"/>
      <c r="AK17" s="424"/>
    </row>
    <row r="18" spans="2:37" s="57" customFormat="1" ht="21.4" customHeight="1" x14ac:dyDescent="0.35">
      <c r="B18" s="135" t="s">
        <v>46</v>
      </c>
      <c r="C18" s="163">
        <f t="shared" ref="C18:E21" si="6">(V20/AD10)/1000000</f>
        <v>7.1771629921259846E-3</v>
      </c>
      <c r="D18" s="163">
        <f t="shared" si="6"/>
        <v>6.5447337509788569E-3</v>
      </c>
      <c r="E18" s="163">
        <f t="shared" si="6"/>
        <v>5.9709190221543156E-3</v>
      </c>
      <c r="F18" s="162">
        <f t="shared" ref="F18:F20" si="7">(Y20/AG10)/1000000</f>
        <v>7.3528418972332024E-3</v>
      </c>
      <c r="G18" s="2">
        <f t="shared" ref="G18:G20" si="8">(F18-E18)/E18</f>
        <v>0.23144224029022037</v>
      </c>
      <c r="H18" s="1003"/>
      <c r="T18" s="549"/>
      <c r="U18" s="750">
        <v>2020</v>
      </c>
      <c r="V18" s="750">
        <v>2021</v>
      </c>
      <c r="W18" s="750">
        <v>2022</v>
      </c>
      <c r="X18" s="736">
        <v>2023</v>
      </c>
      <c r="Y18" s="750">
        <v>2024</v>
      </c>
      <c r="Z18" s="424"/>
      <c r="AA18" s="424"/>
      <c r="AB18" s="424"/>
      <c r="AC18" s="424"/>
      <c r="AD18" s="424"/>
      <c r="AE18" s="424"/>
      <c r="AF18" s="424"/>
      <c r="AG18" s="424"/>
      <c r="AH18" s="424"/>
      <c r="AI18" s="424"/>
      <c r="AJ18" s="424"/>
      <c r="AK18" s="424"/>
    </row>
    <row r="19" spans="2:37" s="57" customFormat="1" ht="21.4" customHeight="1" x14ac:dyDescent="0.35">
      <c r="B19" s="135" t="s">
        <v>47</v>
      </c>
      <c r="C19" s="163">
        <f t="shared" si="6"/>
        <v>2.6526807339449541E-2</v>
      </c>
      <c r="D19" s="163">
        <f t="shared" si="6"/>
        <v>2.6175555273833671E-2</v>
      </c>
      <c r="E19" s="163">
        <f t="shared" si="6"/>
        <v>3.0677503287809813E-2</v>
      </c>
      <c r="F19" s="162">
        <f t="shared" si="7"/>
        <v>3.0719300346363186E-2</v>
      </c>
      <c r="G19" s="2">
        <f t="shared" si="8"/>
        <v>1.3624661094888495E-3</v>
      </c>
      <c r="H19" s="1003"/>
      <c r="T19" s="749" t="s">
        <v>44</v>
      </c>
      <c r="U19" s="743">
        <v>147995000</v>
      </c>
      <c r="V19" s="743">
        <v>146182316</v>
      </c>
      <c r="W19" s="743">
        <v>146357398</v>
      </c>
      <c r="X19" s="743">
        <v>148090772</v>
      </c>
      <c r="Y19" s="743">
        <f>'צריכת אנרגיה'!G9</f>
        <v>149471397</v>
      </c>
      <c r="Z19" s="424"/>
      <c r="AA19" s="424"/>
      <c r="AB19" s="424"/>
      <c r="AI19" s="424"/>
      <c r="AJ19" s="424"/>
      <c r="AK19" s="424"/>
    </row>
    <row r="20" spans="2:37" s="57" customFormat="1" ht="21.4" customHeight="1" x14ac:dyDescent="0.35">
      <c r="B20" s="135" t="s">
        <v>52</v>
      </c>
      <c r="C20" s="163">
        <f t="shared" si="6"/>
        <v>4.2406569118835891E-2</v>
      </c>
      <c r="D20" s="163">
        <f t="shared" si="6"/>
        <v>4.2228351089588383E-2</v>
      </c>
      <c r="E20" s="163">
        <f t="shared" si="6"/>
        <v>4.6764839253300328E-2</v>
      </c>
      <c r="F20" s="162">
        <f t="shared" si="7"/>
        <v>5.6035528506787335E-2</v>
      </c>
      <c r="G20" s="2">
        <f t="shared" si="8"/>
        <v>0.19824058847444342</v>
      </c>
      <c r="H20" s="1003"/>
      <c r="T20" s="749" t="s">
        <v>108</v>
      </c>
      <c r="U20" s="743">
        <v>9053880</v>
      </c>
      <c r="V20" s="743">
        <v>9114997</v>
      </c>
      <c r="W20" s="743">
        <v>8357625</v>
      </c>
      <c r="X20" s="743">
        <v>7815933</v>
      </c>
      <c r="Y20" s="743">
        <f>'צריכת אנרגיה'!G10</f>
        <v>9301345</v>
      </c>
      <c r="Z20" s="424"/>
      <c r="AA20" s="424"/>
      <c r="AB20" s="424"/>
      <c r="AI20" s="424"/>
      <c r="AJ20" s="424"/>
      <c r="AK20" s="424"/>
    </row>
    <row r="21" spans="2:37" s="57" customFormat="1" ht="21.4" customHeight="1" x14ac:dyDescent="0.35">
      <c r="B21" s="135" t="s">
        <v>78</v>
      </c>
      <c r="C21" s="745">
        <f t="shared" si="6"/>
        <v>2.9903553241256407E-2</v>
      </c>
      <c r="D21" s="745">
        <f t="shared" si="6"/>
        <v>3.0529235956333865E-2</v>
      </c>
      <c r="E21" s="745">
        <f t="shared" si="6"/>
        <v>3.1624434510995371E-2</v>
      </c>
      <c r="F21" s="751">
        <f>(Y23/AG13)/1000000</f>
        <v>3.2447011703958688E-2</v>
      </c>
      <c r="G21" s="436">
        <f>(F21-E21)/E21</f>
        <v>2.6010811123826368E-2</v>
      </c>
      <c r="H21" s="1003"/>
      <c r="T21" s="749" t="s">
        <v>47</v>
      </c>
      <c r="U21" s="743">
        <v>65379951</v>
      </c>
      <c r="V21" s="743">
        <v>60719862</v>
      </c>
      <c r="W21" s="743">
        <v>51618195</v>
      </c>
      <c r="X21" s="743">
        <v>60649424</v>
      </c>
      <c r="Y21" s="743">
        <f>'צריכת אנרגיה'!G11</f>
        <v>62083706</v>
      </c>
      <c r="Z21" s="424"/>
      <c r="AA21" s="424"/>
      <c r="AB21" s="424"/>
      <c r="AI21" s="424"/>
      <c r="AJ21" s="424"/>
      <c r="AK21" s="424"/>
    </row>
    <row r="22" spans="2:37" ht="27.65" customHeight="1" x14ac:dyDescent="0.35">
      <c r="T22" s="749" t="s">
        <v>109</v>
      </c>
      <c r="U22" s="743">
        <v>53134581</v>
      </c>
      <c r="V22" s="743">
        <v>52456926</v>
      </c>
      <c r="W22" s="743">
        <v>52320927</v>
      </c>
      <c r="X22" s="743">
        <v>56678985.174999997</v>
      </c>
      <c r="Y22" s="752">
        <f>'צריכת אנרגיה'!G12</f>
        <v>61919259</v>
      </c>
      <c r="Z22" s="423"/>
      <c r="AA22" s="423"/>
      <c r="AB22" s="423"/>
      <c r="AI22" s="423"/>
      <c r="AJ22" s="423"/>
      <c r="AK22" s="423"/>
    </row>
    <row r="23" spans="2:37" ht="25" x14ac:dyDescent="0.35">
      <c r="T23" s="749" t="s">
        <v>110</v>
      </c>
      <c r="U23" s="743">
        <v>275563412</v>
      </c>
      <c r="V23" s="743">
        <v>268474101</v>
      </c>
      <c r="W23" s="743">
        <f>SUM(V19:V22)</f>
        <v>268474101</v>
      </c>
      <c r="X23" s="743">
        <f>SUM(X19:X22)</f>
        <v>273235114.17500001</v>
      </c>
      <c r="Y23" s="743">
        <f>'צריכת אנרגיה'!G13</f>
        <v>282775707</v>
      </c>
      <c r="Z23" s="423"/>
      <c r="AA23" s="423"/>
      <c r="AB23" s="423"/>
      <c r="AI23" s="423"/>
      <c r="AJ23" s="423"/>
      <c r="AK23" s="423"/>
    </row>
    <row r="24" spans="2:37" x14ac:dyDescent="0.35">
      <c r="T24" s="423"/>
      <c r="U24" s="423"/>
      <c r="V24" s="423"/>
      <c r="W24" s="423"/>
      <c r="X24" s="423"/>
      <c r="Y24" s="423"/>
      <c r="Z24" s="423"/>
      <c r="AA24" s="423"/>
      <c r="AB24" s="423"/>
      <c r="AI24" s="423"/>
      <c r="AJ24" s="423"/>
      <c r="AK24" s="423"/>
    </row>
    <row r="25" spans="2:37" x14ac:dyDescent="0.35">
      <c r="U25" s="423"/>
      <c r="V25" s="423"/>
      <c r="W25" s="423"/>
      <c r="X25" s="423"/>
      <c r="Y25" s="423"/>
      <c r="Z25" s="423"/>
      <c r="AA25" s="423"/>
      <c r="AB25" s="423"/>
      <c r="AI25" s="423"/>
      <c r="AJ25" s="423"/>
      <c r="AK25" s="423"/>
    </row>
    <row r="26" spans="2:37" x14ac:dyDescent="0.35">
      <c r="U26" s="423"/>
      <c r="V26" s="423"/>
      <c r="W26" s="423"/>
      <c r="X26" s="423"/>
      <c r="Y26" s="423"/>
      <c r="Z26" s="423"/>
      <c r="AA26" s="423"/>
      <c r="AB26" s="423"/>
      <c r="AC26" s="423"/>
      <c r="AD26" s="423"/>
      <c r="AE26" s="423"/>
      <c r="AF26" s="423"/>
      <c r="AG26" s="423"/>
      <c r="AH26" s="423"/>
      <c r="AI26" s="423"/>
      <c r="AJ26" s="423"/>
      <c r="AK26" s="423"/>
    </row>
    <row r="27" spans="2:37" x14ac:dyDescent="0.35">
      <c r="U27" s="423"/>
      <c r="V27" s="423"/>
      <c r="W27" s="423"/>
      <c r="X27" s="423"/>
      <c r="Y27" s="423"/>
      <c r="Z27" s="423"/>
      <c r="AA27" s="423"/>
      <c r="AB27" s="423"/>
      <c r="AC27" s="423"/>
      <c r="AD27" s="423"/>
      <c r="AE27" s="423"/>
      <c r="AF27" s="423"/>
      <c r="AG27" s="423"/>
      <c r="AH27" s="423"/>
      <c r="AI27" s="423"/>
      <c r="AJ27" s="423"/>
      <c r="AK27" s="423"/>
    </row>
  </sheetData>
  <mergeCells count="12">
    <mergeCell ref="H17:H21"/>
    <mergeCell ref="U17:Y17"/>
    <mergeCell ref="R8:R9"/>
    <mergeCell ref="R10:R14"/>
    <mergeCell ref="U7:AB7"/>
    <mergeCell ref="U8:X8"/>
    <mergeCell ref="Y8:AB8"/>
    <mergeCell ref="B7:J7"/>
    <mergeCell ref="M7:O7"/>
    <mergeCell ref="C8:G8"/>
    <mergeCell ref="H8:L8"/>
    <mergeCell ref="M8:O8"/>
  </mergeCells>
  <pageMargins left="0.7" right="0.7" top="0.75" bottom="0.75" header="0.3" footer="0.3"/>
  <pageSetup paperSize="9" orientation="portrait" r:id="rId1"/>
  <headerFooter scaleWithDoc="0"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T92"/>
  <sheetViews>
    <sheetView showGridLines="0" rightToLeft="1" topLeftCell="A69" workbookViewId="0">
      <selection activeCell="G36" sqref="G36"/>
    </sheetView>
  </sheetViews>
  <sheetFormatPr defaultColWidth="9.26953125" defaultRowHeight="14.5" x14ac:dyDescent="0.35"/>
  <cols>
    <col min="1" max="1" width="3.7265625" style="15" customWidth="1"/>
    <col min="2" max="10" width="14.7265625" style="15" customWidth="1"/>
    <col min="11" max="11" width="11.54296875" style="15" customWidth="1"/>
    <col min="12" max="12" width="10" style="15" customWidth="1"/>
    <col min="13" max="14" width="10.54296875" style="15" customWidth="1"/>
    <col min="15" max="15" width="10.7265625" style="15" customWidth="1"/>
    <col min="16" max="17" width="10.26953125" style="15" customWidth="1"/>
    <col min="18" max="18" width="11.54296875" style="15" customWidth="1"/>
    <col min="19" max="21" width="9.26953125" style="15" customWidth="1"/>
    <col min="22" max="22" width="15.26953125" style="15" customWidth="1"/>
    <col min="23" max="23" width="10.26953125" style="15" customWidth="1"/>
    <col min="24" max="30" width="9.26953125" style="15" customWidth="1"/>
    <col min="31" max="16384" width="9.26953125" style="15"/>
  </cols>
  <sheetData>
    <row r="1" spans="2:20" customFormat="1" ht="15" customHeight="1" x14ac:dyDescent="0.35"/>
    <row r="2" spans="2:20" customFormat="1" ht="15" customHeight="1" x14ac:dyDescent="0.35"/>
    <row r="3" spans="2:20" customFormat="1" ht="15" customHeight="1" x14ac:dyDescent="0.35"/>
    <row r="4" spans="2:20" customFormat="1" ht="15" customHeight="1" x14ac:dyDescent="0.35">
      <c r="K4" s="15"/>
    </row>
    <row r="5" spans="2:20" customFormat="1" ht="24" customHeight="1" thickBot="1" x14ac:dyDescent="0.4">
      <c r="B5" s="39" t="s">
        <v>10</v>
      </c>
      <c r="C5" s="39"/>
      <c r="D5" s="39"/>
      <c r="E5" s="39"/>
      <c r="F5" s="39"/>
      <c r="G5" s="39"/>
      <c r="H5" s="39"/>
      <c r="I5" s="39"/>
      <c r="J5" s="39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2:20" customFormat="1" ht="15" customHeight="1" thickTop="1" x14ac:dyDescent="0.35">
      <c r="B6" s="41"/>
      <c r="C6" s="41"/>
      <c r="D6" s="41"/>
      <c r="E6" s="41"/>
      <c r="F6" s="41"/>
      <c r="G6" s="41"/>
      <c r="H6" s="482"/>
      <c r="I6" s="41"/>
      <c r="K6" s="15"/>
      <c r="L6" s="15"/>
      <c r="M6" s="15"/>
      <c r="N6" s="15"/>
      <c r="O6" s="15"/>
      <c r="P6" s="15"/>
      <c r="Q6" s="15"/>
      <c r="R6" s="15"/>
    </row>
    <row r="7" spans="2:20" ht="25.15" customHeight="1" x14ac:dyDescent="0.35">
      <c r="B7" s="989" t="s">
        <v>111</v>
      </c>
      <c r="C7" s="989"/>
      <c r="D7" s="989"/>
      <c r="E7" s="989"/>
      <c r="F7" s="989"/>
    </row>
    <row r="8" spans="2:20" ht="31.9" customHeight="1" x14ac:dyDescent="0.35">
      <c r="B8" s="164"/>
      <c r="C8" s="52" t="s">
        <v>112</v>
      </c>
      <c r="D8" s="52" t="s">
        <v>113</v>
      </c>
      <c r="E8" s="52" t="s">
        <v>114</v>
      </c>
      <c r="F8" s="52" t="s">
        <v>115</v>
      </c>
      <c r="G8" s="52" t="s">
        <v>116</v>
      </c>
      <c r="H8" s="52" t="s">
        <v>117</v>
      </c>
      <c r="I8" s="52" t="s">
        <v>118</v>
      </c>
      <c r="J8" s="43" t="s">
        <v>41</v>
      </c>
      <c r="K8"/>
    </row>
    <row r="9" spans="2:20" ht="21.4" customHeight="1" x14ac:dyDescent="0.35">
      <c r="B9" s="13" t="s">
        <v>44</v>
      </c>
      <c r="C9" s="166">
        <v>147995000</v>
      </c>
      <c r="D9" s="166">
        <v>146182316</v>
      </c>
      <c r="E9" s="166">
        <v>146357398</v>
      </c>
      <c r="F9" s="166">
        <v>148090772.18799999</v>
      </c>
      <c r="G9" s="856">
        <v>149471397</v>
      </c>
      <c r="H9" s="855">
        <f>(F9-E9)/E9</f>
        <v>1.1843434029894366E-2</v>
      </c>
      <c r="I9" s="637">
        <f t="shared" ref="I9:I10" si="0">(G9-F9)/F9</f>
        <v>9.3228280979405984E-3</v>
      </c>
      <c r="J9" s="1024" t="s">
        <v>119</v>
      </c>
      <c r="K9" s="24"/>
    </row>
    <row r="10" spans="2:20" ht="21.4" customHeight="1" x14ac:dyDescent="0.35">
      <c r="B10" s="12" t="s">
        <v>46</v>
      </c>
      <c r="C10" s="166">
        <v>9053880</v>
      </c>
      <c r="D10" s="45">
        <v>9114997</v>
      </c>
      <c r="E10" s="45">
        <v>8357625</v>
      </c>
      <c r="F10" s="166">
        <v>7815933</v>
      </c>
      <c r="G10" s="856">
        <v>9301345</v>
      </c>
      <c r="H10" s="855">
        <f>(F10-E10)/E10</f>
        <v>-6.4814106878449324E-2</v>
      </c>
      <c r="I10" s="637">
        <f t="shared" si="0"/>
        <v>0.19004922380987657</v>
      </c>
      <c r="J10" s="1024"/>
      <c r="K10" s="24"/>
    </row>
    <row r="11" spans="2:20" ht="21.4" customHeight="1" x14ac:dyDescent="0.35">
      <c r="B11" s="12" t="s">
        <v>47</v>
      </c>
      <c r="C11" s="45">
        <v>65379951</v>
      </c>
      <c r="D11" s="45">
        <v>60719862</v>
      </c>
      <c r="E11" s="45">
        <v>51618195</v>
      </c>
      <c r="F11" s="854">
        <v>60649424</v>
      </c>
      <c r="G11" s="857">
        <v>62083706</v>
      </c>
      <c r="H11" s="855">
        <f>(F11-E11)/E11</f>
        <v>0.17496212333654829</v>
      </c>
      <c r="I11" s="637">
        <f>(G11-F11)/F11</f>
        <v>2.3648732426543737E-2</v>
      </c>
      <c r="J11" s="1024"/>
      <c r="K11" s="24"/>
      <c r="M11" s="769"/>
    </row>
    <row r="12" spans="2:20" ht="21.4" customHeight="1" x14ac:dyDescent="0.35">
      <c r="B12" s="167" t="s">
        <v>109</v>
      </c>
      <c r="C12" s="168">
        <v>53134581</v>
      </c>
      <c r="D12" s="168">
        <v>52456926</v>
      </c>
      <c r="E12" s="168">
        <v>52320927</v>
      </c>
      <c r="F12" s="166">
        <v>56878985.174999997</v>
      </c>
      <c r="G12" s="858">
        <v>61919259</v>
      </c>
      <c r="H12" s="855">
        <f>(F12-E12)/E12</f>
        <v>8.7117305375724652E-2</v>
      </c>
      <c r="I12" s="637">
        <f t="shared" ref="I12:I13" si="1">(G12-F12)/F12</f>
        <v>8.8613990026238251E-2</v>
      </c>
      <c r="J12" s="1024"/>
      <c r="K12" s="24"/>
    </row>
    <row r="13" spans="2:20" ht="21.4" customHeight="1" x14ac:dyDescent="0.35">
      <c r="B13" s="169" t="s">
        <v>110</v>
      </c>
      <c r="C13" s="170">
        <v>275563412</v>
      </c>
      <c r="D13" s="170">
        <v>268474101</v>
      </c>
      <c r="E13" s="47">
        <f>SUM(E9:E12)</f>
        <v>258654145</v>
      </c>
      <c r="F13" s="47">
        <f>SUM(F9:F12)</f>
        <v>273435114.36299998</v>
      </c>
      <c r="G13" s="859">
        <f>SUM(G9:G12)</f>
        <v>282775707</v>
      </c>
      <c r="H13" s="855">
        <f>(F13-E13)/E13</f>
        <v>5.7145689132489935E-2</v>
      </c>
      <c r="I13" s="637">
        <f t="shared" si="1"/>
        <v>3.4160179678312565E-2</v>
      </c>
      <c r="J13" s="1024"/>
      <c r="K13" s="24"/>
      <c r="L13" s="68"/>
      <c r="M13" s="18"/>
      <c r="N13" s="18"/>
      <c r="O13" s="18"/>
      <c r="P13" s="18"/>
      <c r="Q13" s="18"/>
      <c r="R13" s="18"/>
    </row>
    <row r="14" spans="2:20" ht="21.4" customHeight="1" x14ac:dyDescent="0.35">
      <c r="B14" s="69"/>
      <c r="C14" s="66"/>
      <c r="D14" s="66"/>
      <c r="E14" s="16"/>
      <c r="F14" s="18"/>
      <c r="G14" s="860"/>
      <c r="J14" s="67"/>
      <c r="K14" s="24"/>
      <c r="L14" s="68"/>
      <c r="M14" s="18"/>
      <c r="N14" s="18"/>
      <c r="O14" s="18"/>
      <c r="P14" s="18"/>
      <c r="Q14" s="18"/>
      <c r="R14" s="18"/>
    </row>
    <row r="15" spans="2:20" ht="25.15" customHeight="1" x14ac:dyDescent="0.35">
      <c r="B15" s="989" t="s">
        <v>120</v>
      </c>
      <c r="C15" s="989"/>
      <c r="D15" s="989"/>
      <c r="E15" s="989"/>
      <c r="F15" s="989"/>
      <c r="G15" s="1023"/>
      <c r="H15" s="1023"/>
      <c r="I15" s="1023"/>
    </row>
    <row r="16" spans="2:20" ht="31.9" customHeight="1" x14ac:dyDescent="0.35">
      <c r="B16" s="171"/>
      <c r="C16" s="172"/>
      <c r="D16" s="173" t="s">
        <v>121</v>
      </c>
      <c r="E16" s="173" t="s">
        <v>122</v>
      </c>
      <c r="F16" s="172" t="s">
        <v>123</v>
      </c>
      <c r="G16" s="636" t="s">
        <v>124</v>
      </c>
      <c r="H16" s="174" t="s">
        <v>125</v>
      </c>
      <c r="I16" s="174"/>
      <c r="J16" s="43" t="s">
        <v>41</v>
      </c>
      <c r="K16"/>
      <c r="L16"/>
      <c r="M16"/>
      <c r="N16"/>
      <c r="O16"/>
    </row>
    <row r="17" spans="2:18" ht="21.4" customHeight="1" x14ac:dyDescent="0.35">
      <c r="B17" s="990">
        <v>2021</v>
      </c>
      <c r="C17" s="175" t="s">
        <v>126</v>
      </c>
      <c r="D17" s="76">
        <v>720000</v>
      </c>
      <c r="E17" s="150">
        <v>1100139</v>
      </c>
      <c r="F17" s="150">
        <v>733994</v>
      </c>
      <c r="G17" s="150">
        <v>3915060.0700000301</v>
      </c>
      <c r="H17" s="150">
        <f>SUM(D17:G17)</f>
        <v>6469193.0700000301</v>
      </c>
      <c r="I17" s="1027"/>
      <c r="J17" s="1019" t="s">
        <v>119</v>
      </c>
      <c r="K17" s="24"/>
      <c r="L17"/>
      <c r="M17"/>
      <c r="N17"/>
      <c r="O17"/>
    </row>
    <row r="18" spans="2:18" ht="21.4" customHeight="1" x14ac:dyDescent="0.35">
      <c r="B18" s="991"/>
      <c r="C18" s="175" t="s">
        <v>127</v>
      </c>
      <c r="D18" s="76">
        <v>88000</v>
      </c>
      <c r="E18" s="150">
        <v>102535</v>
      </c>
      <c r="F18" s="150">
        <v>0</v>
      </c>
      <c r="G18" s="150">
        <v>2785298</v>
      </c>
      <c r="H18" s="150">
        <f t="shared" ref="H18:H21" si="2">SUM(D18:G18)</f>
        <v>2975833</v>
      </c>
      <c r="I18" s="1028"/>
      <c r="J18" s="1019"/>
      <c r="K18" s="24"/>
      <c r="L18"/>
      <c r="M18"/>
      <c r="N18"/>
      <c r="O18"/>
    </row>
    <row r="19" spans="2:18" ht="21.4" customHeight="1" x14ac:dyDescent="0.35">
      <c r="B19" s="992"/>
      <c r="C19" s="753" t="s">
        <v>105</v>
      </c>
      <c r="D19" s="145">
        <f>D18+D17</f>
        <v>808000</v>
      </c>
      <c r="E19" s="145">
        <f>E18+E17</f>
        <v>1202674</v>
      </c>
      <c r="F19" s="145">
        <f t="shared" ref="F19:H19" si="3">F18+F17</f>
        <v>733994</v>
      </c>
      <c r="G19" s="145">
        <f t="shared" si="3"/>
        <v>6700358.0700000301</v>
      </c>
      <c r="H19" s="145">
        <f t="shared" si="3"/>
        <v>9445026.0700000301</v>
      </c>
      <c r="I19" s="754"/>
      <c r="J19" s="1019"/>
      <c r="K19" s="24"/>
      <c r="L19"/>
      <c r="M19"/>
      <c r="N19"/>
      <c r="O19"/>
    </row>
    <row r="20" spans="2:18" ht="21.4" customHeight="1" x14ac:dyDescent="0.35">
      <c r="B20" s="990">
        <v>2022</v>
      </c>
      <c r="C20" s="175" t="s">
        <v>126</v>
      </c>
      <c r="D20" s="76">
        <v>603000</v>
      </c>
      <c r="E20" s="150">
        <v>1069647</v>
      </c>
      <c r="F20" s="150">
        <v>668759</v>
      </c>
      <c r="G20" s="150">
        <v>4771864</v>
      </c>
      <c r="H20" s="150">
        <f t="shared" si="2"/>
        <v>7113270</v>
      </c>
      <c r="I20" s="1027"/>
      <c r="J20" s="1019"/>
      <c r="K20" s="24"/>
      <c r="L20"/>
      <c r="M20"/>
      <c r="N20"/>
      <c r="O20"/>
    </row>
    <row r="21" spans="2:18" ht="21.4" customHeight="1" x14ac:dyDescent="0.35">
      <c r="B21" s="991"/>
      <c r="C21" s="176" t="s">
        <v>127</v>
      </c>
      <c r="D21" s="77">
        <v>90000</v>
      </c>
      <c r="E21" s="177">
        <v>92514</v>
      </c>
      <c r="F21" s="150">
        <v>0</v>
      </c>
      <c r="G21" s="177">
        <v>2105856</v>
      </c>
      <c r="H21" s="177">
        <f t="shared" si="2"/>
        <v>2288370</v>
      </c>
      <c r="I21" s="1028"/>
      <c r="J21" s="1019"/>
    </row>
    <row r="22" spans="2:18" ht="21.4" customHeight="1" x14ac:dyDescent="0.35">
      <c r="B22" s="992"/>
      <c r="C22" s="755" t="s">
        <v>105</v>
      </c>
      <c r="D22" s="145">
        <f>D20+D21</f>
        <v>693000</v>
      </c>
      <c r="E22" s="145">
        <f t="shared" ref="E22:H22" si="4">E20+E21</f>
        <v>1162161</v>
      </c>
      <c r="F22" s="145">
        <f t="shared" si="4"/>
        <v>668759</v>
      </c>
      <c r="G22" s="145">
        <f t="shared" si="4"/>
        <v>6877720</v>
      </c>
      <c r="H22" s="145">
        <f t="shared" si="4"/>
        <v>9401640</v>
      </c>
      <c r="I22" s="756"/>
      <c r="J22" s="1019"/>
    </row>
    <row r="23" spans="2:18" ht="21.4" customHeight="1" x14ac:dyDescent="0.35">
      <c r="B23" s="990">
        <v>2023</v>
      </c>
      <c r="C23" s="175" t="s">
        <v>126</v>
      </c>
      <c r="D23" s="76">
        <v>601000</v>
      </c>
      <c r="E23" s="177">
        <v>966855</v>
      </c>
      <c r="F23" s="150">
        <v>596053</v>
      </c>
      <c r="G23" s="150">
        <v>5223494.7</v>
      </c>
      <c r="H23" s="150">
        <f>SUM(D23:G23)</f>
        <v>7387402.7000000002</v>
      </c>
      <c r="I23" s="1025"/>
      <c r="J23" s="1019"/>
      <c r="K23" s="24"/>
      <c r="L23" s="24"/>
      <c r="M23" s="24"/>
      <c r="N23" s="24"/>
    </row>
    <row r="24" spans="2:18" ht="21.4" customHeight="1" x14ac:dyDescent="0.35">
      <c r="B24" s="991"/>
      <c r="C24" s="176" t="s">
        <v>127</v>
      </c>
      <c r="D24" s="77">
        <v>58000</v>
      </c>
      <c r="E24" s="177">
        <v>84070</v>
      </c>
      <c r="F24" s="177">
        <v>0</v>
      </c>
      <c r="G24" s="177">
        <v>1926404.01</v>
      </c>
      <c r="H24" s="177">
        <f>SUM(D24:G24)</f>
        <v>2068474.01</v>
      </c>
      <c r="I24" s="1026"/>
      <c r="J24" s="1019"/>
    </row>
    <row r="25" spans="2:18" ht="21.4" customHeight="1" x14ac:dyDescent="0.35">
      <c r="B25" s="992"/>
      <c r="C25" s="755" t="s">
        <v>105</v>
      </c>
      <c r="D25" s="145">
        <f>D23+D24</f>
        <v>659000</v>
      </c>
      <c r="E25" s="145">
        <f t="shared" ref="E25:H25" si="5">E23+E24</f>
        <v>1050925</v>
      </c>
      <c r="F25" s="145">
        <f t="shared" si="5"/>
        <v>596053</v>
      </c>
      <c r="G25" s="145">
        <f t="shared" si="5"/>
        <v>7149898.71</v>
      </c>
      <c r="H25" s="145">
        <f t="shared" si="5"/>
        <v>9455876.7100000009</v>
      </c>
      <c r="I25" s="76"/>
      <c r="J25" s="1019"/>
    </row>
    <row r="26" spans="2:18" ht="21.4" customHeight="1" x14ac:dyDescent="0.35">
      <c r="B26" s="990">
        <v>2024</v>
      </c>
      <c r="C26" s="175" t="s">
        <v>126</v>
      </c>
      <c r="D26" s="76">
        <v>597050</v>
      </c>
      <c r="E26" s="150">
        <v>968880</v>
      </c>
      <c r="F26" s="150">
        <v>579128</v>
      </c>
      <c r="G26" s="150">
        <v>5629744.3900000332</v>
      </c>
      <c r="H26" s="177">
        <f>SUM(D26:G26)</f>
        <v>7774802.3900000332</v>
      </c>
      <c r="I26" s="1025"/>
      <c r="J26" s="1019"/>
    </row>
    <row r="27" spans="2:18" ht="21.4" customHeight="1" x14ac:dyDescent="0.35">
      <c r="B27" s="991"/>
      <c r="C27" s="176" t="s">
        <v>127</v>
      </c>
      <c r="D27" s="77">
        <v>62600</v>
      </c>
      <c r="E27" s="150">
        <v>69900</v>
      </c>
      <c r="F27" s="177">
        <v>0</v>
      </c>
      <c r="G27" s="177">
        <v>1798395.6400000011</v>
      </c>
      <c r="H27" s="177">
        <f>SUM(D27:G27)</f>
        <v>1930895.6400000011</v>
      </c>
      <c r="I27" s="1026"/>
      <c r="J27" s="1019"/>
    </row>
    <row r="28" spans="2:18" ht="21.4" customHeight="1" x14ac:dyDescent="0.35">
      <c r="B28" s="991"/>
      <c r="C28" s="755" t="s">
        <v>105</v>
      </c>
      <c r="D28" s="145">
        <f>D26+D27</f>
        <v>659650</v>
      </c>
      <c r="E28" s="145">
        <f t="shared" ref="E28:H28" si="6">E26+E27</f>
        <v>1038780</v>
      </c>
      <c r="F28" s="145">
        <f t="shared" si="6"/>
        <v>579128</v>
      </c>
      <c r="G28" s="145">
        <f t="shared" si="6"/>
        <v>7428140.0300000347</v>
      </c>
      <c r="H28" s="145">
        <f t="shared" si="6"/>
        <v>9705698.0300000347</v>
      </c>
      <c r="I28" s="76"/>
      <c r="J28" s="1019"/>
      <c r="K28" s="24"/>
      <c r="L28" s="68"/>
      <c r="M28" s="18"/>
      <c r="N28" s="18"/>
      <c r="O28" s="18"/>
      <c r="P28" s="18"/>
      <c r="Q28" s="18"/>
      <c r="R28" s="18"/>
    </row>
    <row r="29" spans="2:18" ht="12" customHeight="1" x14ac:dyDescent="0.35">
      <c r="B29" s="569"/>
      <c r="C29" s="757"/>
      <c r="D29" s="474"/>
      <c r="E29" s="474"/>
      <c r="F29" s="474"/>
      <c r="G29" s="474"/>
      <c r="H29" s="474"/>
      <c r="I29" s="473"/>
      <c r="J29" s="431"/>
      <c r="K29" s="24"/>
      <c r="L29" s="68"/>
      <c r="M29" s="18"/>
      <c r="N29" s="18"/>
      <c r="O29" s="18"/>
      <c r="P29" s="18"/>
      <c r="Q29" s="18"/>
      <c r="R29" s="18"/>
    </row>
    <row r="30" spans="2:18" ht="25.15" customHeight="1" x14ac:dyDescent="0.35">
      <c r="B30" s="989" t="s">
        <v>128</v>
      </c>
      <c r="C30" s="989"/>
      <c r="D30" s="989"/>
      <c r="E30" s="989"/>
      <c r="F30" s="989"/>
      <c r="G30" s="16"/>
      <c r="H30" s="16"/>
      <c r="I30" s="19"/>
      <c r="J30"/>
    </row>
    <row r="31" spans="2:18" ht="31.9" customHeight="1" x14ac:dyDescent="0.35">
      <c r="B31" s="55" t="s">
        <v>93</v>
      </c>
      <c r="C31" s="55" t="s">
        <v>44</v>
      </c>
      <c r="D31" s="55" t="s">
        <v>129</v>
      </c>
      <c r="E31" s="55" t="s">
        <v>47</v>
      </c>
      <c r="F31" s="55" t="s">
        <v>52</v>
      </c>
      <c r="G31" s="55"/>
      <c r="H31" s="55"/>
      <c r="I31" s="55"/>
      <c r="J31" s="43" t="s">
        <v>41</v>
      </c>
    </row>
    <row r="32" spans="2:18" ht="21.4" customHeight="1" x14ac:dyDescent="0.35">
      <c r="B32" s="13">
        <v>2021</v>
      </c>
      <c r="C32" s="144">
        <v>47750</v>
      </c>
      <c r="D32" s="144"/>
      <c r="E32" s="1020"/>
      <c r="F32" s="144">
        <v>0</v>
      </c>
      <c r="G32" s="178"/>
      <c r="H32" s="144"/>
      <c r="I32" s="144"/>
      <c r="J32" s="1019" t="s">
        <v>119</v>
      </c>
    </row>
    <row r="33" spans="2:14" ht="21.4" customHeight="1" x14ac:dyDescent="0.35">
      <c r="B33" s="11">
        <v>2022</v>
      </c>
      <c r="C33" s="77">
        <v>42930</v>
      </c>
      <c r="D33" s="77"/>
      <c r="E33" s="1021"/>
      <c r="F33" s="77">
        <v>0</v>
      </c>
      <c r="G33" s="179"/>
      <c r="H33" s="77"/>
      <c r="I33" s="77"/>
      <c r="J33" s="1019"/>
    </row>
    <row r="34" spans="2:14" ht="21.4" customHeight="1" x14ac:dyDescent="0.35">
      <c r="B34" s="11">
        <v>2023</v>
      </c>
      <c r="C34" s="77">
        <v>35266</v>
      </c>
      <c r="D34" s="77"/>
      <c r="E34" s="1021"/>
      <c r="F34" s="77">
        <v>11000</v>
      </c>
      <c r="G34" s="179"/>
      <c r="H34" s="77"/>
      <c r="I34" s="77"/>
      <c r="J34" s="1019"/>
    </row>
    <row r="35" spans="2:14" ht="21.4" customHeight="1" x14ac:dyDescent="0.35">
      <c r="B35" s="11">
        <v>2024</v>
      </c>
      <c r="C35" s="875">
        <f>4000+111783</f>
        <v>115783</v>
      </c>
      <c r="D35" s="77"/>
      <c r="E35" s="1021"/>
      <c r="F35" s="77">
        <v>15000</v>
      </c>
      <c r="G35" s="179"/>
      <c r="H35" s="861"/>
      <c r="I35" s="77"/>
      <c r="J35" s="1019"/>
    </row>
    <row r="36" spans="2:14" ht="24" customHeight="1" x14ac:dyDescent="0.35">
      <c r="B36"/>
      <c r="C36" s="1022" t="s">
        <v>130</v>
      </c>
      <c r="D36" s="1022"/>
      <c r="E36" s="1022"/>
      <c r="F36" s="1022"/>
      <c r="G36" s="16"/>
      <c r="H36" s="16"/>
      <c r="I36" s="19"/>
    </row>
    <row r="37" spans="2:14" ht="25.15" customHeight="1" x14ac:dyDescent="0.35">
      <c r="B37" s="989" t="s">
        <v>131</v>
      </c>
      <c r="C37" s="989"/>
      <c r="D37" s="989"/>
      <c r="E37" s="989"/>
      <c r="F37" s="989"/>
      <c r="G37" s="989"/>
      <c r="H37" s="989"/>
    </row>
    <row r="38" spans="2:14" ht="52" x14ac:dyDescent="0.35">
      <c r="B38" s="52"/>
      <c r="C38" s="52" t="s">
        <v>126</v>
      </c>
      <c r="D38" s="52" t="s">
        <v>127</v>
      </c>
      <c r="E38" s="52" t="s">
        <v>132</v>
      </c>
      <c r="F38" s="52" t="s">
        <v>133</v>
      </c>
      <c r="G38" s="52" t="s">
        <v>134</v>
      </c>
      <c r="H38" s="52" t="s">
        <v>135</v>
      </c>
      <c r="I38" s="52"/>
      <c r="J38" s="43" t="s">
        <v>41</v>
      </c>
    </row>
    <row r="39" spans="2:14" ht="21.4" customHeight="1" x14ac:dyDescent="0.35">
      <c r="B39" s="50" t="s">
        <v>136</v>
      </c>
      <c r="C39" s="144">
        <v>1168</v>
      </c>
      <c r="D39" s="144">
        <v>775</v>
      </c>
      <c r="E39" s="144">
        <v>212</v>
      </c>
      <c r="F39" s="144"/>
      <c r="G39" s="2">
        <f>(F39+E39)/(H39)</f>
        <v>9.8375870069605562E-2</v>
      </c>
      <c r="H39" s="178">
        <f t="shared" ref="H39" si="7">SUM(C39:F39)</f>
        <v>2155</v>
      </c>
      <c r="I39" s="178"/>
      <c r="J39" s="1019" t="s">
        <v>137</v>
      </c>
    </row>
    <row r="40" spans="2:14" ht="21.4" customHeight="1" x14ac:dyDescent="0.35">
      <c r="B40" s="44" t="s">
        <v>138</v>
      </c>
      <c r="C40" s="76">
        <v>783</v>
      </c>
      <c r="D40" s="76">
        <v>474</v>
      </c>
      <c r="E40" s="76">
        <v>1093</v>
      </c>
      <c r="F40" s="76"/>
      <c r="G40" s="132">
        <f>(F40+E40)/(H40)</f>
        <v>0.46510638297872342</v>
      </c>
      <c r="H40" s="180">
        <f>SUM(C40:F40)</f>
        <v>2350</v>
      </c>
      <c r="I40" s="180"/>
      <c r="J40" s="1019"/>
    </row>
    <row r="41" spans="2:14" ht="21.4" customHeight="1" x14ac:dyDescent="0.35">
      <c r="B41" s="46" t="s">
        <v>139</v>
      </c>
      <c r="C41" s="77">
        <v>453</v>
      </c>
      <c r="D41" s="77">
        <v>346</v>
      </c>
      <c r="E41" s="77">
        <v>1762</v>
      </c>
      <c r="F41" s="77">
        <v>1</v>
      </c>
      <c r="G41" s="5">
        <f>(F41+E41)/(H41)</f>
        <v>0.6881342701014832</v>
      </c>
      <c r="H41" s="180">
        <f>SUM(C41:F41)</f>
        <v>2562</v>
      </c>
      <c r="I41" s="180"/>
      <c r="J41" s="1019"/>
      <c r="K41"/>
      <c r="L41"/>
      <c r="M41"/>
      <c r="N41"/>
    </row>
    <row r="42" spans="2:14" ht="21.4" customHeight="1" x14ac:dyDescent="0.35">
      <c r="B42" s="499">
        <v>2023</v>
      </c>
      <c r="C42" s="77">
        <v>442</v>
      </c>
      <c r="D42" s="77">
        <v>291</v>
      </c>
      <c r="E42" s="77">
        <v>1795</v>
      </c>
      <c r="F42" s="77">
        <v>72</v>
      </c>
      <c r="G42" s="5">
        <f>(F42+E42)/(H42)</f>
        <v>0.71807692307692306</v>
      </c>
      <c r="H42" s="180">
        <f>SUM(C42:F42)</f>
        <v>2600</v>
      </c>
      <c r="I42" s="180"/>
      <c r="J42" s="1019"/>
      <c r="K42"/>
      <c r="L42"/>
      <c r="M42"/>
      <c r="N42"/>
    </row>
    <row r="43" spans="2:14" ht="21.4" customHeight="1" x14ac:dyDescent="0.35">
      <c r="B43" s="630">
        <v>2024</v>
      </c>
      <c r="C43" s="77">
        <v>440</v>
      </c>
      <c r="D43" s="77">
        <v>321</v>
      </c>
      <c r="E43" s="861">
        <v>1106</v>
      </c>
      <c r="F43" s="77">
        <v>247</v>
      </c>
      <c r="G43" s="5">
        <f>(F43+E43)/(H43)</f>
        <v>0.64001892147587514</v>
      </c>
      <c r="H43" s="180">
        <f>SUM(C43:F43)</f>
        <v>2114</v>
      </c>
      <c r="I43" s="557"/>
      <c r="J43" s="1019"/>
      <c r="K43"/>
      <c r="L43"/>
      <c r="M43"/>
      <c r="N43"/>
    </row>
    <row r="44" spans="2:14" ht="21.4" customHeight="1" x14ac:dyDescent="0.35">
      <c r="B44" s="20"/>
      <c r="C44" s="16"/>
      <c r="D44" s="16"/>
      <c r="E44" s="16"/>
      <c r="F44" s="16"/>
      <c r="G44" s="18"/>
      <c r="H44" s="21"/>
      <c r="K44"/>
      <c r="L44"/>
      <c r="M44"/>
      <c r="N44"/>
    </row>
    <row r="45" spans="2:14" ht="21.4" customHeight="1" x14ac:dyDescent="0.35">
      <c r="B45" s="989" t="s">
        <v>140</v>
      </c>
      <c r="C45" s="989"/>
      <c r="D45" s="989"/>
      <c r="E45" s="989"/>
      <c r="F45" s="989"/>
      <c r="G45" s="18"/>
      <c r="H45" s="21"/>
      <c r="K45"/>
      <c r="L45"/>
      <c r="M45"/>
      <c r="N45"/>
    </row>
    <row r="46" spans="2:14" ht="36" customHeight="1" x14ac:dyDescent="0.35">
      <c r="B46" s="553"/>
      <c r="C46" s="554" t="s">
        <v>141</v>
      </c>
      <c r="D46" s="554" t="s">
        <v>142</v>
      </c>
      <c r="E46" s="554" t="s">
        <v>143</v>
      </c>
      <c r="F46" s="554" t="s">
        <v>144</v>
      </c>
      <c r="G46" s="554" t="s">
        <v>134</v>
      </c>
      <c r="H46" s="554" t="s">
        <v>135</v>
      </c>
      <c r="I46" s="554"/>
      <c r="J46" s="43" t="s">
        <v>41</v>
      </c>
      <c r="K46"/>
      <c r="L46"/>
      <c r="M46"/>
      <c r="N46"/>
    </row>
    <row r="47" spans="2:14" ht="21.4" customHeight="1" x14ac:dyDescent="0.35">
      <c r="B47" s="552">
        <v>2020</v>
      </c>
      <c r="C47" s="144">
        <v>70</v>
      </c>
      <c r="D47" s="144">
        <v>25</v>
      </c>
      <c r="E47" s="144">
        <v>291</v>
      </c>
      <c r="F47" s="144">
        <v>0</v>
      </c>
      <c r="G47" s="2">
        <v>0.75</v>
      </c>
      <c r="H47" s="178">
        <v>386</v>
      </c>
      <c r="I47" s="178"/>
      <c r="J47" s="1019" t="s">
        <v>137</v>
      </c>
      <c r="K47"/>
      <c r="L47"/>
      <c r="M47"/>
      <c r="N47"/>
    </row>
    <row r="48" spans="2:14" ht="21.4" customHeight="1" x14ac:dyDescent="0.35">
      <c r="B48" s="44" t="s">
        <v>138</v>
      </c>
      <c r="C48" s="144">
        <v>71</v>
      </c>
      <c r="D48" s="144">
        <v>24</v>
      </c>
      <c r="E48" s="144">
        <v>237</v>
      </c>
      <c r="F48" s="144">
        <v>0</v>
      </c>
      <c r="G48" s="2">
        <v>0.71</v>
      </c>
      <c r="H48" s="180">
        <v>332</v>
      </c>
      <c r="I48" s="180"/>
      <c r="J48" s="1019"/>
      <c r="K48"/>
      <c r="L48"/>
      <c r="M48"/>
      <c r="N48"/>
    </row>
    <row r="49" spans="2:14" ht="21.4" customHeight="1" x14ac:dyDescent="0.35">
      <c r="B49" s="46" t="s">
        <v>139</v>
      </c>
      <c r="C49" s="144">
        <v>57</v>
      </c>
      <c r="D49" s="144">
        <v>25</v>
      </c>
      <c r="E49" s="144">
        <v>252</v>
      </c>
      <c r="F49" s="144">
        <v>0</v>
      </c>
      <c r="G49" s="2">
        <v>0.75</v>
      </c>
      <c r="H49" s="180">
        <v>334</v>
      </c>
      <c r="I49" s="180"/>
      <c r="J49" s="1019"/>
      <c r="K49"/>
      <c r="L49"/>
      <c r="M49"/>
      <c r="N49"/>
    </row>
    <row r="50" spans="2:14" ht="21.4" customHeight="1" x14ac:dyDescent="0.35">
      <c r="B50" s="555">
        <v>2023</v>
      </c>
      <c r="C50" s="473">
        <v>51</v>
      </c>
      <c r="D50" s="473">
        <v>13</v>
      </c>
      <c r="E50" s="473">
        <v>247</v>
      </c>
      <c r="F50" s="473">
        <v>0</v>
      </c>
      <c r="G50" s="556">
        <f>(E50)/H50</f>
        <v>0.79421221864951763</v>
      </c>
      <c r="H50" s="179">
        <v>311</v>
      </c>
      <c r="I50" s="180"/>
      <c r="J50" s="1019"/>
      <c r="K50"/>
      <c r="L50"/>
      <c r="M50"/>
      <c r="N50"/>
    </row>
    <row r="51" spans="2:14" ht="21.4" customHeight="1" x14ac:dyDescent="0.35">
      <c r="B51" s="632">
        <v>2024</v>
      </c>
      <c r="C51" s="144">
        <v>82</v>
      </c>
      <c r="D51" s="144">
        <v>17</v>
      </c>
      <c r="E51" s="144">
        <v>207</v>
      </c>
      <c r="F51" s="144">
        <v>2</v>
      </c>
      <c r="G51" s="556">
        <f>(E51)/H51</f>
        <v>0.67207792207792205</v>
      </c>
      <c r="H51" s="635">
        <v>308</v>
      </c>
      <c r="I51" s="635"/>
      <c r="J51" s="1019"/>
      <c r="K51"/>
      <c r="L51"/>
      <c r="M51"/>
      <c r="N51"/>
    </row>
    <row r="52" spans="2:14" ht="21.4" customHeight="1" x14ac:dyDescent="0.35">
      <c r="B52" s="601"/>
      <c r="C52" s="473"/>
      <c r="D52" s="473"/>
      <c r="E52" s="473"/>
      <c r="F52" s="473"/>
      <c r="G52" s="556"/>
      <c r="H52" s="557"/>
      <c r="K52"/>
      <c r="L52"/>
      <c r="M52"/>
      <c r="N52"/>
    </row>
    <row r="53" spans="2:14" ht="21.4" customHeight="1" x14ac:dyDescent="0.35">
      <c r="B53" s="989" t="s">
        <v>145</v>
      </c>
      <c r="C53" s="989"/>
      <c r="D53" s="989"/>
      <c r="E53" s="989"/>
      <c r="F53" s="989"/>
      <c r="G53" s="18"/>
      <c r="H53" s="21"/>
      <c r="K53"/>
      <c r="L53"/>
      <c r="M53"/>
      <c r="N53"/>
    </row>
    <row r="54" spans="2:14" ht="51.75" customHeight="1" x14ac:dyDescent="0.35">
      <c r="B54" s="553"/>
      <c r="C54" s="631" t="s">
        <v>141</v>
      </c>
      <c r="D54" s="631" t="s">
        <v>142</v>
      </c>
      <c r="E54" s="631" t="s">
        <v>143</v>
      </c>
      <c r="F54" s="631" t="s">
        <v>144</v>
      </c>
      <c r="G54" s="554" t="s">
        <v>134</v>
      </c>
      <c r="H54" s="554" t="s">
        <v>135</v>
      </c>
      <c r="I54" s="554"/>
      <c r="J54" s="43" t="s">
        <v>41</v>
      </c>
      <c r="K54"/>
      <c r="L54"/>
      <c r="M54"/>
      <c r="N54"/>
    </row>
    <row r="55" spans="2:14" ht="21.4" customHeight="1" x14ac:dyDescent="0.35">
      <c r="B55" s="552">
        <v>2020</v>
      </c>
      <c r="C55" s="144">
        <v>418</v>
      </c>
      <c r="D55" s="144">
        <v>36</v>
      </c>
      <c r="E55" s="144">
        <v>78</v>
      </c>
      <c r="F55" s="144">
        <v>0</v>
      </c>
      <c r="G55" s="2">
        <v>0.15</v>
      </c>
      <c r="H55" s="178">
        <v>532</v>
      </c>
      <c r="I55" s="178"/>
      <c r="J55" s="1019" t="s">
        <v>137</v>
      </c>
      <c r="K55"/>
      <c r="L55"/>
      <c r="M55"/>
      <c r="N55"/>
    </row>
    <row r="56" spans="2:14" ht="21.4" customHeight="1" x14ac:dyDescent="0.35">
      <c r="B56" s="44" t="s">
        <v>138</v>
      </c>
      <c r="C56" s="144">
        <v>358</v>
      </c>
      <c r="D56" s="144">
        <v>33</v>
      </c>
      <c r="E56" s="144">
        <v>95</v>
      </c>
      <c r="F56" s="144">
        <v>0</v>
      </c>
      <c r="G56" s="2">
        <v>0.19500000000000001</v>
      </c>
      <c r="H56" s="180">
        <v>486</v>
      </c>
      <c r="I56" s="180"/>
      <c r="J56" s="1019"/>
      <c r="K56"/>
      <c r="L56"/>
      <c r="M56"/>
      <c r="N56"/>
    </row>
    <row r="57" spans="2:14" ht="21.4" customHeight="1" x14ac:dyDescent="0.35">
      <c r="B57" s="46" t="s">
        <v>139</v>
      </c>
      <c r="C57" s="144">
        <v>294</v>
      </c>
      <c r="D57" s="144">
        <v>30</v>
      </c>
      <c r="E57" s="144">
        <v>140</v>
      </c>
      <c r="F57" s="144">
        <v>1</v>
      </c>
      <c r="G57" s="2">
        <v>0.30299999999999999</v>
      </c>
      <c r="H57" s="180">
        <v>465</v>
      </c>
      <c r="I57" s="180"/>
      <c r="J57" s="1019"/>
      <c r="K57"/>
      <c r="L57"/>
      <c r="M57"/>
      <c r="N57"/>
    </row>
    <row r="58" spans="2:14" ht="21.4" customHeight="1" x14ac:dyDescent="0.35">
      <c r="B58" s="555">
        <v>2023</v>
      </c>
      <c r="C58" s="144">
        <v>263</v>
      </c>
      <c r="D58" s="144">
        <v>27</v>
      </c>
      <c r="E58" s="144">
        <v>154</v>
      </c>
      <c r="F58" s="144">
        <v>1</v>
      </c>
      <c r="G58" s="2">
        <v>0.34799999999999998</v>
      </c>
      <c r="H58" s="180">
        <v>445</v>
      </c>
      <c r="I58" s="180"/>
      <c r="J58" s="1019"/>
      <c r="K58"/>
      <c r="L58"/>
      <c r="M58"/>
      <c r="N58"/>
    </row>
    <row r="59" spans="2:14" ht="21.4" customHeight="1" x14ac:dyDescent="0.35">
      <c r="B59" s="632">
        <v>2024</v>
      </c>
      <c r="C59" s="633">
        <v>292</v>
      </c>
      <c r="D59" s="633">
        <v>22</v>
      </c>
      <c r="E59" s="633">
        <v>123</v>
      </c>
      <c r="F59" s="633">
        <v>15</v>
      </c>
      <c r="G59" s="634">
        <v>0.30499999999999999</v>
      </c>
      <c r="H59" s="635">
        <v>452</v>
      </c>
      <c r="I59" s="635"/>
      <c r="J59" s="1019"/>
      <c r="K59"/>
      <c r="L59"/>
      <c r="M59"/>
      <c r="N59"/>
    </row>
    <row r="60" spans="2:14" ht="21.4" customHeight="1" x14ac:dyDescent="0.35">
      <c r="B60" s="558"/>
      <c r="C60" s="473"/>
      <c r="D60" s="473"/>
      <c r="E60" s="473"/>
      <c r="F60" s="473"/>
      <c r="G60" s="556"/>
      <c r="H60" s="557"/>
      <c r="I60"/>
      <c r="K60"/>
      <c r="L60"/>
      <c r="M60"/>
      <c r="N60"/>
    </row>
    <row r="61" spans="2:14" ht="21.4" customHeight="1" x14ac:dyDescent="0.35">
      <c r="B61" s="989" t="s">
        <v>146</v>
      </c>
      <c r="C61" s="989"/>
      <c r="D61" s="989"/>
      <c r="E61" s="989"/>
      <c r="F61" s="989"/>
      <c r="G61" s="18"/>
      <c r="H61" s="21"/>
      <c r="K61"/>
      <c r="L61"/>
      <c r="M61"/>
      <c r="N61"/>
    </row>
    <row r="62" spans="2:14" ht="35.65" customHeight="1" x14ac:dyDescent="0.35">
      <c r="B62" s="52"/>
      <c r="C62" s="52" t="s">
        <v>126</v>
      </c>
      <c r="D62" s="52" t="s">
        <v>127</v>
      </c>
      <c r="E62" s="52" t="s">
        <v>132</v>
      </c>
      <c r="F62" s="52" t="s">
        <v>133</v>
      </c>
      <c r="G62" s="52" t="s">
        <v>134</v>
      </c>
      <c r="H62" s="52" t="s">
        <v>135</v>
      </c>
      <c r="I62" s="52"/>
      <c r="J62" s="43" t="s">
        <v>41</v>
      </c>
      <c r="K62"/>
      <c r="L62"/>
      <c r="M62"/>
      <c r="N62"/>
    </row>
    <row r="63" spans="2:14" ht="21.4" customHeight="1" x14ac:dyDescent="0.35">
      <c r="B63" s="552">
        <v>2020</v>
      </c>
      <c r="C63" s="144">
        <v>336</v>
      </c>
      <c r="D63" s="144">
        <v>0</v>
      </c>
      <c r="E63" s="144">
        <v>119</v>
      </c>
      <c r="F63" s="144">
        <v>0</v>
      </c>
      <c r="G63" s="2">
        <f>(F63+E63)/(H63)</f>
        <v>0.26153846153846155</v>
      </c>
      <c r="H63" s="178">
        <v>455</v>
      </c>
      <c r="I63" s="178"/>
      <c r="J63" s="1019" t="s">
        <v>137</v>
      </c>
      <c r="K63"/>
      <c r="L63"/>
      <c r="M63"/>
      <c r="N63"/>
    </row>
    <row r="64" spans="2:14" ht="21.4" customHeight="1" x14ac:dyDescent="0.35">
      <c r="B64" s="44" t="s">
        <v>138</v>
      </c>
      <c r="C64" s="76">
        <v>147</v>
      </c>
      <c r="D64" s="76">
        <v>0</v>
      </c>
      <c r="E64" s="76">
        <v>224</v>
      </c>
      <c r="F64" s="76">
        <v>0</v>
      </c>
      <c r="G64" s="2">
        <f t="shared" ref="G64:G65" si="8">(F64+E64)/(H64)</f>
        <v>0.60377358490566035</v>
      </c>
      <c r="H64" s="180">
        <v>371</v>
      </c>
      <c r="I64" s="180"/>
      <c r="J64" s="1019"/>
      <c r="K64"/>
      <c r="L64"/>
      <c r="M64"/>
      <c r="N64"/>
    </row>
    <row r="65" spans="2:14" ht="21.4" customHeight="1" x14ac:dyDescent="0.35">
      <c r="B65" s="46" t="s">
        <v>139</v>
      </c>
      <c r="C65" s="77">
        <v>142</v>
      </c>
      <c r="D65" s="77">
        <v>0</v>
      </c>
      <c r="E65" s="77">
        <v>216</v>
      </c>
      <c r="F65" s="77">
        <v>0</v>
      </c>
      <c r="G65" s="2">
        <f t="shared" si="8"/>
        <v>0.6033519553072626</v>
      </c>
      <c r="H65" s="180">
        <v>358</v>
      </c>
      <c r="I65" s="180"/>
      <c r="J65" s="1019"/>
      <c r="K65"/>
      <c r="L65"/>
      <c r="M65"/>
      <c r="N65"/>
    </row>
    <row r="66" spans="2:14" ht="21.4" customHeight="1" x14ac:dyDescent="0.35">
      <c r="B66" s="499">
        <v>2023</v>
      </c>
      <c r="C66" s="77">
        <v>135</v>
      </c>
      <c r="D66" s="77">
        <v>0</v>
      </c>
      <c r="E66" s="77">
        <v>208</v>
      </c>
      <c r="F66" s="77">
        <v>0</v>
      </c>
      <c r="G66" s="2">
        <f>(F66+E66)/(H66)</f>
        <v>0.60641399416909625</v>
      </c>
      <c r="H66" s="180">
        <f>E66+C66</f>
        <v>343</v>
      </c>
      <c r="I66" s="180"/>
      <c r="J66" s="1019"/>
      <c r="K66"/>
      <c r="L66"/>
      <c r="M66"/>
      <c r="N66"/>
    </row>
    <row r="67" spans="2:14" ht="21.4" customHeight="1" x14ac:dyDescent="0.35">
      <c r="B67" s="630">
        <v>2024</v>
      </c>
      <c r="C67" s="473">
        <v>103</v>
      </c>
      <c r="D67" s="77">
        <v>0</v>
      </c>
      <c r="E67" s="473">
        <v>202</v>
      </c>
      <c r="F67" s="77">
        <v>0</v>
      </c>
      <c r="G67" s="2">
        <f>(F67+E67)/(H67)</f>
        <v>0.6622950819672131</v>
      </c>
      <c r="H67" s="180">
        <f>E67+C67</f>
        <v>305</v>
      </c>
      <c r="I67" s="557"/>
      <c r="J67" s="1019"/>
      <c r="K67"/>
      <c r="L67"/>
      <c r="M67"/>
      <c r="N67"/>
    </row>
    <row r="68" spans="2:14" ht="21.4" customHeight="1" x14ac:dyDescent="0.35">
      <c r="B68" s="630"/>
      <c r="C68" s="473"/>
      <c r="D68" s="473"/>
      <c r="E68" s="473"/>
      <c r="F68" s="473"/>
      <c r="G68" s="556"/>
      <c r="H68" s="557"/>
      <c r="I68" s="557"/>
      <c r="J68" s="1019"/>
      <c r="K68"/>
      <c r="L68"/>
      <c r="M68"/>
      <c r="N68"/>
    </row>
    <row r="69" spans="2:14" ht="25.15" customHeight="1" x14ac:dyDescent="0.35">
      <c r="B69" s="989" t="s">
        <v>147</v>
      </c>
      <c r="C69" s="989"/>
      <c r="D69" s="989"/>
      <c r="E69" s="989"/>
      <c r="F69" s="989"/>
      <c r="K69"/>
      <c r="L69"/>
      <c r="M69"/>
      <c r="N69"/>
    </row>
    <row r="70" spans="2:14" ht="21.4" customHeight="1" x14ac:dyDescent="0.35">
      <c r="B70" s="52"/>
      <c r="C70" s="52" t="s">
        <v>148</v>
      </c>
      <c r="D70" s="52" t="s">
        <v>149</v>
      </c>
      <c r="E70" s="52" t="s">
        <v>52</v>
      </c>
      <c r="F70" s="52" t="s">
        <v>150</v>
      </c>
      <c r="G70" s="52" t="s">
        <v>78</v>
      </c>
      <c r="H70" s="52"/>
      <c r="I70" s="52"/>
      <c r="J70" s="52"/>
      <c r="K70"/>
      <c r="L70"/>
      <c r="M70"/>
      <c r="N70"/>
    </row>
    <row r="71" spans="2:14" ht="21.4" customHeight="1" x14ac:dyDescent="0.35">
      <c r="B71" s="181">
        <v>2020</v>
      </c>
      <c r="C71" s="2">
        <v>0.75</v>
      </c>
      <c r="D71" s="2">
        <v>0.15</v>
      </c>
      <c r="E71" s="2">
        <f t="shared" ref="E71:E72" si="9">G63</f>
        <v>0.26153846153846155</v>
      </c>
      <c r="F71" s="2">
        <v>0.1</v>
      </c>
      <c r="G71" s="2">
        <f>(E63+E55+E47+E39)/(H39+H47+H55+H63)</f>
        <v>0.1984126984126984</v>
      </c>
      <c r="H71" s="551"/>
      <c r="I71" s="551"/>
      <c r="J71" s="551"/>
    </row>
    <row r="72" spans="2:14" ht="21.4" customHeight="1" x14ac:dyDescent="0.35">
      <c r="B72" s="182" t="s">
        <v>138</v>
      </c>
      <c r="C72" s="2">
        <v>0.71</v>
      </c>
      <c r="D72" s="2">
        <v>0.19500000000000001</v>
      </c>
      <c r="E72" s="2">
        <f t="shared" si="9"/>
        <v>0.60377358490566035</v>
      </c>
      <c r="F72" s="2">
        <v>0.47</v>
      </c>
      <c r="G72" s="2">
        <f>(E64+E56+E48+E40)/(H40+H48+H56+H64)</f>
        <v>0.46595083356880473</v>
      </c>
      <c r="H72" s="551"/>
      <c r="I72" s="551"/>
      <c r="J72" s="551"/>
    </row>
    <row r="73" spans="2:14" ht="21.4" customHeight="1" x14ac:dyDescent="0.35">
      <c r="B73" s="183" t="s">
        <v>139</v>
      </c>
      <c r="C73" s="2">
        <v>0.75</v>
      </c>
      <c r="D73" s="2">
        <v>0.30299999999999999</v>
      </c>
      <c r="E73" s="2">
        <f>G65</f>
        <v>0.6033519553072626</v>
      </c>
      <c r="F73" s="2">
        <f>G41</f>
        <v>0.6881342701014832</v>
      </c>
      <c r="G73" s="2">
        <f>(E65+E57+F57+E49+E41+F41)/(H41+H49+H57+H65)</f>
        <v>0.63780586179080401</v>
      </c>
      <c r="H73" s="551"/>
      <c r="I73" s="551"/>
      <c r="J73" s="551"/>
    </row>
    <row r="74" spans="2:14" ht="21.4" customHeight="1" x14ac:dyDescent="0.35">
      <c r="B74" s="183">
        <v>2023</v>
      </c>
      <c r="C74" s="2">
        <v>0.79</v>
      </c>
      <c r="D74" s="2">
        <v>0.34799999999999998</v>
      </c>
      <c r="E74" s="2">
        <f>G66</f>
        <v>0.60641399416909625</v>
      </c>
      <c r="F74" s="2">
        <f t="shared" ref="F74" si="10">G42</f>
        <v>0.71807692307692306</v>
      </c>
      <c r="G74" s="2">
        <f>(E66+E58+F58+E50+E42+F42)/(H42+H50+H58+H66)</f>
        <v>0.66964044336307105</v>
      </c>
      <c r="H74" s="551"/>
      <c r="I74" s="551"/>
      <c r="J74" s="551"/>
    </row>
    <row r="75" spans="2:14" ht="15" customHeight="1" x14ac:dyDescent="0.35">
      <c r="B75" s="182">
        <v>2024</v>
      </c>
      <c r="C75" s="2">
        <f>G51</f>
        <v>0.67207792207792205</v>
      </c>
      <c r="D75" s="2">
        <f>G59</f>
        <v>0.30499999999999999</v>
      </c>
      <c r="E75" s="2">
        <f>G67</f>
        <v>0.6622950819672131</v>
      </c>
      <c r="F75" s="2">
        <f>G43</f>
        <v>0.64001892147587514</v>
      </c>
      <c r="G75" s="2">
        <f>(E67+E59+F59+E51+E43+F43)/(H43+H51+H59+H67)</f>
        <v>0.5976722239698018</v>
      </c>
      <c r="H75" s="2"/>
      <c r="I75" s="2"/>
    </row>
    <row r="77" spans="2:14" ht="29.65" customHeight="1" x14ac:dyDescent="0.35"/>
    <row r="78" spans="2:14" ht="57" customHeight="1" x14ac:dyDescent="0.35"/>
    <row r="79" spans="2:14" ht="80.650000000000006" customHeight="1" x14ac:dyDescent="0.35"/>
    <row r="81" spans="2:3" ht="30.4" customHeight="1" x14ac:dyDescent="0.35"/>
    <row r="82" spans="2:3" ht="15" customHeight="1" x14ac:dyDescent="0.35"/>
    <row r="83" spans="2:3" ht="15" customHeight="1" x14ac:dyDescent="0.35"/>
    <row r="86" spans="2:3" ht="14.25" customHeight="1" x14ac:dyDescent="0.35"/>
    <row r="87" spans="2:3" ht="14.25" customHeight="1" x14ac:dyDescent="0.35"/>
    <row r="89" spans="2:3" x14ac:dyDescent="0.35">
      <c r="B89"/>
      <c r="C89"/>
    </row>
    <row r="90" spans="2:3" x14ac:dyDescent="0.35">
      <c r="B90"/>
      <c r="C90"/>
    </row>
    <row r="91" spans="2:3" x14ac:dyDescent="0.35">
      <c r="B91"/>
      <c r="C91"/>
    </row>
    <row r="92" spans="2:3" x14ac:dyDescent="0.35">
      <c r="B92"/>
      <c r="C92"/>
    </row>
  </sheetData>
  <mergeCells count="27">
    <mergeCell ref="G15:I15"/>
    <mergeCell ref="B37:F37"/>
    <mergeCell ref="G37:H37"/>
    <mergeCell ref="B7:F7"/>
    <mergeCell ref="J9:J13"/>
    <mergeCell ref="B15:F15"/>
    <mergeCell ref="I23:I24"/>
    <mergeCell ref="I26:I27"/>
    <mergeCell ref="I20:I21"/>
    <mergeCell ref="I17:I18"/>
    <mergeCell ref="B20:B22"/>
    <mergeCell ref="B17:B19"/>
    <mergeCell ref="B23:B25"/>
    <mergeCell ref="B26:B28"/>
    <mergeCell ref="J17:J28"/>
    <mergeCell ref="J63:J68"/>
    <mergeCell ref="B69:F69"/>
    <mergeCell ref="B30:F30"/>
    <mergeCell ref="B61:F61"/>
    <mergeCell ref="B45:F45"/>
    <mergeCell ref="B53:F53"/>
    <mergeCell ref="J32:J35"/>
    <mergeCell ref="J39:J43"/>
    <mergeCell ref="J47:J51"/>
    <mergeCell ref="J55:J59"/>
    <mergeCell ref="E32:E35"/>
    <mergeCell ref="C36:F36"/>
  </mergeCells>
  <pageMargins left="0.7" right="0.7" top="0.75" bottom="0.75" header="0.3" footer="0.3"/>
  <pageSetup paperSize="9" orientation="portrait" r:id="rId1"/>
  <headerFooter scaleWithDoc="0"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Z12"/>
  <sheetViews>
    <sheetView showGridLines="0" rightToLeft="1" topLeftCell="A23" workbookViewId="0">
      <selection activeCell="B17" sqref="B17"/>
    </sheetView>
  </sheetViews>
  <sheetFormatPr defaultColWidth="9.26953125" defaultRowHeight="14.5" x14ac:dyDescent="0.35"/>
  <cols>
    <col min="1" max="1" width="3.7265625" customWidth="1"/>
    <col min="2" max="2" width="10.7265625" customWidth="1"/>
    <col min="3" max="3" width="13.26953125" customWidth="1"/>
    <col min="4" max="4" width="11.453125" customWidth="1"/>
    <col min="5" max="7" width="10.7265625" customWidth="1"/>
    <col min="8" max="8" width="11.1796875" customWidth="1"/>
    <col min="9" max="9" width="15.1796875" customWidth="1"/>
    <col min="10" max="10" width="11.54296875" customWidth="1"/>
    <col min="11" max="13" width="10.7265625" customWidth="1"/>
  </cols>
  <sheetData>
    <row r="1" spans="2:26" ht="15" customHeight="1" x14ac:dyDescent="0.35"/>
    <row r="2" spans="2:26" ht="15" customHeight="1" x14ac:dyDescent="0.35"/>
    <row r="3" spans="2:26" ht="15" customHeight="1" x14ac:dyDescent="0.35"/>
    <row r="4" spans="2:26" ht="15" customHeight="1" x14ac:dyDescent="0.35"/>
    <row r="5" spans="2:26" ht="24" customHeight="1" x14ac:dyDescent="0.35">
      <c r="B5" s="989" t="s">
        <v>151</v>
      </c>
      <c r="C5" s="989"/>
      <c r="D5" s="989"/>
      <c r="E5" s="989"/>
      <c r="F5" s="989"/>
      <c r="G5" s="989"/>
      <c r="H5" s="989"/>
      <c r="I5" s="989"/>
      <c r="J5" s="428"/>
      <c r="K5" s="428"/>
      <c r="L5" s="428"/>
      <c r="V5" s="15"/>
      <c r="W5" s="15"/>
      <c r="X5" s="15"/>
      <c r="Y5" s="15"/>
      <c r="Z5" s="15"/>
    </row>
    <row r="6" spans="2:26" ht="30" customHeight="1" x14ac:dyDescent="0.35">
      <c r="B6" s="184"/>
      <c r="C6" s="184" t="s">
        <v>44</v>
      </c>
      <c r="D6" s="184" t="s">
        <v>152</v>
      </c>
      <c r="E6" s="184" t="s">
        <v>148</v>
      </c>
      <c r="F6" s="184" t="s">
        <v>152</v>
      </c>
      <c r="G6" s="184" t="s">
        <v>149</v>
      </c>
      <c r="H6" s="184" t="s">
        <v>152</v>
      </c>
      <c r="I6" s="184" t="s">
        <v>153</v>
      </c>
      <c r="J6" s="184" t="s">
        <v>152</v>
      </c>
      <c r="K6" s="184" t="s">
        <v>78</v>
      </c>
      <c r="L6" s="184"/>
      <c r="M6" s="185" t="s">
        <v>41</v>
      </c>
    </row>
    <row r="7" spans="2:26" ht="25.15" customHeight="1" x14ac:dyDescent="0.35">
      <c r="B7" s="862" t="s">
        <v>138</v>
      </c>
      <c r="C7" s="148">
        <v>57798</v>
      </c>
      <c r="D7" s="148"/>
      <c r="E7" s="148">
        <v>4218.1000000000004</v>
      </c>
      <c r="F7" s="148"/>
      <c r="G7" s="148">
        <v>10021</v>
      </c>
      <c r="H7" s="148"/>
      <c r="I7" s="148">
        <v>21000</v>
      </c>
      <c r="J7" s="321"/>
      <c r="K7" s="321">
        <f>SUM(C7:I7)</f>
        <v>93037.1</v>
      </c>
      <c r="L7" s="321"/>
      <c r="M7" s="1019" t="s">
        <v>154</v>
      </c>
    </row>
    <row r="8" spans="2:26" ht="29.25" customHeight="1" x14ac:dyDescent="0.35">
      <c r="B8" s="863" t="s">
        <v>139</v>
      </c>
      <c r="C8" s="177">
        <v>45754</v>
      </c>
      <c r="D8" s="732">
        <f>-1+C8/C7</f>
        <v>-0.20838091283435412</v>
      </c>
      <c r="E8" s="177">
        <v>5129.17</v>
      </c>
      <c r="F8" s="732">
        <f>-1+E8/E7</f>
        <v>0.21599061188686841</v>
      </c>
      <c r="G8" s="177">
        <v>9302</v>
      </c>
      <c r="H8" s="732">
        <f>-1+G8/G7</f>
        <v>-7.1749326414529468E-2</v>
      </c>
      <c r="I8" s="177">
        <v>21860</v>
      </c>
      <c r="J8" s="732">
        <f>-1+I8/I7</f>
        <v>4.0952380952380851E-2</v>
      </c>
      <c r="K8" s="321">
        <f t="shared" ref="K8:K10" si="0">SUM(C8:I8)</f>
        <v>82045.105860372641</v>
      </c>
      <c r="L8" s="321"/>
      <c r="M8" s="1019"/>
    </row>
    <row r="9" spans="2:26" ht="21.4" customHeight="1" x14ac:dyDescent="0.35">
      <c r="B9" s="864">
        <v>2023</v>
      </c>
      <c r="C9" s="177">
        <v>42567</v>
      </c>
      <c r="D9" s="732">
        <f>-1+C9/C8</f>
        <v>-6.9655112121344565E-2</v>
      </c>
      <c r="E9" s="177">
        <v>4091</v>
      </c>
      <c r="F9" s="732">
        <f>-1+E9/E8</f>
        <v>-0.2024050674865524</v>
      </c>
      <c r="G9" s="177">
        <v>5983</v>
      </c>
      <c r="H9" s="732">
        <f>-1+G9/G8</f>
        <v>-0.35680498817458606</v>
      </c>
      <c r="I9" s="177">
        <v>13254</v>
      </c>
      <c r="J9" s="732">
        <f t="shared" ref="J9:J10" si="1">-1+I9/I8</f>
        <v>-0.39368709972552607</v>
      </c>
      <c r="K9" s="321">
        <f t="shared" si="0"/>
        <v>65894.37113483221</v>
      </c>
      <c r="L9" s="321"/>
      <c r="M9" s="1019"/>
      <c r="Y9" s="498"/>
    </row>
    <row r="10" spans="2:26" x14ac:dyDescent="0.35">
      <c r="B10" s="864">
        <v>2024</v>
      </c>
      <c r="C10" s="177">
        <v>39130</v>
      </c>
      <c r="D10" s="732">
        <f>-1+C10/C9</f>
        <v>-8.0743298799539565E-2</v>
      </c>
      <c r="E10" s="517">
        <v>5430</v>
      </c>
      <c r="F10" s="732">
        <f t="shared" ref="F10" si="2">-1+E10/E9</f>
        <v>0.32730383769249571</v>
      </c>
      <c r="G10" s="321">
        <v>7543</v>
      </c>
      <c r="H10" s="732">
        <f t="shared" ref="H10" si="3">-1+G10/G9</f>
        <v>0.26073875981948857</v>
      </c>
      <c r="I10" s="765">
        <v>3427.52</v>
      </c>
      <c r="J10" s="766">
        <f t="shared" si="1"/>
        <v>-0.74139731401840958</v>
      </c>
      <c r="K10" s="321">
        <f t="shared" si="0"/>
        <v>55531.027299298708</v>
      </c>
      <c r="L10" s="321"/>
    </row>
    <row r="11" spans="2:26" x14ac:dyDescent="0.35">
      <c r="I11" s="423"/>
    </row>
    <row r="12" spans="2:26" x14ac:dyDescent="0.35">
      <c r="I12" s="726"/>
      <c r="J12" s="733"/>
    </row>
  </sheetData>
  <mergeCells count="2">
    <mergeCell ref="B5:I5"/>
    <mergeCell ref="M7:M9"/>
  </mergeCells>
  <pageMargins left="0.7" right="0.7" top="0.75" bottom="0.75" header="0.3" footer="0.3"/>
  <headerFooter scaleWithDoc="0" alignWithMargins="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N49"/>
  <sheetViews>
    <sheetView showGridLines="0" rightToLeft="1" topLeftCell="A48" workbookViewId="0">
      <selection activeCell="C31" sqref="C31"/>
    </sheetView>
  </sheetViews>
  <sheetFormatPr defaultColWidth="9.26953125" defaultRowHeight="14.5" x14ac:dyDescent="0.35"/>
  <cols>
    <col min="1" max="1" width="3.7265625" customWidth="1"/>
    <col min="2" max="6" width="10.7265625" style="38" customWidth="1"/>
    <col min="7" max="7" width="14.453125" style="38" customWidth="1"/>
    <col min="8" max="11" width="10.7265625" style="38" customWidth="1"/>
    <col min="12" max="12" width="10" customWidth="1"/>
  </cols>
  <sheetData>
    <row r="1" spans="2:13" ht="15" customHeight="1" x14ac:dyDescent="0.35"/>
    <row r="2" spans="2:13" ht="15" customHeight="1" x14ac:dyDescent="0.35"/>
    <row r="3" spans="2:13" ht="15" customHeight="1" x14ac:dyDescent="0.35"/>
    <row r="4" spans="2:13" ht="15" customHeight="1" x14ac:dyDescent="0.35"/>
    <row r="5" spans="2:13" ht="24" customHeight="1" thickBot="1" x14ac:dyDescent="0.4">
      <c r="B5" s="39" t="s">
        <v>13</v>
      </c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2:13" ht="15" customHeight="1" thickTop="1" x14ac:dyDescent="0.35"/>
    <row r="7" spans="2:13" ht="25.15" customHeight="1" x14ac:dyDescent="0.35">
      <c r="B7" s="989" t="s">
        <v>155</v>
      </c>
      <c r="C7" s="989"/>
      <c r="D7" s="989"/>
      <c r="E7" s="989"/>
      <c r="F7" s="989"/>
      <c r="G7" s="989"/>
      <c r="H7" s="989"/>
      <c r="I7" s="989"/>
      <c r="J7" s="989"/>
      <c r="K7" s="71"/>
    </row>
    <row r="8" spans="2:13" ht="55.15" customHeight="1" x14ac:dyDescent="0.35">
      <c r="B8" s="42"/>
      <c r="C8" s="42" t="s">
        <v>156</v>
      </c>
      <c r="D8" s="42" t="s">
        <v>157</v>
      </c>
      <c r="E8" s="42" t="s">
        <v>158</v>
      </c>
      <c r="F8" s="42" t="s">
        <v>159</v>
      </c>
      <c r="G8" s="42" t="s">
        <v>160</v>
      </c>
      <c r="H8" s="42" t="s">
        <v>161</v>
      </c>
      <c r="I8" s="42" t="s">
        <v>162</v>
      </c>
      <c r="J8" s="72"/>
      <c r="K8" s="72"/>
      <c r="L8" s="43" t="s">
        <v>41</v>
      </c>
    </row>
    <row r="9" spans="2:13" s="24" customFormat="1" ht="21.4" customHeight="1" x14ac:dyDescent="0.35">
      <c r="B9" s="44" t="s">
        <v>138</v>
      </c>
      <c r="C9" s="45">
        <v>96970</v>
      </c>
      <c r="D9" s="566">
        <v>0.89</v>
      </c>
      <c r="E9" s="45">
        <v>311000</v>
      </c>
      <c r="F9" s="45">
        <v>104500</v>
      </c>
      <c r="G9" s="45">
        <f>1000*580.1114</f>
        <v>580111.4</v>
      </c>
      <c r="H9" s="45">
        <v>3400</v>
      </c>
      <c r="I9" s="45">
        <v>64400</v>
      </c>
      <c r="J9" s="73"/>
      <c r="K9" s="73"/>
      <c r="L9" s="972" t="s">
        <v>163</v>
      </c>
      <c r="M9"/>
    </row>
    <row r="10" spans="2:13" s="24" customFormat="1" ht="21.4" customHeight="1" x14ac:dyDescent="0.35">
      <c r="B10" s="46" t="s">
        <v>139</v>
      </c>
      <c r="C10" s="47">
        <v>103580</v>
      </c>
      <c r="D10" s="567">
        <v>0.92</v>
      </c>
      <c r="E10" s="47">
        <v>287280</v>
      </c>
      <c r="F10" s="47">
        <v>185900</v>
      </c>
      <c r="G10" s="47">
        <f>1000*321.62508</f>
        <v>321625.08</v>
      </c>
      <c r="H10" s="47">
        <v>5100</v>
      </c>
      <c r="I10" s="47">
        <v>72000</v>
      </c>
      <c r="J10" s="74"/>
      <c r="K10" s="74"/>
      <c r="L10" s="972"/>
      <c r="M10"/>
    </row>
    <row r="11" spans="2:13" s="24" customFormat="1" ht="21.4" customHeight="1" x14ac:dyDescent="0.35">
      <c r="B11" s="500">
        <v>2023</v>
      </c>
      <c r="C11" s="47">
        <f>1000*117.22</f>
        <v>117220</v>
      </c>
      <c r="D11" s="567">
        <v>0.88</v>
      </c>
      <c r="E11" s="47">
        <f>1000*78.11</f>
        <v>78110</v>
      </c>
      <c r="F11" s="47">
        <f>1000*166.71177</f>
        <v>166711.76999999999</v>
      </c>
      <c r="G11" s="47">
        <f>1000*181.06755</f>
        <v>181067.55000000002</v>
      </c>
      <c r="H11" s="905">
        <f>1000*0.29</f>
        <v>290</v>
      </c>
      <c r="I11" s="47">
        <f>1000*69.66</f>
        <v>69660</v>
      </c>
      <c r="J11" s="74"/>
      <c r="K11" s="74"/>
      <c r="L11" s="972"/>
      <c r="M11"/>
    </row>
    <row r="12" spans="2:13" s="24" customFormat="1" ht="21.4" customHeight="1" x14ac:dyDescent="0.35">
      <c r="B12" s="610">
        <v>2024</v>
      </c>
      <c r="C12" s="728">
        <v>111800</v>
      </c>
      <c r="D12" s="729">
        <v>0.73</v>
      </c>
      <c r="E12" s="728">
        <v>87370</v>
      </c>
      <c r="F12" s="728">
        <v>151800</v>
      </c>
      <c r="G12" s="728">
        <v>151760</v>
      </c>
      <c r="H12" s="728">
        <v>5500</v>
      </c>
      <c r="I12" s="728">
        <v>65800</v>
      </c>
      <c r="J12" s="730"/>
      <c r="K12" s="730"/>
      <c r="L12" s="972"/>
      <c r="M12"/>
    </row>
    <row r="13" spans="2:13" s="24" customFormat="1" x14ac:dyDescent="0.35">
      <c r="B13" t="s">
        <v>164</v>
      </c>
      <c r="C13"/>
      <c r="D13"/>
      <c r="E13"/>
      <c r="F13"/>
      <c r="G13" s="727"/>
      <c r="H13"/>
      <c r="I13"/>
      <c r="J13"/>
      <c r="K13"/>
      <c r="L13" s="972"/>
      <c r="M13" s="425"/>
    </row>
    <row r="14" spans="2:13" ht="25.15" customHeight="1" x14ac:dyDescent="0.35">
      <c r="B14" s="989" t="s">
        <v>165</v>
      </c>
      <c r="C14" s="989"/>
      <c r="D14" s="989"/>
      <c r="E14" s="989"/>
      <c r="F14" s="989"/>
      <c r="G14" s="989"/>
      <c r="H14" s="989"/>
      <c r="I14" s="989"/>
      <c r="J14" s="989"/>
    </row>
    <row r="15" spans="2:13" ht="55.15" customHeight="1" x14ac:dyDescent="0.35">
      <c r="B15" s="42"/>
      <c r="C15" s="42" t="s">
        <v>166</v>
      </c>
      <c r="D15" s="42" t="s">
        <v>167</v>
      </c>
      <c r="E15" s="42" t="s">
        <v>168</v>
      </c>
      <c r="F15" s="42" t="s">
        <v>169</v>
      </c>
      <c r="G15" s="935" t="s">
        <v>170</v>
      </c>
      <c r="H15" s="42" t="s">
        <v>171</v>
      </c>
      <c r="I15" s="42" t="s">
        <v>172</v>
      </c>
      <c r="J15" s="42" t="s">
        <v>173</v>
      </c>
      <c r="K15" s="42"/>
      <c r="L15" s="43" t="s">
        <v>41</v>
      </c>
    </row>
    <row r="16" spans="2:13" s="24" customFormat="1" ht="21.4" customHeight="1" x14ac:dyDescent="0.35">
      <c r="B16" s="44" t="s">
        <v>138</v>
      </c>
      <c r="C16" s="45">
        <v>41437</v>
      </c>
      <c r="D16" s="45">
        <v>2780</v>
      </c>
      <c r="E16" s="45">
        <v>13780</v>
      </c>
      <c r="F16" s="45">
        <v>370240</v>
      </c>
      <c r="G16" s="936">
        <v>54170</v>
      </c>
      <c r="H16" s="45">
        <v>20320</v>
      </c>
      <c r="I16" s="45">
        <v>1477</v>
      </c>
      <c r="J16" s="45">
        <v>28880</v>
      </c>
      <c r="K16" s="45"/>
      <c r="L16" s="972" t="s">
        <v>174</v>
      </c>
    </row>
    <row r="17" spans="2:14" s="24" customFormat="1" ht="21.4" customHeight="1" x14ac:dyDescent="0.35">
      <c r="B17" s="46" t="s">
        <v>139</v>
      </c>
      <c r="C17" s="47">
        <v>37817</v>
      </c>
      <c r="D17" s="47">
        <v>1700</v>
      </c>
      <c r="E17" s="47">
        <v>15340</v>
      </c>
      <c r="F17" s="47">
        <v>211923</v>
      </c>
      <c r="G17" s="937">
        <v>76620</v>
      </c>
      <c r="H17" s="45">
        <v>21615</v>
      </c>
      <c r="I17" s="47">
        <v>1656</v>
      </c>
      <c r="J17" s="47">
        <v>21991</v>
      </c>
      <c r="K17" s="47"/>
      <c r="L17" s="972"/>
    </row>
    <row r="18" spans="2:14" s="24" customFormat="1" ht="21.4" customHeight="1" x14ac:dyDescent="0.35">
      <c r="B18" s="500">
        <v>2023</v>
      </c>
      <c r="C18" s="47">
        <v>67850</v>
      </c>
      <c r="D18" s="47">
        <v>3311</v>
      </c>
      <c r="E18" s="47">
        <v>9550</v>
      </c>
      <c r="F18" s="47">
        <v>47006</v>
      </c>
      <c r="G18" s="937">
        <v>39650</v>
      </c>
      <c r="H18" s="45">
        <v>22804</v>
      </c>
      <c r="I18" s="47">
        <v>2809</v>
      </c>
      <c r="J18" s="47">
        <v>17700</v>
      </c>
      <c r="K18" s="47"/>
      <c r="L18" s="972"/>
    </row>
    <row r="19" spans="2:14" s="24" customFormat="1" ht="21.4" customHeight="1" x14ac:dyDescent="0.35">
      <c r="B19" s="610">
        <v>2024</v>
      </c>
      <c r="C19" s="627">
        <v>71325</v>
      </c>
      <c r="D19" s="75">
        <v>4255</v>
      </c>
      <c r="E19" s="75">
        <v>10386</v>
      </c>
      <c r="F19" s="75">
        <v>57225.63</v>
      </c>
      <c r="G19" s="938" t="s">
        <v>491</v>
      </c>
      <c r="H19" s="934" t="s">
        <v>491</v>
      </c>
      <c r="I19" s="628">
        <v>9193.36</v>
      </c>
      <c r="J19" s="75">
        <v>22790</v>
      </c>
      <c r="K19" s="629"/>
      <c r="L19" s="972"/>
    </row>
    <row r="20" spans="2:14" s="24" customFormat="1" ht="127" customHeight="1" x14ac:dyDescent="0.35">
      <c r="B20" s="49" t="s">
        <v>164</v>
      </c>
      <c r="C20" s="75"/>
      <c r="D20" s="75"/>
      <c r="E20" s="75"/>
      <c r="F20" s="75"/>
      <c r="G20" s="75"/>
      <c r="H20" s="571"/>
      <c r="I20" s="571"/>
      <c r="J20" s="571" t="s">
        <v>175</v>
      </c>
      <c r="K20" s="571"/>
      <c r="L20" s="972"/>
    </row>
    <row r="21" spans="2:14" ht="25.15" customHeight="1" x14ac:dyDescent="0.35">
      <c r="B21" s="989" t="s">
        <v>176</v>
      </c>
      <c r="C21" s="989"/>
      <c r="D21" s="989"/>
      <c r="E21" s="989"/>
      <c r="F21" s="989"/>
      <c r="G21" s="989"/>
      <c r="H21" s="989"/>
      <c r="I21" s="989"/>
      <c r="J21" s="989"/>
      <c r="L21" s="24"/>
      <c r="M21" s="24"/>
    </row>
    <row r="22" spans="2:14" ht="55.15" customHeight="1" x14ac:dyDescent="0.35">
      <c r="B22" s="42"/>
      <c r="C22" s="1032" t="s">
        <v>177</v>
      </c>
      <c r="D22" s="1032"/>
      <c r="E22" s="42" t="s">
        <v>167</v>
      </c>
      <c r="F22" s="42" t="s">
        <v>168</v>
      </c>
      <c r="G22" s="42" t="s">
        <v>169</v>
      </c>
      <c r="H22" s="42" t="s">
        <v>171</v>
      </c>
      <c r="I22" s="42" t="s">
        <v>172</v>
      </c>
      <c r="J22" s="42" t="s">
        <v>178</v>
      </c>
      <c r="K22" s="42" t="s">
        <v>179</v>
      </c>
      <c r="L22" s="43" t="s">
        <v>41</v>
      </c>
      <c r="M22" s="24"/>
    </row>
    <row r="23" spans="2:14" s="24" customFormat="1" ht="21.4" customHeight="1" x14ac:dyDescent="0.35">
      <c r="B23" s="1034" t="s">
        <v>138</v>
      </c>
      <c r="C23" s="45" t="s">
        <v>180</v>
      </c>
      <c r="D23" s="76" t="s">
        <v>181</v>
      </c>
      <c r="E23" s="1029">
        <v>1085012</v>
      </c>
      <c r="F23" s="1029">
        <v>314145</v>
      </c>
      <c r="G23" s="1029">
        <v>510911</v>
      </c>
      <c r="H23" s="1029">
        <v>4840</v>
      </c>
      <c r="I23" s="1029">
        <v>5518</v>
      </c>
      <c r="J23" s="1029">
        <v>9310</v>
      </c>
      <c r="K23" s="1029">
        <v>25300</v>
      </c>
      <c r="L23" s="972" t="s">
        <v>174</v>
      </c>
    </row>
    <row r="24" spans="2:14" s="24" customFormat="1" ht="21.4" customHeight="1" x14ac:dyDescent="0.35">
      <c r="B24" s="1035"/>
      <c r="C24" s="45" t="s">
        <v>182</v>
      </c>
      <c r="D24" s="76" t="s">
        <v>183</v>
      </c>
      <c r="E24" s="1033"/>
      <c r="F24" s="1033"/>
      <c r="G24" s="1033"/>
      <c r="H24" s="1033"/>
      <c r="I24" s="1033"/>
      <c r="J24" s="1030"/>
      <c r="K24" s="1030"/>
      <c r="L24" s="972"/>
      <c r="M24"/>
      <c r="N24"/>
    </row>
    <row r="25" spans="2:14" s="24" customFormat="1" ht="21.4" customHeight="1" x14ac:dyDescent="0.35">
      <c r="B25" s="1034" t="s">
        <v>139</v>
      </c>
      <c r="C25" s="47" t="s">
        <v>180</v>
      </c>
      <c r="D25" s="77" t="s">
        <v>184</v>
      </c>
      <c r="E25" s="1029">
        <v>710628</v>
      </c>
      <c r="F25" s="1029">
        <v>54812</v>
      </c>
      <c r="G25" s="1029">
        <v>319061</v>
      </c>
      <c r="H25" s="1029">
        <v>1980</v>
      </c>
      <c r="I25" s="1029">
        <v>1500</v>
      </c>
      <c r="J25" s="1029">
        <v>20760</v>
      </c>
      <c r="K25" s="1029">
        <v>25800</v>
      </c>
      <c r="L25" s="972"/>
      <c r="M25"/>
      <c r="N25"/>
    </row>
    <row r="26" spans="2:14" s="24" customFormat="1" ht="21.4" customHeight="1" x14ac:dyDescent="0.35">
      <c r="B26" s="1036"/>
      <c r="C26" s="47" t="s">
        <v>182</v>
      </c>
      <c r="D26" s="77" t="s">
        <v>185</v>
      </c>
      <c r="E26" s="1030"/>
      <c r="F26" s="1030"/>
      <c r="G26" s="1030"/>
      <c r="H26" s="1030"/>
      <c r="I26" s="1030"/>
      <c r="J26" s="1030"/>
      <c r="K26" s="1030"/>
      <c r="L26" s="972"/>
      <c r="M26"/>
      <c r="N26"/>
    </row>
    <row r="27" spans="2:14" s="24" customFormat="1" ht="21.4" customHeight="1" x14ac:dyDescent="0.35">
      <c r="B27" s="1034">
        <v>2023</v>
      </c>
      <c r="C27" s="47" t="s">
        <v>180</v>
      </c>
      <c r="D27" s="77">
        <v>22830</v>
      </c>
      <c r="E27" s="1029">
        <v>689713</v>
      </c>
      <c r="F27" s="1029">
        <v>66000</v>
      </c>
      <c r="G27" s="1029">
        <v>289000</v>
      </c>
      <c r="H27" s="1029">
        <v>200</v>
      </c>
      <c r="I27" s="1029">
        <v>1293</v>
      </c>
      <c r="J27" s="1029">
        <v>9460</v>
      </c>
      <c r="K27" s="1029">
        <v>4525</v>
      </c>
      <c r="L27" s="972"/>
      <c r="M27"/>
      <c r="N27"/>
    </row>
    <row r="28" spans="2:14" s="24" customFormat="1" ht="21.4" customHeight="1" x14ac:dyDescent="0.35">
      <c r="B28" s="1036"/>
      <c r="C28" s="47" t="s">
        <v>182</v>
      </c>
      <c r="D28" s="77">
        <v>25900</v>
      </c>
      <c r="E28" s="1030"/>
      <c r="F28" s="1030"/>
      <c r="G28" s="1030"/>
      <c r="H28" s="1030"/>
      <c r="I28" s="1030"/>
      <c r="J28" s="1030"/>
      <c r="K28" s="1030"/>
      <c r="L28" s="972"/>
      <c r="M28"/>
      <c r="N28"/>
    </row>
    <row r="29" spans="2:14" s="24" customFormat="1" ht="21.4" customHeight="1" x14ac:dyDescent="0.35">
      <c r="B29" s="1034">
        <v>2024</v>
      </c>
      <c r="C29" s="940" t="s">
        <v>180</v>
      </c>
      <c r="D29" s="941">
        <v>27590</v>
      </c>
      <c r="E29" s="1031">
        <v>374677</v>
      </c>
      <c r="F29" s="1031">
        <v>140000</v>
      </c>
      <c r="G29" s="1031">
        <v>563870</v>
      </c>
      <c r="H29" s="1031">
        <v>180</v>
      </c>
      <c r="I29" s="1031">
        <v>1250</v>
      </c>
      <c r="J29" s="1031">
        <v>17008</v>
      </c>
      <c r="K29" s="1031">
        <v>975</v>
      </c>
      <c r="L29" s="972"/>
      <c r="M29"/>
      <c r="N29"/>
    </row>
    <row r="30" spans="2:14" s="24" customFormat="1" ht="21.4" customHeight="1" x14ac:dyDescent="0.35">
      <c r="B30" s="1036">
        <v>2024</v>
      </c>
      <c r="C30" s="940" t="s">
        <v>182</v>
      </c>
      <c r="D30" s="942">
        <v>33790</v>
      </c>
      <c r="E30" s="1031"/>
      <c r="F30" s="1031"/>
      <c r="G30" s="1031"/>
      <c r="H30" s="1031"/>
      <c r="I30" s="1031"/>
      <c r="J30" s="1031"/>
      <c r="K30" s="1031"/>
      <c r="L30" s="972"/>
      <c r="M30"/>
      <c r="N30"/>
    </row>
    <row r="31" spans="2:14" ht="93.65" customHeight="1" x14ac:dyDescent="0.35">
      <c r="B31" s="572" t="s">
        <v>164</v>
      </c>
      <c r="H31" s="438"/>
      <c r="J31" s="438" t="s">
        <v>186</v>
      </c>
      <c r="L31" s="972"/>
    </row>
    <row r="32" spans="2:14" ht="25.15" customHeight="1" x14ac:dyDescent="0.35">
      <c r="B32" s="989" t="s">
        <v>187</v>
      </c>
      <c r="C32" s="989"/>
      <c r="D32" s="989"/>
      <c r="E32" s="989"/>
      <c r="F32" s="989"/>
      <c r="G32" s="989"/>
      <c r="H32" s="989"/>
      <c r="I32" s="989"/>
      <c r="J32" s="989"/>
    </row>
    <row r="33" spans="2:14" ht="55.15" customHeight="1" x14ac:dyDescent="0.35">
      <c r="B33" s="42"/>
      <c r="C33" s="42" t="s">
        <v>177</v>
      </c>
      <c r="D33" s="42" t="s">
        <v>188</v>
      </c>
      <c r="E33" s="42" t="s">
        <v>189</v>
      </c>
      <c r="F33" s="42" t="s">
        <v>169</v>
      </c>
      <c r="G33" s="42" t="s">
        <v>190</v>
      </c>
      <c r="H33" s="42"/>
      <c r="I33" s="42"/>
      <c r="J33" s="42"/>
      <c r="K33" s="42"/>
      <c r="L33" s="43" t="s">
        <v>41</v>
      </c>
    </row>
    <row r="34" spans="2:14" s="24" customFormat="1" ht="21.4" customHeight="1" x14ac:dyDescent="0.35">
      <c r="B34" s="78">
        <v>2021</v>
      </c>
      <c r="C34" s="45">
        <v>13480</v>
      </c>
      <c r="D34" s="45">
        <v>3990</v>
      </c>
      <c r="E34" s="45">
        <v>9756</v>
      </c>
      <c r="F34" s="45">
        <v>24795</v>
      </c>
      <c r="G34" s="45">
        <v>40160</v>
      </c>
      <c r="H34" s="45"/>
      <c r="I34" s="45"/>
      <c r="J34" s="45"/>
      <c r="K34" s="45"/>
      <c r="L34" s="972" t="s">
        <v>191</v>
      </c>
      <c r="M34"/>
      <c r="N34"/>
    </row>
    <row r="35" spans="2:14" s="24" customFormat="1" ht="21.4" customHeight="1" x14ac:dyDescent="0.35">
      <c r="B35" s="79">
        <v>2022</v>
      </c>
      <c r="C35" s="47">
        <v>12660</v>
      </c>
      <c r="D35" s="47">
        <v>6610</v>
      </c>
      <c r="E35" s="47">
        <v>13371</v>
      </c>
      <c r="F35" s="47">
        <v>24265</v>
      </c>
      <c r="G35" s="47">
        <v>43600</v>
      </c>
      <c r="H35" s="47"/>
      <c r="I35" s="47"/>
      <c r="J35" s="47"/>
      <c r="K35" s="47"/>
      <c r="L35" s="972"/>
      <c r="M35"/>
      <c r="N35"/>
    </row>
    <row r="36" spans="2:14" s="24" customFormat="1" ht="21.4" customHeight="1" x14ac:dyDescent="0.35">
      <c r="B36" s="46" t="s">
        <v>192</v>
      </c>
      <c r="C36" s="45">
        <v>9217</v>
      </c>
      <c r="D36" s="45">
        <f>6060+2760</f>
        <v>8820</v>
      </c>
      <c r="E36" s="45">
        <v>7664</v>
      </c>
      <c r="F36" s="45">
        <v>35567</v>
      </c>
      <c r="G36" s="45">
        <v>35440</v>
      </c>
      <c r="H36" s="47"/>
      <c r="I36" s="47"/>
      <c r="J36" s="47"/>
      <c r="K36" s="47"/>
      <c r="L36" s="972"/>
      <c r="M36"/>
      <c r="N36"/>
    </row>
    <row r="37" spans="2:14" x14ac:dyDescent="0.35">
      <c r="B37" s="79">
        <v>2024</v>
      </c>
      <c r="C37" s="734">
        <v>7761</v>
      </c>
      <c r="D37" s="45">
        <v>5000</v>
      </c>
      <c r="E37" s="734">
        <v>6437</v>
      </c>
      <c r="F37" s="734">
        <v>21070</v>
      </c>
      <c r="G37" s="734">
        <v>33831</v>
      </c>
    </row>
    <row r="39" spans="2:14" x14ac:dyDescent="0.35">
      <c r="B39" s="735" t="s">
        <v>193</v>
      </c>
    </row>
    <row r="40" spans="2:14" x14ac:dyDescent="0.35">
      <c r="F40"/>
      <c r="G40"/>
      <c r="H40"/>
      <c r="I40"/>
      <c r="J40"/>
      <c r="K40"/>
    </row>
    <row r="41" spans="2:14" x14ac:dyDescent="0.35">
      <c r="F41"/>
      <c r="G41"/>
      <c r="H41"/>
      <c r="I41"/>
      <c r="J41"/>
      <c r="K41"/>
    </row>
    <row r="42" spans="2:14" x14ac:dyDescent="0.35">
      <c r="F42"/>
      <c r="G42"/>
      <c r="H42"/>
      <c r="I42"/>
      <c r="J42"/>
      <c r="K42"/>
    </row>
    <row r="43" spans="2:14" x14ac:dyDescent="0.35">
      <c r="F43"/>
      <c r="G43"/>
      <c r="H43"/>
      <c r="I43"/>
      <c r="J43"/>
      <c r="K43"/>
    </row>
    <row r="44" spans="2:14" x14ac:dyDescent="0.35">
      <c r="F44"/>
      <c r="G44"/>
      <c r="H44"/>
      <c r="I44"/>
      <c r="J44"/>
      <c r="K44"/>
    </row>
    <row r="45" spans="2:14" x14ac:dyDescent="0.35">
      <c r="B45"/>
      <c r="C45"/>
      <c r="D45"/>
      <c r="E45"/>
      <c r="F45"/>
      <c r="G45"/>
      <c r="H45"/>
      <c r="I45"/>
      <c r="J45"/>
      <c r="K45"/>
    </row>
    <row r="46" spans="2:14" x14ac:dyDescent="0.35">
      <c r="B46"/>
      <c r="C46"/>
      <c r="D46"/>
      <c r="E46"/>
      <c r="F46"/>
      <c r="G46"/>
      <c r="H46"/>
      <c r="I46"/>
      <c r="J46"/>
      <c r="K46"/>
    </row>
    <row r="47" spans="2:14" x14ac:dyDescent="0.35">
      <c r="B47"/>
      <c r="C47"/>
      <c r="D47"/>
      <c r="E47"/>
      <c r="F47"/>
      <c r="G47"/>
      <c r="H47"/>
      <c r="I47"/>
      <c r="J47"/>
      <c r="K47"/>
    </row>
    <row r="48" spans="2:14" x14ac:dyDescent="0.35">
      <c r="B48"/>
      <c r="C48"/>
      <c r="D48"/>
      <c r="E48"/>
      <c r="F48"/>
      <c r="G48"/>
      <c r="H48"/>
      <c r="I48"/>
      <c r="J48"/>
      <c r="K48"/>
    </row>
    <row r="49" customFormat="1" x14ac:dyDescent="0.35"/>
  </sheetData>
  <mergeCells count="41">
    <mergeCell ref="J29:J30"/>
    <mergeCell ref="K29:K30"/>
    <mergeCell ref="B7:J7"/>
    <mergeCell ref="B14:J14"/>
    <mergeCell ref="B21:J21"/>
    <mergeCell ref="J23:J24"/>
    <mergeCell ref="J25:J26"/>
    <mergeCell ref="I25:I26"/>
    <mergeCell ref="H25:H26"/>
    <mergeCell ref="G25:G26"/>
    <mergeCell ref="E23:E24"/>
    <mergeCell ref="F23:F24"/>
    <mergeCell ref="G23:G24"/>
    <mergeCell ref="H23:H24"/>
    <mergeCell ref="B23:B24"/>
    <mergeCell ref="B25:B26"/>
    <mergeCell ref="L34:L36"/>
    <mergeCell ref="B32:J32"/>
    <mergeCell ref="K27:K28"/>
    <mergeCell ref="L23:L31"/>
    <mergeCell ref="F25:F26"/>
    <mergeCell ref="I27:I28"/>
    <mergeCell ref="J27:J28"/>
    <mergeCell ref="B29:B30"/>
    <mergeCell ref="B27:B28"/>
    <mergeCell ref="E27:E28"/>
    <mergeCell ref="F27:F28"/>
    <mergeCell ref="G27:G28"/>
    <mergeCell ref="H29:H30"/>
    <mergeCell ref="I29:I30"/>
    <mergeCell ref="E29:E30"/>
    <mergeCell ref="F29:F30"/>
    <mergeCell ref="G29:G30"/>
    <mergeCell ref="C22:D22"/>
    <mergeCell ref="I23:I24"/>
    <mergeCell ref="E25:E26"/>
    <mergeCell ref="L9:L13"/>
    <mergeCell ref="L16:L20"/>
    <mergeCell ref="K23:K24"/>
    <mergeCell ref="K25:K26"/>
    <mergeCell ref="H27:H28"/>
  </mergeCells>
  <pageMargins left="0.7" right="0.7" top="0.75" bottom="0.75" header="0.3" footer="0.3"/>
  <pageSetup paperSize="9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24</vt:i4>
      </vt:variant>
      <vt:variant>
        <vt:lpstr>טווחים בעלי שם</vt:lpstr>
      </vt:variant>
      <vt:variant>
        <vt:i4>2</vt:i4>
      </vt:variant>
    </vt:vector>
  </HeadingPairs>
  <TitlesOfParts>
    <vt:vector size="26" baseType="lpstr">
      <vt:lpstr>פתיח</vt:lpstr>
      <vt:lpstr>בית</vt:lpstr>
      <vt:lpstr>יעדי קבוצת בזק</vt:lpstr>
      <vt:lpstr>סביבה&gt;&gt;&gt;</vt:lpstr>
      <vt:lpstr>פליטות גזי חממה</vt:lpstr>
      <vt:lpstr>עצימות</vt:lpstr>
      <vt:lpstr>צריכת אנרגיה</vt:lpstr>
      <vt:lpstr>מים</vt:lpstr>
      <vt:lpstr>פסולת</vt:lpstr>
      <vt:lpstr>חברה&gt;&gt;&gt; </vt:lpstr>
      <vt:lpstr>כוח אדם</vt:lpstr>
      <vt:lpstr>אופי העסקה</vt:lpstr>
      <vt:lpstr>ותק עובדים</vt:lpstr>
      <vt:lpstr>תחלופת עובדים</vt:lpstr>
      <vt:lpstr>גיוון והכללה</vt:lpstr>
      <vt:lpstr>הדרכות, משוב והערכה</vt:lpstr>
      <vt:lpstr>בטיחות וגהות</vt:lpstr>
      <vt:lpstr>ממשל תאגידי&gt;&gt;&gt;</vt:lpstr>
      <vt:lpstr>מבנה אחזקות</vt:lpstr>
      <vt:lpstr>חברי הדירקטוריון</vt:lpstr>
      <vt:lpstr>מענק שנתי לנושאי משרה</vt:lpstr>
      <vt:lpstr>פניות למבקר החברה</vt:lpstr>
      <vt:lpstr>ביצועים כספיים</vt:lpstr>
      <vt:lpstr>Grievances</vt:lpstr>
      <vt:lpstr>'חברי הדירקטוריון'!_ftnref1</vt:lpstr>
      <vt:lpstr>פתיח!WPrint_Area_W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2015-06-05T18:19:34Z</dcterms:created>
  <dcterms:modified xsi:type="dcterms:W3CDTF">2025-09-28T12:06:23Z</dcterms:modified>
  <cp:category/>
</cp:coreProperties>
</file>